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6.xml" ContentType="application/vnd.openxmlformats-officedocument.spreadsheetml.table+xml"/>
  <Override PartName="/xl/drawings/drawing3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comments2.xml" ContentType="application/vnd.openxmlformats-officedocument.spreadsheetml.comments+xml"/>
  <Override PartName="/xl/tables/table3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33.xml" ContentType="application/vnd.openxmlformats-officedocument.spreadsheetml.table+xml"/>
  <Override PartName="/xl/comments4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pivotTables/pivotTable2.xml" ContentType="application/vnd.openxmlformats-officedocument.spreadsheetml.pivotTable+xml"/>
  <Override PartName="/xl/tables/table3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7- JULHO\6-Cerfox\"/>
    </mc:Choice>
  </mc:AlternateContent>
  <xr:revisionPtr revIDLastSave="0" documentId="8_{2C09A171-5DB6-4E98-A127-7E10C36B373F}" xr6:coauthVersionLast="47" xr6:coauthVersionMax="47" xr10:uidLastSave="{00000000-0000-0000-0000-000000000000}"/>
  <bookViews>
    <workbookView xWindow="-120" yWindow="-120" windowWidth="29040" windowHeight="15840" tabRatio="725" firstSheet="4" activeTab="6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Rede Básica + Ajuste" sheetId="82" r:id="rId13"/>
    <sheet name="Conexão " sheetId="87" r:id="rId14"/>
    <sheet name="CUSD" sheetId="61" r:id="rId15"/>
    <sheet name="Encargos" sheetId="51" r:id="rId16"/>
    <sheet name="Financeiros" sheetId="50" r:id="rId17"/>
    <sheet name="ICMS" sheetId="137" r:id="rId18"/>
    <sheet name="Financeiros Mitigação" sheetId="139" r:id="rId19"/>
    <sheet name="CVE" sheetId="135" r:id="rId20"/>
    <sheet name="Conta covid" sheetId="131" r:id="rId21"/>
    <sheet name="Aj.Subsídio" sheetId="123" r:id="rId22"/>
    <sheet name="Indexador" sheetId="25" r:id="rId23"/>
    <sheet name="BD SUPRIMENTO" sheetId="84" state="hidden" r:id="rId24"/>
    <sheet name="RA0BD" sheetId="57" state="hidden" r:id="rId25"/>
    <sheet name="SimuBD" sheetId="62" state="hidden" r:id="rId26"/>
    <sheet name="Índices" sheetId="7" r:id="rId27"/>
    <sheet name="BD-NET" sheetId="49" r:id="rId28"/>
    <sheet name="Sharepoint" sheetId="121" state="hidden" r:id="rId29"/>
    <sheet name="COEFICIENTES" sheetId="102" state="hidden" r:id="rId30"/>
    <sheet name="REN 473" sheetId="95" state="hidden" r:id="rId31"/>
    <sheet name="ERD" sheetId="94" state="hidden" r:id="rId32"/>
    <sheet name="Glossário Vínculos" sheetId="85" state="hidden" r:id="rId33"/>
  </sheets>
  <externalReferences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hidden="1">{#N/A,#N/A,FALSE,"CONTROLE";#N/A,#N/A,FALSE,"CONTROLE"}</definedName>
    <definedName name="__________ep1" hidden="1">{#N/A,#N/A,FALSE,"CONTROLE"}</definedName>
    <definedName name="__________r" hidden="1">{#N/A,#N/A,FALSE,"CONTROLE"}</definedName>
    <definedName name="__________yh7" hidden="1">{#N/A,#N/A,FALSE,"CONTROLE";#N/A,#N/A,FALSE,"CONTROLE"}</definedName>
    <definedName name="________ep1" hidden="1">{#N/A,#N/A,FALSE,"CONTROLE"}</definedName>
    <definedName name="________r" hidden="1">{#N/A,#N/A,FALSE,"CONTROLE"}</definedName>
    <definedName name="________yh7" hidden="1">{#N/A,#N/A,FALSE,"CONTROLE";#N/A,#N/A,FALSE,"CONTROLE"}</definedName>
    <definedName name="______ep1" hidden="1">{#N/A,#N/A,FALSE,"CONTROLE"}</definedName>
    <definedName name="______r" hidden="1">{#N/A,#N/A,FALSE,"CONTROLE"}</definedName>
    <definedName name="______yh7" hidden="1">{#N/A,#N/A,FALSE,"CONTROLE";#N/A,#N/A,FALSE,"CONTROLE"}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hidden="1">{#N/A,#N/A,FALSE,"ENERGIA";#N/A,#N/A,FALSE,"PERDIDAS";#N/A,#N/A,FALSE,"CLIENTES";#N/A,#N/A,FALSE,"ESTADO";#N/A,#N/A,FALSE,"TECNICA"}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hidden="1">{#N/A,#N/A,FALSE,"CONTROLE"}</definedName>
    <definedName name="_____yh7" hidden="1">{#N/A,#N/A,FALSE,"CONTROLE";#N/A,#N/A,FALSE,"CONTROLE"}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hidden="1">{#N/A,#N/A,FALSE,"ENERGIA";#N/A,#N/A,FALSE,"PERDIDAS";#N/A,#N/A,FALSE,"CLIENTES";#N/A,#N/A,FALSE,"ESTADO";#N/A,#N/A,FALSE,"TECNICA"}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hidden="1">{#N/A,#N/A,FALSE,"ENERGIA";#N/A,#N/A,FALSE,"PERDIDAS";#N/A,#N/A,FALSE,"CLIENTES";#N/A,#N/A,FALSE,"ESTADO";#N/A,#N/A,FALSE,"TECNICA"}</definedName>
    <definedName name="____ep1" hidden="1">{#N/A,#N/A,FALSE,"CONTROLE"}</definedName>
    <definedName name="____FT08" hidden="1">"3OYHDJRF05V1IN1D1R6C32J5E"</definedName>
    <definedName name="____r" hidden="1">{#N/A,#N/A,FALSE,"CONTROLE"}</definedName>
    <definedName name="____yh7" hidden="1">{#N/A,#N/A,FALSE,"CONTROLE";#N/A,#N/A,FALSE,"CONTROLE"}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hidden="1">{#N/A,#N/A,FALSE,"ENERGIA";#N/A,#N/A,FALSE,"PERDIDAS";#N/A,#N/A,FALSE,"CLIENTES";#N/A,#N/A,FALSE,"ESTADO";#N/A,#N/A,FALSE,"TECNICA"}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8" hidden="1">[2]Mercado!#REF!</definedName>
    <definedName name="__123Graph_A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19" hidden="1">#REF!</definedName>
    <definedName name="__123Graph_APREVRCOM" localSheetId="8" hidden="1">#REF!</definedName>
    <definedName name="__123Graph_APREVRCOM" hidden="1">#REF!</definedName>
    <definedName name="__123Graph_APREVREALI" localSheetId="19" hidden="1">#REF!</definedName>
    <definedName name="__123Graph_APREVREALI" localSheetId="8" hidden="1">#REF!</definedName>
    <definedName name="__123Graph_APREVREALI" hidden="1">#REF!</definedName>
    <definedName name="__123Graph_APREVRIND" localSheetId="19" hidden="1">#REF!</definedName>
    <definedName name="__123Graph_APREVRIND" localSheetId="8" hidden="1">#REF!</definedName>
    <definedName name="__123Graph_APREVRIND" hidden="1">#REF!</definedName>
    <definedName name="__123Graph_APREVROUT" localSheetId="19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19" hidden="1">#REF!</definedName>
    <definedName name="__123Graph_APREVRRES" localSheetId="8" hidden="1">#REF!</definedName>
    <definedName name="__123Graph_APREVRRES" hidden="1">#REF!</definedName>
    <definedName name="__123Graph_APREVRTOT" localSheetId="19" hidden="1">#REF!</definedName>
    <definedName name="__123Graph_APREVRTOT" localSheetId="8" hidden="1">#REF!</definedName>
    <definedName name="__123Graph_APREVRTOT" hidden="1">#REF!</definedName>
    <definedName name="__123Graph_B" localSheetId="19" hidden="1">#REF!</definedName>
    <definedName name="__123Graph_B" localSheetId="8" hidden="1">#REF!</definedName>
    <definedName name="__123Graph_B" hidden="1">#REF!</definedName>
    <definedName name="__123Graph_BCOMPARA" localSheetId="19" hidden="1">#REF!</definedName>
    <definedName name="__123Graph_BCOMPARA" localSheetId="8" hidden="1">#REF!</definedName>
    <definedName name="__123Graph_BCOMPARA" hidden="1">#REF!</definedName>
    <definedName name="__123Graph_BGAS" hidden="1">[6]Detail!#REF!</definedName>
    <definedName name="__123Graph_BGERAL" localSheetId="19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19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19" hidden="1">#REF!</definedName>
    <definedName name="__123Graph_BPREVREALI" localSheetId="8" hidden="1">#REF!</definedName>
    <definedName name="__123Graph_BPREVREALI" hidden="1">#REF!</definedName>
    <definedName name="__123Graph_C" localSheetId="19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19" hidden="1">#REF!</definedName>
    <definedName name="__123Graph_CPREVREALI" localSheetId="8" hidden="1">#REF!</definedName>
    <definedName name="__123Graph_CPREVREALI" hidden="1">#REF!</definedName>
    <definedName name="__123Graph_D" localSheetId="19" hidden="1">#REF!</definedName>
    <definedName name="__123Graph_D" localSheetId="8" hidden="1">#REF!</definedName>
    <definedName name="__123Graph_D" hidden="1">#REF!</definedName>
    <definedName name="__123Graph_DCDI" localSheetId="19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19" hidden="1">#REF!</definedName>
    <definedName name="__123Graph_DCOMPARA" localSheetId="8" hidden="1">#REF!</definedName>
    <definedName name="__123Graph_DCOMPARA" hidden="1">#REF!</definedName>
    <definedName name="__123Graph_DGERAL" localSheetId="19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19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19" hidden="1">#REF!</definedName>
    <definedName name="__123Graph_EPREVREALI" localSheetId="8" hidden="1">#REF!</definedName>
    <definedName name="__123Graph_EPREVREALI" hidden="1">#REF!</definedName>
    <definedName name="__123Graph_F" localSheetId="19" hidden="1">#REF!</definedName>
    <definedName name="__123Graph_F" localSheetId="8" hidden="1">#REF!</definedName>
    <definedName name="__123Graph_F" hidden="1">#REF!</definedName>
    <definedName name="__123Graph_FCDI" localSheetId="19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19" hidden="1">#REF!</definedName>
    <definedName name="__123Graph_FCOMPARA" localSheetId="8" hidden="1">#REF!</definedName>
    <definedName name="__123Graph_FCOMPARA" hidden="1">#REF!</definedName>
    <definedName name="__123Graph_FGERAL" localSheetId="19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19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ep1" hidden="1">{#N/A,#N/A,FALSE,"CONTROLE"}</definedName>
    <definedName name="__FT08" hidden="1">"3OYHDJRF05V1IN1D1R6C32J5E"</definedName>
    <definedName name="__r" hidden="1">{#N/A,#N/A,FALSE,"CONTROLE"}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hidden="1">#REF!</definedName>
    <definedName name="_AMO_SingleObject_630089467_ROM_F0.SEC2.Print_1.SEC1.HDR.TXT1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hidden="1">'[8]Dados Base'!#REF!</definedName>
    <definedName name="_AMO_SingleObject_718052594_ROM_F0.SEC2.Print_4.SEC1.HDR.TXT1" hidden="1">'[8]Dados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hidden="1">'[8]Dados Base'!#REF!</definedName>
    <definedName name="_AMO_XmlVersion">"'1'"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hidden="1">{#N/A,#N/A,FALSE,"ENERGIA";#N/A,#N/A,FALSE,"PERDIDAS";#N/A,#N/A,FALSE,"CLIENTES";#N/A,#N/A,FALSE,"ESTADO";#N/A,#N/A,FALSE,"TECNICA"}</definedName>
    <definedName name="_Fill" localSheetId="19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3" hidden="1">'BD SUPRIMENTO'!$B$1:$R$165</definedName>
    <definedName name="_xlnm._FilterDatabase" localSheetId="3" hidden="1">BDCOVID!$A$1:$AH$497</definedName>
    <definedName name="_xlnm._FilterDatabase" localSheetId="27" hidden="1">'BD-NET'!$A$1:$P$185</definedName>
    <definedName name="_xlnm._FilterDatabase" localSheetId="6" hidden="1">CAPA!$A:$H</definedName>
    <definedName name="_xlnm._FilterDatabase" localSheetId="29" hidden="1">COEFICIENTES!$D$20:$M$124</definedName>
    <definedName name="_xlnm._FilterDatabase" localSheetId="14" hidden="1">CUSD!$A:$H</definedName>
    <definedName name="_xlnm._FilterDatabase" localSheetId="19" hidden="1">#REF!</definedName>
    <definedName name="_xlnm._FilterDatabase" localSheetId="11" hidden="1">Energia!$A:$H</definedName>
    <definedName name="_xlnm._FilterDatabase" localSheetId="4" hidden="1">Faturas!$AB$1:$AE$643</definedName>
    <definedName name="_xlnm._FilterDatabase" localSheetId="26" hidden="1">Índices!$B$6:$F$500</definedName>
    <definedName name="_xlnm._FilterDatabase" localSheetId="24" hidden="1">RA0BD!$A$1:$U$205</definedName>
    <definedName name="_xlnm._FilterDatabase" localSheetId="12" hidden="1">'Rede Básica + Ajuste'!$AA$17:$AA$60</definedName>
    <definedName name="_xlnm._FilterDatabase" localSheetId="25" hidden="1">SimuBD!$A$1:$N$27</definedName>
    <definedName name="_xlnm._FilterDatabase" localSheetId="0" hidden="1">Subsidio!$A$1:$J$52</definedName>
    <definedName name="_xlnm._FilterDatabase" localSheetId="8" hidden="1">'Tabelas e Gráficos'!$BJ$267:$BJ$285</definedName>
    <definedName name="_xlnm._FilterDatabase" hidden="1">#REF!</definedName>
    <definedName name="_FT08" hidden="1">"3OYHDJRF05V1IN1D1R6C32J5E"</definedName>
    <definedName name="_Key1" localSheetId="19" hidden="1">#REF!</definedName>
    <definedName name="_Key1" localSheetId="8" hidden="1">#REF!</definedName>
    <definedName name="_Key1" hidden="1">#REF!</definedName>
    <definedName name="_Key2" hidden="1">#REF!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hidden="1">#REF!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19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19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hidden="1">#REF!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19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hidden="1">{#N/A,#N/A,FALSE,"CONTROLE";#N/A,#N/A,FALSE,"CONTROLE"}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hidden="1">{#N/A,#N/A,FALSE,"CONTROLE";#N/A,#N/A,FALSE,"CONTROLE"}</definedName>
    <definedName name="a4e4" hidden="1">{#N/A,#N/A,FALSE,"CONTROLE"}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8">CAPA!$C$13</definedName>
    <definedName name="AnoRevRea">CAPA!$C$13</definedName>
    <definedName name="anscount" hidden="1">3</definedName>
    <definedName name="aplicação" hidden="1">{#N/A,#N/A,FALSE,"CONTROLE"}</definedName>
    <definedName name="aplicação_" hidden="1">{#N/A,#N/A,FALSE,"CONTROLE"}</definedName>
    <definedName name="_xlnm.Extract" localSheetId="4">Faturas!$O:$V</definedName>
    <definedName name="aretret" hidden="1">{#N/A,#N/A,FALSE,"CONTROLE"}</definedName>
    <definedName name="artret" hidden="1">{#N/A,#N/A,FALSE,"CONTROLE";#N/A,#N/A,FALSE,"CONTROLE"}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hidden="1">{#N/A,#N/A,FALSE,"CONTROLE";#N/A,#N/A,FALSE,"CONTROLE"}</definedName>
    <definedName name="asas" hidden="1">[1]Calc!$AL$8:$AL$21</definedName>
    <definedName name="asdadsada" hidden="1">{#N/A,#N/A,FALSE,"CONTROLE"}</definedName>
    <definedName name="asdf" hidden="1">{#N/A,#N/A,FALSE,"CONTROLE"}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19" hidden="1">#REF!</definedName>
    <definedName name="BANCO1" localSheetId="8" hidden="1">#REF!</definedName>
    <definedName name="BANCO1" hidden="1">#REF!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hidden="1">{#N/A,#N/A,FALSE,"CONTROLE"}</definedName>
    <definedName name="Chico" hidden="1">{#N/A,#N/A,FALSE,"CONTROLE"}</definedName>
    <definedName name="Chico_" hidden="1">{#N/A,#N/A,FALSE,"CONTROLE"}</definedName>
    <definedName name="Chico__" hidden="1">{#N/A,#N/A,FALSE,"CONTROLE"}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hidden="1">{#N/A,#N/A,FALSE,"CONTROLE";#N/A,#N/A,FALSE,"CONTROLE"}</definedName>
    <definedName name="conferencia" hidden="1">{#N/A,#N/A,FALSE,"ENERGIA";#N/A,#N/A,FALSE,"PERDIDAS";#N/A,#N/A,FALSE,"CLIENTES";#N/A,#N/A,FALSE,"ESTADO";#N/A,#N/A,FALSE,"TECNICA"}</definedName>
    <definedName name="COPIA" hidden="1">{#N/A,#N/A,FALSE,"CONTROLE"}</definedName>
    <definedName name="COPIA1" hidden="1">{#N/A,#N/A,FALSE,"CONTROLE"}</definedName>
    <definedName name="_xlnm.Criteria" localSheetId="4">Faturas!$J$1:$M$5</definedName>
    <definedName name="cust" hidden="1">{#N/A,#N/A,FALSE,"CONTROLE"}</definedName>
    <definedName name="cv" hidden="1">{#N/A,#N/A,FALSE,"CONTROLE"}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hidden="1">{#N/A,#N/A,FALSE,"CONTROLE"}</definedName>
    <definedName name="DataRevRea" localSheetId="8">CAPA!$C$15</definedName>
    <definedName name="DataRevRea">CAPA!$C$15</definedName>
    <definedName name="DCC" hidden="1">{#N/A,#N/A,FALSE,"CONTROLE"}</definedName>
    <definedName name="dddd" hidden="1">{#N/A,#N/A,FALSE,"CONTROLE";#N/A,#N/A,FALSE,"CONTROLE"}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hidden="1">{#N/A,#N/A,FALSE,"CONTROLE"}</definedName>
    <definedName name="defw" hidden="1">{#N/A,#N/A,FALSE,"CONTROLE";#N/A,#N/A,FALSE,"CONTROLE"}</definedName>
    <definedName name="departamentos" hidden="1">{#N/A,#N/A,FALSE,"CONTROLE";#N/A,#N/A,FALSE,"CONTROLE"}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hidden="1">{#N/A,#N/A,FALSE,"CONTROLE";#N/A,#N/A,FALSE,"CONTROLE"}</definedName>
    <definedName name="ee" hidden="1">{#N/A,#N/A,FALSE,"CONTROLE"}</definedName>
    <definedName name="efi" hidden="1">{#N/A,#N/A,FALSE,"CONTROLE"}</definedName>
    <definedName name="eficiencia" hidden="1">{#N/A,#N/A,FALSE,"CONTROLE"}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hidden="1">{#N/A,#N/A,FALSE,"CONTROLE"}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hidden="1">{#N/A,#N/A,FALSE,"CONTROLE";#N/A,#N/A,FALSE,"CONTROLE"}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hidden="1">{#N/A,#N/A,FALSE,"CONTROLE"}</definedName>
    <definedName name="FinanceiroSuprimento">[10]Suprimento!$F$34</definedName>
    <definedName name="fornecimento" hidden="1">{#N/A,#N/A,FALSE,"CONTROLE"}</definedName>
    <definedName name="FornecimentoE" localSheetId="8">Calc_Mercado!$C$8</definedName>
    <definedName name="FornecimentoE">Calc_Mercado!$C$8</definedName>
    <definedName name="FornecimentoE_A1" localSheetId="8">Calc_Mercado!$C$9</definedName>
    <definedName name="FornecimentoE_A1">Calc_Mercado!$C$9</definedName>
    <definedName name="FornecimentoE_BT" localSheetId="8">Calc_Mercado!$C$15</definedName>
    <definedName name="FornecimentoE_BT">Calc_Mercado!$C$15</definedName>
    <definedName name="frr" hidden="1">{#N/A,#N/A,FALSE,"CONTROLE"}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hidden="1">#REF!</definedName>
    <definedName name="gbvergtrgfv" hidden="1">{#N/A,#N/A,FALSE,"CONTROLE";#N/A,#N/A,FALSE,"CONTROLE"}</definedName>
    <definedName name="ger" hidden="1">{#N/A,#N/A,FALSE,"CONTROLE"}</definedName>
    <definedName name="gerencial" hidden="1">{#N/A,#N/A,FALSE,"CONTROLE"}</definedName>
    <definedName name="gfgsdfrytwcfrycRV" hidden="1">{#N/A,#N/A,FALSE,"CONTROLE";#N/A,#N/A,FALSE,"CONTROLE"}</definedName>
    <definedName name="gjhyd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hidden="1">{#N/A,#N/A,FALSE,"CONTROLE"}</definedName>
    <definedName name="GraphRepasse">'Tabelas e Gráficos'!$BA$267:$BI$274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[10]!TabRIAnt[#Data],[10]BD!$S$87:$T$116,[10]BD!$S$121:$T$123,[10]!TabMercado6[#Data],[10]!TabPID[#Data],[10]!Tab_CVA_Neutralidade[#Data],[10]!TabFinanCovid[#Data],[10]!TabCVA_Neutralidade_Covid[#Data]</definedName>
    <definedName name="GTIFPastaCapa">[10]CAPA!$G$8,[10]CAPA!$G$16,[10]CAPA!$G$21:$G$27</definedName>
    <definedName name="GTIFPastaCUSD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VA">CVE!$C$9:$E$17,CVE!$I$9:$I$9,CVE!$D$24:$D$32,CVE!$C$42,CVE!$C$46,CVE!$I$11:$I$14</definedName>
    <definedName name="GTIFPastaEnergia">[10]Energia!$B$49:$H$140,[10]Energia!$B$145:$L$191,[10]Energia!$C$35:$D$35,[10]Energia!$C$40,[10]Energia!$E$40</definedName>
    <definedName name="GTIFPastaEntrada">[10]Entrada!$Q$8:$BD$29,[10]Entrada!$G$27:$G$31,[10]Entrada!$G$33:$G$34,[10]Entrada!$G$37:$G$41,[10]Entrada!$G$44:$G$54,[10]Entrada!$G$58:$G$67,[10]Entrada!$L$7:$M$7,[10]Entrada!$L$9:$M$17,[10]Entrada!$Q$32,[10]Entrada!$Q$35:$AB$43,[10]Entrada!$Q$46:$AB$47,[10]Entrada!$C$6:$C$10,[10]Entrada!$G$70:$G$74,[10]Entrada!$G$76,[10]Entrada!$G$78,[10]Entrada!$G$80,[10]Entrada!$G$82,[10]Entrada!$G$83,[10]Entrada!$G$86,[10]Entrada!$G$87,[10]Entrada!$G$91:$G$110,[10]Entrada!$L$20:$M$22,[10]Entrada!$L$25:$M$37,[10]Entrada!$L$40:$M$42,[10]Entrada!$L$45:$M$45,[10]Entrada!$L$48:$M$53,[10]Entrada!$L$56:$M$59</definedName>
    <definedName name="GTIFPastaFinanceiros">[10]Financeiros!$D$128:$D$128,[10]Financeiros!$C$194:$D$335</definedName>
    <definedName name="GTIFPastaIndexador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Suprimento">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#REF!,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hidden="1">#REF!</definedName>
    <definedName name="hghjhhgj" hidden="1">{#N/A,#N/A,FALSE,"CONTROLE";#N/A,#N/A,FALSE,"CONTROLE"}</definedName>
    <definedName name="hjawt" hidden="1">{#N/A,#N/A,FALSE,"CONTROLE"}</definedName>
    <definedName name="ht" hidden="1">{#N/A,#N/A,FALSE,"CONTROLE"}</definedName>
    <definedName name="HTML_CodePage" hidden="1">1252</definedName>
    <definedName name="HTML_Control" hidden="1">{"'1998'!$B$2:$O$16"}</definedName>
    <definedName name="HTML_Control2" hidden="1">{"'DEC ou FEC'!$A$1:$O$132"}</definedName>
    <definedName name="HTML_Control3" hidden="1">{"'DEC ou FEC'!$A$1:$O$132"}</definedName>
    <definedName name="HTML_Control4" hidden="1">{"'DEC ou FEC'!$A$1:$O$132"}</definedName>
    <definedName name="HTML_Control5" hidden="1">{"'DEC ou FEC'!$A$1:$O$132"}</definedName>
    <definedName name="HTML_Control6" hidden="1">{"'DEC ou FEC'!$A$1:$O$132"}</definedName>
    <definedName name="HTML_Control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hidden="1">[2]Mercado!#REF!</definedName>
    <definedName name="idagente">CAPA!$K$11</definedName>
    <definedName name="idsreag">CAPA!$K$10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[11]Detail!#REF!</definedName>
    <definedName name="iukiikii" hidden="1">{#N/A,#N/A,FALSE,"CONTROLE"}</definedName>
    <definedName name="J" hidden="1">#REF!</definedName>
    <definedName name="jd" hidden="1">{#N/A,#N/A,FALSE,"CONTROLE"}</definedName>
    <definedName name="jhhgj" hidden="1">{#N/A,#N/A,FALSE,"CONTROLE"}</definedName>
    <definedName name="juu" hidden="1">{#N/A,#N/A,FALSE,"CONTROLE"}</definedName>
    <definedName name="jyd" hidden="1">{#N/A,#N/A,FALSE,"CONTROLE"}</definedName>
    <definedName name="kico" hidden="1">{#N/A,#N/A,FALSE,"CONTROLE";#N/A,#N/A,FALSE,"CONTROLE"}</definedName>
    <definedName name="kiko" hidden="1">{#N/A,#N/A,FALSE,"CONTROLE";#N/A,#N/A,FALSE,"CONTROLE"}</definedName>
    <definedName name="kiy" hidden="1">{#N/A,#N/A,FALSE,"CONTROLE"}</definedName>
    <definedName name="kjfhgjfj" hidden="1">{#N/A,#N/A,FALSE,"CONTROLE";#N/A,#N/A,FALSE,"CONTROLE"}</definedName>
    <definedName name="LEILA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Gráficos'!$AW$261</definedName>
    <definedName name="ListaDir">[12]CAPA!$Q$62:$Q$65</definedName>
    <definedName name="LivreE" localSheetId="8">Calc_Mercado!$C$18</definedName>
    <definedName name="LivreE">Calc_Mercado!$C$18</definedName>
    <definedName name="LivreE_A1" localSheetId="8">Calc_Mercado!$C$19</definedName>
    <definedName name="LivreE_A1">Calc_Mercado!$C$19</definedName>
    <definedName name="Livres" hidden="1">{#N/A,#N/A,FALSE,"CONTROLE"}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>[10]Financeiros!#REF!</definedName>
    <definedName name="LnkTxTAjusteCUST">Financeiros!$D$26</definedName>
    <definedName name="LnkTXTAumfin">'Tabelas e Gráficos'!$AC$5</definedName>
    <definedName name="LnkTxtAvalEfeitoEnergia">'[10]Votos e NTs'!$BP$286</definedName>
    <definedName name="LnkTxtBand">Financeiros!$E$29</definedName>
    <definedName name="LnkTXTBandeira">Financeiros!$D$29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>[10]Financeiros!#REF!</definedName>
    <definedName name="LnkTXTConexao">CAPA!$C$105</definedName>
    <definedName name="LnkTxtConselho">[10]Financeiros!$D$90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Financeiros!$D$27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>[10]CAPA!$C$10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eitoExpSubmercados">[10]Financeiros!#REF!</definedName>
    <definedName name="LnkTxTEfeitofimdesPor">[12]CAPA!$X$59</definedName>
    <definedName name="LnkTXTEfFinU">CAPA!$C$87</definedName>
    <definedName name="LnkTXTEfMeU">CAPA!$C$85</definedName>
    <definedName name="LnkTxtEletronuclear">[10]Financeiros!#REF!</definedName>
    <definedName name="LnkTXTEM">'Tabelas e Gráficos'!$AQ$204</definedName>
    <definedName name="LnkTXTEnergia">CAPA!$C$102</definedName>
    <definedName name="LnkTXTER" localSheetId="8">Energia!$C$5</definedName>
    <definedName name="LnkTXTER">Energia!$C$5</definedName>
    <definedName name="LnkTXTERFIN">'Tabelas e Gráficos'!$AW$263</definedName>
    <definedName name="LnkTXTEV" localSheetId="8">Energia!$C$6</definedName>
    <definedName name="LnkTXTEV">Energia!$C$6</definedName>
    <definedName name="LnkTXTF">Energia!$C$7</definedName>
    <definedName name="LnkTXTFatorX">CAPA!$C$100</definedName>
    <definedName name="LnkTXTfora">'Tabelas e Gráficos'!$X$10</definedName>
    <definedName name="LnkTxtGarantias">[10]Financeiros!#REF!</definedName>
    <definedName name="LnkTXTGPCU" localSheetId="8">Energia!$M$32</definedName>
    <definedName name="LnkTXTGPCU">Energia!$M$32</definedName>
    <definedName name="LnkTXTGPM" localSheetId="8">Energia!$C$18</definedName>
    <definedName name="LnkTXTGPM">Energia!$C$18</definedName>
    <definedName name="LnkTXTICMS">Calc_Mercado!$J$8</definedName>
    <definedName name="LnkTXTIGPM">'Tabelas e Gráficos'!$W$41</definedName>
    <definedName name="LnkTxtIGPMFatorX">[10]VPB1!$F$44</definedName>
    <definedName name="LnkTXTIParcelaBcomSub">Resultado!$D$39</definedName>
    <definedName name="LnkTXTIParcelaBsemSub">Resultado!$D$40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Gráficos'!$AW$225</definedName>
    <definedName name="LnkTXTIRTEC">'Tabelas e Gráficos'!$AW$219</definedName>
    <definedName name="LnkTXTIRTEco">Resultado!$C$7</definedName>
    <definedName name="LnkTXTIRTES">'Tabelas e Gráficos'!$AW$208</definedName>
    <definedName name="LnkTXTIRTFin" localSheetId="8">Resultado!$C$8</definedName>
    <definedName name="LnkTXTIRTParcelaA">'Tabelas e Gráficos'!$AW$227</definedName>
    <definedName name="LnkTXTIRTParcelaB">'Tabelas e Gráficos'!$AW$228</definedName>
    <definedName name="LnkTXTIRTTE">'Tabelas e Gráficos'!$AW$221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Gráficos'!$AX$227</definedName>
    <definedName name="LnkTXTPartParcelaB">'Tabelas e Gráficos'!$AX$228</definedName>
    <definedName name="LnkTXTPBeLimite">"CAPA!$K$24"</definedName>
    <definedName name="LnkTXTPBReq">CAPA!$K$31</definedName>
    <definedName name="LnkTXTPD">'Tabelas e Gráficos'!$Q$114</definedName>
    <definedName name="LNKTXTPercperdas">Energia!$N$14</definedName>
    <definedName name="LNKTXTPercPISCOFINS">Calc_Mercado!$J$9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>[10]Energia!$E$38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Gráficos'!$AN$169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>[10]Financeiros!#REF!</definedName>
    <definedName name="LnkTxtReversaoCDEuso">[10]Financeiros!#REF!</definedName>
    <definedName name="LnkTxtRI">[10]Resultado!$D$39</definedName>
    <definedName name="LnkTXTRSub">CAPA!$C$95</definedName>
    <definedName name="LnkTXTSaldo">Indexador!$F$16</definedName>
    <definedName name="LnkTXTSaldoA">Indexador!$F$17</definedName>
    <definedName name="LnkTXTSigla" localSheetId="8">CAPA!$C$91</definedName>
    <definedName name="LnkTXTSigla">CAPA!$C$91</definedName>
    <definedName name="LnkTxtSobrecontratacao">[10]Financeiros!#REF!</definedName>
    <definedName name="LnkTXTSubdesc">Aj.Subsídio!$N$11</definedName>
    <definedName name="LnkTxTSubvencaoCDE" localSheetId="8">Financeiros!$D$28</definedName>
    <definedName name="LnkTxTSubvencaoCDE">Financeiros!$D$28</definedName>
    <definedName name="LnkTXTSupri1">Calc_Mercado!$G$101</definedName>
    <definedName name="LnkTXTSupri2">Calc_Mercado!$G$102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Gráficos'!$BH$274</definedName>
    <definedName name="LnkTXTTransporte">CAPA!$C$103</definedName>
    <definedName name="LnkTXTUNConsu">CAPA!$C$106</definedName>
    <definedName name="LnkTxtVarCDE">Resultado!$F$18</definedName>
    <definedName name="LnkTXTVarEC">'Tabelas e Gráficos'!$AV$219</definedName>
    <definedName name="LnkTXTVarES">'Tabelas e Gráficos'!$AV$208</definedName>
    <definedName name="LnkTxtVariacaoIGPM">'[10]Votos e NTs'!#REF!</definedName>
    <definedName name="LnkTxtVariacaoIPCA">'[10]Votos e NTs'!#REF!</definedName>
    <definedName name="LnkTxtVaricaoTarifa">'[10]Votos e NTs'!#REF!</definedName>
    <definedName name="LnkTXTVarTE">'Tabelas e Gráficos'!$AV$221</definedName>
    <definedName name="LnkTxtVarTFSEE">Resultado!$F$17</definedName>
    <definedName name="M" hidden="1">#REF!</definedName>
    <definedName name="MANU" hidden="1">{#N/A,#N/A,FALSE,"ENERGIA";#N/A,#N/A,FALSE,"PERDIDAS";#N/A,#N/A,FALSE,"CLIENTES";#N/A,#N/A,FALSE,"ESTADO";#N/A,#N/A,FALSE,"TECNICA"}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8">Calc_Mercado!$C$25</definedName>
    <definedName name="Mercado_RA0_MWh">Calc_Mercado!$C$25</definedName>
    <definedName name="Mercado_RA0_Reais" localSheetId="8">Calc_Mercado!$D$25</definedName>
    <definedName name="Mercado_RA0_Reais">Calc_Mercado!$D$25</definedName>
    <definedName name="MercadoBase">'BD MERCADO'!$A$2:$FC$3999</definedName>
    <definedName name="MercadoBase1">dados_MercadoBase[#All]</definedName>
    <definedName name="mov_ac" hidden="1">[13]Mercado!#REF!</definedName>
    <definedName name="mso" hidden="1">{#N/A,#N/A,FALSE,"CONTROLE"}</definedName>
    <definedName name="N" hidden="1">#REF!</definedName>
    <definedName name="oiio" hidden="1">{#N/A,#N/A,FALSE,"CONTROLE"}</definedName>
    <definedName name="old" localSheetId="19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hidden="1">{#N/A,#N/A,FALSE,"CONTROLE"}</definedName>
    <definedName name="oy" hidden="1">{#N/A,#N/A,FALSE,"CONTROLE";#N/A,#N/A,FALSE,"CONTROLE"}</definedName>
    <definedName name="PEDRO" hidden="1">{#N/A,#N/A,FALSE,"CONTROLE"}</definedName>
    <definedName name="Piratininga" hidden="1">{#N/A,#N/A,FALSE,"CONTROLE"}</definedName>
    <definedName name="PIRATININGAV2" hidden="1">{#N/A,#N/A,FALSE,"CONTROLE"}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hidden="1">{#N/A,#N/A,FALSE,"CONTROLE";#N/A,#N/A,FALSE,"CONTROLE"}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hidden="1">{#N/A,#N/A,FALSE,"CONTROLE";#N/A,#N/A,FALSE,"CONTROLE"}</definedName>
    <definedName name="qq" hidden="1">{#N/A,#N/A,FALSE,"CONTROLE";#N/A,#N/A,FALSE,"CONTROLE"}</definedName>
    <definedName name="qqq" hidden="1">{#N/A,#N/A,FALSE,"CONTROLE"}</definedName>
    <definedName name="qqqq" hidden="1">{#N/A,#N/A,FALSE,"CONTROLE"}</definedName>
    <definedName name="qtret" hidden="1">{#N/A,#N/A,FALSE,"CONTROLE"}</definedName>
    <definedName name="qtyyuu" hidden="1">{#N/A,#N/A,FALSE,"CONTROLE"}</definedName>
    <definedName name="QuadroMercado">Calc_Mercado!$B$7:$D$25</definedName>
    <definedName name="qwe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hidden="1">{#N/A,#N/A,FALSE,"CONTROLE";#N/A,#N/A,FALSE,"CONTROLE"}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hidden="1">{#N/A,#N/A,FALSE,"CONTROLE"}</definedName>
    <definedName name="REAISPREV" hidden="1">{#N/A,#N/A,FALSE,"CONTROLE"}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hidden="1">{#N/A,#N/A,FALSE,"CONTROLE";#N/A,#N/A,FALSE,"CONTROLE"}</definedName>
    <definedName name="Renato" hidden="1">{#N/A,#N/A,FALSE,"CONTROLE"}</definedName>
    <definedName name="RESUMO3" hidden="1">{#N/A,#N/A,FALSE,"CONTROLE"}</definedName>
    <definedName name="rey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hidden="1">{#N/A,#N/A,FALSE,"CONTROLE"}</definedName>
    <definedName name="rtet" hidden="1">{#N/A,#N/A,FALSE,"CONTROLE";#N/A,#N/A,FALSE,"CONTROLE"}</definedName>
    <definedName name="rtre" hidden="1">{#N/A,#N/A,FALSE,"CONTROLE";#N/A,#N/A,FALSE,"CONTROLE"}</definedName>
    <definedName name="rtt" hidden="1">{#N/A,#N/A,FALSE,"CONTROLE"}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hidden="1">{#N/A,#N/A,FALSE,"CONTROLE";#N/A,#N/A,FALSE,"CONTROLE"}</definedName>
    <definedName name="SaldoCVA_Energia">[10]Mercado!$K$67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8">CAPA!$C$17</definedName>
    <definedName name="SAS_RA0_DataFim">CAPA!$C$17</definedName>
    <definedName name="SAS_RA0_DataInicio" localSheetId="8">CAPA!$C$16</definedName>
    <definedName name="SAS_RA0_DataInicio">CAPA!$C$16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hidden="1">{#N/A,#N/A,FALSE,"ENERGIA";#N/A,#N/A,FALSE,"PERDIDAS";#N/A,#N/A,FALSE,"CLIENTES";#N/A,#N/A,FALSE,"ESTADO";#N/A,#N/A,FALSE,"TECNICA"}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hidden="1">{#N/A,#N/A,FALSE,"CONTROLE"}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hidden="1">{#N/A,#N/A,FALSE,"ENERGIA";#N/A,#N/A,FALSE,"PERDIDAS";#N/A,#N/A,FALSE,"CLIENTES";#N/A,#N/A,FALSE,"ESTADO";#N/A,#N/A,FALSE,"TECNICA"}</definedName>
    <definedName name="SuprimentoE" localSheetId="8">Calc_Mercado!$C$17</definedName>
    <definedName name="SuprimentoE">Calc_Mercado!$C$17</definedName>
    <definedName name="TabCF">'Tabelas e Gráficos'!$AM$164:$AN$197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Gráficos'!$AP$201:$AQ$204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Gráficos'!$BZ$304:$CA$306</definedName>
    <definedName name="TabPerdas">'Tabelas e Gráficos'!$P$111:$Q$114</definedName>
    <definedName name="TabPorcDesc">'Tabelas e Gráficos'!$BT$296:$BW$303</definedName>
    <definedName name="TabRA0">'Tabelas e Gráficos'!$E$59:$G$70</definedName>
    <definedName name="TabRB">'Tabelas e Gráficos'!$BK$276:$BM$285</definedName>
    <definedName name="TabResPB">'Tabelas e Gráficos'!$AH$74:$AK$87</definedName>
    <definedName name="TabResultados">'Tabelas e Gráficos'!$AS$207:$AX$265</definedName>
    <definedName name="TabResultadosNT">'Tabelas e Gráficos'!$AS$207:$AX$262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Gráficos'!$BA$267:$BH$274</definedName>
    <definedName name="TabSubsidios">'Tabelas e Gráficos'!$BO$287:$BR$294</definedName>
    <definedName name="TabVariaçãoRI">[10]Mercado!$B$29:$C$38,[10]Mercado!$G$29:$H$38</definedName>
    <definedName name="TabVariaRI">[10]Mercado!$B$29:$C$38,[10]Mercado!$G$29:$H$38</definedName>
    <definedName name="TarB1Valor">[10]!TabB1[Valor]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[14]Mercado!#REF!</definedName>
    <definedName name="teste2" localSheetId="8" hidden="1">[14]Mercado!#REF!</definedName>
    <definedName name="teste2" hidden="1">[14]Mercado!#REF!</definedName>
    <definedName name="tg" hidden="1">{#N/A,#N/A,FALSE,"CONTROLE";#N/A,#N/A,FALSE,"CONTROLE"}</definedName>
    <definedName name="tiuliul" hidden="1">{#N/A,#N/A,FALSE,"CONTROLE"}</definedName>
    <definedName name="tr" hidden="1">{#N/A,#N/A,FALSE,"CONTROLE"}</definedName>
    <definedName name="try" hidden="1">{#N/A,#N/A,FALSE,"CONTROLE"}</definedName>
    <definedName name="trye" hidden="1">{#N/A,#N/A,FALSE,"CONTROLE"}</definedName>
    <definedName name="tttt" hidden="1">{#N/A,#N/A,FALSE,"CONTROLE"}</definedName>
    <definedName name="ttttt" hidden="1">{#N/A,#N/A,FALSE,"CONTROLE";#N/A,#N/A,FALSE,"CONTROLE"}</definedName>
    <definedName name="tttttt" hidden="1">{#N/A,#N/A,FALSE,"CONTROLE"}</definedName>
    <definedName name="tyt" hidden="1">{#N/A,#N/A,FALSE,"CONTROLE"}</definedName>
    <definedName name="tyuttry" hidden="1">{#N/A,#N/A,FALSE,"CONTROLE";#N/A,#N/A,FALSE,"CONTROLE"}</definedName>
    <definedName name="uiliul" hidden="1">{#N/A,#N/A,FALSE,"CONTROLE"}</definedName>
    <definedName name="uj" hidden="1">{#N/A,#N/A,FALSE,"CONTROLE"}</definedName>
    <definedName name="ujuju" hidden="1">{#N/A,#N/A,FALSE,"CONTROLE";#N/A,#N/A,FALSE,"CONTROLE"}</definedName>
    <definedName name="utkiukuy" hidden="1">{#N/A,#N/A,FALSE,"CONTROLE"}</definedName>
    <definedName name="uuy" hidden="1">{#N/A,#N/A,FALSE,"CONTROLE"}</definedName>
    <definedName name="uytuytu" hidden="1">{#N/A,#N/A,FALSE,"CONTROLE"}</definedName>
    <definedName name="vcxbstg" hidden="1">{#N/A,#N/A,FALSE,"CONTROLE"}</definedName>
    <definedName name="vfr" hidden="1">{#N/A,#N/A,FALSE,"CONTROLE"}</definedName>
    <definedName name="wdwd" hidden="1">{#N/A,#N/A,FALSE,"CONTROLE";#N/A,#N/A,FALSE,"CONTROLE"}</definedName>
    <definedName name="werrt" hidden="1">{#N/A,#N/A,FALSE,"CONTROLE";#N/A,#N/A,FALSE,"CONTROLE"}</definedName>
    <definedName name="WQWQRWERW" hidden="1">{#N/A,#N/A,FALSE,"CONTROLE";#N/A,#N/A,FALSE,"CONTROLE"}</definedName>
    <definedName name="wrn.APLICAÇÃO." hidden="1">{#N/A,#N/A,FALSE,"CONTROLE"}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hidden="1">{#N/A,#N/A,FALSE,"CONTROLE";#N/A,#N/A,FALSE,"CONTROLE"}</definedName>
    <definedName name="WRN.INFMES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hidden="1">{#N/A,#N/A,FALSE,"CONTROLE";#N/A,#N/A,FALSE,"CONTROLE"}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hidden="1">{#N/A,#N/A,FALSE,"CONTROLE"}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hidden="1">{#N/A,#N/A,FALSE,"CONTROLE"}</definedName>
    <definedName name="yru6" hidden="1">{#N/A,#N/A,FALSE,"CONTROLE";#N/A,#N/A,FALSE,"CONTROLE"}</definedName>
    <definedName name="ytuytuyt" hidden="1">{#N/A,#N/A,FALSE,"CONTROLE";#N/A,#N/A,FALSE,"CONTROLE"}</definedName>
    <definedName name="ytytry" hidden="1">{#N/A,#N/A,FALSE,"CONTROLE"}</definedName>
    <definedName name="yuii" hidden="1">{#N/A,#N/A,FALSE,"CONTROLE";#N/A,#N/A,FALSE,"CONTROLE"}</definedName>
    <definedName name="yyy" hidden="1">{#N/A,#N/A,FALSE,"CONTROLE"}</definedName>
    <definedName name="Z_A46625B5_2B64_4741_9BD6_64D33D3699F2_.wvu.Cols" hidden="1">'[15]22.  Despesa Uso Sistema Distr '!#REF!</definedName>
    <definedName name="zx\" hidden="1">[1]Calc!$AJ$8:$AJ$19</definedName>
    <definedName name="zxcz" hidden="1">{#N/A,#N/A,FALSE,"CONTROLE"}</definedName>
    <definedName name="zz" hidden="1">{#N/A,#N/A,FALSE,"CONTROLE"}</definedName>
    <definedName name="zzzzz" hidden="1">#REF!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10" r:id="rId49"/>
    <pivotCache cacheId="11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8" i="50" l="1"/>
  <c r="C63" i="58" l="1"/>
  <c r="J41" i="58" l="1"/>
  <c r="K53" i="58"/>
  <c r="K54" i="58"/>
  <c r="I53" i="58"/>
  <c r="J53" i="58" s="1"/>
  <c r="C6" i="139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H47" i="51"/>
  <c r="I47" i="51"/>
  <c r="D41" i="50"/>
  <c r="C153" i="49" l="1"/>
  <c r="C154" i="49"/>
  <c r="C155" i="49"/>
  <c r="AM181" i="89"/>
  <c r="AS247" i="89" s="1"/>
  <c r="AN181" i="89"/>
  <c r="AO181" i="89" s="1"/>
  <c r="AM182" i="89"/>
  <c r="AS248" i="89" s="1"/>
  <c r="AN182" i="89"/>
  <c r="AO182" i="89" s="1"/>
  <c r="AM183" i="89"/>
  <c r="AS249" i="89" s="1"/>
  <c r="AN183" i="89"/>
  <c r="AO183" i="89" s="1"/>
  <c r="AM184" i="89"/>
  <c r="AN184" i="89"/>
  <c r="AO184" i="89" s="1"/>
  <c r="AM185" i="89"/>
  <c r="AN185" i="89"/>
  <c r="AO185" i="89" s="1"/>
  <c r="AM186" i="89"/>
  <c r="AN186" i="89"/>
  <c r="AO186" i="89" s="1"/>
  <c r="E43" i="50"/>
  <c r="Q155" i="49" s="1"/>
  <c r="P155" i="49" s="1"/>
  <c r="E42" i="50"/>
  <c r="Q154" i="49" s="1"/>
  <c r="P154" i="49" s="1"/>
  <c r="E44" i="50"/>
  <c r="AU247" i="89" l="1"/>
  <c r="AU249" i="89"/>
  <c r="AU248" i="89"/>
  <c r="D38" i="50"/>
  <c r="AY214" i="89" l="1"/>
  <c r="AS253" i="89"/>
  <c r="AS254" i="89"/>
  <c r="AS255" i="89"/>
  <c r="AS256" i="89"/>
  <c r="AU256" i="89"/>
  <c r="AS257" i="89"/>
  <c r="AU257" i="89"/>
  <c r="AS258" i="89"/>
  <c r="AU258" i="89"/>
  <c r="AS259" i="89"/>
  <c r="AU259" i="89"/>
  <c r="AS260" i="89"/>
  <c r="AU260" i="89"/>
  <c r="AO190" i="89"/>
  <c r="AO191" i="89"/>
  <c r="AO192" i="89"/>
  <c r="AO193" i="89"/>
  <c r="AO194" i="89"/>
  <c r="AO195" i="89"/>
  <c r="AO196" i="89"/>
  <c r="M22" i="58"/>
  <c r="M23" i="58"/>
  <c r="N6" i="139" l="1"/>
  <c r="N7" i="139" s="1"/>
  <c r="N8" i="139" s="1"/>
  <c r="N9" i="139" s="1"/>
  <c r="N10" i="139" s="1"/>
  <c r="AO168" i="89"/>
  <c r="F132" i="49"/>
  <c r="G132" i="49"/>
  <c r="H132" i="49"/>
  <c r="I132" i="49"/>
  <c r="J132" i="49"/>
  <c r="K132" i="49"/>
  <c r="F133" i="49"/>
  <c r="G133" i="49"/>
  <c r="H133" i="49"/>
  <c r="I133" i="49"/>
  <c r="J133" i="49"/>
  <c r="K133" i="49"/>
  <c r="K99" i="49"/>
  <c r="J99" i="49"/>
  <c r="I99" i="49"/>
  <c r="H99" i="49"/>
  <c r="G99" i="49"/>
  <c r="F99" i="49"/>
  <c r="K98" i="49"/>
  <c r="J98" i="49"/>
  <c r="I98" i="49"/>
  <c r="H98" i="49"/>
  <c r="G98" i="49"/>
  <c r="F98" i="49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C8" i="139"/>
  <c r="O5" i="139" s="1"/>
  <c r="O6" i="139" s="1"/>
  <c r="O7" i="139" s="1"/>
  <c r="O8" i="139" s="1"/>
  <c r="O9" i="139" s="1"/>
  <c r="O10" i="139" s="1"/>
  <c r="O11" i="139" s="1"/>
  <c r="O12" i="139" s="1"/>
  <c r="O13" i="139" s="1"/>
  <c r="O14" i="139" s="1"/>
  <c r="O15" i="139" s="1"/>
  <c r="O16" i="139" s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L42" i="51" l="1"/>
  <c r="C20" i="50" s="1"/>
  <c r="L41" i="51"/>
  <c r="C19" i="50" s="1"/>
  <c r="C132" i="49" l="1"/>
  <c r="C98" i="49"/>
  <c r="C99" i="49"/>
  <c r="C133" i="49"/>
  <c r="Q192" i="49" l="1"/>
  <c r="Q191" i="49"/>
  <c r="F138" i="49"/>
  <c r="G138" i="49"/>
  <c r="H138" i="49"/>
  <c r="I138" i="49"/>
  <c r="J138" i="49"/>
  <c r="K138" i="49"/>
  <c r="C138" i="49"/>
  <c r="I21" i="51"/>
  <c r="AU214" i="89" s="1"/>
  <c r="I20" i="51"/>
  <c r="Q279" i="49" l="1"/>
  <c r="P279" i="49" s="1"/>
  <c r="F47" i="58" l="1"/>
  <c r="E47" i="58"/>
  <c r="F46" i="58"/>
  <c r="E46" i="58"/>
  <c r="K46" i="58" s="1"/>
  <c r="F45" i="58"/>
  <c r="E45" i="58"/>
  <c r="F44" i="58"/>
  <c r="E44" i="58"/>
  <c r="K44" i="58" s="1"/>
  <c r="F43" i="58"/>
  <c r="E43" i="58"/>
  <c r="K42" i="58"/>
  <c r="K12" i="39"/>
  <c r="M6" i="58"/>
  <c r="L6" i="58" l="1"/>
  <c r="K43" i="58"/>
  <c r="L43" i="58" s="1"/>
  <c r="K47" i="58"/>
  <c r="L47" i="58" s="1"/>
  <c r="K45" i="58"/>
  <c r="L45" i="58" s="1"/>
  <c r="L44" i="58"/>
  <c r="J48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F8" i="51" s="1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C12" i="51"/>
  <c r="C13" i="39"/>
  <c r="V38" i="89"/>
  <c r="V39" i="89"/>
  <c r="C48" i="51" l="1"/>
  <c r="C52" i="51"/>
  <c r="C56" i="51"/>
  <c r="C50" i="51"/>
  <c r="C54" i="51"/>
  <c r="C58" i="51"/>
  <c r="C49" i="51"/>
  <c r="C53" i="51"/>
  <c r="C57" i="51"/>
  <c r="C51" i="51"/>
  <c r="C55" i="51"/>
  <c r="C47" i="51"/>
  <c r="K8" i="130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65" i="89"/>
  <c r="AS251" i="89" l="1"/>
  <c r="AS252" i="89"/>
  <c r="AU250" i="89"/>
  <c r="AS250" i="89"/>
  <c r="AU251" i="89" l="1"/>
  <c r="AU252" i="89"/>
  <c r="Q199" i="49"/>
  <c r="Q197" i="49"/>
  <c r="C156" i="49"/>
  <c r="F156" i="49"/>
  <c r="G156" i="49"/>
  <c r="H156" i="49"/>
  <c r="I156" i="49"/>
  <c r="J156" i="49"/>
  <c r="K156" i="49"/>
  <c r="C157" i="49"/>
  <c r="F157" i="49"/>
  <c r="G157" i="49"/>
  <c r="H157" i="49"/>
  <c r="I157" i="49"/>
  <c r="J157" i="49"/>
  <c r="K157" i="49"/>
  <c r="C158" i="49"/>
  <c r="F158" i="49"/>
  <c r="G158" i="49"/>
  <c r="H158" i="49"/>
  <c r="I158" i="49"/>
  <c r="J158" i="49"/>
  <c r="K158" i="49"/>
  <c r="C147" i="49"/>
  <c r="F147" i="49"/>
  <c r="G147" i="49"/>
  <c r="H147" i="49"/>
  <c r="I147" i="49"/>
  <c r="J147" i="49"/>
  <c r="K147" i="49"/>
  <c r="C148" i="49"/>
  <c r="F148" i="49"/>
  <c r="G148" i="49"/>
  <c r="H148" i="49"/>
  <c r="I148" i="49"/>
  <c r="J148" i="49"/>
  <c r="K148" i="49"/>
  <c r="C149" i="49"/>
  <c r="F149" i="49"/>
  <c r="G149" i="49"/>
  <c r="H149" i="49"/>
  <c r="I149" i="49"/>
  <c r="J149" i="49"/>
  <c r="K149" i="49"/>
  <c r="C150" i="49"/>
  <c r="F150" i="49"/>
  <c r="G150" i="49"/>
  <c r="H150" i="49"/>
  <c r="I150" i="49"/>
  <c r="J150" i="49"/>
  <c r="K150" i="49"/>
  <c r="C151" i="49"/>
  <c r="F151" i="49"/>
  <c r="G151" i="49"/>
  <c r="H151" i="49"/>
  <c r="I151" i="49"/>
  <c r="J151" i="49"/>
  <c r="K151" i="49"/>
  <c r="C152" i="49"/>
  <c r="F152" i="49"/>
  <c r="G152" i="49"/>
  <c r="H152" i="49"/>
  <c r="I152" i="49"/>
  <c r="J152" i="49"/>
  <c r="K152" i="49"/>
  <c r="F144" i="49"/>
  <c r="G144" i="49"/>
  <c r="H144" i="49"/>
  <c r="I144" i="49"/>
  <c r="J144" i="49"/>
  <c r="K144" i="49"/>
  <c r="F145" i="49"/>
  <c r="G145" i="49"/>
  <c r="H145" i="49"/>
  <c r="I145" i="49"/>
  <c r="J145" i="49"/>
  <c r="K145" i="49"/>
  <c r="F146" i="49"/>
  <c r="G146" i="49"/>
  <c r="H146" i="49"/>
  <c r="I146" i="49"/>
  <c r="J146" i="49"/>
  <c r="K146" i="49"/>
  <c r="G143" i="49"/>
  <c r="H143" i="49"/>
  <c r="I143" i="49"/>
  <c r="J143" i="49"/>
  <c r="K143" i="49"/>
  <c r="F143" i="49"/>
  <c r="F140" i="49"/>
  <c r="G140" i="49"/>
  <c r="H140" i="49"/>
  <c r="I140" i="49"/>
  <c r="J140" i="49"/>
  <c r="K140" i="49"/>
  <c r="F141" i="49"/>
  <c r="G141" i="49"/>
  <c r="H141" i="49"/>
  <c r="I141" i="49"/>
  <c r="J141" i="49"/>
  <c r="K141" i="49"/>
  <c r="F142" i="49"/>
  <c r="G142" i="49"/>
  <c r="H142" i="49"/>
  <c r="I142" i="49"/>
  <c r="J142" i="49"/>
  <c r="K142" i="49"/>
  <c r="G139" i="49"/>
  <c r="H139" i="49"/>
  <c r="I139" i="49"/>
  <c r="J139" i="49"/>
  <c r="K139" i="49"/>
  <c r="F139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6" i="49"/>
  <c r="G126" i="49"/>
  <c r="H126" i="49"/>
  <c r="I126" i="49"/>
  <c r="J126" i="49"/>
  <c r="K126" i="49"/>
  <c r="F127" i="49"/>
  <c r="G127" i="49"/>
  <c r="H127" i="49"/>
  <c r="I127" i="49"/>
  <c r="J127" i="49"/>
  <c r="K127" i="49"/>
  <c r="F128" i="49"/>
  <c r="G128" i="49"/>
  <c r="H128" i="49"/>
  <c r="I128" i="49"/>
  <c r="J128" i="49"/>
  <c r="K128" i="49"/>
  <c r="F129" i="49"/>
  <c r="G129" i="49"/>
  <c r="H129" i="49"/>
  <c r="I129" i="49"/>
  <c r="J129" i="49"/>
  <c r="K129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F137" i="49"/>
  <c r="G137" i="49"/>
  <c r="H137" i="49"/>
  <c r="I137" i="49"/>
  <c r="J137" i="49"/>
  <c r="K137" i="49"/>
  <c r="G123" i="49"/>
  <c r="H123" i="49"/>
  <c r="I123" i="49"/>
  <c r="J123" i="49"/>
  <c r="K123" i="49"/>
  <c r="F123" i="49"/>
  <c r="C124" i="49"/>
  <c r="C123" i="49"/>
  <c r="Q120" i="49"/>
  <c r="Q121" i="49"/>
  <c r="Q122" i="49"/>
  <c r="Q119" i="49"/>
  <c r="C120" i="49"/>
  <c r="F120" i="49"/>
  <c r="G120" i="49"/>
  <c r="H120" i="49"/>
  <c r="I120" i="49"/>
  <c r="J120" i="49"/>
  <c r="K120" i="49"/>
  <c r="C121" i="49"/>
  <c r="F121" i="49"/>
  <c r="G121" i="49"/>
  <c r="H121" i="49"/>
  <c r="I121" i="49"/>
  <c r="J121" i="49"/>
  <c r="K121" i="49"/>
  <c r="C122" i="49"/>
  <c r="F122" i="49"/>
  <c r="G122" i="49"/>
  <c r="H122" i="49"/>
  <c r="I122" i="49"/>
  <c r="J122" i="49"/>
  <c r="K122" i="49"/>
  <c r="C119" i="49"/>
  <c r="F117" i="49"/>
  <c r="G117" i="49"/>
  <c r="H117" i="49"/>
  <c r="F118" i="49"/>
  <c r="G118" i="49"/>
  <c r="H118" i="49"/>
  <c r="F119" i="49"/>
  <c r="G119" i="49"/>
  <c r="H119" i="49"/>
  <c r="I118" i="49"/>
  <c r="J118" i="49"/>
  <c r="K118" i="49"/>
  <c r="I119" i="49"/>
  <c r="J119" i="49"/>
  <c r="K119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C61" i="64"/>
  <c r="B62" i="64"/>
  <c r="C62" i="64"/>
  <c r="B63" i="64"/>
  <c r="C63" i="64"/>
  <c r="B64" i="64"/>
  <c r="C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N180" i="89" l="1"/>
  <c r="AM180" i="89"/>
  <c r="AS240" i="89" l="1"/>
  <c r="AS242" i="89"/>
  <c r="AS245" i="89"/>
  <c r="AS246" i="89"/>
  <c r="AU246" i="89"/>
  <c r="AO180" i="89"/>
  <c r="AN176" i="89"/>
  <c r="AU242" i="89" s="1"/>
  <c r="AN179" i="89"/>
  <c r="AU245" i="89" s="1"/>
  <c r="D63" i="58" l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M26" i="58" l="1"/>
  <c r="O54" i="49"/>
  <c r="O55" i="49"/>
  <c r="O56" i="49"/>
  <c r="O57" i="49"/>
  <c r="O53" i="49"/>
  <c r="J11" i="130"/>
  <c r="P282" i="49"/>
  <c r="P281" i="49"/>
  <c r="L54" i="49"/>
  <c r="L55" i="49"/>
  <c r="L56" i="49"/>
  <c r="L57" i="49"/>
  <c r="L53" i="49"/>
  <c r="C255" i="49" l="1"/>
  <c r="F255" i="49"/>
  <c r="G255" i="49"/>
  <c r="H255" i="49"/>
  <c r="I255" i="49"/>
  <c r="J255" i="49"/>
  <c r="Q258" i="49"/>
  <c r="P258" i="49" s="1"/>
  <c r="Q273" i="49"/>
  <c r="P273" i="49" s="1"/>
  <c r="Q272" i="49"/>
  <c r="P272" i="49" s="1"/>
  <c r="Q271" i="49"/>
  <c r="P271" i="49" s="1"/>
  <c r="Q270" i="49"/>
  <c r="P270" i="49" s="1"/>
  <c r="Q269" i="49"/>
  <c r="P269" i="49" s="1"/>
  <c r="Q268" i="49"/>
  <c r="P268" i="49" s="1"/>
  <c r="Q267" i="49"/>
  <c r="P267" i="49" s="1"/>
  <c r="Q266" i="49"/>
  <c r="P266" i="49" s="1"/>
  <c r="Q265" i="49"/>
  <c r="P265" i="49" s="1"/>
  <c r="Q264" i="49"/>
  <c r="P264" i="49" s="1"/>
  <c r="Q263" i="49"/>
  <c r="P263" i="49" s="1"/>
  <c r="Q262" i="49"/>
  <c r="P262" i="49" s="1"/>
  <c r="Q261" i="49"/>
  <c r="P261" i="49" s="1"/>
  <c r="Q260" i="49"/>
  <c r="P260" i="49" s="1"/>
  <c r="Q259" i="49"/>
  <c r="P259" i="49" s="1"/>
  <c r="Q257" i="49"/>
  <c r="P257" i="49" s="1"/>
  <c r="Q256" i="49"/>
  <c r="P256" i="49" s="1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C242" i="49"/>
  <c r="F242" i="49"/>
  <c r="G242" i="49"/>
  <c r="H242" i="49"/>
  <c r="I242" i="49"/>
  <c r="J242" i="49"/>
  <c r="K242" i="49"/>
  <c r="C243" i="49"/>
  <c r="F243" i="49"/>
  <c r="G243" i="49"/>
  <c r="H243" i="49"/>
  <c r="I243" i="49"/>
  <c r="J243" i="49"/>
  <c r="K243" i="49"/>
  <c r="C244" i="49"/>
  <c r="F244" i="49"/>
  <c r="G244" i="49"/>
  <c r="H244" i="49"/>
  <c r="I244" i="49"/>
  <c r="J244" i="49"/>
  <c r="K244" i="49"/>
  <c r="C245" i="49"/>
  <c r="F245" i="49"/>
  <c r="G245" i="49"/>
  <c r="H245" i="49"/>
  <c r="I245" i="49"/>
  <c r="J245" i="49"/>
  <c r="K245" i="49"/>
  <c r="C246" i="49"/>
  <c r="F246" i="49"/>
  <c r="G246" i="49"/>
  <c r="H246" i="49"/>
  <c r="I246" i="49"/>
  <c r="J246" i="49"/>
  <c r="K246" i="49"/>
  <c r="C247" i="49"/>
  <c r="F247" i="49"/>
  <c r="G247" i="49"/>
  <c r="H247" i="49"/>
  <c r="I247" i="49"/>
  <c r="J247" i="49"/>
  <c r="K247" i="49"/>
  <c r="C248" i="49"/>
  <c r="F248" i="49"/>
  <c r="G248" i="49"/>
  <c r="H248" i="49"/>
  <c r="I248" i="49"/>
  <c r="J248" i="49"/>
  <c r="K248" i="49"/>
  <c r="C249" i="49"/>
  <c r="C250" i="49"/>
  <c r="C251" i="49"/>
  <c r="C252" i="49"/>
  <c r="C253" i="49"/>
  <c r="C254" i="49"/>
  <c r="G221" i="49"/>
  <c r="H221" i="49"/>
  <c r="I221" i="49"/>
  <c r="J221" i="49"/>
  <c r="K221" i="49"/>
  <c r="F221" i="49"/>
  <c r="C221" i="49"/>
  <c r="D64" i="50"/>
  <c r="AN188" i="89" s="1"/>
  <c r="D63" i="50"/>
  <c r="D56" i="50"/>
  <c r="D50" i="50"/>
  <c r="D48" i="50"/>
  <c r="D49" i="50"/>
  <c r="AO188" i="89" l="1"/>
  <c r="AU254" i="89"/>
  <c r="Q222" i="49"/>
  <c r="P222" i="49" s="1"/>
  <c r="C66" i="64"/>
  <c r="Q223" i="49"/>
  <c r="P223" i="49" s="1"/>
  <c r="C67" i="64"/>
  <c r="Q221" i="49"/>
  <c r="P221" i="49" s="1"/>
  <c r="C65" i="64"/>
  <c r="Q229" i="49"/>
  <c r="P229" i="49" s="1"/>
  <c r="C73" i="64"/>
  <c r="Q236" i="49"/>
  <c r="P236" i="49" s="1"/>
  <c r="C80" i="64"/>
  <c r="Q237" i="49"/>
  <c r="P237" i="49" s="1"/>
  <c r="C81" i="64"/>
  <c r="Q220" i="49"/>
  <c r="K68" i="58" l="1" a="1"/>
  <c r="K68" i="58" s="1"/>
  <c r="I64" i="58"/>
  <c r="I65" i="58" s="1"/>
  <c r="E65" i="58"/>
  <c r="D65" i="58" s="1"/>
  <c r="C65" i="58"/>
  <c r="K63" i="58" l="1"/>
  <c r="J68" i="58"/>
  <c r="C66" i="58"/>
  <c r="F64" i="58"/>
  <c r="F65" i="58"/>
  <c r="F63" i="58"/>
  <c r="C24" i="135"/>
  <c r="C32" i="135"/>
  <c r="C31" i="135"/>
  <c r="C30" i="135"/>
  <c r="C29" i="135"/>
  <c r="C28" i="135"/>
  <c r="C27" i="135"/>
  <c r="C26" i="135"/>
  <c r="C25" i="135"/>
  <c r="F66" i="58" l="1"/>
  <c r="B65" i="135"/>
  <c r="B64" i="135" s="1"/>
  <c r="I10" i="135"/>
  <c r="I3" i="135"/>
  <c r="I2" i="135"/>
  <c r="D33" i="135"/>
  <c r="W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W80" i="25" l="1"/>
  <c r="R28" i="135"/>
  <c r="B63" i="135"/>
  <c r="E33" i="135"/>
  <c r="C33" i="135"/>
  <c r="N65" i="135" a="1"/>
  <c r="V65" i="135" a="1"/>
  <c r="H65" i="135" a="1"/>
  <c r="D65" i="135" a="1"/>
  <c r="M65" i="135" a="1"/>
  <c r="I65" i="135" a="1"/>
  <c r="G65" i="135" a="1"/>
  <c r="T65" i="135" a="1"/>
  <c r="Y65" i="135" a="1"/>
  <c r="P65" i="135" a="1"/>
  <c r="AA65" i="135" a="1"/>
  <c r="W65" i="135" a="1"/>
  <c r="O65" i="135" a="1"/>
  <c r="AB65" i="135" a="1"/>
  <c r="Z65" i="135" a="1"/>
  <c r="S65" i="135" a="1"/>
  <c r="K65" i="135" a="1"/>
  <c r="L65" i="135" a="1"/>
  <c r="U65" i="135" a="1"/>
  <c r="E65" i="135" a="1"/>
  <c r="J65" i="135" a="1"/>
  <c r="X65" i="135" a="1"/>
  <c r="F65" i="135" a="1"/>
  <c r="Q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S64" i="135" a="1"/>
  <c r="M64" i="135" a="1"/>
  <c r="D64" i="135" a="1"/>
  <c r="AB64" i="135" a="1"/>
  <c r="J64" i="135" a="1"/>
  <c r="Y64" i="135" a="1"/>
  <c r="K64" i="135" a="1"/>
  <c r="I64" i="135" a="1"/>
  <c r="T64" i="135" a="1"/>
  <c r="F64" i="135" a="1"/>
  <c r="W64" i="135" a="1"/>
  <c r="L64" i="135" a="1"/>
  <c r="U64" i="135" a="1"/>
  <c r="AA64" i="135" a="1"/>
  <c r="Q64" i="135" a="1"/>
  <c r="X64" i="135" a="1"/>
  <c r="H64" i="135" a="1"/>
  <c r="G64" i="135" a="1"/>
  <c r="P64" i="135" a="1"/>
  <c r="E64" i="135" a="1"/>
  <c r="O64" i="135" a="1"/>
  <c r="Z64" i="135" a="1"/>
  <c r="V64" i="135" a="1"/>
  <c r="N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H63" i="135" a="1"/>
  <c r="F63" i="135" a="1"/>
  <c r="N63" i="135" a="1"/>
  <c r="T63" i="135" a="1"/>
  <c r="D63" i="135" a="1"/>
  <c r="J63" i="135" a="1"/>
  <c r="G63" i="135" a="1"/>
  <c r="AB63" i="135" a="1"/>
  <c r="AA63" i="135" a="1"/>
  <c r="M63" i="135" a="1"/>
  <c r="E63" i="135" a="1"/>
  <c r="U63" i="135" a="1"/>
  <c r="X63" i="135" a="1"/>
  <c r="P63" i="135" a="1"/>
  <c r="Q63" i="135" a="1"/>
  <c r="Z63" i="135" a="1"/>
  <c r="Y63" i="135" a="1"/>
  <c r="O63" i="135" a="1"/>
  <c r="L63" i="135" a="1"/>
  <c r="W63" i="135" a="1"/>
  <c r="I63" i="135" a="1"/>
  <c r="S63" i="135" a="1"/>
  <c r="V63" i="135" a="1"/>
  <c r="K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AA62" i="135" a="1"/>
  <c r="L62" i="135" a="1"/>
  <c r="Q62" i="135" a="1"/>
  <c r="F62" i="135" a="1"/>
  <c r="I62" i="135" a="1"/>
  <c r="H62" i="135" a="1"/>
  <c r="V62" i="135" a="1"/>
  <c r="E62" i="135" a="1"/>
  <c r="S62" i="135" a="1"/>
  <c r="G62" i="135" a="1"/>
  <c r="X62" i="135" a="1"/>
  <c r="D62" i="135" a="1"/>
  <c r="P62" i="135" a="1"/>
  <c r="Y62" i="135" a="1"/>
  <c r="T62" i="135" a="1"/>
  <c r="M62" i="135" a="1"/>
  <c r="AB62" i="135" a="1"/>
  <c r="U62" i="135" a="1"/>
  <c r="K62" i="135" a="1"/>
  <c r="W62" i="135" a="1"/>
  <c r="N62" i="135" a="1"/>
  <c r="Z62" i="135" a="1"/>
  <c r="J62" i="135" a="1"/>
  <c r="O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Z61" i="135" a="1"/>
  <c r="H61" i="135" a="1"/>
  <c r="K61" i="135" a="1"/>
  <c r="E61" i="135" a="1"/>
  <c r="AB61" i="135" a="1"/>
  <c r="L61" i="135" a="1"/>
  <c r="J61" i="135" a="1"/>
  <c r="Y61" i="135" a="1"/>
  <c r="G61" i="135" a="1"/>
  <c r="F61" i="135" a="1"/>
  <c r="S61" i="135" a="1"/>
  <c r="O61" i="135" a="1"/>
  <c r="W61" i="135" a="1"/>
  <c r="AA61" i="135" a="1"/>
  <c r="U61" i="135" a="1"/>
  <c r="D61" i="135" a="1"/>
  <c r="V61" i="135" a="1"/>
  <c r="M61" i="135" a="1"/>
  <c r="X61" i="135" a="1"/>
  <c r="Q61" i="135" a="1"/>
  <c r="N61" i="135" a="1"/>
  <c r="P61" i="135" a="1"/>
  <c r="I61" i="135" a="1"/>
  <c r="T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V60" i="135" a="1"/>
  <c r="AB60" i="135" a="1"/>
  <c r="S60" i="135" a="1"/>
  <c r="AA60" i="135" a="1"/>
  <c r="D60" i="135" a="1"/>
  <c r="X60" i="135" a="1"/>
  <c r="Q60" i="135" a="1"/>
  <c r="M60" i="135" a="1"/>
  <c r="O60" i="135" a="1"/>
  <c r="I60" i="135" a="1"/>
  <c r="E60" i="135" a="1"/>
  <c r="J60" i="135" a="1"/>
  <c r="Y60" i="135" a="1"/>
  <c r="K60" i="135" a="1"/>
  <c r="G60" i="135" a="1"/>
  <c r="Z60" i="135" a="1"/>
  <c r="N60" i="135" a="1"/>
  <c r="T60" i="135" a="1"/>
  <c r="F60" i="135" a="1"/>
  <c r="H60" i="135" a="1"/>
  <c r="L60" i="135" a="1"/>
  <c r="U60" i="135" a="1"/>
  <c r="P60" i="135" a="1"/>
  <c r="W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O59" i="135" a="1"/>
  <c r="P59" i="135" a="1"/>
  <c r="Z59" i="135" a="1"/>
  <c r="F59" i="135" a="1"/>
  <c r="K59" i="135" a="1"/>
  <c r="J59" i="135" a="1"/>
  <c r="U59" i="135" a="1"/>
  <c r="N59" i="135" a="1"/>
  <c r="Q59" i="135" a="1"/>
  <c r="H59" i="135" a="1"/>
  <c r="I59" i="135" a="1"/>
  <c r="AA59" i="135" a="1"/>
  <c r="M59" i="135" a="1"/>
  <c r="S59" i="135" a="1"/>
  <c r="V59" i="135" a="1"/>
  <c r="T59" i="135" a="1"/>
  <c r="E59" i="135" a="1"/>
  <c r="L59" i="135" a="1"/>
  <c r="W59" i="135" a="1"/>
  <c r="D59" i="135" a="1"/>
  <c r="Y59" i="135" a="1"/>
  <c r="X59" i="135" a="1"/>
  <c r="AB59" i="135" a="1"/>
  <c r="G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J58" i="135" a="1"/>
  <c r="L58" i="135" a="1"/>
  <c r="E58" i="135" a="1"/>
  <c r="W58" i="135" a="1"/>
  <c r="X58" i="135" a="1"/>
  <c r="U58" i="135" a="1"/>
  <c r="AB58" i="135" a="1"/>
  <c r="T58" i="135" a="1"/>
  <c r="M58" i="135" a="1"/>
  <c r="Q58" i="135" a="1"/>
  <c r="AA58" i="135" a="1"/>
  <c r="K58" i="135" a="1"/>
  <c r="O58" i="135" a="1"/>
  <c r="Y58" i="135" a="1"/>
  <c r="V58" i="135" a="1"/>
  <c r="S58" i="135" a="1"/>
  <c r="P58" i="135" a="1"/>
  <c r="G58" i="135" a="1"/>
  <c r="D58" i="135" a="1"/>
  <c r="N58" i="135" a="1"/>
  <c r="H58" i="135" a="1"/>
  <c r="Z58" i="135" a="1"/>
  <c r="I58" i="135" a="1"/>
  <c r="F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H57" i="135" a="1"/>
  <c r="I57" i="135" a="1"/>
  <c r="J57" i="135" a="1"/>
  <c r="N57" i="135" a="1"/>
  <c r="M57" i="135" a="1"/>
  <c r="Q57" i="135" a="1"/>
  <c r="AB57" i="135" a="1"/>
  <c r="Z57" i="135" a="1"/>
  <c r="D57" i="135" a="1"/>
  <c r="L57" i="135" a="1"/>
  <c r="F57" i="135" a="1"/>
  <c r="V57" i="135" a="1"/>
  <c r="K57" i="135" a="1"/>
  <c r="O57" i="135" a="1"/>
  <c r="T57" i="135" a="1"/>
  <c r="Y57" i="135" a="1"/>
  <c r="S57" i="135" a="1"/>
  <c r="G57" i="135" a="1"/>
  <c r="P57" i="135" a="1"/>
  <c r="W57" i="135" a="1"/>
  <c r="X57" i="135" a="1"/>
  <c r="U57" i="135" a="1"/>
  <c r="AA57" i="135" a="1"/>
  <c r="E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H56" i="135" a="1"/>
  <c r="M56" i="135" a="1"/>
  <c r="Z56" i="135" a="1"/>
  <c r="P56" i="135" a="1"/>
  <c r="S56" i="135" a="1"/>
  <c r="I56" i="135" a="1"/>
  <c r="D56" i="135" a="1"/>
  <c r="X56" i="135" a="1"/>
  <c r="Y56" i="135" a="1"/>
  <c r="N56" i="135" a="1"/>
  <c r="O56" i="135" a="1"/>
  <c r="AA56" i="135" a="1"/>
  <c r="J56" i="135" a="1"/>
  <c r="U56" i="135" a="1"/>
  <c r="V56" i="135" a="1"/>
  <c r="AB56" i="135" a="1"/>
  <c r="W56" i="135" a="1"/>
  <c r="Q56" i="135" a="1"/>
  <c r="G56" i="135" a="1"/>
  <c r="T56" i="135" a="1"/>
  <c r="L56" i="135" a="1"/>
  <c r="F56" i="135" a="1"/>
  <c r="E56" i="135" a="1"/>
  <c r="K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X55" i="135" a="1"/>
  <c r="O55" i="135" a="1"/>
  <c r="D55" i="135" a="1"/>
  <c r="U55" i="135" a="1"/>
  <c r="P55" i="135" a="1"/>
  <c r="E55" i="135" a="1"/>
  <c r="M55" i="135" a="1"/>
  <c r="F55" i="135" a="1"/>
  <c r="I55" i="135" a="1"/>
  <c r="L55" i="135" a="1"/>
  <c r="Z55" i="135" a="1"/>
  <c r="V55" i="135" a="1"/>
  <c r="AB55" i="135" a="1"/>
  <c r="G55" i="135" a="1"/>
  <c r="J55" i="135" a="1"/>
  <c r="T55" i="135" a="1"/>
  <c r="AA55" i="135" a="1"/>
  <c r="H55" i="135" a="1"/>
  <c r="Q55" i="135" a="1"/>
  <c r="S55" i="135" a="1"/>
  <c r="N55" i="135" a="1"/>
  <c r="Y55" i="135" a="1"/>
  <c r="K55" i="135" a="1"/>
  <c r="W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K54" i="135" a="1"/>
  <c r="W54" i="135" a="1"/>
  <c r="T54" i="135" a="1"/>
  <c r="Q54" i="135" a="1"/>
  <c r="J54" i="135" a="1"/>
  <c r="E54" i="135" a="1"/>
  <c r="H54" i="135" a="1"/>
  <c r="N54" i="135" a="1"/>
  <c r="L54" i="135" a="1"/>
  <c r="U54" i="135" a="1"/>
  <c r="D54" i="135" a="1"/>
  <c r="V54" i="135" a="1"/>
  <c r="I54" i="135" a="1"/>
  <c r="G54" i="135" a="1"/>
  <c r="AA54" i="135" a="1"/>
  <c r="S54" i="135" a="1"/>
  <c r="Z54" i="135" a="1"/>
  <c r="O54" i="135" a="1"/>
  <c r="F54" i="135" a="1"/>
  <c r="X54" i="135" a="1"/>
  <c r="M54" i="135" a="1"/>
  <c r="P54" i="135" a="1"/>
  <c r="AB54" i="135" a="1"/>
  <c r="Y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E28" i="123" l="1"/>
  <c r="A78" i="58" l="1"/>
  <c r="A79" i="58"/>
  <c r="A80" i="58"/>
  <c r="A81" i="58"/>
  <c r="A82" i="58"/>
  <c r="A83" i="58"/>
  <c r="I33" i="58" s="1"/>
  <c r="A84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U80" i="25" l="1"/>
  <c r="S80" i="25"/>
  <c r="AU213" i="89" l="1"/>
  <c r="N104" i="89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C11" i="131"/>
  <c r="B14" i="131"/>
  <c r="C15" i="131"/>
  <c r="B9" i="131"/>
  <c r="C84" i="39"/>
  <c r="D14" i="131" l="1"/>
  <c r="D10" i="131"/>
  <c r="D9" i="131"/>
  <c r="D12" i="131"/>
  <c r="D11" i="131"/>
  <c r="D13" i="131"/>
  <c r="D15" i="131"/>
  <c r="B17" i="131"/>
  <c r="D22" i="64"/>
  <c r="C17" i="131" l="1"/>
  <c r="Z138" i="89"/>
  <c r="C19" i="131" l="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G10" i="131" l="1"/>
  <c r="G11" i="13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F12" i="131"/>
  <c r="F13" i="131"/>
  <c r="F11" i="131"/>
  <c r="F15" i="131"/>
  <c r="H10" i="131" l="1"/>
  <c r="D5" i="139"/>
  <c r="D7" i="139"/>
  <c r="D6" i="139"/>
  <c r="H15" i="131"/>
  <c r="H13" i="131"/>
  <c r="H14" i="131"/>
  <c r="H9" i="131"/>
  <c r="J11" i="131"/>
  <c r="H11" i="131"/>
  <c r="H12" i="131"/>
  <c r="J15" i="131"/>
  <c r="J13" i="131"/>
  <c r="J14" i="131"/>
  <c r="J10" i="131"/>
  <c r="J12" i="131"/>
  <c r="K67" i="135"/>
  <c r="I15" i="135" s="1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8" i="139" l="1"/>
  <c r="J9" i="131"/>
  <c r="J17" i="131" s="1"/>
  <c r="D35" i="50" s="1"/>
  <c r="AN174" i="89" s="1"/>
  <c r="AU240" i="89" s="1"/>
  <c r="H17" i="131"/>
  <c r="D82" i="50"/>
  <c r="M7" i="123"/>
  <c r="Q255" i="49" l="1"/>
  <c r="P255" i="49" s="1"/>
  <c r="C99" i="64"/>
  <c r="O38" i="89"/>
  <c r="N38" i="89"/>
  <c r="M38" i="89"/>
  <c r="E18" i="58" l="1"/>
  <c r="C114" i="39" l="1"/>
  <c r="C113" i="39"/>
  <c r="H22" i="61"/>
  <c r="H23" i="61"/>
  <c r="H24" i="61"/>
  <c r="H25" i="61"/>
  <c r="H26" i="61"/>
  <c r="H27" i="61"/>
  <c r="H28" i="61"/>
  <c r="H29" i="61"/>
  <c r="H30" i="61"/>
  <c r="C70" i="58"/>
  <c r="C72" i="58" l="1"/>
  <c r="F70" i="58"/>
  <c r="M32" i="39"/>
  <c r="H68" i="58"/>
  <c r="H33" i="58"/>
  <c r="H34" i="58"/>
  <c r="E33" i="58"/>
  <c r="E34" i="58"/>
  <c r="F33" i="58"/>
  <c r="F34" i="58"/>
  <c r="V33" i="58" l="1"/>
  <c r="U31" i="58" l="1"/>
  <c r="V30" i="58"/>
  <c r="V29" i="58"/>
  <c r="R29" i="58"/>
  <c r="E19" i="82" l="1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E21" i="58" l="1"/>
  <c r="E20" i="58"/>
  <c r="B21" i="58"/>
  <c r="B20" i="58"/>
  <c r="J64" i="58"/>
  <c r="C277" i="49" l="1"/>
  <c r="C276" i="49"/>
  <c r="C275" i="49"/>
  <c r="C274" i="49"/>
  <c r="J65" i="58"/>
  <c r="F59" i="58" l="1"/>
  <c r="E59" i="58"/>
  <c r="F58" i="58"/>
  <c r="E58" i="58"/>
  <c r="F57" i="58"/>
  <c r="E57" i="58"/>
  <c r="K57" i="58" s="1"/>
  <c r="L57" i="58" s="1"/>
  <c r="F56" i="58"/>
  <c r="E56" i="58"/>
  <c r="F55" i="58"/>
  <c r="E55" i="58"/>
  <c r="K55" i="58" l="1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C82" i="39"/>
  <c r="K211" i="122" l="1"/>
  <c r="Q112" i="49" l="1"/>
  <c r="Q113" i="49"/>
  <c r="Q115" i="49"/>
  <c r="Q118" i="49"/>
  <c r="C113" i="49"/>
  <c r="C114" i="49"/>
  <c r="C115" i="49"/>
  <c r="C116" i="49"/>
  <c r="C117" i="49"/>
  <c r="C118" i="49"/>
  <c r="F111" i="49"/>
  <c r="G111" i="49"/>
  <c r="H111" i="49"/>
  <c r="I111" i="49"/>
  <c r="J111" i="49"/>
  <c r="K111" i="49"/>
  <c r="F112" i="49"/>
  <c r="G112" i="49"/>
  <c r="H112" i="49"/>
  <c r="I112" i="49"/>
  <c r="J112" i="49"/>
  <c r="K112" i="49"/>
  <c r="F113" i="49"/>
  <c r="G113" i="49"/>
  <c r="H113" i="49"/>
  <c r="I113" i="49"/>
  <c r="J113" i="49"/>
  <c r="K113" i="49"/>
  <c r="F114" i="49"/>
  <c r="G114" i="49"/>
  <c r="H114" i="49"/>
  <c r="I114" i="49"/>
  <c r="J114" i="49"/>
  <c r="K114" i="49"/>
  <c r="F115" i="49"/>
  <c r="G115" i="49"/>
  <c r="H115" i="49"/>
  <c r="I115" i="49"/>
  <c r="J115" i="49"/>
  <c r="K115" i="49"/>
  <c r="F116" i="49"/>
  <c r="G116" i="49"/>
  <c r="H116" i="49"/>
  <c r="I116" i="49"/>
  <c r="J116" i="49"/>
  <c r="K116" i="49"/>
  <c r="I117" i="49"/>
  <c r="J117" i="49"/>
  <c r="K117" i="49"/>
  <c r="G110" i="49"/>
  <c r="H110" i="49"/>
  <c r="I110" i="49"/>
  <c r="J110" i="49"/>
  <c r="K110" i="49"/>
  <c r="F110" i="49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Q20" i="49" l="1"/>
  <c r="P20" i="49" s="1"/>
  <c r="Q22" i="49"/>
  <c r="P22" i="49" s="1"/>
  <c r="Q109" i="49"/>
  <c r="P109" i="49" s="1"/>
  <c r="P113" i="49"/>
  <c r="P115" i="49"/>
  <c r="P118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2" i="49"/>
  <c r="G92" i="49"/>
  <c r="H92" i="49"/>
  <c r="I92" i="49"/>
  <c r="J92" i="49"/>
  <c r="K92" i="49"/>
  <c r="F93" i="49"/>
  <c r="G93" i="49"/>
  <c r="H93" i="49"/>
  <c r="I93" i="49"/>
  <c r="J93" i="49"/>
  <c r="K93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7" i="49"/>
  <c r="G97" i="49"/>
  <c r="H97" i="49"/>
  <c r="I97" i="49"/>
  <c r="J97" i="49"/>
  <c r="K97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F102" i="49"/>
  <c r="G102" i="49"/>
  <c r="H102" i="49"/>
  <c r="I102" i="49"/>
  <c r="J102" i="49"/>
  <c r="K102" i="49"/>
  <c r="F103" i="49"/>
  <c r="G103" i="49"/>
  <c r="H103" i="49"/>
  <c r="I103" i="49"/>
  <c r="J103" i="49"/>
  <c r="K103" i="49"/>
  <c r="F104" i="49"/>
  <c r="G104" i="49"/>
  <c r="H104" i="49"/>
  <c r="I104" i="49"/>
  <c r="J104" i="49"/>
  <c r="K104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F109" i="49"/>
  <c r="G109" i="49"/>
  <c r="H109" i="49"/>
  <c r="I109" i="49"/>
  <c r="J109" i="49"/>
  <c r="K109" i="49"/>
  <c r="J9" i="78"/>
  <c r="J8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10" i="49" l="1"/>
  <c r="C111" i="49"/>
  <c r="C143" i="49"/>
  <c r="C144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M175" i="89"/>
  <c r="AS241" i="89" s="1"/>
  <c r="AI154" i="89" l="1"/>
  <c r="AI155" i="89"/>
  <c r="AI156" i="89"/>
  <c r="AI157" i="89"/>
  <c r="AI158" i="89"/>
  <c r="AI159" i="89"/>
  <c r="AI160" i="89"/>
  <c r="H6" i="6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AI146" i="89" l="1"/>
  <c r="Q21" i="49"/>
  <c r="P21" i="49" s="1"/>
  <c r="E35" i="58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M25" i="58" l="1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M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8" i="50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04" i="89" l="1"/>
  <c r="AQ203" i="89"/>
  <c r="AQ202" i="89"/>
  <c r="BA269" i="89"/>
  <c r="BA270" i="89"/>
  <c r="BA271" i="89"/>
  <c r="BA272" i="89"/>
  <c r="BA273" i="89"/>
  <c r="BA268" i="89"/>
  <c r="Q15" i="123" l="1"/>
  <c r="Q19" i="123" l="1"/>
  <c r="Q20" i="123"/>
  <c r="Q16" i="123"/>
  <c r="Q21" i="123"/>
  <c r="Q17" i="123"/>
  <c r="D15" i="25"/>
  <c r="D17" i="25" s="1"/>
  <c r="E15" i="25"/>
  <c r="E17" i="25" s="1"/>
  <c r="A41" i="71"/>
  <c r="AN169" i="89" l="1"/>
  <c r="F6" i="123"/>
  <c r="M6" i="123" s="1"/>
  <c r="BQ289" i="89" s="1"/>
  <c r="BG269" i="89" s="1"/>
  <c r="BQ290" i="89"/>
  <c r="BG270" i="89" s="1"/>
  <c r="F8" i="123"/>
  <c r="M8" i="123" s="1"/>
  <c r="BQ291" i="89" s="1"/>
  <c r="BG271" i="89" s="1"/>
  <c r="F9" i="123"/>
  <c r="M9" i="123" s="1"/>
  <c r="BQ292" i="89" s="1"/>
  <c r="BG272" i="89" s="1"/>
  <c r="F10" i="123"/>
  <c r="M10" i="123" s="1"/>
  <c r="BQ293" i="89" s="1"/>
  <c r="BG273" i="89" s="1"/>
  <c r="F5" i="123"/>
  <c r="M5" i="123" s="1"/>
  <c r="BQ288" i="89" s="1"/>
  <c r="N4" i="123"/>
  <c r="C118" i="78"/>
  <c r="D118" i="78"/>
  <c r="BQ294" i="89" l="1"/>
  <c r="BG268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34" i="89"/>
  <c r="AM177" i="89"/>
  <c r="AS243" i="89" s="1"/>
  <c r="AO174" i="89"/>
  <c r="AO176" i="89"/>
  <c r="D115" i="78"/>
  <c r="D119" i="78"/>
  <c r="D117" i="78"/>
  <c r="C114" i="78"/>
  <c r="D114" i="78"/>
  <c r="C115" i="78"/>
  <c r="D116" i="78"/>
  <c r="C119" i="78"/>
  <c r="C116" i="78"/>
  <c r="C117" i="78"/>
  <c r="C120" i="78" l="1"/>
  <c r="D120" i="78"/>
  <c r="F18" i="51"/>
  <c r="F15" i="51"/>
  <c r="F14" i="51"/>
  <c r="BU298" i="89" l="1"/>
  <c r="BU299" i="89"/>
  <c r="BU300" i="89"/>
  <c r="BU301" i="89"/>
  <c r="BU302" i="89"/>
  <c r="BU303" i="89"/>
  <c r="BU297" i="89"/>
  <c r="BT298" i="89"/>
  <c r="BT299" i="89"/>
  <c r="BT300" i="89"/>
  <c r="BT301" i="89"/>
  <c r="BT302" i="89"/>
  <c r="BT303" i="89"/>
  <c r="BT297" i="89"/>
  <c r="C10" i="78"/>
  <c r="C9" i="78"/>
  <c r="H41" i="39" l="1"/>
  <c r="K33" i="39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2" i="89" l="1"/>
  <c r="AS238" i="89" s="1"/>
  <c r="AM173" i="89"/>
  <c r="AS239" i="89" s="1"/>
  <c r="AM178" i="89"/>
  <c r="AS244" i="89" s="1"/>
  <c r="AN178" i="89"/>
  <c r="AM171" i="89"/>
  <c r="AS237" i="89" s="1"/>
  <c r="B56" i="64"/>
  <c r="B57" i="64"/>
  <c r="C57" i="64"/>
  <c r="B58" i="64"/>
  <c r="B59" i="64"/>
  <c r="B60" i="64"/>
  <c r="C60" i="64"/>
  <c r="B53" i="64"/>
  <c r="C53" i="64"/>
  <c r="B54" i="64"/>
  <c r="C54" i="64"/>
  <c r="B51" i="64"/>
  <c r="B52" i="64"/>
  <c r="B50" i="64"/>
  <c r="AO178" i="89" l="1"/>
  <c r="AU244" i="89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G22" i="25"/>
  <c r="Q194" i="49"/>
  <c r="Q187" i="49"/>
  <c r="Q186" i="49"/>
  <c r="D53" i="123" l="1"/>
  <c r="C89" i="49"/>
  <c r="C90" i="49"/>
  <c r="C100" i="49"/>
  <c r="C101" i="49"/>
  <c r="C102" i="49"/>
  <c r="C103" i="49"/>
  <c r="C104" i="49"/>
  <c r="C106" i="49"/>
  <c r="C107" i="49"/>
  <c r="C108" i="49"/>
  <c r="C109" i="49"/>
  <c r="C112" i="49"/>
  <c r="Q96" i="49"/>
  <c r="Q102" i="49"/>
  <c r="Q103" i="49"/>
  <c r="F89" i="49"/>
  <c r="G89" i="49"/>
  <c r="H89" i="49"/>
  <c r="I89" i="49"/>
  <c r="J89" i="49"/>
  <c r="K89" i="49"/>
  <c r="G18" i="123" l="1"/>
  <c r="K18" i="123"/>
  <c r="K23" i="123" s="1"/>
  <c r="O18" i="123"/>
  <c r="O23" i="123" s="1"/>
  <c r="H18" i="123"/>
  <c r="L18" i="123"/>
  <c r="L23" i="123" s="1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AS232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4" i="50" l="1"/>
  <c r="Q93" i="49" s="1"/>
  <c r="C10" i="39"/>
  <c r="N25" i="78" l="1"/>
  <c r="J40" i="39" l="1"/>
  <c r="M15" i="58" l="1"/>
  <c r="J90" i="89" l="1"/>
  <c r="BG267" i="89" l="1"/>
  <c r="BH267" i="89"/>
  <c r="B40" i="39" l="1"/>
  <c r="M13" i="58" l="1"/>
  <c r="C22" i="94" l="1"/>
  <c r="C21" i="94"/>
  <c r="B49" i="64" l="1"/>
  <c r="B48" i="64"/>
  <c r="B47" i="64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9" i="89" l="1"/>
  <c r="AS235" i="89" s="1"/>
  <c r="M25" i="50" l="1"/>
  <c r="BY299" i="89" l="1"/>
  <c r="N14" i="78"/>
  <c r="N13" i="78"/>
  <c r="N12" i="78"/>
  <c r="N11" i="78"/>
  <c r="N10" i="78"/>
  <c r="N9" i="78"/>
  <c r="N8" i="78"/>
  <c r="S6" i="78" l="1"/>
  <c r="S8" i="78"/>
  <c r="C33" i="95" l="1"/>
  <c r="C32" i="95"/>
  <c r="BB267" i="89" l="1"/>
  <c r="BC267" i="89"/>
  <c r="BI267" i="89"/>
  <c r="P196" i="49" l="1"/>
  <c r="AH147" i="89" l="1"/>
  <c r="AH148" i="89"/>
  <c r="AH149" i="89"/>
  <c r="AH150" i="89"/>
  <c r="AH151" i="89"/>
  <c r="AH152" i="89"/>
  <c r="AH153" i="89"/>
  <c r="AH146" i="89"/>
  <c r="C92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L14" i="58" s="1"/>
  <c r="C17" i="50" l="1"/>
  <c r="C96" i="49" s="1"/>
  <c r="Q32" i="49" l="1"/>
  <c r="Q10" i="49" l="1"/>
  <c r="Q9" i="49"/>
  <c r="L39" i="89" l="1"/>
  <c r="AM170" i="89"/>
  <c r="AS236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84" i="89"/>
  <c r="BN284" i="89" s="1"/>
  <c r="BL284" i="89"/>
  <c r="BN282" i="89"/>
  <c r="BN281" i="89"/>
  <c r="BN280" i="89"/>
  <c r="BN279" i="89"/>
  <c r="AS225" i="89"/>
  <c r="AS224" i="89"/>
  <c r="AS223" i="89"/>
  <c r="AS222" i="89"/>
  <c r="AU210" i="89"/>
  <c r="AV210" i="89" s="1"/>
  <c r="AU209" i="89"/>
  <c r="AV209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18" i="89" s="1"/>
  <c r="I82" i="89"/>
  <c r="AS217" i="89" s="1"/>
  <c r="I81" i="89"/>
  <c r="AS216" i="89" s="1"/>
  <c r="I80" i="89"/>
  <c r="AS215" i="89" s="1"/>
  <c r="I78" i="89"/>
  <c r="AS212" i="89" s="1"/>
  <c r="I77" i="89"/>
  <c r="AS211" i="89" s="1"/>
  <c r="I76" i="89"/>
  <c r="AS210" i="89" s="1"/>
  <c r="I75" i="89"/>
  <c r="AS209" i="89" s="1"/>
  <c r="Q36" i="89"/>
  <c r="L14" i="89"/>
  <c r="AS233" i="89"/>
  <c r="AY230" i="89"/>
  <c r="AT210" i="89"/>
  <c r="L76" i="89"/>
  <c r="J75" i="89"/>
  <c r="AT209" i="89" s="1"/>
  <c r="L75" i="89" l="1"/>
  <c r="Q35" i="49" l="1"/>
  <c r="Q34" i="49"/>
  <c r="Q33" i="49"/>
  <c r="B2" i="25" l="1"/>
  <c r="Q208" i="49" l="1"/>
  <c r="P208" i="49" s="1"/>
  <c r="Q210" i="49"/>
  <c r="P210" i="49" s="1"/>
  <c r="Q213" i="49"/>
  <c r="P213" i="49" s="1"/>
  <c r="Q209" i="49"/>
  <c r="P209" i="49" s="1"/>
  <c r="Q212" i="49"/>
  <c r="P212" i="49" s="1"/>
  <c r="Q211" i="49"/>
  <c r="P211" i="49" s="1"/>
  <c r="C91" i="39"/>
  <c r="T39" i="89" l="1"/>
  <c r="U39" i="89"/>
  <c r="L7" i="64" s="1"/>
  <c r="M39" i="89"/>
  <c r="S39" i="89"/>
  <c r="P36" i="89"/>
  <c r="C110" i="39"/>
  <c r="I3" i="61"/>
  <c r="R39" i="89"/>
  <c r="Q201" i="49"/>
  <c r="C88" i="39"/>
  <c r="C83" i="39"/>
  <c r="C89" i="39"/>
  <c r="O39" i="89"/>
  <c r="N39" i="89"/>
  <c r="Q39" i="89"/>
  <c r="P39" i="89"/>
  <c r="Q195" i="49"/>
  <c r="D3" i="121"/>
  <c r="D2" i="121"/>
  <c r="B120" i="39"/>
  <c r="E109" i="39"/>
  <c r="C109" i="39" s="1"/>
  <c r="E108" i="39"/>
  <c r="C108" i="39"/>
  <c r="P1" i="39"/>
  <c r="C112" i="39" s="1"/>
  <c r="E92" i="39"/>
  <c r="D92" i="39"/>
  <c r="AA140" i="89"/>
  <c r="AD140" i="89" s="1"/>
  <c r="F9" i="51"/>
  <c r="BO286" i="89"/>
  <c r="BG274" i="89"/>
  <c r="W39" i="89" l="1"/>
  <c r="M42" i="89"/>
  <c r="G3" i="61"/>
  <c r="J6" i="61" s="1"/>
  <c r="K6" i="61" s="1"/>
  <c r="Q24" i="49" s="1"/>
  <c r="P24" i="49" s="1"/>
  <c r="M41" i="89"/>
  <c r="V40" i="89"/>
  <c r="U40" i="89"/>
  <c r="M40" i="89"/>
  <c r="S40" i="89"/>
  <c r="R40" i="89"/>
  <c r="T40" i="89"/>
  <c r="C18" i="39"/>
  <c r="B2" i="64"/>
  <c r="C111" i="39"/>
  <c r="Q161" i="49"/>
  <c r="J9" i="61"/>
  <c r="K9" i="61" s="1"/>
  <c r="J21" i="61"/>
  <c r="J16" i="61"/>
  <c r="AJ156" i="89" s="1"/>
  <c r="AK156" i="89" s="1"/>
  <c r="O40" i="89"/>
  <c r="N40" i="89"/>
  <c r="Q40" i="89"/>
  <c r="P40" i="89"/>
  <c r="C120" i="39"/>
  <c r="C92" i="39"/>
  <c r="G48" i="51"/>
  <c r="G47" i="51"/>
  <c r="AC140" i="89"/>
  <c r="B9" i="64"/>
  <c r="B7" i="64"/>
  <c r="P195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D15" i="78"/>
  <c r="C87" i="78"/>
  <c r="G10" i="78"/>
  <c r="C84" i="78"/>
  <c r="G12" i="78"/>
  <c r="C15" i="78"/>
  <c r="C80" i="78"/>
  <c r="G11" i="78"/>
  <c r="C13" i="78"/>
  <c r="C92" i="78"/>
  <c r="D16" i="78"/>
  <c r="C18" i="78"/>
  <c r="C93" i="78"/>
  <c r="D17" i="78"/>
  <c r="C94" i="78"/>
  <c r="D11" i="78"/>
  <c r="C79" i="78"/>
  <c r="D19" i="78"/>
  <c r="C17" i="78"/>
  <c r="C95" i="78"/>
  <c r="D14" i="78"/>
  <c r="D20" i="78"/>
  <c r="D10" i="78"/>
  <c r="D12" i="78"/>
  <c r="C81" i="78"/>
  <c r="C90" i="78"/>
  <c r="C20" i="78"/>
  <c r="D9" i="78"/>
  <c r="C12" i="78"/>
  <c r="C19" i="78"/>
  <c r="G8" i="78"/>
  <c r="C82" i="78"/>
  <c r="C88" i="78"/>
  <c r="D18" i="78"/>
  <c r="C97" i="78"/>
  <c r="G13" i="78"/>
  <c r="C83" i="78"/>
  <c r="G9" i="78"/>
  <c r="C89" i="78"/>
  <c r="D13" i="78"/>
  <c r="D21" i="78"/>
  <c r="G14" i="78"/>
  <c r="C11" i="78"/>
  <c r="C91" i="78"/>
  <c r="C16" i="78"/>
  <c r="C14" i="78"/>
  <c r="J11" i="61" l="1"/>
  <c r="Q26" i="49"/>
  <c r="J20" i="61"/>
  <c r="AJ160" i="89" s="1"/>
  <c r="AK160" i="89" s="1"/>
  <c r="J22" i="61"/>
  <c r="J24" i="61"/>
  <c r="J18" i="61"/>
  <c r="AJ158" i="89" s="1"/>
  <c r="AK158" i="89" s="1"/>
  <c r="J23" i="61"/>
  <c r="J29" i="61"/>
  <c r="J12" i="61"/>
  <c r="J13" i="61"/>
  <c r="J26" i="61"/>
  <c r="J19" i="61"/>
  <c r="AJ159" i="89" s="1"/>
  <c r="AK159" i="89" s="1"/>
  <c r="J28" i="61"/>
  <c r="J14" i="61"/>
  <c r="AJ154" i="89" s="1"/>
  <c r="AK154" i="89" s="1"/>
  <c r="J30" i="61"/>
  <c r="J10" i="61"/>
  <c r="J27" i="61"/>
  <c r="J25" i="61"/>
  <c r="J15" i="61"/>
  <c r="AJ155" i="89" s="1"/>
  <c r="AK155" i="89" s="1"/>
  <c r="J17" i="61"/>
  <c r="AJ157" i="89" s="1"/>
  <c r="AK157" i="89" s="1"/>
  <c r="J8" i="61"/>
  <c r="K8" i="61" s="1"/>
  <c r="Q25" i="49" s="1"/>
  <c r="P25" i="49" s="1"/>
  <c r="J7" i="61"/>
  <c r="K7" i="61" s="1"/>
  <c r="Q23" i="49" s="1"/>
  <c r="P23" i="49" s="1"/>
  <c r="W40" i="89"/>
  <c r="I12" i="51"/>
  <c r="I10" i="51"/>
  <c r="I11" i="51"/>
  <c r="C25" i="64"/>
  <c r="C26" i="64"/>
  <c r="C31" i="64"/>
  <c r="Q190" i="49" s="1"/>
  <c r="AS262" i="89"/>
  <c r="B56" i="89"/>
  <c r="AS229" i="89"/>
  <c r="B54" i="89"/>
  <c r="BB269" i="89"/>
  <c r="BB273" i="89"/>
  <c r="BB270" i="89"/>
  <c r="BB268" i="89"/>
  <c r="BB271" i="89"/>
  <c r="BB272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I22" i="51" s="1"/>
  <c r="C7" i="51" s="1"/>
  <c r="C3" i="61"/>
  <c r="C25" i="78"/>
  <c r="I6" i="51"/>
  <c r="BB274" i="89"/>
  <c r="X9" i="89"/>
  <c r="X10" i="89" s="1"/>
  <c r="G60" i="89"/>
  <c r="J85" i="89"/>
  <c r="L84" i="89"/>
  <c r="F60" i="89"/>
  <c r="G17" i="78"/>
  <c r="Q14" i="49" l="1"/>
  <c r="D18" i="64"/>
  <c r="N103" i="89" s="1"/>
  <c r="P220" i="49"/>
  <c r="N15" i="78"/>
  <c r="F70" i="89"/>
  <c r="G70" i="89"/>
  <c r="AT226" i="89"/>
  <c r="J97" i="89"/>
  <c r="AT220" i="89"/>
  <c r="AT219" i="89" s="1"/>
  <c r="L85" i="89"/>
  <c r="AU212" i="89" l="1"/>
  <c r="K76" i="89"/>
  <c r="K75" i="89"/>
  <c r="K85" i="89"/>
  <c r="K84" i="89" s="1"/>
  <c r="AW210" i="89"/>
  <c r="AY210" i="89" s="1"/>
  <c r="AW209" i="89"/>
  <c r="AY209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32" i="49"/>
  <c r="P33" i="49"/>
  <c r="P34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63" i="49"/>
  <c r="Q182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L220" i="82" l="1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L221" i="82" l="1"/>
  <c r="M221" i="82"/>
  <c r="M207" i="82"/>
  <c r="E200" i="82" s="1"/>
  <c r="L207" i="82"/>
  <c r="N192" i="82"/>
  <c r="D185" i="82"/>
  <c r="N206" i="82"/>
  <c r="G222" i="82"/>
  <c r="N220" i="82"/>
  <c r="BY303" i="89"/>
  <c r="BY302" i="89"/>
  <c r="BY297" i="89"/>
  <c r="BY300" i="89"/>
  <c r="BY301" i="89"/>
  <c r="BY298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C8" i="58" l="1"/>
  <c r="C131" i="85"/>
  <c r="C57" i="85"/>
  <c r="C127" i="85"/>
  <c r="C17" i="85"/>
  <c r="C132" i="85"/>
  <c r="C109" i="85"/>
  <c r="C87" i="85"/>
  <c r="C106" i="85"/>
  <c r="C165" i="85"/>
  <c r="C147" i="85"/>
  <c r="C101" i="85"/>
  <c r="C38" i="85"/>
  <c r="C100" i="85"/>
  <c r="C130" i="85"/>
  <c r="C141" i="85"/>
  <c r="C162" i="85"/>
  <c r="C123" i="85"/>
  <c r="C3" i="85"/>
  <c r="C107" i="85"/>
  <c r="C156" i="85"/>
  <c r="C163" i="85"/>
  <c r="C21" i="85"/>
  <c r="C20" i="85"/>
  <c r="C119" i="85"/>
  <c r="C95" i="85"/>
  <c r="C145" i="85"/>
  <c r="C154" i="85"/>
  <c r="C112" i="85"/>
  <c r="C96" i="85"/>
  <c r="C23" i="85"/>
  <c r="C90" i="85"/>
  <c r="C143" i="85"/>
  <c r="C164" i="85"/>
  <c r="C26" i="85"/>
  <c r="C151" i="85"/>
  <c r="C150" i="85"/>
  <c r="C153" i="85"/>
  <c r="C14" i="85"/>
  <c r="C97" i="85"/>
  <c r="C16" i="85"/>
  <c r="C133" i="85"/>
  <c r="C46" i="85"/>
  <c r="C37" i="85"/>
  <c r="C10" i="85"/>
  <c r="C121" i="85"/>
  <c r="C11" i="85"/>
  <c r="C149" i="85"/>
  <c r="C44" i="85"/>
  <c r="C4" i="85"/>
  <c r="C158" i="85"/>
  <c r="C137" i="85"/>
  <c r="C115" i="85"/>
  <c r="C113" i="85"/>
  <c r="C140" i="85"/>
  <c r="C15" i="85"/>
  <c r="C24" i="85"/>
  <c r="C146" i="85"/>
  <c r="C159" i="85"/>
  <c r="C103" i="85"/>
  <c r="C39" i="85"/>
  <c r="C148" i="85"/>
  <c r="C111" i="85"/>
  <c r="C155" i="85"/>
  <c r="C104" i="85"/>
  <c r="C144" i="85"/>
  <c r="C32" i="85"/>
  <c r="C166" i="85"/>
  <c r="C129" i="85"/>
  <c r="C142" i="85"/>
  <c r="C77" i="85"/>
  <c r="C9" i="85"/>
  <c r="C8" i="85"/>
  <c r="C45" i="85"/>
  <c r="C12" i="85"/>
  <c r="C98" i="85"/>
  <c r="C19" i="85"/>
  <c r="C73" i="85"/>
  <c r="C114" i="85"/>
  <c r="C125" i="85"/>
  <c r="C161" i="85"/>
  <c r="C5" i="85"/>
  <c r="C99" i="85"/>
  <c r="C157" i="85"/>
  <c r="C7" i="85"/>
  <c r="C60" i="85"/>
  <c r="C167" i="85"/>
  <c r="C71" i="85"/>
  <c r="C6" i="85"/>
  <c r="C138" i="85"/>
  <c r="C160" i="85"/>
  <c r="C13" i="85"/>
  <c r="C102" i="85"/>
  <c r="C25" i="85"/>
  <c r="C139" i="85"/>
  <c r="C18" i="85"/>
  <c r="C108" i="85"/>
  <c r="C117" i="85"/>
  <c r="C152" i="85"/>
  <c r="C110" i="85"/>
  <c r="C134" i="85"/>
  <c r="C105" i="85"/>
  <c r="C36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87" i="49" l="1"/>
  <c r="P186" i="49"/>
  <c r="P179" i="49"/>
  <c r="Q160" i="49"/>
  <c r="P160" i="49" s="1"/>
  <c r="C146" i="49"/>
  <c r="C145" i="49"/>
  <c r="C142" i="49"/>
  <c r="C141" i="49"/>
  <c r="C140" i="49"/>
  <c r="C139" i="49"/>
  <c r="C137" i="49"/>
  <c r="C136" i="49"/>
  <c r="C135" i="49"/>
  <c r="C134" i="49"/>
  <c r="P103" i="49"/>
  <c r="Q63" i="49"/>
  <c r="P63" i="49" s="1"/>
  <c r="P36" i="49"/>
  <c r="P1733" i="49"/>
  <c r="P1732" i="49"/>
  <c r="P1731" i="49"/>
  <c r="P1730" i="49"/>
  <c r="P1729" i="49"/>
  <c r="P1728" i="49"/>
  <c r="P1727" i="49"/>
  <c r="P1726" i="49"/>
  <c r="P1725" i="49"/>
  <c r="P1724" i="49"/>
  <c r="P1723" i="49"/>
  <c r="P1722" i="49"/>
  <c r="P1721" i="49"/>
  <c r="P1720" i="49"/>
  <c r="P1719" i="49"/>
  <c r="P1718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199" i="49"/>
  <c r="P194" i="49"/>
  <c r="P181" i="49"/>
  <c r="P180" i="49"/>
  <c r="P162" i="49"/>
  <c r="P161" i="49"/>
  <c r="P10" i="49"/>
  <c r="P9" i="49"/>
  <c r="M49" i="25" l="1"/>
  <c r="B48" i="25"/>
  <c r="C22" i="25"/>
  <c r="G14" i="25"/>
  <c r="H14" i="25" s="1"/>
  <c r="I14" i="25" s="1"/>
  <c r="J14" i="25" s="1"/>
  <c r="G13" i="25"/>
  <c r="O24" i="50"/>
  <c r="M24" i="50" s="1"/>
  <c r="C97" i="49"/>
  <c r="O17" i="50"/>
  <c r="M17" i="50" s="1"/>
  <c r="C16" i="50"/>
  <c r="C95" i="49" s="1"/>
  <c r="C15" i="50"/>
  <c r="C94" i="49" s="1"/>
  <c r="C14" i="50"/>
  <c r="C93" i="49" s="1"/>
  <c r="C12" i="50"/>
  <c r="C91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82" i="85"/>
  <c r="C136" i="85"/>
  <c r="C88" i="85"/>
  <c r="C22" i="85"/>
  <c r="C31" i="85"/>
  <c r="C135" i="85"/>
  <c r="C70" i="85"/>
  <c r="I31" i="58" l="1"/>
  <c r="F31" i="58" s="1"/>
  <c r="I30" i="58"/>
  <c r="F30" i="58" s="1"/>
  <c r="I32" i="58"/>
  <c r="F32" i="58" s="1"/>
  <c r="I29" i="58"/>
  <c r="F29" i="58" s="1"/>
  <c r="I28" i="58"/>
  <c r="F28" i="58" s="1"/>
  <c r="H28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306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4" i="89"/>
  <c r="AU218" i="89"/>
  <c r="AV218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34" i="49"/>
  <c r="P1734" i="49" s="1"/>
  <c r="Q1735" i="49"/>
  <c r="P1735" i="49" s="1"/>
  <c r="B79" i="25"/>
  <c r="V79" i="25" s="1"/>
  <c r="B58" i="51"/>
  <c r="B73" i="51" s="1"/>
  <c r="Q47" i="49"/>
  <c r="P47" i="49" s="1"/>
  <c r="Q12" i="49"/>
  <c r="P12" i="49" s="1"/>
  <c r="F16" i="64"/>
  <c r="Q19" i="49"/>
  <c r="P19" i="49" s="1"/>
  <c r="Q159" i="49"/>
  <c r="P159" i="49" s="1"/>
  <c r="Q178" i="49"/>
  <c r="P178" i="49" s="1"/>
  <c r="C129" i="49"/>
  <c r="C130" i="49"/>
  <c r="C126" i="49"/>
  <c r="C127" i="49"/>
  <c r="C128" i="49"/>
  <c r="Q15" i="49"/>
  <c r="Q11" i="49"/>
  <c r="P11" i="49" s="1"/>
  <c r="C125" i="49"/>
  <c r="C131" i="49"/>
  <c r="K14" i="39"/>
  <c r="K16" i="39" s="1"/>
  <c r="K15" i="39"/>
  <c r="B47" i="25"/>
  <c r="F47" i="25" s="1"/>
  <c r="F15" i="64"/>
  <c r="G11" i="87"/>
  <c r="G15" i="25"/>
  <c r="G17" i="25" s="1"/>
  <c r="H13" i="25"/>
  <c r="U74" i="78"/>
  <c r="C72" i="85"/>
  <c r="S74" i="78"/>
  <c r="R74" i="78"/>
  <c r="P74" i="78"/>
  <c r="Q74" i="78"/>
  <c r="F74" i="78"/>
  <c r="K74" i="78"/>
  <c r="C30" i="85"/>
  <c r="D74" i="78"/>
  <c r="E74" i="78"/>
  <c r="L74" i="78"/>
  <c r="H74" i="78"/>
  <c r="N74" i="78"/>
  <c r="G74" i="78"/>
  <c r="M74" i="78"/>
  <c r="T74" i="78"/>
  <c r="I74" i="78"/>
  <c r="O74" i="78"/>
  <c r="J74" i="78"/>
  <c r="L53" i="58" l="1"/>
  <c r="K41" i="58"/>
  <c r="L41" i="58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6" i="49"/>
  <c r="H31" i="58"/>
  <c r="Q57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L54" i="58" s="1"/>
  <c r="E2" i="121"/>
  <c r="F2" i="121" s="1"/>
  <c r="C77" i="39"/>
  <c r="C48" i="25" s="1"/>
  <c r="D48" i="25" s="1"/>
  <c r="E77" i="39"/>
  <c r="G48" i="25" s="1"/>
  <c r="H48" i="25" s="1"/>
  <c r="B42" i="51"/>
  <c r="F55" i="71"/>
  <c r="L3" i="130"/>
  <c r="L5" i="130" s="1"/>
  <c r="M3" i="130"/>
  <c r="M5" i="130" s="1"/>
  <c r="BV297" i="89"/>
  <c r="H42" i="39"/>
  <c r="Q84" i="49"/>
  <c r="P84" i="49" s="1"/>
  <c r="F3" i="121"/>
  <c r="BW300" i="89"/>
  <c r="BV300" i="89"/>
  <c r="BV298" i="89"/>
  <c r="BV303" i="89"/>
  <c r="BW301" i="89"/>
  <c r="BV301" i="89"/>
  <c r="BV299" i="89"/>
  <c r="BV302" i="89"/>
  <c r="P15" i="49"/>
  <c r="C28" i="95"/>
  <c r="L73" i="51"/>
  <c r="K79" i="25" s="1"/>
  <c r="Q5" i="49"/>
  <c r="P5" i="49" s="1"/>
  <c r="L40" i="89"/>
  <c r="B76" i="39"/>
  <c r="G76" i="39" s="1"/>
  <c r="F73" i="51"/>
  <c r="F42" i="51" s="1"/>
  <c r="E73" i="51"/>
  <c r="E42" i="51" s="1"/>
  <c r="G73" i="51"/>
  <c r="G42" i="51" s="1"/>
  <c r="D73" i="51"/>
  <c r="B78" i="25"/>
  <c r="X78" i="25" s="1"/>
  <c r="B57" i="51"/>
  <c r="B72" i="51" s="1"/>
  <c r="Q4" i="49"/>
  <c r="P4" i="49" s="1"/>
  <c r="Q2" i="49"/>
  <c r="P2" i="49" s="1"/>
  <c r="C33" i="64"/>
  <c r="Q78" i="49"/>
  <c r="P78" i="49" s="1"/>
  <c r="Q72" i="49"/>
  <c r="P72" i="49" s="1"/>
  <c r="Q68" i="49"/>
  <c r="P68" i="49" s="1"/>
  <c r="Q62" i="49"/>
  <c r="P62" i="49" s="1"/>
  <c r="M7" i="58"/>
  <c r="Q61" i="49"/>
  <c r="P61" i="49" s="1"/>
  <c r="Q80" i="49"/>
  <c r="P80" i="49" s="1"/>
  <c r="Q79" i="49"/>
  <c r="P79" i="49" s="1"/>
  <c r="Q66" i="49"/>
  <c r="P66" i="49" s="1"/>
  <c r="Q64" i="49"/>
  <c r="P64" i="49" s="1"/>
  <c r="Q76" i="49"/>
  <c r="P76" i="49" s="1"/>
  <c r="Q73" i="49"/>
  <c r="P73" i="49" s="1"/>
  <c r="Q82" i="49"/>
  <c r="P82" i="49" s="1"/>
  <c r="Q75" i="49"/>
  <c r="P75" i="49" s="1"/>
  <c r="Q69" i="49"/>
  <c r="P69" i="49" s="1"/>
  <c r="Q67" i="49"/>
  <c r="P67" i="49" s="1"/>
  <c r="Q65" i="49"/>
  <c r="P65" i="49" s="1"/>
  <c r="Q59" i="49"/>
  <c r="P59" i="49" s="1"/>
  <c r="Q77" i="49"/>
  <c r="P77" i="49" s="1"/>
  <c r="Q60" i="49"/>
  <c r="P60" i="49" s="1"/>
  <c r="M8" i="58"/>
  <c r="L8" i="58" s="1"/>
  <c r="Q74" i="49"/>
  <c r="P74" i="49" s="1"/>
  <c r="Q70" i="49"/>
  <c r="P70" i="49" s="1"/>
  <c r="M9" i="58"/>
  <c r="K17" i="39"/>
  <c r="E16" i="87"/>
  <c r="E21" i="87" s="1"/>
  <c r="D31" i="64" s="1"/>
  <c r="C21" i="87"/>
  <c r="I13" i="25"/>
  <c r="H15" i="25"/>
  <c r="H17" i="25" s="1"/>
  <c r="B46" i="25"/>
  <c r="H73" i="78"/>
  <c r="O73" i="78"/>
  <c r="R73" i="78"/>
  <c r="E73" i="78"/>
  <c r="N73" i="78"/>
  <c r="P73" i="78"/>
  <c r="I73" i="78"/>
  <c r="G73" i="78"/>
  <c r="J73" i="78"/>
  <c r="L73" i="78"/>
  <c r="U73" i="78"/>
  <c r="M73" i="78"/>
  <c r="F73" i="78"/>
  <c r="Q73" i="78"/>
  <c r="T73" i="78"/>
  <c r="D73" i="78"/>
  <c r="S73" i="78"/>
  <c r="K73" i="78"/>
  <c r="M24" i="58" l="1"/>
  <c r="L7" i="58"/>
  <c r="M16" i="58"/>
  <c r="L9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O47" i="25"/>
  <c r="P47" i="25" s="1"/>
  <c r="B41" i="51"/>
  <c r="V78" i="25"/>
  <c r="T78" i="25"/>
  <c r="H30" i="58"/>
  <c r="Q55" i="49"/>
  <c r="BW299" i="89"/>
  <c r="BW298" i="89"/>
  <c r="S31" i="58"/>
  <c r="T31" i="58" s="1"/>
  <c r="V31" i="58" s="1"/>
  <c r="T30" i="58"/>
  <c r="U30" i="58" s="1"/>
  <c r="W30" i="58" s="1"/>
  <c r="L7" i="51"/>
  <c r="C76" i="39"/>
  <c r="C47" i="25" s="1"/>
  <c r="D47" i="25" s="1"/>
  <c r="E76" i="39"/>
  <c r="G47" i="25" s="1"/>
  <c r="H47" i="25" s="1"/>
  <c r="D76" i="39"/>
  <c r="C79" i="25"/>
  <c r="F54" i="71"/>
  <c r="BW297" i="89"/>
  <c r="F46" i="25"/>
  <c r="Q85" i="49"/>
  <c r="P85" i="49" s="1"/>
  <c r="CA305" i="89"/>
  <c r="CA304" i="89" s="1"/>
  <c r="P57" i="49"/>
  <c r="X133" i="89"/>
  <c r="BW302" i="89"/>
  <c r="BW303" i="89"/>
  <c r="Q193" i="49"/>
  <c r="AE15" i="89"/>
  <c r="Q173" i="49"/>
  <c r="P173" i="49" s="1"/>
  <c r="L72" i="51"/>
  <c r="K78" i="25" s="1"/>
  <c r="AC6" i="89"/>
  <c r="BM283" i="89"/>
  <c r="BN283" i="89" s="1"/>
  <c r="AU224" i="89"/>
  <c r="Q31" i="49"/>
  <c r="P31" i="49" s="1"/>
  <c r="B75" i="39"/>
  <c r="E72" i="51"/>
  <c r="E41" i="51" s="1"/>
  <c r="D72" i="51"/>
  <c r="F72" i="51"/>
  <c r="F41" i="51" s="1"/>
  <c r="G72" i="51"/>
  <c r="G41" i="51" s="1"/>
  <c r="B77" i="25"/>
  <c r="X77" i="25" s="1"/>
  <c r="B56" i="51"/>
  <c r="B71" i="51" s="1"/>
  <c r="J73" i="51"/>
  <c r="M5" i="58"/>
  <c r="L5" i="58" s="1"/>
  <c r="L17" i="58" s="1"/>
  <c r="Q83" i="49"/>
  <c r="P83" i="49" s="1"/>
  <c r="Q81" i="49"/>
  <c r="P81" i="49" s="1"/>
  <c r="Q3" i="49"/>
  <c r="P3" i="49" s="1"/>
  <c r="M11" i="25"/>
  <c r="Q58" i="49"/>
  <c r="P58" i="49" s="1"/>
  <c r="M10" i="25"/>
  <c r="J13" i="25"/>
  <c r="J15" i="25" s="1"/>
  <c r="J17" i="25" s="1"/>
  <c r="I15" i="25"/>
  <c r="I17" i="25" s="1"/>
  <c r="B45" i="25"/>
  <c r="P35" i="49"/>
  <c r="T72" i="78"/>
  <c r="F72" i="78"/>
  <c r="P72" i="78"/>
  <c r="N72" i="78"/>
  <c r="M72" i="78"/>
  <c r="E72" i="78"/>
  <c r="J72" i="78"/>
  <c r="Q72" i="78"/>
  <c r="S72" i="78"/>
  <c r="G72" i="78"/>
  <c r="K72" i="78"/>
  <c r="L72" i="78"/>
  <c r="D72" i="78"/>
  <c r="R72" i="78"/>
  <c r="U72" i="78"/>
  <c r="I72" i="78"/>
  <c r="H72" i="78"/>
  <c r="O72" i="78"/>
  <c r="H71" i="51" l="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C7" i="58"/>
  <c r="N25" i="58"/>
  <c r="D79" i="25"/>
  <c r="E75" i="39"/>
  <c r="G46" i="25" s="1"/>
  <c r="H46" i="25" s="1"/>
  <c r="D75" i="39"/>
  <c r="Q46" i="25" s="1"/>
  <c r="R46" i="25" s="1"/>
  <c r="C75" i="39"/>
  <c r="C46" i="25" s="1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22" i="89"/>
  <c r="BM277" i="89"/>
  <c r="BN277" i="89" s="1"/>
  <c r="B74" i="39"/>
  <c r="I17" i="78"/>
  <c r="Q29" i="49"/>
  <c r="P29" i="49" s="1"/>
  <c r="G71" i="51"/>
  <c r="G40" i="51" s="1"/>
  <c r="F71" i="51"/>
  <c r="F40" i="51" s="1"/>
  <c r="E71" i="51"/>
  <c r="E40" i="51" s="1"/>
  <c r="D71" i="51"/>
  <c r="B76" i="25"/>
  <c r="X76" i="25" s="1"/>
  <c r="B55" i="51"/>
  <c r="B70" i="51" s="1"/>
  <c r="J72" i="51"/>
  <c r="F417" i="7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63" i="49"/>
  <c r="Q71" i="49"/>
  <c r="P71" i="49" s="1"/>
  <c r="C105" i="39"/>
  <c r="B44" i="25"/>
  <c r="J71" i="78"/>
  <c r="K71" i="78"/>
  <c r="H71" i="78"/>
  <c r="O71" i="78"/>
  <c r="D71" i="78"/>
  <c r="L71" i="78"/>
  <c r="Q71" i="78"/>
  <c r="C55" i="85"/>
  <c r="P71" i="78"/>
  <c r="R71" i="78"/>
  <c r="U71" i="78"/>
  <c r="M71" i="78"/>
  <c r="S71" i="78"/>
  <c r="N71" i="78"/>
  <c r="I71" i="78"/>
  <c r="T71" i="78"/>
  <c r="G71" i="78"/>
  <c r="F71" i="78"/>
  <c r="E71" i="78"/>
  <c r="H70" i="51" l="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0" i="89"/>
  <c r="U120" i="89" s="1"/>
  <c r="B39" i="51"/>
  <c r="T76" i="25"/>
  <c r="V76" i="25"/>
  <c r="G79" i="25"/>
  <c r="D78" i="25"/>
  <c r="D74" i="39"/>
  <c r="Q45" i="25" s="1"/>
  <c r="R45" i="25" s="1"/>
  <c r="C74" i="39"/>
  <c r="C45" i="25" s="1"/>
  <c r="D45" i="25" s="1"/>
  <c r="E74" i="39"/>
  <c r="G45" i="25" s="1"/>
  <c r="H45" i="25" s="1"/>
  <c r="I79" i="25"/>
  <c r="J79" i="25" s="1"/>
  <c r="C77" i="25"/>
  <c r="F52" i="71"/>
  <c r="F44" i="25"/>
  <c r="H74" i="39"/>
  <c r="C10" i="51"/>
  <c r="Q52" i="49"/>
  <c r="P52" i="49" s="1"/>
  <c r="L70" i="51"/>
  <c r="K76" i="25" s="1"/>
  <c r="C6" i="58"/>
  <c r="L35" i="58" s="1"/>
  <c r="Q280" i="49" s="1"/>
  <c r="P280" i="49" s="1"/>
  <c r="O103" i="89"/>
  <c r="N47" i="25"/>
  <c r="B73" i="39"/>
  <c r="N46" i="25"/>
  <c r="N45" i="25"/>
  <c r="N48" i="25"/>
  <c r="D70" i="5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F15" i="25"/>
  <c r="F17" i="25" s="1"/>
  <c r="P182" i="49"/>
  <c r="P14" i="49"/>
  <c r="Q174" i="49"/>
  <c r="P174" i="49" s="1"/>
  <c r="C6" i="64"/>
  <c r="B43" i="25"/>
  <c r="N44" i="25"/>
  <c r="Q70" i="78"/>
  <c r="D70" i="78"/>
  <c r="P70" i="78"/>
  <c r="O70" i="78"/>
  <c r="H70" i="78"/>
  <c r="F70" i="78"/>
  <c r="L70" i="78"/>
  <c r="M70" i="78"/>
  <c r="K70" i="78"/>
  <c r="E70" i="78"/>
  <c r="U70" i="78"/>
  <c r="T70" i="78"/>
  <c r="S70" i="78"/>
  <c r="J70" i="78"/>
  <c r="R70" i="78"/>
  <c r="N70" i="78"/>
  <c r="G70" i="78"/>
  <c r="I70" i="78"/>
  <c r="H69" i="51" l="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19" i="89"/>
  <c r="G73" i="39"/>
  <c r="O44" i="25" s="1"/>
  <c r="P44" i="25" s="1"/>
  <c r="N24" i="58"/>
  <c r="B38" i="51"/>
  <c r="T75" i="25"/>
  <c r="V75" i="25"/>
  <c r="D4" i="50"/>
  <c r="AY264" i="89"/>
  <c r="H79" i="25"/>
  <c r="M79" i="25"/>
  <c r="N79" i="25" s="1"/>
  <c r="G78" i="25"/>
  <c r="AB139" i="89"/>
  <c r="D73" i="39"/>
  <c r="Q44" i="25" s="1"/>
  <c r="R44" i="25" s="1"/>
  <c r="C73" i="39"/>
  <c r="C44" i="25" s="1"/>
  <c r="D44" i="25" s="1"/>
  <c r="E73" i="39"/>
  <c r="G44" i="25" s="1"/>
  <c r="H44" i="25" s="1"/>
  <c r="I78" i="25"/>
  <c r="J78" i="25" s="1"/>
  <c r="L77" i="25"/>
  <c r="D77" i="25"/>
  <c r="C76" i="25"/>
  <c r="F51" i="71"/>
  <c r="F43" i="25"/>
  <c r="H73" i="39"/>
  <c r="D21" i="64"/>
  <c r="AD6" i="89"/>
  <c r="F19" i="25"/>
  <c r="E30" i="64"/>
  <c r="E27" i="64"/>
  <c r="E28" i="64"/>
  <c r="E29" i="64"/>
  <c r="L69" i="51"/>
  <c r="K75" i="25" s="1"/>
  <c r="L76" i="25"/>
  <c r="C53" i="89"/>
  <c r="Q86" i="49"/>
  <c r="P86" i="49" s="1"/>
  <c r="B72" i="39"/>
  <c r="G69" i="51"/>
  <c r="G38" i="51" s="1"/>
  <c r="F69" i="51"/>
  <c r="F38" i="51" s="1"/>
  <c r="D69" i="51"/>
  <c r="E69" i="51"/>
  <c r="E38" i="51" s="1"/>
  <c r="J70" i="51"/>
  <c r="B74" i="25"/>
  <c r="X74" i="25" s="1"/>
  <c r="B53" i="51"/>
  <c r="B68" i="51" s="1"/>
  <c r="E16" i="64"/>
  <c r="E15" i="64"/>
  <c r="B42" i="25"/>
  <c r="N43" i="25"/>
  <c r="D69" i="78"/>
  <c r="I69" i="78"/>
  <c r="R69" i="78"/>
  <c r="M69" i="78"/>
  <c r="N69" i="78"/>
  <c r="P69" i="78"/>
  <c r="S69" i="78"/>
  <c r="J69" i="78"/>
  <c r="G69" i="78"/>
  <c r="Q69" i="78"/>
  <c r="T69" i="78"/>
  <c r="O69" i="78"/>
  <c r="H69" i="78"/>
  <c r="F69" i="78"/>
  <c r="L69" i="78"/>
  <c r="K69" i="78"/>
  <c r="E69" i="78"/>
  <c r="U69" i="78"/>
  <c r="H68" i="51" l="1"/>
  <c r="H37" i="51" s="1"/>
  <c r="O74" i="25" s="1"/>
  <c r="P74" i="25" s="1"/>
  <c r="AW248" i="89"/>
  <c r="AY248" i="89" s="1"/>
  <c r="AW249" i="89"/>
  <c r="AY249" i="89" s="1"/>
  <c r="AW247" i="89"/>
  <c r="AY247" i="89" s="1"/>
  <c r="AW254" i="89"/>
  <c r="AY254" i="89" s="1"/>
  <c r="AW260" i="89"/>
  <c r="AY260" i="89" s="1"/>
  <c r="AW256" i="89"/>
  <c r="AY256" i="89" s="1"/>
  <c r="AW257" i="89"/>
  <c r="AY257" i="89" s="1"/>
  <c r="AW258" i="89"/>
  <c r="AY258" i="89" s="1"/>
  <c r="AW259" i="89"/>
  <c r="AY259" i="89" s="1"/>
  <c r="I68" i="51"/>
  <c r="I37" i="51" s="1"/>
  <c r="Q74" i="25" s="1"/>
  <c r="R74" i="25" s="1"/>
  <c r="C68" i="51"/>
  <c r="C37" i="51" s="1"/>
  <c r="AW252" i="89"/>
  <c r="AY252" i="89" s="1"/>
  <c r="AW251" i="89"/>
  <c r="AY251" i="89" s="1"/>
  <c r="AW250" i="89"/>
  <c r="D99" i="64"/>
  <c r="E99" i="64" s="1"/>
  <c r="E41" i="50"/>
  <c r="D80" i="64"/>
  <c r="E80" i="64" s="1"/>
  <c r="D64" i="64"/>
  <c r="E64" i="64" s="1"/>
  <c r="D73" i="64"/>
  <c r="E73" i="64" s="1"/>
  <c r="D62" i="64"/>
  <c r="E62" i="64" s="1"/>
  <c r="D67" i="64"/>
  <c r="E67" i="64" s="1"/>
  <c r="D81" i="64"/>
  <c r="E81" i="64" s="1"/>
  <c r="D65" i="64"/>
  <c r="E65" i="64" s="1"/>
  <c r="D63" i="64"/>
  <c r="E63" i="64" s="1"/>
  <c r="D66" i="64"/>
  <c r="E66" i="64" s="1"/>
  <c r="D61" i="64"/>
  <c r="E61" i="64" s="1"/>
  <c r="P12" i="78"/>
  <c r="AW240" i="89"/>
  <c r="AW244" i="89"/>
  <c r="AW245" i="89"/>
  <c r="AW242" i="89"/>
  <c r="AW246" i="89"/>
  <c r="E40" i="50"/>
  <c r="Q152" i="49" s="1"/>
  <c r="P152" i="49" s="1"/>
  <c r="E47" i="50"/>
  <c r="E45" i="50"/>
  <c r="Q157" i="49" s="1"/>
  <c r="P157" i="49" s="1"/>
  <c r="E39" i="50"/>
  <c r="Q151" i="49" s="1"/>
  <c r="P151" i="49" s="1"/>
  <c r="E37" i="50"/>
  <c r="Q149" i="49" s="1"/>
  <c r="P149" i="49" s="1"/>
  <c r="E48" i="50"/>
  <c r="E49" i="50"/>
  <c r="E46" i="50"/>
  <c r="Q158" i="49" s="1"/>
  <c r="P158" i="49" s="1"/>
  <c r="E38" i="50"/>
  <c r="Q150" i="49" s="1"/>
  <c r="P150" i="49" s="1"/>
  <c r="G72" i="39"/>
  <c r="O43" i="25" s="1"/>
  <c r="P43" i="25" s="1"/>
  <c r="E56" i="50"/>
  <c r="E64" i="50"/>
  <c r="E50" i="50"/>
  <c r="E63" i="50"/>
  <c r="E35" i="50"/>
  <c r="Q147" i="49" s="1"/>
  <c r="P147" i="49" s="1"/>
  <c r="B37" i="51"/>
  <c r="V74" i="25"/>
  <c r="T74" i="25"/>
  <c r="D53" i="64"/>
  <c r="E53" i="64" s="1"/>
  <c r="D54" i="64"/>
  <c r="E54" i="64" s="1"/>
  <c r="D60" i="64"/>
  <c r="E60" i="64" s="1"/>
  <c r="E30" i="50"/>
  <c r="Q142" i="49" s="1"/>
  <c r="E34" i="50"/>
  <c r="D57" i="64"/>
  <c r="E57" i="64" s="1"/>
  <c r="D76" i="25"/>
  <c r="H78" i="25"/>
  <c r="I77" i="25"/>
  <c r="J77" i="25" s="1"/>
  <c r="M78" i="25"/>
  <c r="N78" i="25" s="1"/>
  <c r="G77" i="25"/>
  <c r="D72" i="39"/>
  <c r="Q43" i="25" s="1"/>
  <c r="R43" i="25" s="1"/>
  <c r="C72" i="39"/>
  <c r="C43" i="25" s="1"/>
  <c r="D43" i="25" s="1"/>
  <c r="E72" i="39"/>
  <c r="G43" i="25" s="1"/>
  <c r="H43" i="25" s="1"/>
  <c r="C75" i="25"/>
  <c r="F50" i="71"/>
  <c r="F42" i="25"/>
  <c r="AU235" i="89"/>
  <c r="AW235" i="89" s="1"/>
  <c r="AO169" i="89"/>
  <c r="H72" i="39"/>
  <c r="AE6" i="89"/>
  <c r="AE5" i="89" s="1"/>
  <c r="K48" i="25"/>
  <c r="L48" i="25" s="1"/>
  <c r="E55" i="71" s="1"/>
  <c r="N106" i="89"/>
  <c r="O106" i="89" s="1"/>
  <c r="Q17" i="49"/>
  <c r="P17" i="49" s="1"/>
  <c r="AU216" i="89"/>
  <c r="L68" i="51"/>
  <c r="K74" i="25" s="1"/>
  <c r="F20" i="25"/>
  <c r="B71" i="39"/>
  <c r="E68" i="51"/>
  <c r="E37" i="51" s="1"/>
  <c r="G68" i="51"/>
  <c r="G37" i="51" s="1"/>
  <c r="F68" i="51"/>
  <c r="F37" i="51" s="1"/>
  <c r="D68" i="51"/>
  <c r="J69" i="51"/>
  <c r="B73" i="25"/>
  <c r="X73" i="25" s="1"/>
  <c r="B52" i="51"/>
  <c r="B67" i="51" s="1"/>
  <c r="B41" i="25"/>
  <c r="N42" i="25"/>
  <c r="U68" i="78"/>
  <c r="I68" i="78"/>
  <c r="M68" i="78"/>
  <c r="G68" i="78"/>
  <c r="D68" i="78"/>
  <c r="N68" i="78"/>
  <c r="E68" i="78"/>
  <c r="J68" i="78"/>
  <c r="P68" i="78"/>
  <c r="K68" i="78"/>
  <c r="F68" i="78"/>
  <c r="R68" i="78"/>
  <c r="Q68" i="78"/>
  <c r="S68" i="78"/>
  <c r="T68" i="78"/>
  <c r="O68" i="78"/>
  <c r="L68" i="78"/>
  <c r="H68" i="78"/>
  <c r="H67" i="51" l="1"/>
  <c r="H36" i="51" s="1"/>
  <c r="O73" i="25" s="1"/>
  <c r="P73" i="25" s="1"/>
  <c r="Q156" i="49"/>
  <c r="P156" i="49" s="1"/>
  <c r="Q153" i="49"/>
  <c r="P153" i="49" s="1"/>
  <c r="I67" i="51"/>
  <c r="I36" i="51" s="1"/>
  <c r="Q73" i="25" s="1"/>
  <c r="R73" i="25" s="1"/>
  <c r="C67" i="51"/>
  <c r="C36" i="51" s="1"/>
  <c r="Q146" i="49"/>
  <c r="P10" i="78"/>
  <c r="AY246" i="89"/>
  <c r="G71" i="39"/>
  <c r="O42" i="25" s="1"/>
  <c r="P42" i="25" s="1"/>
  <c r="B36" i="51"/>
  <c r="V73" i="25"/>
  <c r="T73" i="25"/>
  <c r="H77" i="25"/>
  <c r="M77" i="25"/>
  <c r="N77" i="25" s="1"/>
  <c r="G76" i="25"/>
  <c r="D71" i="39"/>
  <c r="Q42" i="25" s="1"/>
  <c r="R42" i="25" s="1"/>
  <c r="E71" i="39"/>
  <c r="G42" i="25" s="1"/>
  <c r="H42" i="25" s="1"/>
  <c r="C71" i="39"/>
  <c r="C42" i="25" s="1"/>
  <c r="D42" i="25" s="1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F67" i="51"/>
  <c r="F36" i="51" s="1"/>
  <c r="E67" i="51"/>
  <c r="E36" i="51" s="1"/>
  <c r="G67" i="51"/>
  <c r="G36" i="51" s="1"/>
  <c r="D67" i="51"/>
  <c r="B72" i="25"/>
  <c r="X72" i="25" s="1"/>
  <c r="B51" i="51"/>
  <c r="B66" i="51" s="1"/>
  <c r="J68" i="51"/>
  <c r="B40" i="25"/>
  <c r="N41" i="25"/>
  <c r="O67" i="78"/>
  <c r="J67" i="78"/>
  <c r="M67" i="78"/>
  <c r="Q67" i="78"/>
  <c r="E67" i="78"/>
  <c r="I67" i="78"/>
  <c r="K67" i="78"/>
  <c r="L67" i="78"/>
  <c r="H67" i="78"/>
  <c r="U67" i="78"/>
  <c r="F67" i="78"/>
  <c r="D67" i="78"/>
  <c r="T67" i="78"/>
  <c r="G67" i="78"/>
  <c r="P67" i="78"/>
  <c r="S67" i="78"/>
  <c r="N67" i="78"/>
  <c r="R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G75" i="25"/>
  <c r="D74" i="25"/>
  <c r="C70" i="39"/>
  <c r="C41" i="25" s="1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E66" i="51"/>
  <c r="E35" i="51" s="1"/>
  <c r="G66" i="51"/>
  <c r="G35" i="51" s="1"/>
  <c r="F66" i="51"/>
  <c r="F35" i="51" s="1"/>
  <c r="D66" i="51"/>
  <c r="J67" i="51"/>
  <c r="B71" i="25"/>
  <c r="X71" i="25" s="1"/>
  <c r="B50" i="51"/>
  <c r="B65" i="51" s="1"/>
  <c r="B39" i="25"/>
  <c r="N40" i="25"/>
  <c r="H66" i="78"/>
  <c r="Q66" i="78"/>
  <c r="M66" i="78"/>
  <c r="F66" i="78"/>
  <c r="U66" i="78"/>
  <c r="N66" i="78"/>
  <c r="P66" i="78"/>
  <c r="O66" i="78"/>
  <c r="R66" i="78"/>
  <c r="T66" i="78"/>
  <c r="K66" i="78"/>
  <c r="D66" i="78"/>
  <c r="I66" i="78"/>
  <c r="G66" i="78"/>
  <c r="J66" i="78"/>
  <c r="E66" i="78"/>
  <c r="S66" i="78"/>
  <c r="L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69" i="39"/>
  <c r="C40" i="25" s="1"/>
  <c r="D40" i="25" s="1"/>
  <c r="E69" i="39"/>
  <c r="G40" i="25" s="1"/>
  <c r="H40" i="25" s="1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G68" i="39" s="1"/>
  <c r="E65" i="51"/>
  <c r="E34" i="51" s="1"/>
  <c r="G65" i="51"/>
  <c r="G34" i="51" s="1"/>
  <c r="F65" i="51"/>
  <c r="F34" i="51" s="1"/>
  <c r="D65" i="51"/>
  <c r="B70" i="25"/>
  <c r="B49" i="51"/>
  <c r="B64" i="51" s="1"/>
  <c r="J66" i="51"/>
  <c r="B38" i="25"/>
  <c r="N39" i="25"/>
  <c r="I65" i="78"/>
  <c r="L65" i="78"/>
  <c r="G65" i="78"/>
  <c r="N65" i="78"/>
  <c r="S65" i="78"/>
  <c r="K65" i="78"/>
  <c r="U65" i="78"/>
  <c r="P65" i="78"/>
  <c r="J65" i="78"/>
  <c r="M65" i="78"/>
  <c r="Q65" i="78"/>
  <c r="R65" i="78"/>
  <c r="T65" i="78"/>
  <c r="F65" i="78"/>
  <c r="O65" i="78"/>
  <c r="E65" i="78"/>
  <c r="D65" i="78"/>
  <c r="H65" i="78"/>
  <c r="H64" i="51" l="1"/>
  <c r="H33" i="51" s="1"/>
  <c r="O70" i="25" s="1"/>
  <c r="P70" i="25" s="1"/>
  <c r="I64" i="51"/>
  <c r="I33" i="51" s="1"/>
  <c r="Q70" i="25" s="1"/>
  <c r="R70" i="25" s="1"/>
  <c r="C64" i="51"/>
  <c r="C33" i="51" s="1"/>
  <c r="P4" i="78"/>
  <c r="C68" i="39"/>
  <c r="C39" i="25" s="1"/>
  <c r="D39" i="25" s="1"/>
  <c r="O39" i="25"/>
  <c r="P39" i="25" s="1"/>
  <c r="T70" i="25"/>
  <c r="X70" i="25"/>
  <c r="V70" i="25"/>
  <c r="B33" i="51"/>
  <c r="G73" i="25"/>
  <c r="H74" i="25"/>
  <c r="M74" i="25"/>
  <c r="N74" i="25" s="1"/>
  <c r="E68" i="39"/>
  <c r="G39" i="25" s="1"/>
  <c r="H39" i="25" s="1"/>
  <c r="D68" i="39"/>
  <c r="Q39" i="25" s="1"/>
  <c r="R39" i="25" s="1"/>
  <c r="I73" i="25"/>
  <c r="J73" i="25" s="1"/>
  <c r="L72" i="25"/>
  <c r="D72" i="25"/>
  <c r="C71" i="25"/>
  <c r="F46" i="71"/>
  <c r="F38" i="25"/>
  <c r="H68" i="39"/>
  <c r="K44" i="25"/>
  <c r="L44" i="25" s="1"/>
  <c r="E51" i="71" s="1"/>
  <c r="L64" i="51"/>
  <c r="K70" i="25" s="1"/>
  <c r="B67" i="39"/>
  <c r="G67" i="39" s="1"/>
  <c r="D64" i="51"/>
  <c r="F64" i="51"/>
  <c r="F33" i="51" s="1"/>
  <c r="G64" i="51"/>
  <c r="G33" i="51" s="1"/>
  <c r="E64" i="51"/>
  <c r="E33" i="51" s="1"/>
  <c r="J65" i="51"/>
  <c r="B69" i="25"/>
  <c r="B48" i="51"/>
  <c r="B63" i="51" s="1"/>
  <c r="B37" i="25"/>
  <c r="N38" i="25"/>
  <c r="L64" i="78"/>
  <c r="D64" i="78"/>
  <c r="R64" i="78"/>
  <c r="H64" i="78"/>
  <c r="O64" i="78"/>
  <c r="S64" i="78"/>
  <c r="M64" i="78"/>
  <c r="G64" i="78"/>
  <c r="J64" i="78"/>
  <c r="N64" i="78"/>
  <c r="I64" i="78"/>
  <c r="P64" i="78"/>
  <c r="E64" i="78"/>
  <c r="K64" i="78"/>
  <c r="U64" i="78"/>
  <c r="F64" i="78"/>
  <c r="T64" i="78"/>
  <c r="Q64" i="78"/>
  <c r="H63" i="51" l="1"/>
  <c r="H32" i="51" s="1"/>
  <c r="O69" i="25" s="1"/>
  <c r="P69" i="25" s="1"/>
  <c r="I63" i="51"/>
  <c r="I32" i="51" s="1"/>
  <c r="Q69" i="25" s="1"/>
  <c r="R69" i="25" s="1"/>
  <c r="C63" i="51"/>
  <c r="C32" i="51" s="1"/>
  <c r="P2" i="78"/>
  <c r="C67" i="39"/>
  <c r="C38" i="25" s="1"/>
  <c r="D38" i="25" s="1"/>
  <c r="O38" i="25"/>
  <c r="P38" i="25" s="1"/>
  <c r="T69" i="25"/>
  <c r="X69" i="25"/>
  <c r="V69" i="25"/>
  <c r="B32" i="51"/>
  <c r="H73" i="25"/>
  <c r="M73" i="25"/>
  <c r="N73" i="25" s="1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F45" i="71"/>
  <c r="F37" i="25"/>
  <c r="F49" i="25" s="1"/>
  <c r="H67" i="39"/>
  <c r="Q104" i="49"/>
  <c r="K43" i="25"/>
  <c r="L43" i="25" s="1"/>
  <c r="E50" i="71" s="1"/>
  <c r="L63" i="51"/>
  <c r="K69" i="25" s="1"/>
  <c r="B66" i="39"/>
  <c r="G63" i="51"/>
  <c r="G32" i="51" s="1"/>
  <c r="F63" i="51"/>
  <c r="F32" i="51" s="1"/>
  <c r="D63" i="51"/>
  <c r="E63" i="51"/>
  <c r="E32" i="51" s="1"/>
  <c r="J64" i="51"/>
  <c r="B68" i="25"/>
  <c r="B47" i="51"/>
  <c r="B62" i="51" s="1"/>
  <c r="B36" i="25"/>
  <c r="N37" i="25"/>
  <c r="Q63" i="78"/>
  <c r="H63" i="78"/>
  <c r="U63" i="78"/>
  <c r="T63" i="78"/>
  <c r="D63" i="78"/>
  <c r="K63" i="78"/>
  <c r="F63" i="78"/>
  <c r="O63" i="78"/>
  <c r="I63" i="78"/>
  <c r="G63" i="78"/>
  <c r="E63" i="78"/>
  <c r="M63" i="78"/>
  <c r="J63" i="78"/>
  <c r="R63" i="78"/>
  <c r="N63" i="78"/>
  <c r="L63" i="78"/>
  <c r="S63" i="78"/>
  <c r="P63" i="78"/>
  <c r="H62" i="51" l="1"/>
  <c r="H31" i="51" s="1"/>
  <c r="O68" i="25" s="1"/>
  <c r="I62" i="51"/>
  <c r="I31" i="51" s="1"/>
  <c r="Q68" i="25" s="1"/>
  <c r="Q80" i="25" s="1"/>
  <c r="U75" i="78"/>
  <c r="C62" i="51"/>
  <c r="C31" i="51" s="1"/>
  <c r="T75" i="78"/>
  <c r="S75" i="78"/>
  <c r="C19" i="64" s="1"/>
  <c r="R75" i="78"/>
  <c r="G66" i="39"/>
  <c r="O37" i="25" s="1"/>
  <c r="P37" i="25" s="1"/>
  <c r="T68" i="25"/>
  <c r="X68" i="25"/>
  <c r="C66" i="39"/>
  <c r="C37" i="25" s="1"/>
  <c r="D37" i="25" s="1"/>
  <c r="D66" i="39"/>
  <c r="V68" i="25"/>
  <c r="T36" i="25"/>
  <c r="B31" i="51"/>
  <c r="H72" i="25"/>
  <c r="H71" i="25"/>
  <c r="M72" i="25"/>
  <c r="N72" i="25" s="1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C48" i="64"/>
  <c r="D48" i="64" s="1"/>
  <c r="E48" i="64" s="1"/>
  <c r="E25" i="50"/>
  <c r="Q138" i="49" s="1"/>
  <c r="P138" i="49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J78" i="89" s="1"/>
  <c r="G75" i="78"/>
  <c r="J81" i="89" s="1"/>
  <c r="D75" i="78"/>
  <c r="E75" i="78"/>
  <c r="I75" i="78"/>
  <c r="J77" i="89" s="1"/>
  <c r="F75" i="78"/>
  <c r="C20" i="64" s="1"/>
  <c r="J75" i="78"/>
  <c r="D62" i="51"/>
  <c r="F62" i="51"/>
  <c r="F31" i="51" s="1"/>
  <c r="G62" i="51"/>
  <c r="G31" i="51" s="1"/>
  <c r="E62" i="51"/>
  <c r="E31" i="51" s="1"/>
  <c r="J63" i="51"/>
  <c r="B35" i="25"/>
  <c r="N36" i="25"/>
  <c r="R68" i="25" l="1"/>
  <c r="X67" i="25"/>
  <c r="R67" i="25"/>
  <c r="P67" i="25"/>
  <c r="P68" i="25"/>
  <c r="O80" i="25"/>
  <c r="C36" i="25"/>
  <c r="D36" i="25" s="1"/>
  <c r="G36" i="25"/>
  <c r="H36" i="25" s="1"/>
  <c r="G65" i="39"/>
  <c r="O36" i="25" s="1"/>
  <c r="P36" i="25" s="1"/>
  <c r="D67" i="25"/>
  <c r="T67" i="25"/>
  <c r="V67" i="25"/>
  <c r="T35" i="25"/>
  <c r="Q37" i="25"/>
  <c r="R37" i="25" s="1"/>
  <c r="J83" i="89"/>
  <c r="C23" i="64"/>
  <c r="J82" i="89"/>
  <c r="AT217" i="89" s="1"/>
  <c r="C22" i="64"/>
  <c r="AY235" i="89"/>
  <c r="M70" i="25"/>
  <c r="N70" i="25" s="1"/>
  <c r="H69" i="25"/>
  <c r="H70" i="25"/>
  <c r="C68" i="25"/>
  <c r="D68" i="25" s="1"/>
  <c r="G68" i="25" s="1"/>
  <c r="G80" i="25" s="1"/>
  <c r="H65" i="39"/>
  <c r="F43" i="71"/>
  <c r="J79" i="89"/>
  <c r="L79" i="89" s="1"/>
  <c r="J80" i="89"/>
  <c r="AT215" i="89" s="1"/>
  <c r="K80" i="25"/>
  <c r="K41" i="25"/>
  <c r="L41" i="25" s="1"/>
  <c r="E48" i="71" s="1"/>
  <c r="K40" i="25"/>
  <c r="L40" i="25" s="1"/>
  <c r="E47" i="71" s="1"/>
  <c r="L67" i="25"/>
  <c r="AT211" i="89"/>
  <c r="K77" i="89"/>
  <c r="L77" i="89"/>
  <c r="AT212" i="89"/>
  <c r="AW212" i="89" s="1"/>
  <c r="L78" i="89"/>
  <c r="K78" i="89"/>
  <c r="AT216" i="89"/>
  <c r="AW216" i="89" s="1"/>
  <c r="K81" i="89"/>
  <c r="L81" i="89"/>
  <c r="F67" i="25"/>
  <c r="H67" i="25"/>
  <c r="N67" i="25"/>
  <c r="B66" i="25"/>
  <c r="B64" i="39"/>
  <c r="J67" i="25"/>
  <c r="J62" i="51"/>
  <c r="B34" i="25"/>
  <c r="N35" i="25"/>
  <c r="X66" i="25" l="1"/>
  <c r="R66" i="25"/>
  <c r="P66" i="25"/>
  <c r="C35" i="25"/>
  <c r="D35" i="25" s="1"/>
  <c r="G35" i="25"/>
  <c r="H35" i="25" s="1"/>
  <c r="G64" i="39"/>
  <c r="O35" i="25" s="1"/>
  <c r="P35" i="25" s="1"/>
  <c r="H64" i="39"/>
  <c r="Q36" i="25"/>
  <c r="R36" i="25" s="1"/>
  <c r="I77" i="39"/>
  <c r="Q35" i="25"/>
  <c r="R35" i="25" s="1"/>
  <c r="D66" i="25"/>
  <c r="T66" i="25"/>
  <c r="V66" i="25"/>
  <c r="T34" i="25"/>
  <c r="AT218" i="89"/>
  <c r="AW218" i="89" s="1"/>
  <c r="K82" i="89"/>
  <c r="K83" i="89"/>
  <c r="AV216" i="89"/>
  <c r="AV212" i="89"/>
  <c r="AY212" i="89"/>
  <c r="I69" i="25"/>
  <c r="J69" i="25" s="1"/>
  <c r="C80" i="25"/>
  <c r="F42" i="71"/>
  <c r="K79" i="89"/>
  <c r="AT213" i="89"/>
  <c r="J74" i="89"/>
  <c r="K80" i="89"/>
  <c r="E19" i="64"/>
  <c r="F19" i="64"/>
  <c r="H68" i="25"/>
  <c r="L68" i="25"/>
  <c r="K39" i="25"/>
  <c r="L39" i="25" s="1"/>
  <c r="E46" i="71" s="1"/>
  <c r="L66" i="25"/>
  <c r="AY216" i="89"/>
  <c r="H66" i="25"/>
  <c r="N66" i="25"/>
  <c r="F66" i="25"/>
  <c r="J66" i="25"/>
  <c r="B65" i="25"/>
  <c r="B63" i="39"/>
  <c r="B33" i="25"/>
  <c r="N34" i="25"/>
  <c r="X65" i="25" l="1"/>
  <c r="P65" i="25"/>
  <c r="R65" i="25"/>
  <c r="G63" i="39"/>
  <c r="O34" i="25" s="1"/>
  <c r="P34" i="25" s="1"/>
  <c r="Q34" i="25"/>
  <c r="C34" i="25"/>
  <c r="D34" i="25" s="1"/>
  <c r="D65" i="25"/>
  <c r="V65" i="25"/>
  <c r="T65" i="25"/>
  <c r="AW213" i="89"/>
  <c r="AY213" i="89" s="1"/>
  <c r="T33" i="25"/>
  <c r="G34" i="25"/>
  <c r="AT208" i="89"/>
  <c r="M69" i="25"/>
  <c r="N69" i="25" s="1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F64" i="25"/>
  <c r="H64" i="25"/>
  <c r="N64" i="25"/>
  <c r="J64" i="25"/>
  <c r="E21" i="64"/>
  <c r="C18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L63" i="25"/>
  <c r="F23" i="64"/>
  <c r="K48" i="39" s="1"/>
  <c r="C14" i="64"/>
  <c r="E18" i="64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283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78" i="89"/>
  <c r="J92" i="89"/>
  <c r="BL277" i="89"/>
  <c r="J87" i="89"/>
  <c r="J91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4" i="89"/>
  <c r="AT225" i="89"/>
  <c r="BL285" i="89"/>
  <c r="BN285" i="89" s="1"/>
  <c r="K90" i="89"/>
  <c r="L90" i="89"/>
  <c r="AT223" i="89"/>
  <c r="K88" i="89"/>
  <c r="L88" i="89"/>
  <c r="L91" i="89"/>
  <c r="K91" i="89"/>
  <c r="AT224" i="89"/>
  <c r="AW224" i="89" s="1"/>
  <c r="L93" i="89"/>
  <c r="K93" i="89"/>
  <c r="K92" i="89"/>
  <c r="L92" i="89"/>
  <c r="AT222" i="89"/>
  <c r="AW222" i="89" s="1"/>
  <c r="L87" i="89"/>
  <c r="K87" i="89"/>
  <c r="K89" i="89"/>
  <c r="L60" i="25"/>
  <c r="N60" i="25"/>
  <c r="B59" i="25"/>
  <c r="J60" i="25"/>
  <c r="F60" i="25"/>
  <c r="H28" i="25"/>
  <c r="B27" i="25"/>
  <c r="D28" i="25"/>
  <c r="L28" i="25"/>
  <c r="N28" i="25"/>
  <c r="X59" i="25" l="1"/>
  <c r="R59" i="25"/>
  <c r="P59" i="25"/>
  <c r="V59" i="25"/>
  <c r="T59" i="25"/>
  <c r="T27" i="25"/>
  <c r="V27" i="25"/>
  <c r="L59" i="25"/>
  <c r="D59" i="25"/>
  <c r="P27" i="25"/>
  <c r="R27" i="25"/>
  <c r="AY224" i="89"/>
  <c r="AV224" i="89"/>
  <c r="J59" i="25"/>
  <c r="H59" i="25"/>
  <c r="AT221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27" i="89"/>
  <c r="AT228" i="89" s="1"/>
  <c r="AY222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N57" i="25"/>
  <c r="BD273" i="89"/>
  <c r="BD269" i="89"/>
  <c r="BD270" i="89"/>
  <c r="BD271" i="89"/>
  <c r="BD272" i="89"/>
  <c r="L25" i="25"/>
  <c r="L49" i="25" s="1"/>
  <c r="D29" i="50" s="1"/>
  <c r="N25" i="25"/>
  <c r="N49" i="25" s="1"/>
  <c r="AN172" i="89" s="1"/>
  <c r="D25" i="25"/>
  <c r="D49" i="25" s="1"/>
  <c r="D10" i="50" s="1"/>
  <c r="H25" i="25"/>
  <c r="H49" i="25" s="1"/>
  <c r="D27" i="50" s="1"/>
  <c r="AN171" i="89" s="1"/>
  <c r="X56" i="25" l="1"/>
  <c r="P56" i="25"/>
  <c r="R56" i="25"/>
  <c r="D12" i="137"/>
  <c r="T56" i="25"/>
  <c r="V56" i="25"/>
  <c r="T24" i="25"/>
  <c r="V24" i="25"/>
  <c r="AN173" i="89"/>
  <c r="AO173" i="89" s="1"/>
  <c r="Q108" i="49"/>
  <c r="P108" i="49" s="1"/>
  <c r="L56" i="25"/>
  <c r="D56" i="25"/>
  <c r="D80" i="25" s="1"/>
  <c r="P24" i="25"/>
  <c r="R24" i="25"/>
  <c r="N24" i="25"/>
  <c r="H24" i="25"/>
  <c r="B55" i="25"/>
  <c r="J24" i="25"/>
  <c r="L24" i="25"/>
  <c r="AO171" i="89"/>
  <c r="AU237" i="89"/>
  <c r="AW237" i="89" s="1"/>
  <c r="AU238" i="89"/>
  <c r="AW238" i="89" s="1"/>
  <c r="AO172" i="89"/>
  <c r="C51" i="64"/>
  <c r="D51" i="64" s="1"/>
  <c r="E51" i="64" s="1"/>
  <c r="D9" i="50"/>
  <c r="D11" i="50"/>
  <c r="AY240" i="89" s="1"/>
  <c r="C52" i="64"/>
  <c r="D52" i="64" s="1"/>
  <c r="E52" i="64" s="1"/>
  <c r="C50" i="64"/>
  <c r="D50" i="64" s="1"/>
  <c r="E50" i="64" s="1"/>
  <c r="Q107" i="49"/>
  <c r="P107" i="49" s="1"/>
  <c r="J56" i="25"/>
  <c r="C47" i="64"/>
  <c r="D47" i="64" s="1"/>
  <c r="E47" i="64" s="1"/>
  <c r="O23" i="50"/>
  <c r="M23" i="50" s="1"/>
  <c r="H56" i="25"/>
  <c r="F56" i="25"/>
  <c r="N56" i="25"/>
  <c r="O49" i="25"/>
  <c r="BD268" i="89" s="1"/>
  <c r="BD274" i="89" s="1"/>
  <c r="P49" i="25"/>
  <c r="C89" i="85"/>
  <c r="X55" i="25" l="1"/>
  <c r="X80" i="25" s="1"/>
  <c r="G31" i="135" s="1"/>
  <c r="C96" i="64" s="1"/>
  <c r="D96" i="64" s="1"/>
  <c r="E96" i="64" s="1"/>
  <c r="R55" i="25"/>
  <c r="R80" i="25" s="1"/>
  <c r="M42" i="51" s="1"/>
  <c r="D20" i="50" s="1"/>
  <c r="P55" i="25"/>
  <c r="P80" i="25" s="1"/>
  <c r="M41" i="51" s="1"/>
  <c r="E10" i="50"/>
  <c r="T55" i="25"/>
  <c r="T80" i="25" s="1"/>
  <c r="V55" i="25"/>
  <c r="V80" i="25" s="1"/>
  <c r="AU239" i="89"/>
  <c r="AW239" i="89" s="1"/>
  <c r="P112" i="49"/>
  <c r="AU232" i="89"/>
  <c r="AN165" i="89"/>
  <c r="N55" i="25"/>
  <c r="D55" i="25"/>
  <c r="F55" i="25"/>
  <c r="L55" i="25"/>
  <c r="L80" i="25" s="1"/>
  <c r="M37" i="51" s="1"/>
  <c r="H55" i="25"/>
  <c r="H80" i="25" s="1"/>
  <c r="M31" i="51" s="1"/>
  <c r="D12" i="50" s="1"/>
  <c r="J55" i="25"/>
  <c r="BE268" i="89"/>
  <c r="E28" i="50"/>
  <c r="Q140" i="49" s="1"/>
  <c r="BE273" i="89"/>
  <c r="BE270" i="89"/>
  <c r="BE271" i="89"/>
  <c r="BE272" i="89"/>
  <c r="M36" i="51"/>
  <c r="D18" i="50" s="1"/>
  <c r="G32" i="135" l="1"/>
  <c r="C98" i="64" s="1"/>
  <c r="D98" i="64" s="1"/>
  <c r="E98" i="64" s="1"/>
  <c r="G27" i="135"/>
  <c r="G25" i="135"/>
  <c r="G33" i="135" s="1"/>
  <c r="G30" i="135"/>
  <c r="G28" i="135"/>
  <c r="G26" i="135"/>
  <c r="G29" i="135"/>
  <c r="C97" i="64" s="1"/>
  <c r="D97" i="64" s="1"/>
  <c r="E97" i="64" s="1"/>
  <c r="M43" i="51"/>
  <c r="D19" i="50"/>
  <c r="AN167" i="89" s="1"/>
  <c r="AU234" i="89" s="1"/>
  <c r="AW234" i="89" s="1"/>
  <c r="Q99" i="49"/>
  <c r="P99" i="49" s="1"/>
  <c r="E20" i="50"/>
  <c r="Q133" i="49" s="1"/>
  <c r="P133" i="49" s="1"/>
  <c r="P120" i="49"/>
  <c r="Q123" i="49"/>
  <c r="Q97" i="49"/>
  <c r="P97" i="49" s="1"/>
  <c r="AY250" i="89"/>
  <c r="Q253" i="49"/>
  <c r="P253" i="49" s="1"/>
  <c r="Q252" i="49"/>
  <c r="P252" i="49" s="1"/>
  <c r="Q254" i="49"/>
  <c r="P254" i="49" s="1"/>
  <c r="AO179" i="89"/>
  <c r="Q116" i="49"/>
  <c r="P116" i="49" s="1"/>
  <c r="C58" i="64"/>
  <c r="D58" i="64" s="1"/>
  <c r="E58" i="64" s="1"/>
  <c r="Q117" i="49"/>
  <c r="P117" i="49" s="1"/>
  <c r="C59" i="64"/>
  <c r="D59" i="64" s="1"/>
  <c r="E59" i="64" s="1"/>
  <c r="AY238" i="89"/>
  <c r="Q91" i="49"/>
  <c r="P91" i="49" s="1"/>
  <c r="O12" i="50"/>
  <c r="M12" i="50" s="1"/>
  <c r="BE269" i="89"/>
  <c r="BE274" i="89" s="1"/>
  <c r="P104" i="49"/>
  <c r="O18" i="50"/>
  <c r="M18" i="50" s="1"/>
  <c r="O14" i="50"/>
  <c r="M14" i="50" s="1"/>
  <c r="AO167" i="89" l="1"/>
  <c r="Q98" i="49"/>
  <c r="P98" i="49" s="1"/>
  <c r="E19" i="50"/>
  <c r="Q132" i="49" s="1"/>
  <c r="P132" i="49" s="1"/>
  <c r="P96" i="49"/>
  <c r="P102" i="49"/>
  <c r="E17" i="50"/>
  <c r="E23" i="50"/>
  <c r="Q136" i="49" s="1"/>
  <c r="E29" i="50"/>
  <c r="Q141" i="49" s="1"/>
  <c r="E24" i="50"/>
  <c r="Q137" i="49" s="1"/>
  <c r="E18" i="50"/>
  <c r="E14" i="50"/>
  <c r="E12" i="50"/>
  <c r="P122" i="49" s="1"/>
  <c r="AY239" i="89" l="1"/>
  <c r="AY245" i="89"/>
  <c r="BC273" i="89"/>
  <c r="BC268" i="89"/>
  <c r="BC269" i="89"/>
  <c r="P12" i="50"/>
  <c r="Q125" i="49"/>
  <c r="P125" i="49" s="1"/>
  <c r="N12" i="50"/>
  <c r="P18" i="50"/>
  <c r="N18" i="50"/>
  <c r="Q131" i="49"/>
  <c r="P131" i="49" s="1"/>
  <c r="P141" i="49"/>
  <c r="P136" i="49"/>
  <c r="P23" i="50"/>
  <c r="N23" i="50"/>
  <c r="Q130" i="49"/>
  <c r="P130" i="49" s="1"/>
  <c r="N17" i="50"/>
  <c r="P17" i="50"/>
  <c r="P14" i="50"/>
  <c r="Q127" i="49"/>
  <c r="P127" i="49" s="1"/>
  <c r="N14" i="50"/>
  <c r="P24" i="50"/>
  <c r="P137" i="49"/>
  <c r="N24" i="50"/>
  <c r="P142" i="49"/>
  <c r="BC271" i="89" l="1"/>
  <c r="BC270" i="89"/>
  <c r="BC272" i="89"/>
  <c r="BC274" i="89" l="1"/>
  <c r="BI272" i="89"/>
  <c r="BI273" i="89" l="1"/>
  <c r="BI271" i="89"/>
  <c r="BI270" i="89"/>
  <c r="BI269" i="89"/>
  <c r="BI268" i="89"/>
  <c r="BI274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6" i="50" s="1"/>
  <c r="G72" i="82"/>
  <c r="D72" i="82" s="1"/>
  <c r="Q188" i="49"/>
  <c r="P188" i="49" s="1"/>
  <c r="E25" i="64"/>
  <c r="Q189" i="49"/>
  <c r="P189" i="49" s="1"/>
  <c r="P191" i="49" l="1"/>
  <c r="P192" i="49"/>
  <c r="P190" i="49" l="1"/>
  <c r="P193" i="49"/>
  <c r="C24" i="64"/>
  <c r="C34" i="64" l="1"/>
  <c r="E27" i="50"/>
  <c r="C45" i="64"/>
  <c r="D45" i="64" s="1"/>
  <c r="AF15" i="89"/>
  <c r="J86" i="89"/>
  <c r="P140" i="49" l="1"/>
  <c r="Q139" i="49"/>
  <c r="AY237" i="89"/>
  <c r="P105" i="49"/>
  <c r="E26" i="50"/>
  <c r="Q90" i="49"/>
  <c r="P90" i="49" s="1"/>
  <c r="Q89" i="49"/>
  <c r="P89" i="49" s="1"/>
  <c r="Q106" i="49"/>
  <c r="P106" i="49" s="1"/>
  <c r="O27" i="50"/>
  <c r="M27" i="50" s="1"/>
  <c r="E11" i="50"/>
  <c r="Q124" i="49" s="1"/>
  <c r="O26" i="50"/>
  <c r="M26" i="50" s="1"/>
  <c r="AN170" i="89"/>
  <c r="C49" i="64"/>
  <c r="D49" i="64" s="1"/>
  <c r="E49" i="64" s="1"/>
  <c r="E9" i="50"/>
  <c r="AW232" i="89" s="1"/>
  <c r="P93" i="49"/>
  <c r="P88" i="49"/>
  <c r="E45" i="64"/>
  <c r="C39" i="64"/>
  <c r="D39" i="64" s="1"/>
  <c r="J95" i="89"/>
  <c r="L86" i="89"/>
  <c r="K86" i="89"/>
  <c r="P124" i="49" l="1"/>
  <c r="P121" i="49"/>
  <c r="AO170" i="89"/>
  <c r="AU236" i="89"/>
  <c r="P119" i="49"/>
  <c r="N27" i="50"/>
  <c r="P139" i="49"/>
  <c r="P27" i="50"/>
  <c r="N26" i="50"/>
  <c r="P26" i="50"/>
  <c r="P123" i="49"/>
  <c r="AD15" i="89"/>
  <c r="K95" i="89"/>
  <c r="J96" i="89"/>
  <c r="K96" i="89" s="1"/>
  <c r="AW236" i="89" l="1"/>
  <c r="AY232" i="89"/>
  <c r="K97" i="89"/>
  <c r="P197" i="49" l="1"/>
  <c r="Q87" i="49"/>
  <c r="P87" i="49" s="1"/>
  <c r="Q167" i="49"/>
  <c r="P167" i="49" s="1"/>
  <c r="Q200" i="49"/>
  <c r="P200" i="49" s="1"/>
  <c r="O10" i="51"/>
  <c r="E39" i="64"/>
  <c r="L11" i="89" s="1"/>
  <c r="F39" i="64"/>
  <c r="AD16" i="89"/>
  <c r="AU228" i="89"/>
  <c r="AW228" i="89" s="1"/>
  <c r="AV228" i="89" l="1"/>
  <c r="U8" i="89"/>
  <c r="AY228" i="89" l="1"/>
  <c r="C100" i="39" l="1"/>
  <c r="C101" i="39" l="1"/>
  <c r="Q1738" i="49" l="1"/>
  <c r="P1738" i="49" s="1"/>
  <c r="E9" i="82"/>
  <c r="C10" i="82"/>
  <c r="Q1739" i="49" s="1"/>
  <c r="P1739" i="49" s="1"/>
  <c r="E10" i="82"/>
  <c r="Q1737" i="49" s="1"/>
  <c r="P1737" i="49" s="1"/>
  <c r="Q1736" i="49" l="1"/>
  <c r="P1736" i="49" s="1"/>
  <c r="D26" i="64"/>
  <c r="C27" i="95"/>
  <c r="D52" i="50" l="1"/>
  <c r="D54" i="50"/>
  <c r="D55" i="50"/>
  <c r="D53" i="50"/>
  <c r="D51" i="50"/>
  <c r="D22" i="50"/>
  <c r="D21" i="50"/>
  <c r="F26" i="64"/>
  <c r="C104" i="39"/>
  <c r="BM278" i="89"/>
  <c r="BN278" i="89" s="1"/>
  <c r="AU223" i="89"/>
  <c r="AW223" i="89" s="1"/>
  <c r="Q30" i="49"/>
  <c r="P30" i="49" s="1"/>
  <c r="E26" i="64"/>
  <c r="C30" i="95"/>
  <c r="C21" i="95"/>
  <c r="Q224" i="49" l="1"/>
  <c r="P224" i="49" s="1"/>
  <c r="C68" i="64"/>
  <c r="D68" i="64" s="1"/>
  <c r="E68" i="64" s="1"/>
  <c r="Q226" i="49"/>
  <c r="P226" i="49" s="1"/>
  <c r="C70" i="64"/>
  <c r="D70" i="64" s="1"/>
  <c r="E70" i="64" s="1"/>
  <c r="Q228" i="49"/>
  <c r="P228" i="49" s="1"/>
  <c r="C72" i="64"/>
  <c r="D72" i="64" s="1"/>
  <c r="E72" i="64" s="1"/>
  <c r="Q227" i="49"/>
  <c r="P227" i="49" s="1"/>
  <c r="C71" i="64"/>
  <c r="D71" i="64" s="1"/>
  <c r="E71" i="64" s="1"/>
  <c r="Q225" i="49"/>
  <c r="P225" i="49" s="1"/>
  <c r="C69" i="64"/>
  <c r="D69" i="64" s="1"/>
  <c r="E69" i="64" s="1"/>
  <c r="Q101" i="49"/>
  <c r="P101" i="49" s="1"/>
  <c r="E22" i="50"/>
  <c r="Q135" i="49" s="1"/>
  <c r="O22" i="50"/>
  <c r="M22" i="50" s="1"/>
  <c r="Q100" i="49"/>
  <c r="P100" i="49" s="1"/>
  <c r="O21" i="50"/>
  <c r="M21" i="50" s="1"/>
  <c r="E21" i="50"/>
  <c r="Q134" i="49" s="1"/>
  <c r="BM285" i="89"/>
  <c r="AY223" i="89"/>
  <c r="C20" i="94"/>
  <c r="C35" i="95"/>
  <c r="P134" i="49" l="1"/>
  <c r="P21" i="50"/>
  <c r="N21" i="50"/>
  <c r="P135" i="49"/>
  <c r="P22" i="50"/>
  <c r="N22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201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P26" i="49"/>
  <c r="AJ146" i="89"/>
  <c r="AK146" i="89" s="1"/>
  <c r="AJ150" i="89" l="1"/>
  <c r="AK150" i="89" s="1"/>
  <c r="Q53" i="49" l="1"/>
  <c r="P53" i="49" s="1"/>
  <c r="P56" i="49"/>
  <c r="P55" i="49" l="1"/>
  <c r="X131" i="89"/>
  <c r="X129" i="89"/>
  <c r="Q54" i="49"/>
  <c r="P54" i="49" s="1"/>
  <c r="X132" i="89"/>
  <c r="H35" i="58" l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92" i="89" s="1"/>
  <c r="G8" i="123"/>
  <c r="N8" i="123" s="1"/>
  <c r="L8" i="123"/>
  <c r="BP291" i="89" s="1"/>
  <c r="L7" i="123" l="1"/>
  <c r="BP290" i="89" s="1"/>
  <c r="BF270" i="89" s="1"/>
  <c r="L6" i="123"/>
  <c r="BP289" i="89" s="1"/>
  <c r="BF269" i="89" s="1"/>
  <c r="BF272" i="89"/>
  <c r="Q206" i="49"/>
  <c r="P206" i="49" s="1"/>
  <c r="BR292" i="89"/>
  <c r="BF271" i="89"/>
  <c r="BR291" i="89"/>
  <c r="Q205" i="49"/>
  <c r="P205" i="49" s="1"/>
  <c r="G9" i="123"/>
  <c r="N9" i="123" s="1"/>
  <c r="L5" i="123"/>
  <c r="G5" i="123"/>
  <c r="D11" i="123"/>
  <c r="Q204" i="49" l="1"/>
  <c r="P204" i="49" s="1"/>
  <c r="BR290" i="89"/>
  <c r="Q216" i="49" s="1"/>
  <c r="P216" i="49" s="1"/>
  <c r="Q203" i="49"/>
  <c r="P203" i="49" s="1"/>
  <c r="BR289" i="89"/>
  <c r="BS289" i="89" s="1"/>
  <c r="BH272" i="89"/>
  <c r="BJ272" i="89" s="1"/>
  <c r="BS292" i="89"/>
  <c r="Q218" i="49"/>
  <c r="P218" i="49" s="1"/>
  <c r="BP288" i="89"/>
  <c r="BH271" i="89"/>
  <c r="BJ271" i="89" s="1"/>
  <c r="BS291" i="89"/>
  <c r="Q217" i="49"/>
  <c r="P217" i="49" s="1"/>
  <c r="N5" i="123"/>
  <c r="BS290" i="89" l="1"/>
  <c r="BH270" i="89"/>
  <c r="BJ270" i="89" s="1"/>
  <c r="BH269" i="89"/>
  <c r="BJ269" i="89" s="1"/>
  <c r="Q215" i="49"/>
  <c r="P215" i="49" s="1"/>
  <c r="BF268" i="89"/>
  <c r="BR288" i="89"/>
  <c r="Q202" i="49"/>
  <c r="P202" i="49" s="1"/>
  <c r="BH268" i="89" l="1"/>
  <c r="BS288" i="89"/>
  <c r="Q214" i="49"/>
  <c r="P214" i="49" s="1"/>
  <c r="BJ268" i="89" l="1"/>
  <c r="AO165" i="89" l="1"/>
  <c r="Q28" i="49" l="1"/>
  <c r="Q27" i="49" l="1"/>
  <c r="P27" i="49" s="1"/>
  <c r="P28" i="49"/>
  <c r="D32" i="64"/>
  <c r="C103" i="39" s="1"/>
  <c r="AE149" i="89"/>
  <c r="AL149" i="89" s="1"/>
  <c r="AJ149" i="89"/>
  <c r="AK149" i="89" s="1"/>
  <c r="AK161" i="89" s="1"/>
  <c r="AU225" i="89" l="1"/>
  <c r="AW225" i="89" s="1"/>
  <c r="AW221" i="89" s="1"/>
  <c r="E32" i="64"/>
  <c r="D24" i="64"/>
  <c r="F32" i="64"/>
  <c r="K52" i="39" s="1"/>
  <c r="AV225" i="89" l="1"/>
  <c r="AU221" i="89"/>
  <c r="Q169" i="49"/>
  <c r="P169" i="49" s="1"/>
  <c r="O8" i="51"/>
  <c r="E24" i="64"/>
  <c r="L9" i="89" s="1"/>
  <c r="F24" i="64"/>
  <c r="AF16" i="89"/>
  <c r="AY225" i="89" l="1"/>
  <c r="AY221" i="89"/>
  <c r="U10" i="89"/>
  <c r="AV221" i="89"/>
  <c r="AB141" i="89" l="1"/>
  <c r="M14" i="58" l="1"/>
  <c r="R14" i="58" s="1"/>
  <c r="M17" i="58" l="1"/>
  <c r="Q14" i="58" l="1"/>
  <c r="M21" i="58"/>
  <c r="AD138" i="89" l="1"/>
  <c r="AC138" i="89" l="1"/>
  <c r="AY226" i="89" l="1"/>
  <c r="Q18" i="49"/>
  <c r="P18" i="49" s="1"/>
  <c r="N107" i="89" l="1"/>
  <c r="O107" i="89" s="1"/>
  <c r="F22" i="64"/>
  <c r="K47" i="39" s="1"/>
  <c r="AU217" i="89"/>
  <c r="E22" i="64"/>
  <c r="AW217" i="89" l="1"/>
  <c r="AV217" i="89"/>
  <c r="G23" i="123"/>
  <c r="H23" i="123"/>
  <c r="C10" i="123" l="1"/>
  <c r="E10" i="123" s="1"/>
  <c r="F23" i="123"/>
  <c r="C11" i="123" l="1"/>
  <c r="G10" i="123"/>
  <c r="L10" i="123"/>
  <c r="E11" i="123"/>
  <c r="L11" i="123" l="1"/>
  <c r="BP293" i="89"/>
  <c r="N10" i="123"/>
  <c r="N11" i="123" s="1"/>
  <c r="G11" i="123"/>
  <c r="Q207" i="49" l="1"/>
  <c r="P207" i="49" s="1"/>
  <c r="BP294" i="89"/>
  <c r="BR294" i="89" s="1"/>
  <c r="BS294" i="89" s="1"/>
  <c r="BR293" i="89"/>
  <c r="BF273" i="89"/>
  <c r="BF274" i="89" s="1"/>
  <c r="Q219" i="49" l="1"/>
  <c r="P219" i="49" s="1"/>
  <c r="BS293" i="89"/>
  <c r="BH273" i="89"/>
  <c r="BJ273" i="89" l="1"/>
  <c r="BH274" i="89"/>
  <c r="BJ274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31" i="50" s="1"/>
  <c r="P146" i="49"/>
  <c r="E51" i="50"/>
  <c r="E52" i="50"/>
  <c r="E53" i="50"/>
  <c r="E54" i="50"/>
  <c r="E55" i="50"/>
  <c r="AY242" i="89" l="1"/>
  <c r="AY234" i="89"/>
  <c r="AY236" i="89"/>
  <c r="E31" i="50" l="1"/>
  <c r="C55" i="64" l="1"/>
  <c r="AN175" i="89"/>
  <c r="AO175" i="89" l="1"/>
  <c r="D55" i="64"/>
  <c r="E55" i="64" s="1"/>
  <c r="AU241" i="89"/>
  <c r="AW241" i="89" l="1"/>
  <c r="AY241" i="89" l="1"/>
  <c r="Q249" i="49"/>
  <c r="P249" i="49" s="1"/>
  <c r="Q250" i="49"/>
  <c r="P250" i="49" s="1"/>
  <c r="Q251" i="49"/>
  <c r="P251" i="49" s="1"/>
  <c r="C93" i="64"/>
  <c r="D93" i="64" s="1"/>
  <c r="E93" i="64" s="1"/>
  <c r="C94" i="64"/>
  <c r="D94" i="64" s="1"/>
  <c r="E94" i="64" s="1"/>
  <c r="C95" i="64"/>
  <c r="D95" i="64" s="1"/>
  <c r="E95" i="64" s="1"/>
  <c r="Q243" i="49"/>
  <c r="P243" i="49" s="1"/>
  <c r="E70" i="50"/>
  <c r="C87" i="64"/>
  <c r="D87" i="64" s="1"/>
  <c r="E87" i="64" s="1"/>
  <c r="I68" i="25" l="1"/>
  <c r="J68" i="25" s="1"/>
  <c r="I72" i="25"/>
  <c r="J72" i="25" s="1"/>
  <c r="I75" i="25"/>
  <c r="J75" i="25" s="1"/>
  <c r="M68" i="25"/>
  <c r="M80" i="25" s="1"/>
  <c r="AY244" i="89"/>
  <c r="D47" i="51"/>
  <c r="D31" i="51" s="1"/>
  <c r="D48" i="51"/>
  <c r="D32" i="51" s="1"/>
  <c r="D49" i="51"/>
  <c r="D33" i="51" s="1"/>
  <c r="D50" i="51"/>
  <c r="D34" i="51" s="1"/>
  <c r="D51" i="51"/>
  <c r="J51" i="51" s="1"/>
  <c r="J35" i="51" s="1"/>
  <c r="D52" i="51"/>
  <c r="D36" i="51" s="1"/>
  <c r="D53" i="51"/>
  <c r="D37" i="51" s="1"/>
  <c r="D54" i="51"/>
  <c r="D38" i="51" s="1"/>
  <c r="D55" i="51"/>
  <c r="D39" i="51" s="1"/>
  <c r="D56" i="51"/>
  <c r="D40" i="51" s="1"/>
  <c r="D57" i="51"/>
  <c r="D41" i="51" s="1"/>
  <c r="D58" i="51"/>
  <c r="D42" i="51" s="1"/>
  <c r="J56" i="51" l="1"/>
  <c r="J40" i="51" s="1"/>
  <c r="J52" i="51"/>
  <c r="J36" i="51" s="1"/>
  <c r="J54" i="51"/>
  <c r="J38" i="51" s="1"/>
  <c r="J48" i="51"/>
  <c r="J32" i="51" s="1"/>
  <c r="J57" i="51"/>
  <c r="J41" i="51" s="1"/>
  <c r="J55" i="51"/>
  <c r="J39" i="51" s="1"/>
  <c r="J53" i="51"/>
  <c r="J37" i="51" s="1"/>
  <c r="J49" i="51"/>
  <c r="J33" i="51" s="1"/>
  <c r="J47" i="51"/>
  <c r="J31" i="51" s="1"/>
  <c r="N68" i="25"/>
  <c r="N80" i="25" s="1"/>
  <c r="M35" i="51" s="1"/>
  <c r="D16" i="50" s="1"/>
  <c r="E16" i="50" s="1"/>
  <c r="I80" i="25"/>
  <c r="J80" i="25"/>
  <c r="M32" i="51" s="1"/>
  <c r="D13" i="50" s="1"/>
  <c r="E13" i="50" s="1"/>
  <c r="E68" i="25"/>
  <c r="F68" i="25" s="1"/>
  <c r="E69" i="25"/>
  <c r="F69" i="25" s="1"/>
  <c r="E70" i="25"/>
  <c r="F70" i="25" s="1"/>
  <c r="E71" i="25"/>
  <c r="F71" i="25" s="1"/>
  <c r="E73" i="25"/>
  <c r="F73" i="25" s="1"/>
  <c r="E74" i="25"/>
  <c r="F74" i="25" s="1"/>
  <c r="E75" i="25"/>
  <c r="F75" i="25" s="1"/>
  <c r="E76" i="25"/>
  <c r="F76" i="25" s="1"/>
  <c r="E77" i="25"/>
  <c r="F77" i="25" s="1"/>
  <c r="E78" i="25"/>
  <c r="F78" i="25" s="1"/>
  <c r="E79" i="25"/>
  <c r="F79" i="25" s="1"/>
  <c r="J58" i="51" l="1"/>
  <c r="J42" i="51" s="1"/>
  <c r="J50" i="51"/>
  <c r="J34" i="51" s="1"/>
  <c r="D35" i="51"/>
  <c r="E72" i="25" s="1"/>
  <c r="F72" i="25" s="1"/>
  <c r="F80" i="25" s="1"/>
  <c r="M34" i="51" s="1"/>
  <c r="M38" i="51" s="1"/>
  <c r="O13" i="50"/>
  <c r="M13" i="50" s="1"/>
  <c r="Q95" i="49"/>
  <c r="P95" i="49" s="1"/>
  <c r="O16" i="50"/>
  <c r="M16" i="50" s="1"/>
  <c r="Q92" i="49"/>
  <c r="P92" i="49" s="1"/>
  <c r="P13" i="50"/>
  <c r="N13" i="50"/>
  <c r="Q126" i="49"/>
  <c r="P126" i="49" s="1"/>
  <c r="Q129" i="49"/>
  <c r="P129" i="49" s="1"/>
  <c r="N16" i="50"/>
  <c r="P16" i="50"/>
  <c r="E80" i="25" l="1"/>
  <c r="D15" i="50"/>
  <c r="Q94" i="49" s="1"/>
  <c r="P94" i="49" s="1"/>
  <c r="AN166" i="89" l="1"/>
  <c r="O15" i="50"/>
  <c r="M15" i="50" s="1"/>
  <c r="E15" i="50"/>
  <c r="N15" i="50" s="1"/>
  <c r="AU233" i="89" l="1"/>
  <c r="AW233" i="89" s="1"/>
  <c r="AO166" i="89"/>
  <c r="C46" i="64"/>
  <c r="D46" i="64" s="1"/>
  <c r="E46" i="64" s="1"/>
  <c r="Q128" i="49"/>
  <c r="P128" i="49" s="1"/>
  <c r="P15" i="50"/>
  <c r="AY233" i="89" l="1"/>
  <c r="V32" i="58" l="1"/>
  <c r="V34" i="58" s="1"/>
  <c r="V52" i="58" s="1"/>
  <c r="V56" i="58" s="1"/>
  <c r="C545" i="85"/>
  <c r="C401" i="85"/>
  <c r="C674" i="85"/>
  <c r="C1179" i="85"/>
  <c r="C1649" i="85"/>
  <c r="C1206" i="85"/>
  <c r="C1951" i="85"/>
  <c r="C659" i="85"/>
  <c r="C1482" i="85"/>
  <c r="C812" i="85"/>
  <c r="C613" i="85"/>
  <c r="C1061" i="85"/>
  <c r="C355" i="85"/>
  <c r="C1658" i="85"/>
  <c r="C722" i="85"/>
  <c r="C1311" i="85"/>
  <c r="C370" i="85"/>
  <c r="C1788" i="85"/>
  <c r="C1502" i="85"/>
  <c r="C1105" i="85"/>
  <c r="C1124" i="85"/>
  <c r="C1215" i="85"/>
  <c r="C1867" i="85"/>
  <c r="C1092" i="85"/>
  <c r="C1574" i="85"/>
  <c r="C1555" i="85"/>
  <c r="C171" i="85"/>
  <c r="C1851" i="85"/>
  <c r="C729" i="85"/>
  <c r="C210" i="85"/>
  <c r="C862" i="85"/>
  <c r="C1352" i="85"/>
  <c r="C406" i="85"/>
  <c r="C418" i="85"/>
  <c r="C656" i="85"/>
  <c r="C702" i="85"/>
  <c r="C1921" i="85"/>
  <c r="C1922" i="85"/>
  <c r="C1271" i="85"/>
  <c r="C289" i="85"/>
  <c r="C1813" i="85"/>
  <c r="C802" i="85"/>
  <c r="C738" i="85"/>
  <c r="C1137" i="85"/>
  <c r="C964" i="85"/>
  <c r="C219" i="85"/>
  <c r="C514" i="85"/>
  <c r="C1987" i="85"/>
  <c r="C1364" i="85"/>
  <c r="C1950" i="85"/>
  <c r="C1193" i="85"/>
  <c r="C851" i="85"/>
  <c r="C1833" i="85"/>
  <c r="C1168" i="85"/>
  <c r="C1046" i="85"/>
  <c r="C717" i="85"/>
  <c r="C1703" i="85"/>
  <c r="C1578" i="85"/>
  <c r="C974" i="85"/>
  <c r="C1914" i="85"/>
  <c r="C936" i="85"/>
  <c r="C1475" i="85"/>
  <c r="C1968" i="85"/>
  <c r="C1505" i="85"/>
  <c r="C396" i="85"/>
  <c r="C1296" i="85"/>
  <c r="C330" i="85"/>
  <c r="C1252" i="85"/>
  <c r="C1633" i="85"/>
  <c r="C1859" i="85"/>
  <c r="C315" i="85"/>
  <c r="C1552" i="85"/>
  <c r="C1880" i="85"/>
  <c r="C620" i="85"/>
  <c r="C1020" i="85"/>
  <c r="C643" i="85"/>
  <c r="C951" i="85"/>
  <c r="C970" i="85"/>
  <c r="C1726" i="85"/>
  <c r="C1333" i="85"/>
  <c r="C220" i="85"/>
  <c r="C199" i="85"/>
  <c r="C319" i="85"/>
  <c r="C1909" i="85"/>
  <c r="C1897" i="85"/>
  <c r="C1479" i="85"/>
  <c r="C2000" i="85"/>
  <c r="C1735" i="85"/>
  <c r="C1528" i="85"/>
  <c r="C310" i="85"/>
  <c r="C335" i="85"/>
  <c r="C1676" i="85"/>
  <c r="C384" i="85"/>
  <c r="C1060" i="85"/>
  <c r="C1785" i="85"/>
  <c r="C1098" i="85"/>
  <c r="C821" i="85"/>
  <c r="C1380" i="85"/>
  <c r="C1239" i="85"/>
  <c r="C304" i="85"/>
  <c r="C633" i="85"/>
  <c r="C1767" i="85"/>
  <c r="C1707" i="85"/>
  <c r="C308" i="85"/>
  <c r="C646" i="85"/>
  <c r="C631" i="85"/>
  <c r="C1290" i="85"/>
  <c r="C906" i="85"/>
  <c r="C615" i="85"/>
  <c r="C436" i="85"/>
  <c r="C120" i="85"/>
  <c r="C1385" i="85"/>
  <c r="C1347" i="85"/>
  <c r="C952" i="85"/>
  <c r="C866" i="85"/>
  <c r="C327" i="85"/>
  <c r="C698" i="85"/>
  <c r="C1952" i="85"/>
  <c r="C1800" i="85"/>
  <c r="C234" i="85"/>
  <c r="C1421" i="85"/>
  <c r="C1960" i="85"/>
  <c r="C1926" i="85"/>
  <c r="C1799" i="85"/>
  <c r="C196" i="85"/>
  <c r="C1270" i="85"/>
  <c r="C1708" i="85"/>
  <c r="C339" i="85"/>
  <c r="C589" i="85"/>
  <c r="C1722" i="85"/>
  <c r="C1778" i="85"/>
  <c r="C1019" i="85"/>
  <c r="C1370" i="85"/>
  <c r="C792" i="85"/>
  <c r="C835" i="85"/>
  <c r="C1158" i="85"/>
  <c r="C357" i="85"/>
  <c r="C1648" i="85"/>
  <c r="C1805" i="85"/>
  <c r="C948" i="85"/>
  <c r="C85" i="85"/>
  <c r="C400" i="85"/>
  <c r="C1980" i="85"/>
  <c r="C1041" i="85"/>
  <c r="C394" i="85"/>
  <c r="C214" i="85"/>
  <c r="C1637" i="85"/>
  <c r="C734" i="85"/>
  <c r="C554" i="85"/>
  <c r="C174" i="85"/>
  <c r="C1919" i="85"/>
  <c r="C703" i="85"/>
  <c r="C1196" i="85"/>
  <c r="C1618" i="85"/>
  <c r="C1411" i="85"/>
  <c r="C1011" i="85"/>
  <c r="C320" i="85"/>
  <c r="C780" i="85"/>
  <c r="C758" i="85"/>
  <c r="C905" i="85"/>
  <c r="C1274" i="85"/>
  <c r="C907" i="85"/>
  <c r="C1463" i="85"/>
  <c r="C1681" i="85"/>
  <c r="C283" i="85"/>
  <c r="C1131" i="85"/>
  <c r="C1700" i="85"/>
  <c r="C1969" i="85"/>
  <c r="C1868" i="85"/>
  <c r="C1282" i="85"/>
  <c r="C409" i="85"/>
  <c r="C404" i="85"/>
  <c r="C1280" i="85"/>
  <c r="C1668" i="85"/>
  <c r="C1413" i="85"/>
  <c r="C1507" i="85"/>
  <c r="C1243" i="85"/>
  <c r="C1297" i="85"/>
  <c r="C1488" i="85"/>
  <c r="C1195" i="85"/>
  <c r="C410" i="85"/>
  <c r="C33" i="85"/>
  <c r="C1712" i="85"/>
  <c r="C453" i="85"/>
  <c r="C1678" i="85"/>
  <c r="C1038" i="85"/>
  <c r="C1251" i="85"/>
  <c r="C1180" i="85"/>
  <c r="C670" i="85"/>
  <c r="C1484" i="85"/>
  <c r="C728" i="85"/>
  <c r="C432" i="85"/>
  <c r="C328" i="85"/>
  <c r="C943" i="85"/>
  <c r="C1225" i="85"/>
  <c r="C1384" i="85"/>
  <c r="C1455" i="85"/>
  <c r="C1138" i="85"/>
  <c r="C1679" i="85"/>
  <c r="C1804" i="85"/>
  <c r="C897" i="85"/>
  <c r="C872" i="85"/>
  <c r="C577" i="85"/>
  <c r="C949" i="85"/>
  <c r="C35" i="85"/>
  <c r="C608" i="85"/>
  <c r="C1787" i="85"/>
  <c r="C625" i="85"/>
  <c r="C362" i="85"/>
  <c r="C1472" i="85"/>
  <c r="C626" i="85"/>
  <c r="C1743" i="85"/>
  <c r="C694" i="85"/>
  <c r="C1266" i="85"/>
  <c r="C1938" i="85"/>
  <c r="C1149" i="85"/>
  <c r="C1850" i="85"/>
  <c r="C1432" i="85"/>
  <c r="C916" i="85"/>
  <c r="C594" i="85"/>
  <c r="C1760" i="85"/>
  <c r="C1244" i="85"/>
  <c r="C520" i="85"/>
  <c r="C1662" i="85"/>
  <c r="C1176" i="85"/>
  <c r="C446" i="85"/>
  <c r="C1651" i="85"/>
  <c r="C1866" i="85"/>
  <c r="C536" i="85"/>
  <c r="C1338" i="85"/>
  <c r="C1360" i="85"/>
  <c r="C1870" i="85"/>
  <c r="C491" i="85"/>
  <c r="C507" i="85"/>
  <c r="C1140" i="85"/>
  <c r="C967" i="85"/>
  <c r="C532" i="85"/>
  <c r="C583" i="85"/>
  <c r="C1487" i="85"/>
  <c r="C1253" i="85"/>
  <c r="C944" i="85"/>
  <c r="C813" i="85"/>
  <c r="C405" i="85"/>
  <c r="C207" i="85"/>
  <c r="C1745" i="85"/>
  <c r="C1204" i="85"/>
  <c r="C1534" i="85"/>
  <c r="C782" i="85"/>
  <c r="C1906" i="85"/>
  <c r="C784" i="85"/>
  <c r="C745" i="85"/>
  <c r="C742" i="85"/>
  <c r="C1602" i="85"/>
  <c r="C1033" i="85"/>
  <c r="C837" i="85"/>
  <c r="C1017" i="85"/>
  <c r="C1491" i="85"/>
  <c r="C518" i="85"/>
  <c r="C272" i="85"/>
  <c r="C1550" i="85"/>
  <c r="C1109" i="85"/>
  <c r="C1006" i="85"/>
  <c r="C417" i="85"/>
  <c r="C744" i="85"/>
  <c r="C1079" i="85"/>
  <c r="C623" i="85"/>
  <c r="C1167" i="85"/>
  <c r="C1890" i="85"/>
  <c r="C408" i="85"/>
  <c r="C186" i="85"/>
  <c r="C1016" i="85"/>
  <c r="C1057" i="85"/>
  <c r="C1588" i="85"/>
  <c r="C736" i="85"/>
  <c r="C1715" i="85"/>
  <c r="C1671" i="85"/>
  <c r="C517" i="85"/>
  <c r="C586" i="85"/>
  <c r="C170" i="85"/>
  <c r="C962" i="85"/>
  <c r="C1623" i="85"/>
  <c r="C342" i="85"/>
  <c r="C1827" i="85"/>
  <c r="C1354" i="85"/>
  <c r="C1933" i="85"/>
  <c r="C1504" i="85"/>
  <c r="C1477" i="85"/>
  <c r="C1978" i="85"/>
  <c r="C1992" i="85"/>
  <c r="C1571" i="85"/>
  <c r="C250" i="85"/>
  <c r="C894" i="85"/>
  <c r="C1520" i="85"/>
  <c r="C630" i="85"/>
  <c r="C1362" i="85"/>
  <c r="C585" i="85"/>
  <c r="C1415" i="85"/>
  <c r="C377" i="85"/>
  <c r="C853" i="85"/>
  <c r="C1533" i="85"/>
  <c r="C180" i="85"/>
  <c r="C1889" i="85"/>
  <c r="C1307" i="85"/>
  <c r="C269" i="85"/>
  <c r="C669" i="85"/>
  <c r="C1754" i="85"/>
  <c r="C1177" i="85"/>
  <c r="C276" i="85"/>
  <c r="C321" i="85"/>
  <c r="C1971" i="85"/>
  <c r="C883" i="85"/>
  <c r="C772" i="85"/>
  <c r="C921" i="85"/>
  <c r="C1798" i="85"/>
  <c r="C979" i="85"/>
  <c r="C705" i="85"/>
  <c r="C645" i="85"/>
  <c r="C1925" i="85"/>
  <c r="C185" i="85"/>
  <c r="C124" i="85"/>
  <c r="C741" i="85"/>
  <c r="C1639" i="85"/>
  <c r="C915" i="85"/>
  <c r="C1424" i="85"/>
  <c r="C1169" i="85"/>
  <c r="C1097" i="85"/>
  <c r="C1113" i="85"/>
  <c r="C1526" i="85"/>
  <c r="C956" i="85"/>
  <c r="C1862" i="85"/>
  <c r="C1090" i="85"/>
  <c r="C607" i="85"/>
  <c r="C59" i="85"/>
  <c r="C1170" i="85"/>
  <c r="C564" i="85"/>
  <c r="C1956" i="85"/>
  <c r="C718" i="85"/>
  <c r="C1704" i="85"/>
  <c r="C901" i="85"/>
  <c r="C606" i="85"/>
  <c r="C240" i="85"/>
  <c r="C1073" i="85"/>
  <c r="C1539" i="85"/>
  <c r="C493" i="85"/>
  <c r="C1110" i="85"/>
  <c r="C1627" i="85"/>
  <c r="C1585" i="85"/>
  <c r="C676" i="85"/>
  <c r="C1340" i="85"/>
  <c r="C549" i="85"/>
  <c r="C1032" i="85"/>
  <c r="C995" i="85"/>
  <c r="C572" i="85"/>
  <c r="C1359" i="85"/>
  <c r="C216" i="85"/>
  <c r="C1844" i="85"/>
  <c r="C556" i="85"/>
  <c r="C530" i="85"/>
  <c r="C29" i="85"/>
  <c r="C1943" i="85"/>
  <c r="C889" i="85"/>
  <c r="C202" i="85"/>
  <c r="C1923" i="85"/>
  <c r="C1612" i="85"/>
  <c r="C712" i="85"/>
  <c r="C1087" i="85"/>
  <c r="C796" i="85"/>
  <c r="C1770" i="85"/>
  <c r="C857" i="85"/>
  <c r="C1228" i="85"/>
  <c r="C987" i="85"/>
  <c r="C67" i="85"/>
  <c r="C657" i="85"/>
  <c r="C1924" i="85"/>
  <c r="C1224" i="85"/>
  <c r="C1439" i="85"/>
  <c r="C340" i="85"/>
  <c r="C1260" i="85"/>
  <c r="C1688" i="85"/>
  <c r="C1368" i="85"/>
  <c r="C839" i="85"/>
  <c r="C476" i="85"/>
  <c r="C1219" i="85"/>
  <c r="C1610" i="85"/>
  <c r="C1877" i="85"/>
  <c r="C1899" i="85"/>
  <c r="C1630" i="85"/>
  <c r="C200" i="85"/>
  <c r="C69" i="85"/>
  <c r="C1748" i="85"/>
  <c r="C555" i="85"/>
  <c r="C1684" i="85"/>
  <c r="C868" i="85"/>
  <c r="C1599" i="85"/>
  <c r="C1231" i="85"/>
  <c r="C1797" i="85"/>
  <c r="C244" i="85"/>
  <c r="C1071" i="85"/>
  <c r="C1346" i="85"/>
  <c r="C1454" i="85"/>
  <c r="C1051" i="85"/>
  <c r="C447" i="85"/>
  <c r="C324" i="85"/>
  <c r="C445" i="85"/>
  <c r="C1255" i="85"/>
  <c r="C684" i="85"/>
  <c r="C1106" i="85"/>
  <c r="C590" i="85"/>
  <c r="C492" i="85"/>
  <c r="C1795" i="85"/>
  <c r="C288" i="85"/>
  <c r="C1660" i="85"/>
  <c r="C1410" i="85"/>
  <c r="C1447" i="85"/>
  <c r="C1653" i="85"/>
  <c r="C1480" i="85"/>
  <c r="C1315" i="85"/>
  <c r="C1404" i="85"/>
  <c r="C1402" i="85"/>
  <c r="C1250" i="85"/>
  <c r="C1718" i="85"/>
  <c r="C252" i="85"/>
  <c r="C242" i="85"/>
  <c r="C1495" i="85"/>
  <c r="C172" i="85"/>
  <c r="C1724" i="85"/>
  <c r="C477" i="85"/>
  <c r="C735" i="85"/>
  <c r="C1329" i="85"/>
  <c r="C1759" i="85"/>
  <c r="C474" i="85"/>
  <c r="C604" i="85"/>
  <c r="C795" i="85"/>
  <c r="C280" i="85"/>
  <c r="C1826" i="85"/>
  <c r="C1039" i="85"/>
  <c r="C612" i="85"/>
  <c r="C265" i="85"/>
  <c r="C1801" i="85"/>
  <c r="C1220" i="85"/>
  <c r="C826" i="85"/>
  <c r="C1278" i="85"/>
  <c r="C946" i="85"/>
  <c r="C483" i="85"/>
  <c r="C667" i="85"/>
  <c r="C910" i="85"/>
  <c r="C1577" i="85"/>
  <c r="C1773" i="85"/>
  <c r="C1375" i="85"/>
  <c r="C1102" i="85"/>
  <c r="C1966" i="85"/>
  <c r="C352" i="85"/>
  <c r="C848" i="85"/>
  <c r="C665" i="85"/>
  <c r="C395" i="85"/>
  <c r="C482" i="85"/>
  <c r="C569" i="85"/>
  <c r="C1818" i="85"/>
  <c r="C1626" i="85"/>
  <c r="C1064" i="85"/>
  <c r="C1203" i="85"/>
  <c r="C955" i="85"/>
  <c r="C1383" i="85"/>
  <c r="C204" i="85"/>
  <c r="C169" i="85"/>
  <c r="C1001" i="85"/>
  <c r="C1261" i="85"/>
  <c r="C54" i="85"/>
  <c r="C381" i="85"/>
  <c r="C1353" i="85"/>
  <c r="C1625" i="85"/>
  <c r="C846" i="85"/>
  <c r="C231" i="85"/>
  <c r="C1916" i="85"/>
  <c r="C1321" i="85"/>
  <c r="C1673" i="85"/>
  <c r="C323" i="85"/>
  <c r="C1323" i="85"/>
  <c r="C402" i="85"/>
  <c r="C1677" i="85"/>
  <c r="C994" i="85"/>
  <c r="C1570" i="85"/>
  <c r="C947" i="85"/>
  <c r="C1040" i="85"/>
  <c r="C1133" i="85"/>
  <c r="C1072" i="85"/>
  <c r="C882" i="85"/>
  <c r="C1078" i="85"/>
  <c r="C1037" i="85"/>
  <c r="C609" i="85"/>
  <c r="C1208" i="85"/>
  <c r="C1264" i="85"/>
  <c r="C1461" i="85"/>
  <c r="C1142" i="85"/>
  <c r="C711" i="85"/>
  <c r="C1652" i="85"/>
  <c r="C277" i="85"/>
  <c r="C183" i="85"/>
  <c r="C1962" i="85"/>
  <c r="C887" i="85"/>
  <c r="C51" i="85"/>
  <c r="C1719" i="85"/>
  <c r="C855" i="85"/>
  <c r="C1972" i="85"/>
  <c r="C459" i="85"/>
  <c r="C313" i="85"/>
  <c r="C1148" i="85"/>
  <c r="C1557" i="85"/>
  <c r="C1363" i="85"/>
  <c r="C1780" i="85"/>
  <c r="C1638" i="85"/>
  <c r="C1695" i="85"/>
  <c r="C393" i="85"/>
  <c r="C1028" i="85"/>
  <c r="C1068" i="85"/>
  <c r="C440" i="85"/>
  <c r="C259" i="85"/>
  <c r="C827" i="85"/>
  <c r="C1376" i="85"/>
  <c r="C997" i="85"/>
  <c r="C1214" i="85"/>
  <c r="C816" i="85"/>
  <c r="C302" i="85"/>
  <c r="C1005" i="85"/>
  <c r="C1471" i="85"/>
  <c r="C740" i="85"/>
  <c r="C34" i="85"/>
  <c r="C1313" i="85"/>
  <c r="C1525" i="85"/>
  <c r="C523" i="85"/>
  <c r="C900" i="85"/>
  <c r="C1702" i="85"/>
  <c r="C1808" i="85"/>
  <c r="C597" i="85"/>
  <c r="C800" i="85"/>
  <c r="C298" i="85"/>
  <c r="C1101" i="85"/>
  <c r="C399" i="85"/>
  <c r="C217" i="85"/>
  <c r="C1538" i="85"/>
  <c r="C714" i="85"/>
  <c r="C1050" i="85"/>
  <c r="C1723" i="85"/>
  <c r="C1246" i="85"/>
  <c r="C1519" i="85"/>
  <c r="C1634" i="85"/>
  <c r="C807" i="85"/>
  <c r="C939" i="85"/>
  <c r="C1029" i="85"/>
  <c r="C1717" i="85"/>
  <c r="C1469" i="85"/>
  <c r="C1734" i="85"/>
  <c r="C438" i="85"/>
  <c r="C1433" i="85"/>
  <c r="C354" i="85"/>
  <c r="C877" i="85"/>
  <c r="C1959" i="85"/>
  <c r="C1830" i="85"/>
  <c r="C1741" i="85"/>
  <c r="C1854" i="85"/>
  <c r="C1713" i="85"/>
  <c r="C1764" i="85"/>
  <c r="C635" i="85"/>
  <c r="C1879" i="85"/>
  <c r="C1318" i="85"/>
  <c r="C1576" i="85"/>
  <c r="C663" i="85"/>
  <c r="C1107" i="85"/>
  <c r="C685" i="85"/>
  <c r="C571" i="85"/>
  <c r="C193" i="85"/>
  <c r="C1172" i="85"/>
  <c r="C1803" i="85"/>
  <c r="C565" i="85"/>
  <c r="C379" i="85"/>
  <c r="C385" i="85"/>
  <c r="C1418" i="85"/>
  <c r="C490" i="85"/>
  <c r="C1130" i="85"/>
  <c r="C215" i="85"/>
  <c r="C654" i="85"/>
  <c r="C267" i="85"/>
  <c r="C1861" i="85"/>
  <c r="C1162" i="85"/>
  <c r="C338" i="85"/>
  <c r="C1955" i="85"/>
  <c r="C314" i="85"/>
  <c r="C1632" i="85"/>
  <c r="C1076" i="85"/>
  <c r="C1521" i="85"/>
  <c r="C1614" i="85"/>
  <c r="C1836" i="85"/>
  <c r="C1729" i="85"/>
  <c r="C1692" i="85"/>
  <c r="C1478" i="85"/>
  <c r="C187" i="85"/>
  <c r="C1416" i="85"/>
  <c r="C279" i="85"/>
  <c r="C1500" i="85"/>
  <c r="C1444" i="85"/>
  <c r="C1305" i="85"/>
  <c r="C793" i="85"/>
  <c r="C1173" i="85"/>
  <c r="C1591" i="85"/>
  <c r="C1024" i="85"/>
  <c r="C1221" i="85"/>
  <c r="C1881" i="85"/>
  <c r="C1871" i="85"/>
  <c r="C1640" i="85"/>
  <c r="C1123" i="85"/>
  <c r="C205" i="85"/>
  <c r="C515" i="85"/>
  <c r="C1694" i="85"/>
  <c r="C1601" i="85"/>
  <c r="C1099" i="85"/>
  <c r="C1878" i="85"/>
  <c r="C1947" i="85"/>
  <c r="C1935" i="85"/>
  <c r="C1624" i="85"/>
  <c r="C343" i="85"/>
  <c r="C190" i="85"/>
  <c r="C1269" i="85"/>
  <c r="C1931" i="85"/>
  <c r="C1004" i="85"/>
  <c r="C488" i="85"/>
  <c r="C1116" i="85"/>
  <c r="C1641" i="85"/>
  <c r="C287" i="85"/>
  <c r="C603" i="85"/>
  <c r="C1322" i="85"/>
  <c r="C1524" i="85"/>
  <c r="C1286" i="85"/>
  <c r="C531" i="85"/>
  <c r="C1199" i="85"/>
  <c r="C767" i="85"/>
  <c r="C1766" i="85"/>
  <c r="C860" i="85"/>
  <c r="C442" i="85"/>
  <c r="C1136" i="85"/>
  <c r="C1091" i="85"/>
  <c r="C1399" i="85"/>
  <c r="C1593" i="85"/>
  <c r="C297" i="85"/>
  <c r="C1388" i="85"/>
  <c r="C754" i="85"/>
  <c r="C596" i="85"/>
  <c r="C1860" i="85"/>
  <c r="C1483" i="85"/>
  <c r="C1443" i="85"/>
  <c r="C1025" i="85"/>
  <c r="C322" i="85"/>
  <c r="C1549" i="85"/>
  <c r="C1976" i="85"/>
  <c r="C255" i="85"/>
  <c r="C1334" i="85"/>
  <c r="C1222" i="85"/>
  <c r="C1594" i="85"/>
  <c r="C1327" i="85"/>
  <c r="C1954" i="85"/>
  <c r="C715" i="85"/>
  <c r="C953" i="85"/>
  <c r="C345" i="85"/>
  <c r="C1940" i="85"/>
  <c r="C1573" i="85"/>
  <c r="C415" i="85"/>
  <c r="C1189" i="85"/>
  <c r="C1523" i="85"/>
  <c r="C1565" i="85"/>
  <c r="C1127" i="85"/>
  <c r="C1597" i="85"/>
  <c r="C727" i="85"/>
  <c r="C1769" i="85"/>
  <c r="C1337" i="85"/>
  <c r="C1373" i="85"/>
  <c r="C457" i="85"/>
  <c r="C429" i="85"/>
  <c r="C1288" i="85"/>
  <c r="C1698" i="85"/>
  <c r="C1846" i="85"/>
  <c r="C439" i="85"/>
  <c r="C84" i="85"/>
  <c r="C472" i="85"/>
  <c r="C1118" i="85"/>
  <c r="C225" i="85"/>
  <c r="C1233" i="85"/>
  <c r="C1904" i="85"/>
  <c r="C1957" i="85"/>
  <c r="C653" i="85"/>
  <c r="C842" i="85"/>
  <c r="C455" i="85"/>
  <c r="C599" i="85"/>
  <c r="C755" i="85"/>
  <c r="C984" i="85"/>
  <c r="C222" i="85"/>
  <c r="C743" i="85"/>
  <c r="C616" i="85"/>
  <c r="C1995" i="85"/>
  <c r="C1901" i="85"/>
  <c r="C1314" i="85"/>
  <c r="C197" i="85"/>
  <c r="C1613" i="85"/>
  <c r="C1114" i="85"/>
  <c r="C66" i="85"/>
  <c r="C347" i="85"/>
  <c r="C1657" i="85"/>
  <c r="C1012" i="85"/>
  <c r="C691" i="85"/>
  <c r="C1470" i="85"/>
  <c r="C1996" i="85"/>
  <c r="C1348" i="85"/>
  <c r="C1312" i="85"/>
  <c r="C1145" i="85"/>
  <c r="C701" i="85"/>
  <c r="C1309" i="85"/>
  <c r="C1733" i="85"/>
  <c r="C1516" i="85"/>
  <c r="C1779" i="85"/>
  <c r="C1211" i="85"/>
  <c r="C1265" i="85"/>
  <c r="C725" i="85"/>
  <c r="C1052" i="85"/>
  <c r="C1397" i="85"/>
  <c r="C752" i="85"/>
  <c r="C844" i="85"/>
  <c r="C896" i="85"/>
  <c r="C1843" i="85"/>
  <c r="C1240" i="85"/>
  <c r="C1396" i="85"/>
  <c r="C1536" i="85"/>
  <c r="C992" i="85"/>
  <c r="C332" i="85"/>
  <c r="C1946" i="85"/>
  <c r="C463" i="85"/>
  <c r="C963" i="85"/>
  <c r="C1820" i="85"/>
  <c r="C1975" i="85"/>
  <c r="C610" i="85"/>
  <c r="C317" i="85"/>
  <c r="C1532" i="85"/>
  <c r="C1197" i="85"/>
  <c r="C203" i="85"/>
  <c r="C1558" i="85"/>
  <c r="C831" i="85"/>
  <c r="C749" i="85"/>
  <c r="C697" i="85"/>
  <c r="C1247" i="85"/>
  <c r="C980" i="85"/>
  <c r="C182" i="85"/>
  <c r="C1007" i="85"/>
  <c r="C375" i="85"/>
  <c r="C881" i="85"/>
  <c r="C1423" i="85"/>
  <c r="C1205" i="85"/>
  <c r="C1427" i="85"/>
  <c r="C683" i="85"/>
  <c r="C390" i="85"/>
  <c r="C94" i="85"/>
  <c r="C924" i="85"/>
  <c r="C376" i="85"/>
  <c r="C935" i="85"/>
  <c r="C281" i="85"/>
  <c r="C1490" i="85"/>
  <c r="C534" i="85"/>
  <c r="C1287" i="85"/>
  <c r="C1081" i="85"/>
  <c r="C1728" i="85"/>
  <c r="C637" i="85"/>
  <c r="C1293" i="85"/>
  <c r="C1894" i="85"/>
  <c r="C566" i="85"/>
  <c r="C1185" i="85"/>
  <c r="C759" i="85"/>
  <c r="C680" i="85"/>
  <c r="C966" i="85"/>
  <c r="C181" i="85"/>
  <c r="C983" i="85"/>
  <c r="C825" i="85"/>
  <c r="C1339" i="85"/>
  <c r="C271" i="85"/>
  <c r="C1537" i="85"/>
  <c r="C1381" i="85"/>
  <c r="C1775" i="85"/>
  <c r="C917" i="85"/>
  <c r="C1595" i="85"/>
  <c r="C1473" i="85"/>
  <c r="C1053" i="85"/>
  <c r="C1774" i="85"/>
  <c r="C1958" i="85"/>
  <c r="C1462" i="85"/>
  <c r="C1292" i="85"/>
  <c r="C763" i="85"/>
  <c r="C253" i="85"/>
  <c r="C797" i="85"/>
  <c r="C1575" i="85"/>
  <c r="C1088" i="85"/>
  <c r="C1974" i="85"/>
  <c r="C454" i="85"/>
  <c r="C1437" i="85"/>
  <c r="C1581" i="85"/>
  <c r="C648" i="85"/>
  <c r="C443" i="85"/>
  <c r="C349" i="85"/>
  <c r="C1605" i="85"/>
  <c r="C278" i="85"/>
  <c r="C636" i="85"/>
  <c r="C748" i="85"/>
  <c r="C1378" i="85"/>
  <c r="C912" i="85"/>
  <c r="C617" i="85"/>
  <c r="C188" i="85"/>
  <c r="C1335" i="85"/>
  <c r="C1615" i="85"/>
  <c r="C1241" i="85"/>
  <c r="C1650" i="85"/>
  <c r="C499" i="85"/>
  <c r="C1655" i="85"/>
  <c r="C1937" i="85"/>
  <c r="C1163" i="85"/>
  <c r="C1438" i="85"/>
  <c r="C1198" i="85"/>
  <c r="C1257" i="85"/>
  <c r="C392" i="85"/>
  <c r="C841" i="85"/>
  <c r="C888" i="85"/>
  <c r="C762" i="85"/>
  <c r="C1705" i="85"/>
  <c r="C832" i="85"/>
  <c r="C902" i="85"/>
  <c r="C1263" i="85"/>
  <c r="C573" i="85"/>
  <c r="C1669" i="85"/>
  <c r="C750" i="85"/>
  <c r="C1903" i="85"/>
  <c r="C1058" i="85"/>
  <c r="C1554" i="85"/>
  <c r="C575" i="85"/>
  <c r="C651" i="85"/>
  <c r="C1450" i="85"/>
  <c r="C1178" i="85"/>
  <c r="C713" i="85"/>
  <c r="C865" i="85"/>
  <c r="C1845" i="85"/>
  <c r="C1171" i="85"/>
  <c r="C512" i="85"/>
  <c r="C1690" i="85"/>
  <c r="C824" i="85"/>
  <c r="C1535" i="85"/>
  <c r="C452" i="85"/>
  <c r="C1326" i="85"/>
  <c r="C1343" i="85"/>
  <c r="C1783" i="85"/>
  <c r="C1609" i="85"/>
  <c r="C258" i="85"/>
  <c r="C233" i="85"/>
  <c r="C201" i="85"/>
  <c r="C1687" i="85"/>
  <c r="C791" i="85"/>
  <c r="C1401" i="85"/>
  <c r="C1175" i="85"/>
  <c r="C1884" i="85"/>
  <c r="C529" i="85"/>
  <c r="C1377" i="85"/>
  <c r="C275" i="85"/>
  <c r="C1395" i="85"/>
  <c r="C1822" i="85"/>
  <c r="C687" i="85"/>
  <c r="C1582" i="85"/>
  <c r="C1200" i="85"/>
  <c r="C366" i="85"/>
  <c r="C1564" i="85"/>
  <c r="C551" i="85"/>
  <c r="C1784" i="85"/>
  <c r="C891" i="85"/>
  <c r="C1442" i="85"/>
  <c r="C1054" i="85"/>
  <c r="C291" i="85"/>
  <c r="C306" i="85"/>
  <c r="C389" i="85"/>
  <c r="C1446" i="85"/>
  <c r="C303" i="85"/>
  <c r="C1229" i="85"/>
  <c r="C618" i="85"/>
  <c r="C1905" i="85"/>
  <c r="C1405" i="85"/>
  <c r="C942" i="85"/>
  <c r="C819" i="85"/>
  <c r="C1014" i="85"/>
  <c r="C1714" i="85"/>
  <c r="C836" i="85"/>
  <c r="C316" i="85"/>
  <c r="C538" i="85"/>
  <c r="C391" i="85"/>
  <c r="C1430" i="85"/>
  <c r="C248" i="85"/>
  <c r="C890" i="85"/>
  <c r="C1611" i="85"/>
  <c r="C1781" i="85"/>
  <c r="C986" i="85"/>
  <c r="C1831" i="85"/>
  <c r="C1460" i="85"/>
  <c r="C1796" i="85"/>
  <c r="C1604" i="85"/>
  <c r="C600" i="85"/>
  <c r="C1431" i="85"/>
  <c r="C786" i="85"/>
  <c r="C1738" i="85"/>
  <c r="C1706" i="85"/>
  <c r="C1453" i="85"/>
  <c r="C426" i="85"/>
  <c r="C1763" i="85"/>
  <c r="C1086" i="85"/>
  <c r="C260" i="85"/>
  <c r="C257" i="85"/>
  <c r="C923" i="85"/>
  <c r="C1021" i="85"/>
  <c r="C508" i="85"/>
  <c r="C677" i="85"/>
  <c r="C451" i="85"/>
  <c r="C1518" i="85"/>
  <c r="C1716" i="85"/>
  <c r="C652" i="85"/>
  <c r="C769" i="85"/>
  <c r="C256" i="85"/>
  <c r="C777" i="85"/>
  <c r="C1357" i="85"/>
  <c r="C1152" i="85"/>
  <c r="C1474" i="85"/>
  <c r="C1160" i="85"/>
  <c r="C695" i="85"/>
  <c r="C1566" i="85"/>
  <c r="C537" i="85"/>
  <c r="C1988" i="85"/>
  <c r="C1936" i="85"/>
  <c r="C1547" i="85"/>
  <c r="C576" i="85"/>
  <c r="C239" i="85"/>
  <c r="C1709" i="85"/>
  <c r="C238" i="85"/>
  <c r="C1883" i="85"/>
  <c r="C1157" i="85"/>
  <c r="C871" i="85"/>
  <c r="C1569" i="85"/>
  <c r="C567" i="85"/>
  <c r="C208" i="85"/>
  <c r="C884" i="85"/>
  <c r="C1066" i="85"/>
  <c r="C1842" i="85"/>
  <c r="C1108" i="85"/>
  <c r="C1249" i="85"/>
  <c r="C423" i="85"/>
  <c r="C1739" i="85"/>
  <c r="C764" i="85"/>
  <c r="C1672" i="85"/>
  <c r="C42" i="85"/>
  <c r="C1762" i="85"/>
  <c r="C471" i="85"/>
  <c r="C1316" i="85"/>
  <c r="C550" i="85"/>
  <c r="C773" i="85"/>
  <c r="C560" i="85"/>
  <c r="C1888" i="85"/>
  <c r="C1656" i="85"/>
  <c r="C1151" i="85"/>
  <c r="C1268" i="85"/>
  <c r="C1828" i="85"/>
  <c r="C960" i="85"/>
  <c r="C1986" i="85"/>
  <c r="C798" i="85"/>
  <c r="C1740" i="85"/>
  <c r="C1182" i="85"/>
  <c r="C1663" i="85"/>
  <c r="C1563" i="85"/>
  <c r="C747" i="85"/>
  <c r="C1942" i="85"/>
  <c r="C1514" i="85"/>
  <c r="C1284" i="85"/>
  <c r="C1030" i="85"/>
  <c r="C241" i="85"/>
  <c r="C1761" i="85"/>
  <c r="C1435" i="85"/>
  <c r="C1941" i="85"/>
  <c r="C869" i="85"/>
  <c r="C1259" i="85"/>
  <c r="C1299" i="85"/>
  <c r="C1819" i="85"/>
  <c r="C614" i="85"/>
  <c r="C647" i="85"/>
  <c r="C1119" i="85"/>
  <c r="C503" i="85"/>
  <c r="C937" i="85"/>
  <c r="C1026" i="85"/>
  <c r="C246" i="85"/>
  <c r="C1372" i="85"/>
  <c r="C790" i="85"/>
  <c r="C954" i="85"/>
  <c r="C40" i="85"/>
  <c r="C1115" i="85"/>
  <c r="C1755" i="85"/>
  <c r="C1697" i="85"/>
  <c r="C1298" i="85"/>
  <c r="C838" i="85"/>
  <c r="C1835" i="85"/>
  <c r="C1737" i="85"/>
  <c r="C1055" i="85"/>
  <c r="C1409" i="85"/>
  <c r="C462" i="85"/>
  <c r="C1792" i="85"/>
  <c r="C1882" i="85"/>
  <c r="C1139" i="85"/>
  <c r="C1445" i="85"/>
  <c r="C86" i="85"/>
  <c r="C1308" i="85"/>
  <c r="C867" i="85"/>
  <c r="C1887" i="85"/>
  <c r="C692" i="85"/>
  <c r="C1917" i="85"/>
  <c r="C1750" i="85"/>
  <c r="C414" i="85"/>
  <c r="C584" i="85"/>
  <c r="C1876" i="85"/>
  <c r="C118" i="85"/>
  <c r="C768" i="85"/>
  <c r="C421" i="85"/>
  <c r="C325" i="85"/>
  <c r="C1236" i="85"/>
  <c r="C1048" i="85"/>
  <c r="C704" i="85"/>
  <c r="C1387" i="85"/>
  <c r="C810" i="85"/>
  <c r="C989" i="85"/>
  <c r="C1043" i="85"/>
  <c r="C1008" i="85"/>
  <c r="C544" i="85"/>
  <c r="C1982" i="85"/>
  <c r="C850" i="85"/>
  <c r="C1394" i="85"/>
  <c r="C1201" i="85"/>
  <c r="C823" i="85"/>
  <c r="C858" i="85"/>
  <c r="C1258" i="85"/>
  <c r="C290" i="85"/>
  <c r="C660" i="85"/>
  <c r="C1985" i="85"/>
  <c r="C1541" i="85"/>
  <c r="C661" i="85"/>
  <c r="C1929" i="85"/>
  <c r="C1689" i="85"/>
  <c r="C1075" i="85"/>
  <c r="C247" i="85"/>
  <c r="C1459" i="85"/>
  <c r="C261" i="85"/>
  <c r="C1727" i="85"/>
  <c r="C587" i="85"/>
  <c r="C506" i="85"/>
  <c r="C641" i="85"/>
  <c r="C568" i="85"/>
  <c r="C1414" i="85"/>
  <c r="C1587" i="85"/>
  <c r="C542" i="85"/>
  <c r="C209" i="85"/>
  <c r="C367" i="85"/>
  <c r="C189" i="85"/>
  <c r="C1893" i="85"/>
  <c r="C1448" i="85"/>
  <c r="C1725" i="85"/>
  <c r="C1303" i="85"/>
  <c r="C1302" i="85"/>
  <c r="C1665" i="85"/>
  <c r="C1426" i="85"/>
  <c r="C1789" i="85"/>
  <c r="C1911" i="85"/>
  <c r="C1441" i="85"/>
  <c r="C899" i="85"/>
  <c r="C1847" i="85"/>
  <c r="C973" i="85"/>
  <c r="C1510" i="85"/>
  <c r="C1865" i="85"/>
  <c r="C578" i="85"/>
  <c r="C361" i="85"/>
  <c r="C437" i="85"/>
  <c r="C700" i="85"/>
  <c r="C1964" i="85"/>
  <c r="C1042" i="85"/>
  <c r="C1317" i="85"/>
  <c r="C1621" i="85"/>
  <c r="C1018" i="85"/>
  <c r="C723" i="85"/>
  <c r="C1188" i="85"/>
  <c r="C1223" i="85"/>
  <c r="C1476" i="85"/>
  <c r="C1848" i="85"/>
  <c r="C666" i="85"/>
  <c r="C1857" i="85"/>
  <c r="C1412" i="85"/>
  <c r="C878" i="85"/>
  <c r="C930" i="85"/>
  <c r="C243" i="85"/>
  <c r="C1202" i="85"/>
  <c r="C1512" i="85"/>
  <c r="C746" i="85"/>
  <c r="C805" i="85"/>
  <c r="C801" i="85"/>
  <c r="C1407" i="85"/>
  <c r="C1083" i="85"/>
  <c r="C299" i="85"/>
  <c r="C1154" i="85"/>
  <c r="C1636" i="85"/>
  <c r="C245" i="85"/>
  <c r="C1181" i="85"/>
  <c r="C83" i="85"/>
  <c r="C213" i="85"/>
  <c r="C527" i="85"/>
  <c r="C852" i="85"/>
  <c r="C318" i="85"/>
  <c r="C495" i="85"/>
  <c r="C1056" i="85"/>
  <c r="C638" i="85"/>
  <c r="C1809" i="85"/>
  <c r="C1531" i="85"/>
  <c r="C1283" i="85"/>
  <c r="C1009" i="85"/>
  <c r="C1464" i="85"/>
  <c r="C1802" i="85"/>
  <c r="C178" i="85"/>
  <c r="C629" i="85"/>
  <c r="C1336" i="85"/>
  <c r="C1134" i="85"/>
  <c r="C1812" i="85"/>
  <c r="C497" i="85"/>
  <c r="C1084" i="85"/>
  <c r="C1983" i="85"/>
  <c r="C1752" i="85"/>
  <c r="C1910" i="85"/>
  <c r="C1457" i="85"/>
  <c r="C1422" i="85"/>
  <c r="C707" i="85"/>
  <c r="C1979" i="85"/>
  <c r="C516" i="85"/>
  <c r="C957" i="85"/>
  <c r="C300" i="85"/>
  <c r="C592" i="85"/>
  <c r="C431" i="85"/>
  <c r="C1486" i="85"/>
  <c r="C1965" i="85"/>
  <c r="C521" i="85"/>
  <c r="C1319" i="85"/>
  <c r="C1824" i="85"/>
  <c r="C1452" i="85"/>
  <c r="C331" i="85"/>
  <c r="C195" i="85"/>
  <c r="C1837" i="85"/>
  <c r="C1646" i="85"/>
  <c r="C1685" i="85"/>
  <c r="C460" i="85"/>
  <c r="C227" i="85"/>
  <c r="C485" i="85"/>
  <c r="C505" i="85"/>
  <c r="C1492" i="85"/>
  <c r="C295" i="85"/>
  <c r="C1393" i="85"/>
  <c r="C1856" i="85"/>
  <c r="C1465" i="85"/>
  <c r="C128" i="85"/>
  <c r="C434" i="85"/>
  <c r="C1742" i="85"/>
  <c r="C1981" i="85"/>
  <c r="C232" i="85"/>
  <c r="C1567" i="85"/>
  <c r="C1310" i="85"/>
  <c r="C895" i="85"/>
  <c r="C696" i="85"/>
  <c r="C334" i="85"/>
  <c r="C1386" i="85"/>
  <c r="C1776" i="85"/>
  <c r="C845" i="85"/>
  <c r="C1429" i="85"/>
  <c r="C1948" i="85"/>
  <c r="C1164" i="85"/>
  <c r="C548" i="85"/>
  <c r="C721" i="85"/>
  <c r="C1912" i="85"/>
  <c r="C1063" i="85"/>
  <c r="C1191" i="85"/>
  <c r="C1886" i="85"/>
  <c r="C1023" i="85"/>
  <c r="C988" i="85"/>
  <c r="C1699" i="85"/>
  <c r="C649" i="85"/>
  <c r="C224" i="85"/>
  <c r="C1628" i="85"/>
  <c r="C1155" i="85"/>
  <c r="C1973" i="85"/>
  <c r="C1834" i="85"/>
  <c r="C1379" i="85"/>
  <c r="C177" i="85"/>
  <c r="C526" i="85"/>
  <c r="C847" i="85"/>
  <c r="C598" i="85"/>
  <c r="C1806" i="85"/>
  <c r="C397" i="85"/>
  <c r="C920" i="85"/>
  <c r="C611" i="85"/>
  <c r="C1031" i="85"/>
  <c r="C496" i="85"/>
  <c r="C388" i="85"/>
  <c r="C484" i="85"/>
  <c r="C1659" i="85"/>
  <c r="C1361" i="85"/>
  <c r="C235" i="85"/>
  <c r="C350" i="85"/>
  <c r="C1900" i="85"/>
  <c r="C1606" i="85"/>
  <c r="C458" i="85"/>
  <c r="C1664" i="85"/>
  <c r="C559" i="85"/>
  <c r="C969" i="85"/>
  <c r="C1629" i="85"/>
  <c r="C372" i="85"/>
  <c r="C1675" i="85"/>
  <c r="C1077" i="85"/>
  <c r="C1067" i="85"/>
  <c r="C1183" i="85"/>
  <c r="C1059" i="85"/>
  <c r="C1584" i="85"/>
  <c r="C191" i="85"/>
  <c r="C1686" i="85"/>
  <c r="C1559" i="85"/>
  <c r="C1294" i="85"/>
  <c r="C1013" i="85"/>
  <c r="C1560" i="85"/>
  <c r="C1885" i="85"/>
  <c r="C820" i="85"/>
  <c r="C1751" i="85"/>
  <c r="C1902" i="85"/>
  <c r="C441" i="85"/>
  <c r="C1120" i="85"/>
  <c r="C419" i="85"/>
  <c r="C274" i="85"/>
  <c r="C500" i="85"/>
  <c r="C1062" i="85"/>
  <c r="C557" i="85"/>
  <c r="C668" i="85"/>
  <c r="C285" i="85"/>
  <c r="C502" i="85"/>
  <c r="C1324" i="85"/>
  <c r="C1267" i="85"/>
  <c r="C861" i="85"/>
  <c r="C958" i="85"/>
  <c r="C433" i="85"/>
  <c r="C1542" i="85"/>
  <c r="C465" i="85"/>
  <c r="C975" i="85"/>
  <c r="C681" i="85"/>
  <c r="C601" i="85"/>
  <c r="C348" i="85"/>
  <c r="C1070" i="85"/>
  <c r="C1732" i="85"/>
  <c r="C1603" i="85"/>
  <c r="C1301" i="85"/>
  <c r="C751" i="85"/>
  <c r="C817" i="85"/>
  <c r="C818" i="85"/>
  <c r="C1898" i="85"/>
  <c r="C1598" i="85"/>
  <c r="C1592" i="85"/>
  <c r="C716" i="85"/>
  <c r="C781" i="85"/>
  <c r="C489" i="85"/>
  <c r="C1953" i="85"/>
  <c r="C1276" i="85"/>
  <c r="C387" i="85"/>
  <c r="C1237" i="85"/>
  <c r="C543" i="85"/>
  <c r="C709" i="85"/>
  <c r="C1085" i="85"/>
  <c r="C1661" i="85"/>
  <c r="C1143" i="85"/>
  <c r="C64" i="85"/>
  <c r="C1273" i="85"/>
  <c r="C1509" i="85"/>
  <c r="C765" i="85"/>
  <c r="C1186" i="85"/>
  <c r="C450" i="85"/>
  <c r="C803" i="85"/>
  <c r="C1869" i="85"/>
  <c r="C1358" i="85"/>
  <c r="C1390" i="85"/>
  <c r="C192" i="85"/>
  <c r="C369" i="85"/>
  <c r="C424" i="85"/>
  <c r="C1998" i="85"/>
  <c r="C218" i="85"/>
  <c r="C333" i="85"/>
  <c r="C1814" i="85"/>
  <c r="C1440" i="85"/>
  <c r="C1367" i="85"/>
  <c r="C1406" i="85"/>
  <c r="C1074" i="85"/>
  <c r="C407" i="85"/>
  <c r="C296" i="85"/>
  <c r="C1069" i="85"/>
  <c r="C1425" i="85"/>
  <c r="C292" i="85"/>
  <c r="C1517" i="85"/>
  <c r="C991" i="85"/>
  <c r="C808" i="85"/>
  <c r="C1458" i="85"/>
  <c r="C632" i="85"/>
  <c r="C658" i="85"/>
  <c r="C595" i="85"/>
  <c r="C1840" i="85"/>
  <c r="C1683" i="85"/>
  <c r="C1721" i="85"/>
  <c r="C1693" i="85"/>
  <c r="C1546" i="85"/>
  <c r="C326" i="85"/>
  <c r="C1892" i="85"/>
  <c r="C753" i="85"/>
  <c r="C671" i="85"/>
  <c r="C513" i="85"/>
  <c r="C1295" i="85"/>
  <c r="C1417" i="85"/>
  <c r="C1967" i="85"/>
  <c r="C1583" i="85"/>
  <c r="C1622" i="85"/>
  <c r="C655" i="85"/>
  <c r="C1089" i="85"/>
  <c r="C1896" i="85"/>
  <c r="C940" i="85"/>
  <c r="C1279" i="85"/>
  <c r="C927" i="85"/>
  <c r="C268" i="85"/>
  <c r="C368" i="85"/>
  <c r="C998" i="85"/>
  <c r="C184" i="85"/>
  <c r="C456" i="85"/>
  <c r="C580" i="85"/>
  <c r="C789" i="85"/>
  <c r="C950" i="85"/>
  <c r="C639" i="85"/>
  <c r="C1853" i="85"/>
  <c r="C732" i="85"/>
  <c r="C1816" i="85"/>
  <c r="C1908" i="85"/>
  <c r="C1674" i="85"/>
  <c r="C766" i="85"/>
  <c r="C468" i="85"/>
  <c r="C1015" i="85"/>
  <c r="C378" i="85"/>
  <c r="C1730" i="85"/>
  <c r="C1635" i="85"/>
  <c r="C574" i="85"/>
  <c r="C909" i="85"/>
  <c r="C1217" i="85"/>
  <c r="C898" i="85"/>
  <c r="C1161" i="85"/>
  <c r="C91" i="85"/>
  <c r="C1731" i="85"/>
  <c r="C1144" i="85"/>
  <c r="C1022" i="85"/>
  <c r="C737" i="85"/>
  <c r="C893" i="85"/>
  <c r="C427" i="85"/>
  <c r="C1855" i="85"/>
  <c r="C337" i="85"/>
  <c r="C783" i="85"/>
  <c r="C282" i="85"/>
  <c r="C266" i="85"/>
  <c r="C1590" i="85"/>
  <c r="C1434" i="85"/>
  <c r="C1939" i="85"/>
  <c r="C1392" i="85"/>
  <c r="C814" i="85"/>
  <c r="C307" i="85"/>
  <c r="C804" i="85"/>
  <c r="C1503" i="85"/>
  <c r="C1398" i="85"/>
  <c r="C416" i="85"/>
  <c r="C1553" i="85"/>
  <c r="C411" i="85"/>
  <c r="C1513" i="85"/>
  <c r="C977" i="85"/>
  <c r="C1331" i="85"/>
  <c r="C473" i="85"/>
  <c r="C374" i="85"/>
  <c r="C1350" i="85"/>
  <c r="C533" i="85"/>
  <c r="C1666" i="85"/>
  <c r="C1811" i="85"/>
  <c r="C1325" i="85"/>
  <c r="C856" i="85"/>
  <c r="C971" i="85"/>
  <c r="C1094" i="85"/>
  <c r="C1332" i="85"/>
  <c r="C522" i="85"/>
  <c r="C525" i="85"/>
  <c r="C1907" i="85"/>
  <c r="C301" i="85"/>
  <c r="C524" i="85"/>
  <c r="C1126" i="85"/>
  <c r="C1993" i="85"/>
  <c r="C263" i="85"/>
  <c r="C27" i="85"/>
  <c r="C928" i="85"/>
  <c r="C546" i="85"/>
  <c r="C965" i="85"/>
  <c r="C873" i="85"/>
  <c r="C264" i="85"/>
  <c r="C1872" i="85"/>
  <c r="C1984" i="85"/>
  <c r="C1791" i="85"/>
  <c r="C593" i="85"/>
  <c r="C662" i="85"/>
  <c r="C329" i="85"/>
  <c r="C311" i="85"/>
  <c r="C911" i="85"/>
  <c r="C815" i="85"/>
  <c r="C1100" i="85"/>
  <c r="C1529" i="85"/>
  <c r="C1147" i="85"/>
  <c r="C788" i="85"/>
  <c r="C122" i="85"/>
  <c r="C382" i="85"/>
  <c r="C262" i="85"/>
  <c r="C449" i="85"/>
  <c r="C294" i="85"/>
  <c r="C1371" i="85"/>
  <c r="C194" i="85"/>
  <c r="C284" i="85"/>
  <c r="C1374" i="85"/>
  <c r="C179" i="85"/>
  <c r="C116" i="85"/>
  <c r="C1034" i="85"/>
  <c r="C365" i="85"/>
  <c r="C1485" i="85"/>
  <c r="C1391" i="85"/>
  <c r="C1817" i="85"/>
  <c r="C650" i="85"/>
  <c r="C1961" i="85"/>
  <c r="C198" i="85"/>
  <c r="C425" i="85"/>
  <c r="C1277" i="85"/>
  <c r="C811" i="85"/>
  <c r="C686" i="85"/>
  <c r="C467" i="85"/>
  <c r="C358" i="85"/>
  <c r="C1772" i="85"/>
  <c r="C1093" i="85"/>
  <c r="C1586" i="85"/>
  <c r="C1580" i="85"/>
  <c r="C794" i="85"/>
  <c r="C1977" i="85"/>
  <c r="C1129" i="85"/>
  <c r="C1306" i="85"/>
  <c r="C673" i="85"/>
  <c r="C1330" i="85"/>
  <c r="C1757" i="85"/>
  <c r="C1746" i="85"/>
  <c r="C945" i="85"/>
  <c r="C466" i="85"/>
  <c r="C756" i="85"/>
  <c r="C1821" i="85"/>
  <c r="C1944" i="85"/>
  <c r="C1720" i="85"/>
  <c r="C1832" i="85"/>
  <c r="C1207" i="85"/>
  <c r="C1777" i="85"/>
  <c r="C237" i="85"/>
  <c r="C760" i="85"/>
  <c r="C1036" i="85"/>
  <c r="C1794" i="85"/>
  <c r="C926" i="85"/>
  <c r="C1344" i="85"/>
  <c r="C1304" i="85"/>
  <c r="C1213" i="85"/>
  <c r="C730" i="85"/>
  <c r="C870" i="85"/>
  <c r="C341" i="85"/>
  <c r="C876" i="85"/>
  <c r="C47" i="85"/>
  <c r="C982" i="85"/>
  <c r="C579" i="85"/>
  <c r="C624" i="85"/>
  <c r="C1506" i="85"/>
  <c r="C688" i="85"/>
  <c r="C383" i="85"/>
  <c r="C1608" i="85"/>
  <c r="C1561" i="85"/>
  <c r="C509" i="85"/>
  <c r="C420" i="85"/>
  <c r="C1508" i="85"/>
  <c r="C830" i="85"/>
  <c r="C757" i="85"/>
  <c r="C422" i="85"/>
  <c r="C779" i="85"/>
  <c r="C1991" i="85"/>
  <c r="C918" i="85"/>
  <c r="C806" i="85"/>
  <c r="C959" i="85"/>
  <c r="C1408" i="85"/>
  <c r="C1262" i="85"/>
  <c r="C1342" i="85"/>
  <c r="C622" i="85"/>
  <c r="C351" i="85"/>
  <c r="C931" i="85"/>
  <c r="C1027" i="85"/>
  <c r="C1551" i="85"/>
  <c r="C1918" i="85"/>
  <c r="C1654" i="85"/>
  <c r="C553" i="85"/>
  <c r="C1272" i="85"/>
  <c r="C1166" i="85"/>
  <c r="C929" i="85"/>
  <c r="C1928" i="85"/>
  <c r="C1419" i="85"/>
  <c r="C1493" i="85"/>
  <c r="C640" i="85"/>
  <c r="C1184" i="85"/>
  <c r="C726" i="85"/>
  <c r="C1617" i="85"/>
  <c r="C570" i="85"/>
  <c r="C1932" i="85"/>
  <c r="C1682" i="85"/>
  <c r="C412" i="85"/>
  <c r="C1095" i="85"/>
  <c r="C206" i="85"/>
  <c r="C990" i="85"/>
  <c r="C1489" i="85"/>
  <c r="C1082" i="85"/>
  <c r="C1642" i="85"/>
  <c r="C175" i="85"/>
  <c r="C469" i="85"/>
  <c r="C1793" i="85"/>
  <c r="C552" i="85"/>
  <c r="C562" i="85"/>
  <c r="C464" i="85"/>
  <c r="C1696" i="85"/>
  <c r="C1254" i="85"/>
  <c r="C360" i="85"/>
  <c r="C1527" i="85"/>
  <c r="C922" i="85"/>
  <c r="C1104" i="85"/>
  <c r="C1112" i="85"/>
  <c r="C864" i="85"/>
  <c r="C223" i="85"/>
  <c r="C1990" i="85"/>
  <c r="C236" i="85"/>
  <c r="C1174" i="85"/>
  <c r="C1065" i="85"/>
  <c r="C1920" i="85"/>
  <c r="C1468" i="85"/>
  <c r="C519" i="85"/>
  <c r="C892" i="85"/>
  <c r="C1216" i="85"/>
  <c r="C461" i="85"/>
  <c r="C53" i="85"/>
  <c r="C605" i="85"/>
  <c r="C1456" i="85"/>
  <c r="C602" i="85"/>
  <c r="C1245" i="85"/>
  <c r="C1117" i="85"/>
  <c r="C1544" i="85"/>
  <c r="C1765" i="85"/>
  <c r="C1289" i="85"/>
  <c r="C799" i="85"/>
  <c r="C1970" i="85"/>
  <c r="C1497" i="85"/>
  <c r="C1562" i="85"/>
  <c r="C1963" i="85"/>
  <c r="C720" i="85"/>
  <c r="C774" i="85"/>
  <c r="C563" i="85"/>
  <c r="C1218" i="85"/>
  <c r="C1530" i="85"/>
  <c r="C1852" i="85"/>
  <c r="C1572" i="85"/>
  <c r="C547" i="85"/>
  <c r="C1242" i="85"/>
  <c r="C1758" i="85"/>
  <c r="C834" i="85"/>
  <c r="C535" i="85"/>
  <c r="C1545" i="85"/>
  <c r="C1496" i="85"/>
  <c r="C1945" i="85"/>
  <c r="C1568" i="85"/>
  <c r="C880" i="85"/>
  <c r="C1232" i="85"/>
  <c r="C228" i="85"/>
  <c r="C221" i="85"/>
  <c r="C1645" i="85"/>
  <c r="C359" i="85"/>
  <c r="C619" i="85"/>
  <c r="C679" i="85"/>
  <c r="C1049" i="85"/>
  <c r="C1210" i="85"/>
  <c r="C1238" i="85"/>
  <c r="C254" i="85"/>
  <c r="C1670" i="85"/>
  <c r="C435" i="85"/>
  <c r="C249" i="85"/>
  <c r="C1994" i="85"/>
  <c r="C486" i="85"/>
  <c r="C1841" i="85"/>
  <c r="C785" i="85"/>
  <c r="C481" i="85"/>
  <c r="C1498" i="85"/>
  <c r="C1156" i="85"/>
  <c r="C1403" i="85"/>
  <c r="C1080" i="85"/>
  <c r="C849" i="85"/>
  <c r="C1467" i="85"/>
  <c r="C1838" i="85"/>
  <c r="C470" i="85"/>
  <c r="C353" i="85"/>
  <c r="C380" i="85"/>
  <c r="C501" i="85"/>
  <c r="C1389" i="85"/>
  <c r="C1680" i="85"/>
  <c r="C1146" i="85"/>
  <c r="C1989" i="85"/>
  <c r="C693" i="85"/>
  <c r="C52" i="85"/>
  <c r="C1744" i="85"/>
  <c r="C1035" i="85"/>
  <c r="C1230" i="85"/>
  <c r="C1190" i="85"/>
  <c r="C1858" i="85"/>
  <c r="C1010" i="85"/>
  <c r="C270" i="85"/>
  <c r="C1226" i="85"/>
  <c r="C1369" i="85"/>
  <c r="C251" i="85"/>
  <c r="C1540" i="85"/>
  <c r="C761" i="85"/>
  <c r="C1436" i="85"/>
  <c r="C1192" i="85"/>
  <c r="C1556" i="85"/>
  <c r="C229" i="85"/>
  <c r="C886" i="85"/>
  <c r="C1596" i="85"/>
  <c r="C1875" i="85"/>
  <c r="C976" i="85"/>
  <c r="C933" i="85"/>
  <c r="C708" i="85"/>
  <c r="C1711" i="85"/>
  <c r="C539" i="85"/>
  <c r="C448" i="85"/>
  <c r="C305" i="85"/>
  <c r="C1548" i="85"/>
  <c r="C386" i="85"/>
  <c r="C1891" i="85"/>
  <c r="C1382" i="85"/>
  <c r="C1913" i="85"/>
  <c r="C627" i="85"/>
  <c r="C644" i="85"/>
  <c r="C1466" i="85"/>
  <c r="C1600" i="85"/>
  <c r="C41" i="85"/>
  <c r="C371" i="85"/>
  <c r="C479" i="85"/>
  <c r="C126" i="85"/>
  <c r="C403" i="85"/>
  <c r="C1291" i="85"/>
  <c r="C1000" i="85"/>
  <c r="C1125" i="85"/>
  <c r="C678" i="85"/>
  <c r="C919" i="85"/>
  <c r="C938" i="85"/>
  <c r="C1285" i="85"/>
  <c r="C28" i="85"/>
  <c r="C770" i="85"/>
  <c r="C1355" i="85"/>
  <c r="C1825" i="85"/>
  <c r="C591" i="85"/>
  <c r="C475" i="85"/>
  <c r="C1128" i="85"/>
  <c r="C719" i="85"/>
  <c r="C1227" i="85"/>
  <c r="C1499" i="85"/>
  <c r="C480" i="85"/>
  <c r="C1349" i="85"/>
  <c r="C1667" i="85"/>
  <c r="C999" i="85"/>
  <c r="C1543" i="85"/>
  <c r="C173" i="85"/>
  <c r="C356" i="85"/>
  <c r="C1300" i="85"/>
  <c r="C81" i="85"/>
  <c r="C731" i="85"/>
  <c r="C1141" i="85"/>
  <c r="C293" i="85"/>
  <c r="C903" i="85"/>
  <c r="C80" i="85"/>
  <c r="C1782" i="85"/>
  <c r="C985" i="85"/>
  <c r="C1620" i="85"/>
  <c r="C286" i="85"/>
  <c r="C1643" i="85"/>
  <c r="C809" i="85"/>
  <c r="C1111" i="85"/>
  <c r="C833" i="85"/>
  <c r="C1366" i="85"/>
  <c r="C1345" i="85"/>
  <c r="C444" i="85"/>
  <c r="C212" i="85"/>
  <c r="C1341" i="85"/>
  <c r="C1997" i="85"/>
  <c r="C413" i="85"/>
  <c r="C1999" i="85"/>
  <c r="C1320" i="85"/>
  <c r="C498" i="85"/>
  <c r="C689" i="85"/>
  <c r="C739" i="85"/>
  <c r="C875" i="85"/>
  <c r="C230" i="85"/>
  <c r="C1150" i="85"/>
  <c r="C682" i="85"/>
  <c r="C226" i="85"/>
  <c r="C972" i="85"/>
  <c r="C706" i="85"/>
  <c r="C1849" i="85"/>
  <c r="C1275" i="85"/>
  <c r="C1328" i="85"/>
  <c r="C1930" i="85"/>
  <c r="C1810" i="85"/>
  <c r="C1839" i="85"/>
  <c r="C1807" i="85"/>
  <c r="C776" i="85"/>
  <c r="C993" i="85"/>
  <c r="C787" i="85"/>
  <c r="C932" i="85"/>
  <c r="C1749" i="85"/>
  <c r="C487" i="85"/>
  <c r="C494" i="85"/>
  <c r="C775" i="85"/>
  <c r="C558" i="85"/>
  <c r="C664" i="85"/>
  <c r="C642" i="85"/>
  <c r="C822" i="85"/>
  <c r="C364" i="85"/>
  <c r="C908" i="85"/>
  <c r="C336" i="85"/>
  <c r="C176" i="85"/>
  <c r="C1044" i="85"/>
  <c r="C1122" i="85"/>
  <c r="C1187" i="85"/>
  <c r="C43" i="85"/>
  <c r="C478" i="85"/>
  <c r="C540" i="85"/>
  <c r="C733" i="85"/>
  <c r="C879" i="85"/>
  <c r="C1647" i="85"/>
  <c r="C710" i="85"/>
  <c r="C58" i="85"/>
  <c r="C690" i="85"/>
  <c r="C1235" i="85"/>
  <c r="C914" i="85"/>
  <c r="C1212" i="85"/>
  <c r="C634" i="85"/>
  <c r="C1753" i="85"/>
  <c r="C1616" i="85"/>
  <c r="C978" i="85"/>
  <c r="C430" i="85"/>
  <c r="C1256" i="85"/>
  <c r="C1515" i="85"/>
  <c r="C925" i="85"/>
  <c r="C904" i="85"/>
  <c r="C588" i="85"/>
  <c r="C1248" i="85"/>
  <c r="C628" i="85"/>
  <c r="C1631" i="85"/>
  <c r="C582" i="85"/>
  <c r="C168" i="85"/>
  <c r="C1365" i="85"/>
  <c r="C581" i="85"/>
  <c r="C1511" i="85"/>
  <c r="C1864" i="85"/>
  <c r="C1607" i="85"/>
  <c r="C981" i="85"/>
  <c r="C859" i="85"/>
  <c r="C829" i="85"/>
  <c r="C885" i="85"/>
  <c r="C699" i="85"/>
  <c r="C541" i="85"/>
  <c r="C1356" i="85"/>
  <c r="C561" i="85"/>
  <c r="C1096" i="85"/>
  <c r="C1710" i="85"/>
  <c r="C1451" i="85"/>
  <c r="C1915" i="85"/>
  <c r="C941" i="85"/>
  <c r="C672" i="85"/>
  <c r="C1522" i="85"/>
  <c r="C1823" i="85"/>
  <c r="C1768" i="85"/>
  <c r="C1002" i="85"/>
  <c r="C1927" i="85"/>
  <c r="C828" i="85"/>
  <c r="C1790" i="85"/>
  <c r="C1644" i="85"/>
  <c r="C273" i="85"/>
  <c r="C1579" i="85"/>
  <c r="C1589" i="85"/>
  <c r="C1786" i="85"/>
  <c r="C1771" i="85"/>
  <c r="C675" i="85"/>
  <c r="C934" i="85"/>
  <c r="C363" i="85"/>
  <c r="C961" i="85"/>
  <c r="C1691" i="85"/>
  <c r="C621" i="85"/>
  <c r="C1132" i="85"/>
  <c r="C1103" i="85"/>
  <c r="C510" i="85"/>
  <c r="C1494" i="85"/>
  <c r="C1003" i="85"/>
  <c r="C1756" i="85"/>
  <c r="C1234" i="85"/>
  <c r="C1874" i="85"/>
  <c r="C1159" i="85"/>
  <c r="C1701" i="85"/>
  <c r="C771" i="85"/>
  <c r="C309" i="85"/>
  <c r="C1873" i="85"/>
  <c r="C344" i="85"/>
  <c r="C1194" i="85"/>
  <c r="C1949" i="85"/>
  <c r="C1747" i="85"/>
  <c r="C1153" i="85"/>
  <c r="C211" i="85"/>
  <c r="C1829" i="85"/>
  <c r="C1815" i="85"/>
  <c r="C996" i="85"/>
  <c r="C1619" i="85"/>
  <c r="C1428" i="85"/>
  <c r="C373" i="85"/>
  <c r="C1934" i="85"/>
  <c r="C346" i="85"/>
  <c r="C528" i="85"/>
  <c r="C1209" i="85"/>
  <c r="C511" i="85"/>
  <c r="C1400" i="85"/>
  <c r="C1863" i="85"/>
  <c r="C1736" i="85"/>
  <c r="C1449" i="85"/>
  <c r="C504" i="85"/>
  <c r="C968" i="85"/>
  <c r="C1501" i="85"/>
  <c r="C1121" i="85"/>
  <c r="C874" i="85"/>
  <c r="C1165" i="85"/>
  <c r="C1047" i="85"/>
  <c r="C428" i="85"/>
  <c r="C1351" i="85"/>
  <c r="C1895" i="85"/>
  <c r="C913" i="85"/>
  <c r="C1045" i="85"/>
  <c r="C840" i="85"/>
  <c r="C398" i="85"/>
  <c r="C843" i="85"/>
  <c r="C863" i="85"/>
  <c r="C854" i="85"/>
  <c r="C1420" i="85"/>
  <c r="C724" i="85"/>
  <c r="C778" i="85"/>
  <c r="C312" i="85"/>
  <c r="C1281" i="85"/>
  <c r="C1481" i="85"/>
  <c r="C1135" i="85"/>
  <c r="F1" i="71"/>
  <c r="F2" i="71"/>
  <c r="D41" i="71"/>
  <c r="D42" i="71"/>
  <c r="D43" i="71"/>
  <c r="D44" i="71"/>
  <c r="D45" i="71"/>
  <c r="D46" i="71"/>
  <c r="D47" i="71"/>
  <c r="D48" i="71"/>
  <c r="D49" i="71"/>
  <c r="D50" i="71"/>
  <c r="D51" i="71"/>
  <c r="D52" i="71"/>
  <c r="D53" i="71"/>
  <c r="D54" i="71"/>
  <c r="D55" i="71"/>
  <c r="P6" i="49"/>
  <c r="Q6" i="49"/>
  <c r="P7" i="49"/>
  <c r="Q7" i="49"/>
  <c r="P8" i="49"/>
  <c r="Q8" i="49"/>
  <c r="P13" i="49"/>
  <c r="Q13" i="49"/>
  <c r="P16" i="49"/>
  <c r="Q16" i="49"/>
  <c r="P37" i="49"/>
  <c r="Q37" i="49"/>
  <c r="P38" i="49"/>
  <c r="Q38" i="49"/>
  <c r="P39" i="49"/>
  <c r="Q39" i="49"/>
  <c r="P40" i="49"/>
  <c r="Q40" i="49"/>
  <c r="P41" i="49"/>
  <c r="Q41" i="49"/>
  <c r="P42" i="49"/>
  <c r="Q42" i="49"/>
  <c r="P43" i="49"/>
  <c r="Q43" i="49"/>
  <c r="P44" i="49"/>
  <c r="Q44" i="49"/>
  <c r="P45" i="49"/>
  <c r="Q45" i="49"/>
  <c r="P46" i="49"/>
  <c r="Q46" i="49"/>
  <c r="P48" i="49"/>
  <c r="Q48" i="49"/>
  <c r="P49" i="49"/>
  <c r="Q49" i="49"/>
  <c r="P50" i="49"/>
  <c r="Q50" i="49"/>
  <c r="P51" i="49"/>
  <c r="Q51" i="49"/>
  <c r="P110" i="49"/>
  <c r="Q110" i="49"/>
  <c r="P111" i="49"/>
  <c r="Q111" i="49"/>
  <c r="P114" i="49"/>
  <c r="Q114" i="49"/>
  <c r="P143" i="49"/>
  <c r="Q143" i="49"/>
  <c r="P144" i="49"/>
  <c r="Q144" i="49"/>
  <c r="P145" i="49"/>
  <c r="Q145" i="49"/>
  <c r="P148" i="49"/>
  <c r="Q148" i="49"/>
  <c r="P164" i="49"/>
  <c r="Q164" i="49"/>
  <c r="P165" i="49"/>
  <c r="Q165" i="49"/>
  <c r="P166" i="49"/>
  <c r="Q166" i="49"/>
  <c r="P168" i="49"/>
  <c r="Q168" i="49"/>
  <c r="P170" i="49"/>
  <c r="Q170" i="49"/>
  <c r="P171" i="49"/>
  <c r="Q171" i="49"/>
  <c r="P172" i="49"/>
  <c r="Q172" i="49"/>
  <c r="P175" i="49"/>
  <c r="Q175" i="49"/>
  <c r="P176" i="49"/>
  <c r="Q176" i="49"/>
  <c r="P177" i="49"/>
  <c r="Q177" i="49"/>
  <c r="P183" i="49"/>
  <c r="Q183" i="49"/>
  <c r="P184" i="49"/>
  <c r="Q184" i="49"/>
  <c r="P185" i="49"/>
  <c r="Q185" i="49"/>
  <c r="P230" i="49"/>
  <c r="Q230" i="49"/>
  <c r="P231" i="49"/>
  <c r="Q231" i="49"/>
  <c r="P232" i="49"/>
  <c r="Q232" i="49"/>
  <c r="P233" i="49"/>
  <c r="Q233" i="49"/>
  <c r="P234" i="49"/>
  <c r="Q234" i="49"/>
  <c r="P235" i="49"/>
  <c r="Q235" i="49"/>
  <c r="P238" i="49"/>
  <c r="Q238" i="49"/>
  <c r="P239" i="49"/>
  <c r="Q239" i="49"/>
  <c r="P240" i="49"/>
  <c r="Q240" i="49"/>
  <c r="P241" i="49"/>
  <c r="Q241" i="49"/>
  <c r="P242" i="49"/>
  <c r="Q242" i="49"/>
  <c r="P244" i="49"/>
  <c r="Q244" i="49"/>
  <c r="P245" i="49"/>
  <c r="Q245" i="49"/>
  <c r="P246" i="49"/>
  <c r="Q246" i="49"/>
  <c r="P247" i="49"/>
  <c r="Q247" i="49"/>
  <c r="P248" i="49"/>
  <c r="Q248" i="49"/>
  <c r="P274" i="49"/>
  <c r="Q274" i="49"/>
  <c r="P275" i="49"/>
  <c r="Q275" i="49"/>
  <c r="P276" i="49"/>
  <c r="Q276" i="49"/>
  <c r="P277" i="49"/>
  <c r="Q277" i="49"/>
  <c r="P278" i="49"/>
  <c r="Q278" i="49"/>
  <c r="H1" i="78"/>
  <c r="H2" i="78"/>
  <c r="K35" i="39"/>
  <c r="K36" i="39"/>
  <c r="K42" i="39"/>
  <c r="K45" i="39"/>
  <c r="J73" i="39"/>
  <c r="L73" i="39"/>
  <c r="M73" i="39"/>
  <c r="C99" i="39"/>
  <c r="C102" i="39"/>
  <c r="H1" i="87"/>
  <c r="H2" i="87"/>
  <c r="H1" i="61"/>
  <c r="H2" i="61"/>
  <c r="I1" i="51"/>
  <c r="I2" i="51"/>
  <c r="C6" i="51"/>
  <c r="L6" i="51"/>
  <c r="O7" i="51"/>
  <c r="L8" i="51"/>
  <c r="C9" i="51"/>
  <c r="L9" i="51"/>
  <c r="O9" i="51"/>
  <c r="L10" i="51"/>
  <c r="O11" i="51"/>
  <c r="O12" i="51"/>
  <c r="C13" i="51"/>
  <c r="L13" i="51"/>
  <c r="O13" i="51"/>
  <c r="L14" i="51"/>
  <c r="L17" i="51"/>
  <c r="L18" i="51"/>
  <c r="L19" i="51"/>
  <c r="G1" i="58"/>
  <c r="G2" i="58"/>
  <c r="C5" i="58"/>
  <c r="E6" i="58"/>
  <c r="C9" i="58"/>
  <c r="C10" i="58"/>
  <c r="C11" i="58"/>
  <c r="Q11" i="58"/>
  <c r="R11" i="58"/>
  <c r="C12" i="58"/>
  <c r="C13" i="58"/>
  <c r="N13" i="58"/>
  <c r="Q13" i="58"/>
  <c r="R13" i="58"/>
  <c r="C14" i="58"/>
  <c r="N14" i="58"/>
  <c r="N15" i="58"/>
  <c r="Q15" i="58"/>
  <c r="R15" i="58"/>
  <c r="S15" i="58"/>
  <c r="N16" i="58"/>
  <c r="Q16" i="58"/>
  <c r="R16" i="58"/>
  <c r="N17" i="58"/>
  <c r="Q17" i="58"/>
  <c r="R17" i="58"/>
  <c r="C18" i="58"/>
  <c r="F18" i="58"/>
  <c r="N18" i="58"/>
  <c r="Q18" i="58"/>
  <c r="N19" i="58"/>
  <c r="C20" i="58"/>
  <c r="F20" i="58"/>
  <c r="M20" i="58"/>
  <c r="C21" i="58"/>
  <c r="F21" i="58"/>
  <c r="C22" i="58"/>
  <c r="E22" i="58"/>
  <c r="F22" i="58"/>
  <c r="C23" i="58"/>
  <c r="E23" i="58"/>
  <c r="F23" i="58"/>
  <c r="T29" i="58"/>
  <c r="U29" i="58"/>
  <c r="W29" i="58"/>
  <c r="N30" i="58"/>
  <c r="O30" i="58"/>
  <c r="T32" i="58"/>
  <c r="M41" i="58"/>
  <c r="N41" i="58"/>
  <c r="M42" i="58"/>
  <c r="N42" i="58"/>
  <c r="M43" i="58"/>
  <c r="N43" i="58"/>
  <c r="M44" i="58"/>
  <c r="N44" i="58"/>
  <c r="M45" i="58"/>
  <c r="N45" i="58"/>
  <c r="M46" i="58"/>
  <c r="N46" i="58"/>
  <c r="M47" i="58"/>
  <c r="N47" i="58"/>
  <c r="K48" i="58"/>
  <c r="M48" i="58"/>
  <c r="N48" i="58"/>
  <c r="M53" i="58"/>
  <c r="N53" i="58"/>
  <c r="M54" i="58"/>
  <c r="N54" i="58"/>
  <c r="M55" i="58"/>
  <c r="N55" i="58"/>
  <c r="M56" i="58"/>
  <c r="N56" i="58"/>
  <c r="M57" i="58"/>
  <c r="N57" i="58"/>
  <c r="M58" i="58"/>
  <c r="N58" i="58"/>
  <c r="M59" i="58"/>
  <c r="N59" i="58"/>
  <c r="K60" i="58"/>
  <c r="M60" i="58"/>
  <c r="N60" i="58"/>
  <c r="N62" i="58"/>
  <c r="N63" i="58"/>
  <c r="N64" i="58"/>
  <c r="K65" i="58"/>
  <c r="K66" i="58"/>
  <c r="C68" i="58"/>
  <c r="I68" i="58"/>
  <c r="H1" i="50"/>
  <c r="H2" i="50"/>
  <c r="D5" i="50"/>
  <c r="D7" i="50"/>
  <c r="E7" i="50"/>
  <c r="D32" i="50"/>
  <c r="E32" i="50"/>
  <c r="D33" i="50"/>
  <c r="E33" i="50"/>
  <c r="D36" i="50"/>
  <c r="E36" i="50"/>
  <c r="D57" i="50"/>
  <c r="E57" i="50"/>
  <c r="D58" i="50"/>
  <c r="E58" i="50"/>
  <c r="D59" i="50"/>
  <c r="E59" i="50"/>
  <c r="D60" i="50"/>
  <c r="E60" i="50"/>
  <c r="D61" i="50"/>
  <c r="E61" i="50"/>
  <c r="D62" i="50"/>
  <c r="E62" i="50"/>
  <c r="D65" i="50"/>
  <c r="E65" i="50"/>
  <c r="D66" i="50"/>
  <c r="E66" i="50"/>
  <c r="D67" i="50"/>
  <c r="E67" i="50"/>
  <c r="D68" i="50"/>
  <c r="E68" i="50"/>
  <c r="D69" i="50"/>
  <c r="E69" i="50"/>
  <c r="D71" i="50"/>
  <c r="E71" i="50"/>
  <c r="D72" i="50"/>
  <c r="E72" i="50"/>
  <c r="D73" i="50"/>
  <c r="E73" i="50"/>
  <c r="D74" i="50"/>
  <c r="E74" i="50"/>
  <c r="D75" i="50"/>
  <c r="E75" i="50"/>
  <c r="E82" i="50"/>
  <c r="C48" i="85"/>
  <c r="C49" i="85"/>
  <c r="C50" i="85"/>
  <c r="C56" i="85"/>
  <c r="C61" i="85"/>
  <c r="C62" i="85"/>
  <c r="C63" i="85"/>
  <c r="C65" i="85"/>
  <c r="C68" i="85"/>
  <c r="C74" i="85"/>
  <c r="C75" i="85"/>
  <c r="C76" i="85"/>
  <c r="C78" i="85"/>
  <c r="C79" i="85"/>
  <c r="C92" i="85"/>
  <c r="C93" i="85"/>
  <c r="C13" i="137"/>
  <c r="D13" i="137"/>
  <c r="E13" i="137"/>
  <c r="C14" i="137"/>
  <c r="D14" i="137"/>
  <c r="E14" i="137"/>
  <c r="H1" i="25"/>
  <c r="H2" i="25"/>
  <c r="H1" i="82"/>
  <c r="H2" i="82"/>
  <c r="C5" i="64"/>
  <c r="C7" i="64"/>
  <c r="C8" i="64"/>
  <c r="C9" i="64"/>
  <c r="C10" i="64"/>
  <c r="D10" i="64"/>
  <c r="D14" i="64"/>
  <c r="E14" i="64"/>
  <c r="F14" i="64"/>
  <c r="D17" i="64"/>
  <c r="E17" i="64"/>
  <c r="F17" i="64"/>
  <c r="D20" i="64"/>
  <c r="E20" i="64"/>
  <c r="F20" i="64"/>
  <c r="D33" i="64"/>
  <c r="E33" i="64"/>
  <c r="F33" i="64"/>
  <c r="D34" i="64"/>
  <c r="E34" i="64"/>
  <c r="F34" i="64"/>
  <c r="C44" i="64"/>
  <c r="D44" i="64"/>
  <c r="E44" i="64"/>
  <c r="C56" i="64"/>
  <c r="D56" i="64"/>
  <c r="E56" i="64"/>
  <c r="C74" i="64"/>
  <c r="D74" i="64"/>
  <c r="E74" i="64"/>
  <c r="C75" i="64"/>
  <c r="D75" i="64"/>
  <c r="E75" i="64"/>
  <c r="C76" i="64"/>
  <c r="D76" i="64"/>
  <c r="E76" i="64"/>
  <c r="C77" i="64"/>
  <c r="D77" i="64"/>
  <c r="E77" i="64"/>
  <c r="C78" i="64"/>
  <c r="D78" i="64"/>
  <c r="E78" i="64"/>
  <c r="C79" i="64"/>
  <c r="D79" i="64"/>
  <c r="E79" i="64"/>
  <c r="C82" i="64"/>
  <c r="D82" i="64"/>
  <c r="E82" i="64"/>
  <c r="C83" i="64"/>
  <c r="D83" i="64"/>
  <c r="E83" i="64"/>
  <c r="C84" i="64"/>
  <c r="D84" i="64"/>
  <c r="E84" i="64"/>
  <c r="C85" i="64"/>
  <c r="D85" i="64"/>
  <c r="E85" i="64"/>
  <c r="C86" i="64"/>
  <c r="D86" i="64"/>
  <c r="E86" i="64"/>
  <c r="C88" i="64"/>
  <c r="D88" i="64"/>
  <c r="E88" i="64"/>
  <c r="C89" i="64"/>
  <c r="D89" i="64"/>
  <c r="E89" i="64"/>
  <c r="C90" i="64"/>
  <c r="D90" i="64"/>
  <c r="E90" i="64"/>
  <c r="C91" i="64"/>
  <c r="D91" i="64"/>
  <c r="E91" i="64"/>
  <c r="C92" i="64"/>
  <c r="D92" i="64"/>
  <c r="E92" i="64"/>
  <c r="AC5" i="89"/>
  <c r="L8" i="89"/>
  <c r="T8" i="89"/>
  <c r="T9" i="89"/>
  <c r="U9" i="89"/>
  <c r="L10" i="89"/>
  <c r="T10" i="89"/>
  <c r="T11" i="89"/>
  <c r="U11" i="89"/>
  <c r="L12" i="89"/>
  <c r="U12" i="89"/>
  <c r="L13" i="89"/>
  <c r="U13" i="89"/>
  <c r="U14" i="89"/>
  <c r="T15" i="89"/>
  <c r="U15" i="89"/>
  <c r="AE16" i="89"/>
  <c r="AG16" i="89"/>
  <c r="T21" i="89"/>
  <c r="T22" i="89"/>
  <c r="T23" i="89"/>
  <c r="T24" i="89"/>
  <c r="T25" i="89"/>
  <c r="T26" i="89"/>
  <c r="T27" i="89"/>
  <c r="T28" i="89"/>
  <c r="T29" i="89"/>
  <c r="T30" i="89"/>
  <c r="T31" i="89"/>
  <c r="C52" i="89"/>
  <c r="C54" i="89"/>
  <c r="C55" i="89"/>
  <c r="C56" i="89"/>
  <c r="N102" i="89"/>
  <c r="O102" i="89"/>
  <c r="N105" i="89"/>
  <c r="O105" i="89"/>
  <c r="N109" i="89"/>
  <c r="Q112" i="89"/>
  <c r="Q113" i="89"/>
  <c r="Q114" i="89"/>
  <c r="T122" i="89"/>
  <c r="T123" i="89"/>
  <c r="U123" i="89"/>
  <c r="T124" i="89"/>
  <c r="U124" i="89"/>
  <c r="T125" i="89"/>
  <c r="AA139" i="89"/>
  <c r="AC139" i="89"/>
  <c r="AD139" i="89"/>
  <c r="AA141" i="89"/>
  <c r="AC141" i="89"/>
  <c r="AD141" i="89"/>
  <c r="AA142" i="89"/>
  <c r="AB142" i="89"/>
  <c r="AC142" i="89"/>
  <c r="AN177" i="89"/>
  <c r="AO177" i="89"/>
  <c r="AN187" i="89"/>
  <c r="AO187" i="89"/>
  <c r="AN189" i="89"/>
  <c r="AO189" i="89"/>
  <c r="AN197" i="89"/>
  <c r="AU208" i="89"/>
  <c r="AV208" i="89"/>
  <c r="AW208" i="89"/>
  <c r="AX208" i="89"/>
  <c r="AX209" i="89"/>
  <c r="AX210" i="89"/>
  <c r="AU211" i="89"/>
  <c r="AV211" i="89"/>
  <c r="AW211" i="89"/>
  <c r="AX211" i="89"/>
  <c r="AY211" i="89"/>
  <c r="AX212" i="89"/>
  <c r="AX213" i="89"/>
  <c r="AU215" i="89"/>
  <c r="AW215" i="89"/>
  <c r="AX215" i="89"/>
  <c r="AY215" i="89"/>
  <c r="AX216" i="89"/>
  <c r="AX217" i="89"/>
  <c r="AX218" i="89"/>
  <c r="AU219" i="89"/>
  <c r="AV219" i="89"/>
  <c r="AW219" i="89"/>
  <c r="AX219" i="89"/>
  <c r="AY219" i="89"/>
  <c r="AU220" i="89"/>
  <c r="AV220" i="89"/>
  <c r="AW220" i="89"/>
  <c r="AX220" i="89"/>
  <c r="AY220" i="89"/>
  <c r="AX221" i="89"/>
  <c r="AX222" i="89"/>
  <c r="AX223" i="89"/>
  <c r="AX224" i="89"/>
  <c r="AX225" i="89"/>
  <c r="AU226" i="89"/>
  <c r="AX226" i="89"/>
  <c r="AU227" i="89"/>
  <c r="AV227" i="89"/>
  <c r="AW227" i="89"/>
  <c r="AX227" i="89"/>
  <c r="AY227" i="89"/>
  <c r="AX228" i="89"/>
  <c r="AW229" i="89"/>
  <c r="AU243" i="89"/>
  <c r="AW243" i="89"/>
  <c r="AY243" i="89"/>
  <c r="AU253" i="89"/>
  <c r="AW253" i="89"/>
  <c r="AY253" i="89"/>
  <c r="AU255" i="89"/>
  <c r="AW255" i="89"/>
  <c r="AY255" i="89"/>
  <c r="AU261" i="89"/>
  <c r="AW261" i="89"/>
  <c r="AW262" i="89"/>
  <c r="AW263" i="8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<sst xmlns="http://schemas.openxmlformats.org/spreadsheetml/2006/main" count="21475" uniqueCount="2356">
  <si>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</si>
  <si>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</si>
  <si>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</si>
  <si>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</si>
  <si>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</si>
  <si>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</si>
  <si>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</si>
  <si>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</si>
  <si>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</si>
  <si>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</si>
  <si>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</si>
  <si>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</si>
  <si>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</si>
  <si>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</si>
  <si>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</si>
  <si>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</si>
  <si>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</si>
  <si>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</si>
  <si>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</si>
  <si>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</si>
  <si>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</si>
  <si>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</si>
  <si>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</si>
  <si>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</si>
  <si>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</si>
  <si>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</si>
  <si>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</si>
  <si>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</si>
  <si>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</si>
  <si>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</si>
  <si>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</si>
  <si>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</si>
  <si>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</si>
  <si>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</si>
  <si>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</si>
  <si>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</si>
  <si>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</si>
  <si>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</si>
  <si>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</si>
  <si>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</si>
  <si>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</si>
  <si>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</si>
  <si>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</si>
  <si>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</si>
  <si>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</si>
  <si>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</si>
  <si>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</si>
  <si>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</si>
  <si>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</si>
  <si>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</si>
  <si>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</si>
  <si>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</si>
  <si>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</si>
  <si>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</si>
  <si>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</si>
  <si>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</si>
  <si>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</si>
  <si>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</si>
  <si>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</si>
  <si>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</si>
  <si>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</si>
  <si>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</si>
  <si>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</si>
  <si>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</si>
  <si>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</si>
  <si>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</si>
  <si>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</si>
  <si>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</si>
  <si>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</si>
  <si>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</si>
  <si>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</si>
  <si>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</si>
  <si>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</si>
  <si>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</si>
  <si>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</si>
  <si>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</si>
  <si>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</si>
  <si>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</si>
  <si>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</si>
  <si>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</si>
  <si>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</si>
  <si>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</si>
  <si>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</si>
  <si>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</si>
  <si>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</si>
  <si>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</si>
  <si>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</si>
  <si>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</si>
  <si>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</si>
  <si>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</si>
  <si>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</si>
  <si>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</si>
  <si>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</si>
  <si>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</si>
  <si>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</si>
  <si>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</si>
  <si>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</si>
  <si>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</si>
  <si>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</si>
  <si>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</si>
  <si>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</si>
  <si>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</si>
  <si>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</si>
  <si>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</si>
  <si>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</si>
  <si>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</si>
  <si>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</si>
  <si>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</si>
  <si>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</si>
  <si>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Parcela B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</si>
  <si>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</si>
  <si>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</si>
  <si>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</si>
  <si>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</si>
  <si>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</si>
  <si>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</si>
  <si>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</si>
  <si>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</si>
  <si>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</si>
  <si>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</si>
  <si>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</si>
  <si>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</si>
  <si>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Proinfa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</si>
  <si>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</si>
  <si>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</si>
  <si>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</si>
  <si>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</si>
  <si>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</si>
  <si>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</si>
  <si>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</si>
  <si>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</si>
  <si>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</si>
  <si>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</si>
  <si>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</si>
  <si>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</si>
  <si>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</si>
  <si>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</si>
  <si>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</si>
  <si>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</si>
  <si>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</si>
  <si>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</si>
  <si>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</si>
  <si>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</si>
  <si>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</si>
  <si>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</si>
  <si>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</si>
  <si>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</si>
  <si>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</si>
  <si>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</si>
  <si>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</si>
  <si>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</si>
  <si>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</si>
  <si>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</si>
  <si>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</si>
  <si>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</si>
  <si>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</si>
  <si>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</si>
  <si>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</si>
  <si>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</si>
  <si>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</si>
  <si>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</si>
  <si>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</si>
  <si>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</si>
  <si>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</si>
  <si>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</si>
  <si>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</si>
  <si>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</si>
  <si>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</si>
  <si>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</si>
  <si>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</si>
  <si>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</si>
  <si>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</si>
  <si>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</si>
  <si>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</si>
  <si>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</si>
  <si>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</si>
  <si>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</si>
  <si>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</si>
  <si>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</si>
  <si>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</si>
  <si>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</si>
  <si>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</si>
  <si>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</si>
  <si>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</si>
  <si>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</si>
  <si>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</si>
  <si>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</si>
  <si>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</si>
  <si>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</si>
  <si>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</si>
  <si>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</si>
  <si>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</si>
  <si>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</si>
  <si>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</si>
  <si>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</si>
  <si>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</si>
  <si>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</si>
  <si>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</si>
  <si>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</si>
  <si>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</si>
  <si>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</si>
  <si>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</si>
  <si>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</si>
  <si>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</si>
  <si>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</si>
  <si>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</si>
  <si>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</si>
  <si>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</si>
  <si>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</si>
  <si>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</si>
  <si>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</si>
  <si>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</si>
  <si>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</si>
  <si>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</si>
  <si>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</si>
  <si>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</si>
  <si>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</si>
  <si>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</si>
  <si>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</si>
  <si>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</si>
  <si>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</si>
  <si>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</si>
  <si>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</si>
  <si>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</si>
  <si>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</si>
  <si>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</si>
  <si>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</si>
  <si>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</si>
  <si>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PisConfins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</si>
  <si>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</si>
  <si>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</si>
  <si>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</si>
  <si>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</si>
  <si>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</si>
  <si>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</si>
  <si>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</si>
  <si>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</si>
  <si>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</si>
  <si>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</si>
  <si>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</si>
  <si>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</si>
  <si>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</si>
  <si>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</si>
  <si>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</si>
  <si>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</si>
  <si>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</si>
  <si>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</si>
  <si>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</si>
  <si>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</si>
  <si>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</si>
  <si>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</si>
  <si>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</si>
  <si>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</si>
  <si>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</si>
  <si>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</si>
  <si>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</si>
  <si>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</si>
  <si>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</si>
  <si>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</si>
  <si>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</si>
  <si>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</si>
  <si>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</si>
  <si>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</si>
  <si>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</si>
  <si>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</si>
  <si>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</si>
  <si>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</si>
  <si>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</si>
  <si>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</si>
  <si>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</si>
  <si>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</si>
  <si>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</si>
  <si>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</si>
  <si>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</si>
  <si>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</si>
  <si>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</si>
  <si>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</si>
  <si>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</si>
  <si>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</si>
  <si>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</si>
  <si>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</si>
  <si>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</si>
  <si>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</si>
  <si>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</si>
  <si>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</si>
  <si>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</si>
  <si>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</si>
  <si>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</si>
  <si>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</si>
  <si>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</si>
  <si>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</si>
  <si>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</si>
  <si>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</si>
  <si>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</si>
  <si>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</si>
  <si>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</si>
  <si>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</si>
  <si>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</si>
  <si>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</si>
  <si>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</si>
  <si>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</si>
  <si>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</si>
  <si>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</si>
  <si>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</si>
  <si>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</si>
  <si>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</si>
  <si>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</si>
  <si>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</si>
  <si>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</si>
  <si>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</si>
  <si>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</si>
  <si>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</si>
  <si>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</si>
  <si>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</si>
  <si>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</si>
  <si>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</si>
  <si>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</si>
  <si>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</si>
  <si>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</si>
  <si>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</si>
  <si>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</si>
  <si>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</si>
  <si>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</si>
  <si>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</si>
  <si>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</si>
  <si>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</si>
  <si>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</si>
  <si>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</si>
  <si>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</si>
  <si>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</si>
  <si>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</si>
  <si>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</si>
  <si>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</si>
  <si>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</si>
  <si>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</si>
  <si>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</si>
  <si>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</si>
  <si>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</si>
  <si>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</si>
  <si>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</si>
  <si>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</si>
  <si>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</si>
  <si>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</si>
  <si>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</si>
  <si>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</si>
  <si>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</si>
  <si>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</si>
  <si>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</si>
  <si>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</si>
  <si>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</si>
  <si>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</si>
  <si>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</si>
  <si>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</si>
  <si>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</si>
  <si>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</si>
  <si>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</si>
  <si>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</si>
  <si>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</si>
  <si>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</si>
  <si>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</si>
  <si>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</si>
  <si>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</si>
  <si>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</si>
  <si>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</si>
  <si>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</si>
  <si>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</si>
  <si>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</si>
  <si>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</si>
  <si>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</si>
  <si>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</si>
  <si>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</si>
  <si>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</si>
  <si>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</si>
  <si>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</si>
  <si>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</si>
  <si>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</si>
  <si>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</si>
  <si>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</si>
  <si>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</si>
  <si>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</si>
  <si>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</si>
  <si>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</si>
  <si>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</si>
  <si>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</si>
  <si>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</si>
  <si>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</si>
  <si>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</si>
  <si>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</si>
  <si>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</si>
  <si>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</si>
  <si>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</si>
  <si>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</si>
  <si>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</si>
  <si>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</si>
  <si>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</si>
  <si>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</si>
  <si>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</si>
  <si>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</si>
  <si>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</si>
  <si>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</si>
  <si>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</si>
  <si>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</si>
  <si>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</si>
  <si>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</si>
  <si>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</si>
  <si>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</si>
  <si>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</si>
  <si>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</si>
  <si>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</si>
  <si>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</si>
  <si>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</si>
  <si>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</si>
  <si>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</si>
  <si>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</si>
  <si>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</si>
  <si>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</si>
  <si>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</si>
  <si>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</si>
  <si>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</si>
  <si>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</si>
  <si>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</si>
  <si>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</si>
  <si>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</si>
  <si>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</si>
  <si>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</si>
  <si>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</si>
  <si>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</si>
  <si>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</si>
  <si>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</si>
  <si>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</si>
  <si>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</si>
  <si>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</si>
  <si>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</si>
  <si>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</si>
  <si>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</si>
  <si>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</si>
  <si>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</si>
  <si>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</si>
  <si>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</si>
  <si>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</si>
  <si>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</si>
  <si>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</si>
  <si>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</si>
  <si>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</si>
  <si>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</si>
  <si>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</si>
  <si>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</si>
  <si>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</si>
  <si>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</si>
  <si>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</si>
  <si>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</si>
  <si>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</si>
  <si>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</si>
  <si>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</si>
  <si>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</si>
  <si>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</si>
  <si>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</si>
  <si>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</si>
  <si>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</si>
  <si>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</si>
  <si>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</si>
  <si>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</si>
  <si>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</si>
  <si>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</si>
  <si>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</si>
  <si>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</si>
  <si>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</si>
  <si>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</si>
  <si>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</si>
  <si>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</si>
  <si>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</si>
  <si>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</si>
  <si>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</si>
  <si>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</si>
  <si>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</si>
  <si>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</si>
  <si>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</si>
  <si>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</si>
  <si>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</si>
  <si>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</si>
  <si>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</si>
  <si>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</si>
  <si>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</si>
  <si>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</si>
  <si>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</si>
  <si>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</si>
  <si>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</si>
  <si>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</si>
  <si>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</si>
  <si>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</si>
  <si>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</si>
  <si>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</si>
  <si>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</si>
  <si>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</si>
  <si>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</si>
  <si>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</si>
  <si>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</si>
  <si>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</si>
  <si>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</si>
  <si>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</si>
  <si>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</si>
  <si>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</si>
  <si>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</si>
  <si>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</si>
  <si>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</si>
  <si>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</si>
  <si>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ENEL RJ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</si>
  <si>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</si>
  <si>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</si>
  <si>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</si>
  <si>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</si>
  <si>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</si>
  <si>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</si>
  <si>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</si>
  <si>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</si>
  <si>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</si>
  <si>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</si>
  <si>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</si>
  <si>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</si>
  <si>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</si>
  <si>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</si>
  <si>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</si>
  <si>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</si>
  <si>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</si>
  <si>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</si>
  <si>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</si>
  <si>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</si>
  <si>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</si>
  <si>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</si>
  <si>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</si>
  <si>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</si>
  <si>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</si>
  <si>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</si>
  <si>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</si>
  <si>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</si>
  <si>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</si>
  <si>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</si>
  <si>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</si>
  <si>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</si>
  <si>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</si>
  <si>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</si>
  <si>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</si>
  <si>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</si>
  <si>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</si>
  <si>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</si>
  <si>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</si>
  <si>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</si>
  <si>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</si>
  <si>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</si>
  <si>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</si>
  <si>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</si>
  <si>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</si>
  <si>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</si>
  <si>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</si>
  <si>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</si>
  <si>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</si>
  <si>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</si>
  <si>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</si>
  <si>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</si>
  <si>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</si>
  <si>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</si>
  <si>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</si>
  <si>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</si>
  <si>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</si>
  <si>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</si>
  <si>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</si>
  <si>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</si>
  <si>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</si>
  <si>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</si>
  <si>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</si>
  <si>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</si>
  <si>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</si>
  <si>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</si>
  <si>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</si>
  <si>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</si>
  <si>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</si>
  <si>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</si>
  <si>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</si>
  <si>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</si>
  <si>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</si>
  <si>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</si>
  <si>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</si>
  <si>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</si>
  <si>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</si>
  <si>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</si>
  <si>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</si>
  <si>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</si>
  <si>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</si>
  <si>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</si>
  <si>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</si>
  <si>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</si>
  <si>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</si>
  <si>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</si>
  <si>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</si>
  <si>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</si>
  <si>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</si>
  <si>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</si>
  <si>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</si>
  <si>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</si>
  <si>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</si>
  <si>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</si>
  <si>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</si>
  <si>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</si>
  <si>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</si>
  <si>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</si>
  <si>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</si>
  <si>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</si>
  <si>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</si>
  <si>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</si>
  <si>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</si>
  <si>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</si>
  <si>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</si>
  <si>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</si>
  <si>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</si>
  <si>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</si>
  <si>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</si>
  <si>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</si>
  <si>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</si>
  <si>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</si>
  <si>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</si>
  <si>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</si>
  <si>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</si>
  <si>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</si>
  <si>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</si>
  <si>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</si>
  <si>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</si>
  <si>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</si>
  <si>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</si>
  <si>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</si>
  <si>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</si>
  <si>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</si>
  <si>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</si>
  <si>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</si>
  <si>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</si>
  <si>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</si>
  <si>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</si>
  <si>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</si>
  <si>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</si>
  <si>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</si>
  <si>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</si>
  <si>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</si>
  <si>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</si>
  <si>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</si>
  <si>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</si>
  <si>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Não apagar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</si>
  <si>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</si>
  <si>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</si>
  <si>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</si>
  <si>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</si>
  <si>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</si>
  <si>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</si>
  <si>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</si>
  <si>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</si>
  <si>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</si>
  <si>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</si>
  <si>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</si>
  <si>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</si>
  <si>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</si>
  <si>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</si>
  <si>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</si>
  <si>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</si>
  <si>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</si>
  <si>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</si>
  <si>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</si>
  <si>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</si>
  <si>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</si>
  <si>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</si>
  <si>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</si>
  <si>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</si>
  <si>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</si>
  <si>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</si>
  <si>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</si>
  <si>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</si>
  <si>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</si>
  <si>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</si>
  <si>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</si>
  <si>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</si>
  <si>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</si>
  <si>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</si>
  <si>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</si>
  <si>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</si>
  <si>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</si>
  <si>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</si>
  <si>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</si>
  <si>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</si>
  <si>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</si>
  <si>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</si>
  <si>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</si>
  <si>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</si>
  <si>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</si>
  <si>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</si>
  <si>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</si>
  <si>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</si>
  <si>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</si>
  <si>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</si>
  <si>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</si>
  <si>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</si>
  <si>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</si>
  <si>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</si>
  <si>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</si>
  <si>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</si>
  <si>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</si>
  <si>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</si>
  <si>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</si>
  <si>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</si>
  <si>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</si>
  <si>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</si>
  <si>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</si>
  <si>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</si>
  <si>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</si>
  <si>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</si>
  <si>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</si>
  <si>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</si>
  <si>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</si>
  <si>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</si>
  <si>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</si>
  <si>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</si>
  <si>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</si>
  <si>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</si>
  <si>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</si>
  <si>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</si>
  <si>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</si>
  <si>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</si>
  <si>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</si>
  <si>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</si>
  <si>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</si>
  <si>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</si>
  <si>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</si>
  <si>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</si>
  <si>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</si>
  <si>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</si>
  <si>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</si>
  <si>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</si>
  <si>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</si>
  <si>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</si>
  <si>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</si>
  <si>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</si>
  <si>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</si>
  <si>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</si>
  <si>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</si>
  <si>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</si>
  <si>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</si>
  <si>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</si>
  <si>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</si>
  <si>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</si>
  <si>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</si>
  <si>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</si>
  <si>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</si>
  <si>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</si>
  <si>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</si>
  <si>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</si>
  <si>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</si>
  <si>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</si>
  <si>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</si>
  <si>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</si>
  <si>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</si>
  <si>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</si>
  <si>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</si>
  <si>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</si>
  <si>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</si>
  <si>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</si>
  <si>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</si>
  <si>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</si>
  <si>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</si>
  <si>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</si>
  <si>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</si>
  <si>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</si>
  <si>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</si>
  <si>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</si>
  <si>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</si>
  <si>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</si>
  <si>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</si>
  <si>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</si>
  <si>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</si>
  <si>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</si>
  <si>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</si>
  <si>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</si>
  <si>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</si>
  <si>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</si>
  <si>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</si>
  <si>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</si>
  <si>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</si>
  <si>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</si>
  <si>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</si>
  <si>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</si>
  <si>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</si>
  <si>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</si>
  <si>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</si>
  <si>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</si>
  <si>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</si>
  <si>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</si>
  <si>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</si>
  <si>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</si>
  <si>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</si>
  <si>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</si>
  <si>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</si>
  <si>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</si>
  <si>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</si>
  <si>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</si>
  <si>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</si>
  <si>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</si>
  <si>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</si>
  <si>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</si>
  <si>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</si>
  <si>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</si>
  <si>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</si>
  <si>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</si>
  <si>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</si>
  <si>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</si>
  <si>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</si>
  <si>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</si>
  <si>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</si>
  <si>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</si>
  <si>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</si>
  <si>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</si>
  <si>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</si>
  <si>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</si>
  <si>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</si>
  <si>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</si>
  <si>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</si>
  <si>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</si>
  <si>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</si>
  <si>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</si>
  <si>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</si>
  <si>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</si>
  <si>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</si>
  <si>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</si>
  <si>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</si>
  <si>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</si>
  <si>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</si>
  <si>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</si>
  <si>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</si>
  <si>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</si>
  <si>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</si>
  <si>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</si>
  <si>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</si>
  <si>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</si>
  <si>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</si>
  <si>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</si>
  <si>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</si>
  <si>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</si>
  <si>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</si>
  <si>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</si>
  <si>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</si>
  <si>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</si>
  <si>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</si>
  <si>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</si>
  <si>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</si>
  <si>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</si>
  <si>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</si>
  <si>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</si>
  <si>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</si>
  <si>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</si>
  <si>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</si>
  <si>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</si>
  <si>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</si>
  <si>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</si>
  <si>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</si>
  <si>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</si>
  <si>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</si>
  <si>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</si>
  <si>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</si>
  <si>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</si>
  <si>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</si>
  <si>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</si>
  <si>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</si>
  <si>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</si>
  <si>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</si>
  <si>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</si>
  <si>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</si>
  <si>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</si>
  <si>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</si>
  <si>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</si>
  <si>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</si>
  <si>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</si>
  <si>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</si>
  <si>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</si>
  <si>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</si>
  <si>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</si>
  <si>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</si>
  <si>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</si>
  <si>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</si>
  <si>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</si>
  <si>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</si>
  <si>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</si>
  <si>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</si>
  <si>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</si>
  <si>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</si>
  <si>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</si>
  <si>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</si>
  <si>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</si>
  <si>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</si>
  <si>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</si>
  <si>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</si>
  <si>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</si>
  <si>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</si>
  <si>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</si>
  <si>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</si>
  <si>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Conta Covid-19</t>
  </si>
  <si>
    <t>Crédito Pis Cofins sobre ICMS</t>
  </si>
  <si>
    <t>Diferimento Pis Cofins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</si>
  <si>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</si>
  <si>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</si>
  <si>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</si>
  <si>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</si>
  <si>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</si>
  <si>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</si>
  <si>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</si>
  <si>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</si>
  <si>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</si>
  <si>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</si>
  <si>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</si>
  <si>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</si>
  <si>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</si>
  <si>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</si>
  <si>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</si>
  <si>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</si>
  <si>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</si>
  <si>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</si>
  <si>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</si>
  <si>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</si>
  <si>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</si>
  <si>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</si>
  <si>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</si>
  <si>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</si>
  <si>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</si>
  <si>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</si>
  <si>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</si>
  <si>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</si>
  <si>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</si>
  <si>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</si>
  <si>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</si>
  <si>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</si>
  <si>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</si>
  <si>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</si>
  <si>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</si>
  <si>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</si>
  <si>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</si>
  <si>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</si>
  <si>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</si>
  <si>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</si>
  <si>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</si>
  <si>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</si>
  <si>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</si>
  <si>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</si>
  <si>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</si>
  <si>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</si>
  <si>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</si>
  <si>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</si>
  <si>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</si>
  <si>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</si>
  <si>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</si>
  <si>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</si>
  <si>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</si>
  <si>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</si>
  <si>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</si>
  <si>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</si>
  <si>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</si>
  <si>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</si>
  <si>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</si>
  <si>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</si>
  <si>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</si>
  <si>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</si>
  <si>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</si>
  <si>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</si>
  <si>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</si>
  <si>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</si>
  <si>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</si>
  <si>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</si>
  <si>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</si>
  <si>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</si>
  <si>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</si>
  <si>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</si>
  <si>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</si>
  <si>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</si>
  <si>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</si>
  <si>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</si>
  <si>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</si>
  <si>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</si>
  <si>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</si>
  <si>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</si>
  <si>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</si>
  <si>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</si>
  <si>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</si>
  <si>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</si>
  <si>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</si>
  <si>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</si>
  <si>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</si>
  <si>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</si>
  <si>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</si>
  <si>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</si>
  <si>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</si>
  <si>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</si>
  <si>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</si>
  <si>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</si>
  <si>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</si>
  <si>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</si>
  <si>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</si>
  <si>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</si>
  <si>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</si>
  <si>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</si>
  <si>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</si>
  <si>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</si>
  <si>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</si>
  <si>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</si>
  <si>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</si>
  <si>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</si>
  <si>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</si>
  <si>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</si>
  <si>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</si>
  <si>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</si>
  <si>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</si>
  <si>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</si>
  <si>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</si>
  <si>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</si>
  <si>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</si>
  <si>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</si>
  <si>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</si>
  <si>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</si>
  <si>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</si>
  <si>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</si>
  <si>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</si>
  <si>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</si>
  <si>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</si>
  <si>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</si>
  <si>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</si>
  <si>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</si>
  <si>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</si>
  <si>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</si>
  <si>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</si>
  <si>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</si>
  <si>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</si>
  <si>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</si>
  <si>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</si>
  <si>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</si>
  <si>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</si>
  <si>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</si>
  <si>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</si>
  <si>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</si>
  <si>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</si>
  <si>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</si>
  <si>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</si>
  <si>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</si>
  <si>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</si>
  <si>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</si>
  <si>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</si>
  <si>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</si>
  <si>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</si>
  <si>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</si>
  <si>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</si>
  <si>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</si>
  <si>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</si>
  <si>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</si>
  <si>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</si>
  <si>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</si>
  <si>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</si>
  <si>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</si>
  <si>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</si>
  <si>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</si>
  <si>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</si>
  <si>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</si>
  <si>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</si>
  <si>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</si>
  <si>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</si>
  <si>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</si>
  <si>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</si>
  <si>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</si>
  <si>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</si>
  <si>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</si>
  <si>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</si>
  <si>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</si>
  <si>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</si>
  <si>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</si>
  <si>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</si>
  <si>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</si>
  <si>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</si>
  <si>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</si>
  <si>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</si>
  <si>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</si>
  <si>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</si>
  <si>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</si>
  <si>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</si>
  <si>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</si>
  <si>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</si>
  <si>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</si>
  <si>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</si>
  <si>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</si>
  <si>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</si>
  <si>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</si>
  <si>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</si>
  <si>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</si>
  <si>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</si>
  <si>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</si>
  <si>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</si>
  <si>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</si>
  <si>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</si>
  <si>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</si>
  <si>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</si>
  <si>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</si>
  <si>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</si>
  <si>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</si>
  <si>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</si>
  <si>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</si>
  <si>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</si>
  <si>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</si>
  <si>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</si>
  <si>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</si>
  <si>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</si>
  <si>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</si>
  <si>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</si>
  <si>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</si>
  <si>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</si>
  <si>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</si>
  <si>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</si>
  <si>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</si>
  <si>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</si>
  <si>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</si>
  <si>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</si>
  <si>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</si>
  <si>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</si>
  <si>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</si>
  <si>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</si>
  <si>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</si>
  <si>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</si>
  <si>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</si>
  <si>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</si>
  <si>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</si>
  <si>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</si>
  <si>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</si>
  <si>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</si>
  <si>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</si>
  <si>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</si>
  <si>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</si>
  <si>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</si>
  <si>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</si>
  <si>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</si>
  <si>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</si>
  <si>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</si>
  <si>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</si>
  <si>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</si>
  <si>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</si>
  <si>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</si>
  <si>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</si>
  <si>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</si>
  <si>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</si>
  <si>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</si>
  <si>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</si>
  <si>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</si>
  <si>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</si>
  <si>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</si>
  <si>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</si>
  <si>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</si>
  <si>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</si>
  <si>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</si>
  <si>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</si>
  <si>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</si>
  <si>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</si>
  <si>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</si>
  <si>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</si>
  <si>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</si>
  <si>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</si>
  <si>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</si>
  <si>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</si>
  <si>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</si>
  <si>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</si>
  <si>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</si>
  <si>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</si>
  <si>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</si>
  <si>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</si>
  <si>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</si>
  <si>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</si>
  <si>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</si>
  <si>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</si>
  <si>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</si>
  <si>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</si>
  <si>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</si>
  <si>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</si>
  <si>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</si>
  <si>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</si>
  <si>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</si>
  <si>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</si>
  <si>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</si>
  <si>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</si>
  <si>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</si>
  <si>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</si>
  <si>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</si>
  <si>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</si>
  <si>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</si>
  <si>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</si>
  <si>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</si>
  <si>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</si>
  <si>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</si>
  <si>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</si>
  <si>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</si>
  <si>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</si>
  <si>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</si>
  <si>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</si>
  <si>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</si>
  <si>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</si>
  <si>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</si>
  <si>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</si>
  <si>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</si>
  <si>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Energia CUSD -Cálculo de perdas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</si>
  <si>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</si>
  <si>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</si>
  <si>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</si>
  <si>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</si>
  <si>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</si>
  <si>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</si>
  <si>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</si>
  <si>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</si>
  <si>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</si>
  <si>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</si>
  <si>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</si>
  <si>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</si>
  <si>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</si>
  <si>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</si>
  <si>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</si>
  <si>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</si>
  <si>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</si>
  <si>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</si>
  <si>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</si>
  <si>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</si>
  <si>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</si>
  <si>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</si>
  <si>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</si>
  <si>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</si>
  <si>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</si>
  <si>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</si>
  <si>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</si>
  <si>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</si>
  <si>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</si>
  <si>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</si>
  <si>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</si>
  <si>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</si>
  <si>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</si>
  <si>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</si>
  <si>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</si>
  <si>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</si>
  <si>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</si>
  <si>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</si>
  <si>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</si>
  <si>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</si>
  <si>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</si>
  <si>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</si>
  <si>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</si>
  <si>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</si>
  <si>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</si>
  <si>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</si>
  <si>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</si>
  <si>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</si>
  <si>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</si>
  <si>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</si>
  <si>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</si>
  <si>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</si>
  <si>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</si>
  <si>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</si>
  <si>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</si>
  <si>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</si>
  <si>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</si>
  <si>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</si>
  <si>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</si>
  <si>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</si>
  <si>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</si>
  <si>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</si>
  <si>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</si>
  <si>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</si>
  <si>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</si>
  <si>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</si>
  <si>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</si>
  <si>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</si>
  <si>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</si>
  <si>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</si>
  <si>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</si>
  <si>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</si>
  <si>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</si>
  <si>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</si>
  <si>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</si>
  <si>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</si>
  <si>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</si>
  <si>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</si>
  <si>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</si>
  <si>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</si>
  <si>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</si>
  <si>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</si>
  <si>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</si>
  <si>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</si>
  <si>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</si>
  <si>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</si>
  <si>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</si>
  <si>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</si>
  <si>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</si>
  <si>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</si>
  <si>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</si>
  <si>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</si>
  <si>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</si>
  <si>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</si>
  <si>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</si>
  <si>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</si>
  <si>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</si>
  <si>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</si>
  <si>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</si>
  <si>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</si>
  <si>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</si>
  <si>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</si>
  <si>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</si>
  <si>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</si>
  <si>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</si>
  <si>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</si>
  <si>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</si>
  <si>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</si>
  <si>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</si>
  <si>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</si>
  <si>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</si>
  <si>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</si>
  <si>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</si>
  <si>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</si>
  <si>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</si>
  <si>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</si>
  <si>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</si>
  <si>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</si>
  <si>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</si>
  <si>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</si>
  <si>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</si>
  <si>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</si>
  <si>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</si>
  <si>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</si>
  <si>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</si>
  <si>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</si>
  <si>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</si>
  <si>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</si>
  <si>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</si>
  <si>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</si>
  <si>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</si>
  <si>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</si>
  <si>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</si>
  <si>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</si>
  <si>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</si>
  <si>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</si>
  <si>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</si>
  <si>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</si>
  <si>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</si>
  <si>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</si>
  <si>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</si>
  <si>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</si>
  <si>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</si>
  <si>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</si>
  <si>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</si>
  <si>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</si>
  <si>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</si>
  <si>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</si>
  <si>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</si>
  <si>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</si>
  <si>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</si>
  <si>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</si>
  <si>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</si>
  <si>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</si>
  <si>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</si>
  <si>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CDE + P&amp;D</t>
  </si>
  <si>
    <t>Total encargos</t>
  </si>
  <si>
    <t>Valores arrecadados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</si>
  <si>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</si>
  <si>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</si>
  <si>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</si>
  <si>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</si>
  <si>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</si>
  <si>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</si>
  <si>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</si>
  <si>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</si>
  <si>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</si>
  <si>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</si>
  <si>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</si>
  <si>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</si>
  <si>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</si>
  <si>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</si>
  <si>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</si>
  <si>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</si>
  <si>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</si>
  <si>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</si>
  <si>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</si>
  <si>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</si>
  <si>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</si>
  <si>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</si>
  <si>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</si>
  <si>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</si>
  <si>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</si>
  <si>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</si>
  <si>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</si>
  <si>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</si>
  <si>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</si>
  <si>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</si>
  <si>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</si>
  <si>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</si>
  <si>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</si>
  <si>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</si>
  <si>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</si>
  <si>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CVA cde energia</t>
  </si>
  <si>
    <t>Reversão de Risco Hidrológico</t>
  </si>
  <si>
    <t>CVA em Processamento e Saldo a Compensar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</si>
  <si>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</si>
  <si>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</si>
  <si>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</si>
  <si>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</si>
  <si>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</si>
  <si>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</si>
  <si>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</si>
  <si>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</si>
  <si>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</si>
  <si>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</si>
  <si>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</si>
  <si>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</si>
  <si>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</si>
  <si>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</si>
  <si>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</si>
  <si>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</si>
  <si>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</si>
  <si>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</si>
  <si>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</si>
  <si>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</si>
  <si>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</si>
  <si>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</si>
  <si>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</si>
  <si>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</si>
  <si>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</si>
  <si>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</si>
  <si>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</si>
  <si>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</si>
  <si>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</si>
  <si>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</si>
  <si>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</si>
  <si>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</si>
  <si>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</si>
  <si>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</si>
  <si>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</si>
  <si>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</si>
  <si>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</si>
  <si>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</si>
  <si>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</si>
  <si>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</si>
  <si>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</si>
  <si>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</si>
  <si>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</si>
  <si>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</si>
  <si>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</si>
  <si>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</si>
  <si>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</si>
  <si>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</si>
  <si>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</si>
  <si>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</si>
  <si>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</si>
  <si>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</si>
  <si>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</si>
  <si>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</si>
  <si>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</si>
  <si>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</si>
  <si>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</si>
  <si>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</si>
  <si>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</si>
  <si>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</si>
  <si>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</si>
  <si>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</si>
  <si>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</si>
  <si>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</si>
  <si>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</si>
  <si>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</si>
  <si>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</si>
  <si>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</si>
  <si>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</si>
  <si>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</si>
  <si>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</si>
  <si>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</si>
  <si>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</si>
  <si>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</si>
  <si>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</si>
  <si>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</si>
  <si>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</si>
  <si>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</si>
  <si>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</si>
  <si>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</si>
  <si>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Reversão subvenção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</si>
  <si>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</si>
  <si>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</si>
  <si>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</si>
  <si>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</si>
  <si>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</si>
  <si>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</si>
  <si>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</si>
  <si>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</si>
  <si>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</si>
  <si>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</si>
  <si>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</si>
  <si>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</si>
  <si>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</si>
  <si>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</si>
  <si>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</si>
  <si>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</si>
  <si>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</si>
  <si>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</si>
  <si>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</si>
  <si>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</si>
  <si>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</si>
  <si>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</si>
  <si>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</si>
  <si>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</si>
  <si>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</si>
  <si>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</si>
  <si>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</si>
  <si>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</si>
  <si>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</si>
  <si>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</si>
  <si>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</si>
  <si>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</si>
  <si>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</si>
  <si>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</si>
  <si>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</si>
  <si>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</si>
  <si>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</si>
  <si>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</si>
  <si>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</si>
  <si>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</si>
  <si>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</si>
  <si>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</si>
  <si>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</si>
  <si>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</si>
  <si>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</si>
  <si>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</si>
  <si>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</si>
  <si>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</si>
  <si>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</si>
  <si>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</si>
  <si>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</si>
  <si>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</si>
  <si>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</si>
  <si>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</si>
  <si>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</si>
  <si>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</si>
  <si>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</si>
  <si>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</si>
  <si>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</si>
  <si>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</si>
  <si>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</si>
  <si>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</si>
  <si>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</si>
  <si>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</si>
  <si>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</si>
  <si>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</si>
  <si>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</si>
  <si>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</si>
  <si>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</si>
  <si>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</si>
  <si>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</si>
  <si>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</si>
  <si>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</si>
  <si>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</si>
  <si>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</si>
  <si>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</si>
  <si>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</si>
  <si>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</si>
  <si>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</si>
  <si>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</si>
  <si>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</si>
  <si>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</si>
  <si>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</si>
  <si>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</si>
  <si>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</si>
  <si>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</si>
  <si>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</si>
  <si>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</si>
  <si>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</si>
  <si>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</si>
  <si>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</si>
  <si>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</si>
  <si>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</si>
  <si>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</si>
  <si>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</si>
  <si>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</si>
  <si>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</si>
  <si>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</si>
  <si>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</si>
  <si>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</si>
  <si>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</si>
  <si>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</si>
  <si>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</si>
  <si>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</si>
  <si>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</si>
  <si>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</si>
  <si>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</si>
  <si>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</si>
  <si>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</si>
  <si>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</si>
  <si>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</si>
  <si>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</si>
  <si>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</si>
  <si>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</si>
  <si>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</si>
  <si>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</si>
  <si>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</si>
  <si>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</si>
  <si>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</si>
  <si>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</si>
  <si>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</si>
  <si>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</si>
  <si>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</si>
  <si>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</si>
  <si>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</si>
  <si>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</si>
  <si>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</si>
  <si>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</si>
  <si>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</si>
  <si>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</si>
  <si>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</si>
  <si>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</si>
  <si>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</si>
  <si>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</si>
  <si>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</si>
  <si>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</si>
  <si>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</si>
  <si>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</si>
  <si>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</si>
  <si>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</si>
  <si>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</si>
  <si>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</si>
  <si>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</si>
  <si>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</si>
  <si>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</si>
  <si>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</si>
  <si>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</si>
  <si>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</si>
  <si>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</si>
  <si>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</si>
  <si>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</si>
  <si>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</si>
  <si>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</si>
  <si>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</si>
  <si>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</si>
  <si>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</si>
  <si>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</si>
  <si>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</si>
  <si>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</si>
  <si>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</si>
  <si>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</si>
  <si>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</si>
  <si>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</si>
  <si>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</si>
  <si>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</si>
  <si>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</si>
  <si>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</si>
  <si>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</si>
  <si>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</si>
  <si>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</si>
  <si>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</si>
  <si>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</si>
  <si>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</si>
  <si>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</si>
  <si>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</si>
  <si>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</si>
  <si>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</si>
  <si>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</si>
  <si>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</si>
  <si>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</si>
  <si>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</si>
  <si>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</si>
  <si>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</si>
  <si>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</si>
  <si>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</si>
  <si>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</si>
  <si>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</si>
  <si>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</si>
  <si>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</si>
  <si>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</si>
  <si>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</si>
  <si>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</si>
  <si>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</si>
  <si>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</si>
  <si>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</si>
  <si>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</si>
  <si>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</si>
  <si>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</si>
  <si>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</si>
  <si>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</si>
  <si>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</si>
  <si>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</si>
  <si>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</si>
  <si>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</si>
  <si>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</si>
  <si>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</si>
  <si>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</si>
  <si>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</si>
  <si>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</si>
  <si>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</si>
  <si>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</si>
  <si>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</si>
  <si>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</si>
  <si>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</si>
  <si>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</si>
  <si>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</si>
  <si>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</si>
  <si>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</si>
  <si>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</si>
  <si>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</si>
  <si>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</si>
  <si>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</si>
  <si>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</si>
  <si>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</si>
  <si>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</si>
  <si>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</si>
  <si>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</si>
  <si>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</si>
  <si>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</si>
  <si>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</si>
  <si>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</si>
  <si>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</si>
  <si>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</si>
  <si>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</si>
  <si>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</si>
  <si>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</si>
  <si>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</si>
  <si>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</si>
  <si>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</si>
  <si>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</si>
  <si>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</si>
  <si>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</si>
  <si>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</si>
  <si>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</si>
  <si>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</si>
  <si>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</si>
  <si>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</si>
  <si>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</si>
  <si>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</si>
  <si>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</si>
  <si>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</si>
  <si>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</si>
  <si>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</si>
  <si>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</si>
  <si>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</si>
  <si>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</si>
  <si>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</si>
  <si>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</si>
  <si>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</si>
  <si>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</si>
  <si>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</si>
  <si>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</si>
  <si>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</si>
  <si>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</si>
  <si>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</si>
  <si>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</si>
  <si>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</si>
  <si>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</si>
  <si>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</si>
  <si>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</si>
  <si>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</si>
  <si>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</si>
  <si>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</si>
  <si>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</si>
  <si>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</si>
  <si>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</si>
  <si>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</si>
  <si>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</si>
  <si>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</si>
  <si>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</si>
  <si>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</si>
  <si>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</si>
  <si>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</si>
  <si>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</si>
  <si>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</si>
  <si>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</si>
  <si>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</si>
  <si>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</si>
  <si>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</si>
  <si>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</si>
  <si>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</si>
  <si>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</si>
  <si>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</si>
  <si>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</si>
  <si>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</si>
  <si>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</si>
  <si>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</si>
  <si>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</si>
  <si>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</si>
  <si>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</si>
  <si>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</si>
  <si>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</si>
  <si>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</si>
  <si>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</si>
  <si>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</si>
  <si>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</si>
  <si>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</si>
  <si>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</si>
  <si>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</si>
  <si>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</si>
  <si>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</si>
  <si>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</si>
  <si>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</si>
  <si>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</si>
  <si>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</si>
  <si>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</si>
  <si>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</si>
  <si>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</si>
  <si>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</si>
  <si>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</si>
  <si>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</si>
  <si>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</si>
  <si>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</si>
  <si>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</si>
  <si>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</si>
  <si>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</si>
  <si>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</si>
  <si>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</si>
  <si>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</si>
  <si>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</si>
  <si>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</si>
  <si>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</si>
  <si>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</si>
  <si>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</si>
  <si>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</si>
  <si>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</si>
  <si>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</si>
  <si>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</si>
  <si>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</si>
  <si>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</si>
  <si>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</si>
  <si>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</si>
  <si>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</si>
  <si>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</si>
  <si>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</si>
  <si>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</si>
  <si>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</si>
  <si>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</si>
  <si>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</si>
  <si>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</si>
  <si>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</si>
  <si>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</si>
  <si>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</si>
  <si>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</si>
  <si>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</si>
  <si>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</si>
  <si>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</si>
  <si>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</si>
  <si>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</si>
  <si>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</si>
  <si>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</si>
  <si>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</si>
  <si>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</si>
  <si>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</si>
  <si>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</si>
  <si>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</si>
  <si>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</si>
  <si>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</si>
  <si>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</si>
  <si>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</si>
  <si>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</si>
  <si>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</si>
  <si>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</si>
  <si>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</si>
  <si>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</si>
  <si>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</si>
  <si>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</si>
  <si>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</si>
  <si>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</si>
  <si>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</si>
  <si>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</si>
  <si>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</si>
  <si>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</si>
  <si>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</si>
  <si>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</si>
  <si>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</si>
  <si>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</si>
  <si>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</si>
  <si>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</si>
  <si>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</si>
  <si>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</si>
  <si>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</si>
  <si>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</si>
  <si>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</si>
  <si>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</si>
  <si>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</si>
  <si>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</si>
  <si>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</si>
  <si>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</si>
  <si>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</si>
  <si>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</si>
  <si>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</si>
  <si>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</si>
  <si>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</si>
  <si>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</si>
  <si>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</si>
  <si>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</si>
  <si>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</si>
  <si>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</si>
  <si>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</si>
  <si>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</si>
  <si>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</si>
  <si>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</si>
  <si>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</si>
  <si>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</si>
  <si>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</si>
  <si>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</si>
  <si>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</si>
  <si>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</si>
  <si>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</si>
  <si>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</si>
  <si>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</si>
  <si>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</si>
  <si>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</si>
  <si>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</si>
  <si>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</si>
  <si>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</si>
  <si>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</si>
  <si>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</si>
  <si>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</si>
  <si>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</si>
  <si>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</si>
  <si>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</si>
  <si>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</si>
  <si>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</si>
  <si>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</si>
  <si>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</si>
  <si>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</si>
  <si>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</si>
  <si>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</si>
  <si>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</si>
  <si>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</si>
  <si>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</si>
  <si>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</si>
  <si>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</si>
  <si>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</si>
  <si>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</si>
  <si>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</si>
  <si>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</si>
  <si>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</si>
  <si>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</si>
  <si>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</si>
  <si>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</si>
  <si>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</si>
  <si>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</si>
  <si>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</si>
  <si>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</si>
  <si>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</si>
  <si>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</si>
  <si>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</si>
  <si>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</si>
  <si>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</si>
  <si>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</si>
  <si>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</si>
  <si>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</si>
  <si>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</si>
  <si>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</si>
  <si>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</si>
  <si>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</si>
  <si>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</si>
  <si>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</si>
  <si>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</si>
  <si>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</si>
  <si>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</si>
  <si>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</si>
  <si>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</si>
  <si>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</si>
  <si>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</si>
  <si>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</si>
  <si>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</si>
  <si>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</si>
  <si>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</si>
  <si>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</si>
  <si>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</si>
  <si>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</si>
  <si>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</si>
  <si>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</si>
  <si>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</si>
  <si>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</si>
  <si>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</si>
  <si>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</si>
  <si>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</si>
  <si>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</si>
  <si>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</si>
  <si>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</si>
  <si>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</si>
  <si>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</si>
  <si>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</si>
  <si>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</si>
  <si>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</si>
  <si>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</si>
  <si>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</si>
  <si>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</si>
  <si>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</si>
  <si>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</si>
  <si>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</si>
  <si>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</si>
  <si>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</si>
  <si>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</si>
  <si>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</si>
  <si>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</si>
  <si>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</si>
  <si>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</si>
  <si>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</si>
  <si>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</si>
  <si>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</si>
  <si>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</si>
  <si>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</si>
  <si>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</si>
  <si>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</si>
  <si>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</si>
  <si>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</si>
  <si>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</si>
  <si>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</si>
  <si>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</si>
  <si>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</si>
  <si>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</si>
  <si>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</si>
  <si>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</si>
  <si>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</si>
  <si>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</si>
  <si>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</si>
  <si>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</si>
  <si>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</si>
  <si>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</si>
  <si>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</si>
  <si>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</si>
  <si>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</si>
  <si>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</si>
  <si>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</si>
  <si>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</si>
  <si>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</si>
  <si>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</si>
  <si>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</si>
  <si>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</si>
  <si>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</si>
  <si>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</si>
  <si>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</si>
  <si>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</si>
  <si>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</si>
  <si>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</si>
  <si>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</si>
  <si>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</si>
  <si>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</si>
  <si>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</si>
  <si>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</si>
  <si>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</si>
  <si>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</si>
  <si>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</si>
  <si>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</si>
  <si>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</si>
  <si>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</si>
  <si>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</si>
  <si>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</si>
  <si>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</si>
  <si>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</si>
  <si>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</si>
  <si>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</si>
  <si>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</si>
  <si>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</si>
  <si>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</si>
  <si>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</si>
  <si>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</si>
  <si>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</si>
  <si>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</si>
  <si>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</si>
  <si>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</si>
  <si>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</si>
  <si>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</si>
  <si>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</si>
  <si>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</si>
  <si>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</si>
  <si>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</si>
  <si>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</si>
  <si>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</si>
  <si>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</si>
  <si>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</si>
  <si>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</si>
  <si>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</si>
  <si>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</si>
  <si>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</si>
  <si>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</si>
  <si>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</si>
  <si>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</si>
  <si>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</si>
  <si>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</si>
  <si>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</si>
  <si>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</si>
  <si>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</si>
  <si>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</si>
  <si>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</si>
  <si>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</si>
  <si>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</si>
  <si>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</si>
  <si>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</si>
  <si>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</si>
  <si>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</si>
  <si>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</si>
  <si>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</si>
  <si>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</si>
  <si>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</si>
  <si>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</si>
  <si>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</si>
  <si>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</si>
  <si>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</si>
  <si>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</si>
  <si>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</si>
  <si>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</si>
  <si>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</si>
  <si>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</si>
  <si>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</si>
  <si>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</si>
  <si>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</si>
  <si>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</si>
  <si>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</si>
  <si>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</si>
  <si>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</si>
  <si>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</si>
  <si>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</si>
  <si>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</si>
  <si>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</si>
  <si>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</si>
  <si>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</si>
  <si>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</si>
  <si>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</si>
  <si>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</si>
  <si>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</si>
  <si>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</si>
  <si>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</si>
  <si>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</si>
  <si>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</si>
  <si>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</si>
  <si>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</si>
  <si>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</si>
  <si>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</si>
  <si>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</si>
  <si>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</si>
  <si>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</si>
  <si>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</si>
  <si>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</si>
  <si>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</si>
  <si>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</si>
  <si>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</si>
  <si>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</si>
  <si>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</si>
  <si>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</si>
  <si>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</si>
  <si>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</si>
  <si>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</si>
  <si>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</si>
  <si>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</si>
  <si>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</si>
  <si>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</si>
  <si>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</si>
  <si>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</si>
  <si>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</si>
  <si>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</si>
  <si>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</si>
  <si>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</si>
  <si>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</si>
  <si>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</si>
  <si>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</si>
  <si>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</si>
  <si>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</si>
  <si>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</si>
  <si>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</si>
  <si>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ReH 2.995/2021</t>
  </si>
  <si>
    <t>14 de dezembro de 2021</t>
  </si>
  <si>
    <t>23 de novembro de 2021</t>
  </si>
  <si>
    <t>25 de maio de 2021</t>
  </si>
  <si>
    <t>27 de julho de 2021</t>
  </si>
  <si>
    <t>27 de abril de 2021</t>
  </si>
  <si>
    <t>28 de setembro de 2021</t>
  </si>
  <si>
    <t>proinfa</t>
  </si>
  <si>
    <t>cde conta covid</t>
  </si>
  <si>
    <t>Nota Técnica Ex: 00/2022-SGT/ANEEL</t>
  </si>
  <si>
    <t>Data NT Ex: 01 de janeiro de 2022</t>
  </si>
  <si>
    <t>Desp. 521/2022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</si>
  <si>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</si>
  <si>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</si>
  <si>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</si>
  <si>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</si>
  <si>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</si>
  <si>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</si>
  <si>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</si>
  <si>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</si>
  <si>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</si>
  <si>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</si>
  <si>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EER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</si>
  <si>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</si>
  <si>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</si>
  <si>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</si>
  <si>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</si>
  <si>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</si>
  <si>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</si>
  <si>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</si>
  <si>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</si>
  <si>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</si>
  <si>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Preencher essa planilha para as permissionárias que possuem ICMS na fatura de suprimento. Atualmente, apenas as permissionárias do Estado Rio de Janeiro possuem.</t>
  </si>
  <si>
    <t>Reversão Previsão ano anterior atualizada</t>
  </si>
  <si>
    <t>Ajustes Processos anteriores</t>
  </si>
  <si>
    <t>PERSAS 124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</si>
  <si>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</si>
  <si>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</si>
  <si>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</si>
  <si>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</si>
  <si>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</si>
  <si>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</si>
  <si>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 xml:space="preserve"> CDE Conta Covid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</si>
  <si>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</si>
  <si>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</si>
  <si>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</si>
  <si>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</si>
  <si>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</si>
  <si>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</si>
  <si>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</si>
  <si>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</si>
  <si>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</si>
  <si>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</si>
  <si>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</si>
  <si>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</si>
  <si>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</si>
  <si>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</si>
  <si>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</si>
  <si>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</si>
  <si>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</si>
  <si>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</si>
  <si>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</si>
  <si>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CDE Covid</t>
  </si>
  <si>
    <t>CDE Covid TUSD%</t>
  </si>
  <si>
    <t>CDE Covid TE%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</si>
  <si>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</si>
  <si>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</si>
  <si>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</si>
  <si>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</si>
  <si>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</si>
  <si>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</si>
  <si>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</si>
  <si>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</si>
  <si>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</si>
  <si>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Não se Aplica</t>
  </si>
  <si>
    <t>CDE COVID</t>
  </si>
  <si>
    <t>Financeiro Covid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</si>
  <si>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</si>
  <si>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</si>
  <si>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</si>
  <si>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</si>
  <si>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</si>
  <si>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</si>
  <si>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</si>
  <si>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</si>
  <si>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</si>
  <si>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Fora ponta</t>
  </si>
  <si>
    <t>B2</t>
  </si>
  <si>
    <t>Poder público</t>
  </si>
  <si>
    <t>B4</t>
  </si>
  <si>
    <t>Iluminação pública</t>
  </si>
  <si>
    <t>Iluminação pública – B4a</t>
  </si>
  <si>
    <t>Água, esgoto e saneamento</t>
  </si>
  <si>
    <t>Consumo próprio</t>
  </si>
  <si>
    <t>GERAÇÃO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</si>
  <si>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</si>
  <si>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</si>
  <si>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</si>
  <si>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</si>
  <si>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</si>
  <si>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</si>
  <si>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</si>
  <si>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</si>
  <si>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</si>
  <si>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</si>
  <si>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</si>
  <si>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</si>
  <si>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</si>
  <si>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</si>
  <si>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</si>
  <si>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</si>
  <si>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</si>
  <si>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</si>
  <si>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</si>
  <si>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</si>
  <si>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</si>
  <si>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</si>
  <si>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</si>
  <si>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</si>
  <si>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</si>
  <si>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</si>
  <si>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</si>
  <si>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</si>
  <si>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</si>
  <si>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</si>
  <si>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</si>
  <si>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</si>
  <si>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</si>
  <si>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</si>
  <si>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</si>
  <si>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</si>
  <si>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</si>
  <si>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CVE Energia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</si>
  <si>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</si>
  <si>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</si>
  <si>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</si>
  <si>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</si>
  <si>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</si>
  <si>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</si>
  <si>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</si>
  <si>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</si>
  <si>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</si>
  <si>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CVE Encargos</t>
  </si>
  <si>
    <t>Conta Escassez Hídrica</t>
  </si>
  <si>
    <t>Importação de Energia</t>
  </si>
  <si>
    <t>Bônus de redução voluntária</t>
  </si>
  <si>
    <t>Financeiros Mitigação</t>
  </si>
  <si>
    <t>Crédito de Pis cofins sobre ICMS</t>
  </si>
  <si>
    <t>CVE</t>
  </si>
  <si>
    <t xml:space="preserve"> Dados da CVE em Processamento</t>
  </si>
  <si>
    <t>CERFOX</t>
  </si>
  <si>
    <t>RGE Uni</t>
  </si>
  <si>
    <t>RESOLUÇÃO HOMOLOGATÓRIA Nº 3.045, DE 21 DE JUNHO DE 2022</t>
  </si>
  <si>
    <t>Energia suprimento permissionária</t>
  </si>
  <si>
    <t>504</t>
  </si>
  <si>
    <t>Cooperativa de Distribuição de Energia Fontoura Xavier</t>
  </si>
  <si>
    <t>396</t>
  </si>
  <si>
    <t>RGE SUL DISTRIBUIDORA DE ENERGIA S.A.</t>
  </si>
  <si>
    <t>Fonte incentivada</t>
  </si>
  <si>
    <t>LIVRE</t>
  </si>
  <si>
    <t>SOLEDADE</t>
  </si>
  <si>
    <t>TAIPINHA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</si>
  <si>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</si>
  <si>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</si>
  <si>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</si>
  <si>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</si>
  <si>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</si>
  <si>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</si>
  <si>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</si>
  <si>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</si>
  <si>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</si>
  <si>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Itaú Unibanco Comercializadora de Energia Ltda</t>
  </si>
  <si>
    <t>DSP 1.193/2022</t>
  </si>
  <si>
    <t>Cronograma</t>
  </si>
  <si>
    <t>dos</t>
  </si>
  <si>
    <t>Montantes</t>
  </si>
  <si>
    <t>de</t>
  </si>
  <si>
    <t>Contratados</t>
  </si>
  <si>
    <t>(MWh)</t>
  </si>
  <si>
    <t>Meses</t>
  </si>
  <si>
    <t>Anual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</si>
  <si>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</si>
  <si>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</si>
  <si>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</si>
  <si>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</si>
  <si>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</si>
  <si>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</si>
  <si>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</si>
  <si>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</si>
  <si>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</si>
  <si>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</si>
  <si>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</si>
  <si>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</si>
  <si>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RGE SUL</t>
  </si>
  <si>
    <t>CUSD A4DP</t>
  </si>
  <si>
    <t>CUSD A4DFP</t>
  </si>
  <si>
    <t>CUSD A4E</t>
  </si>
  <si>
    <t>Informações para o cálculo da Sobrecontratação</t>
  </si>
  <si>
    <t>Perdas DRA realizadas</t>
  </si>
  <si>
    <t>Carta s/n 30/06/2022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</si>
</sst>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1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[$-409]ddmmmyyyy"/>
    <numFmt numFmtId="278" formatCode="#,##0_ ;[Red]\-#,##0\ "/>
    <numFmt numFmtId="279" formatCode="_(&quot;R$&quot;* #,##0.00_);_(&quot;R$&quot;* \(#,##0.00\);_(&quot;R$&quot;* &quot;-&quot;??_);_(@_)"/>
    <numFmt numFmtId="280" formatCode="[$-409]dd/mm/yyyy"/>
    <numFmt numFmtId="281" formatCode="_-\ #,##0.00_-;\-\ #,##0.00_-;_-\ &quot;-&quot;??_-;_-@_-"/>
  </numFmts>
  <fonts count="322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</fonts>
  <fills count="135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lightUp">
        <bgColor indexed="9"/>
      </patternFill>
    </fill>
    <fill>
      <patternFill patternType="darkUp">
        <bgColor theme="8" tint="0.59996337778862885"/>
      </patternFill>
    </fill>
    <fill>
      <patternFill patternType="lightUp"/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2F2F2"/>
        <bgColor rgb="FF000000"/>
      </patternFill>
    </fill>
  </fills>
  <borders count="2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dashed">
        <color indexed="64"/>
      </right>
      <top/>
      <bottom/>
      <diagonal/>
    </border>
  </borders>
  <cellStyleXfs count="43440">
    <xf numFmtId="0" fontId="0" fillId="0" borderId="0"/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1" fillId="0" borderId="0"/>
    <xf numFmtId="0" fontId="31" fillId="0" borderId="0"/>
    <xf numFmtId="0" fontId="31" fillId="0" borderId="0"/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1" fillId="0" borderId="0"/>
    <xf numFmtId="0" fontId="31" fillId="0" borderId="0"/>
    <xf numFmtId="0" fontId="31" fillId="0" borderId="0"/>
    <xf numFmtId="3" fontId="48" fillId="2" borderId="0">
      <alignment horizontal="left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3" fontId="50" fillId="9" borderId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2" fillId="0" borderId="0"/>
    <xf numFmtId="0" fontId="53" fillId="0" borderId="0"/>
    <xf numFmtId="0" fontId="53" fillId="0" borderId="0"/>
    <xf numFmtId="37" fontId="54" fillId="0" borderId="0"/>
    <xf numFmtId="0" fontId="54" fillId="0" borderId="1" applyBorder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77" fontId="32" fillId="22" borderId="2">
      <alignment horizontal="center" vertical="center"/>
    </xf>
    <xf numFmtId="0" fontId="41" fillId="0" borderId="0"/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3" fontId="55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7" fillId="4" borderId="0" applyNumberFormat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/>
    <xf numFmtId="178" fontId="59" fillId="0" borderId="0">
      <alignment vertical="top"/>
    </xf>
    <xf numFmtId="179" fontId="60" fillId="0" borderId="3"/>
    <xf numFmtId="0" fontId="61" fillId="5" borderId="0" applyNumberFormat="0" applyBorder="0" applyAlignment="0" applyProtection="0"/>
    <xf numFmtId="0" fontId="62" fillId="0" borderId="0">
      <protection locked="0"/>
    </xf>
    <xf numFmtId="0" fontId="62" fillId="0" borderId="0">
      <protection locked="0"/>
    </xf>
    <xf numFmtId="14" fontId="63" fillId="24" borderId="4" applyBorder="0" applyAlignment="0">
      <alignment horizontal="center" vertical="center"/>
    </xf>
    <xf numFmtId="0" fontId="63" fillId="25" borderId="4" applyNumberFormat="0" applyBorder="0" applyAlignment="0">
      <alignment horizontal="center" vertical="center"/>
    </xf>
    <xf numFmtId="180" fontId="41" fillId="0" borderId="0" applyFill="0" applyBorder="0" applyAlignment="0"/>
    <xf numFmtId="178" fontId="64" fillId="0" borderId="0" applyFill="0" applyBorder="0" applyAlignment="0"/>
    <xf numFmtId="174" fontId="64" fillId="0" borderId="0" applyFill="0" applyBorder="0" applyAlignment="0"/>
    <xf numFmtId="175" fontId="46" fillId="0" borderId="0" applyFill="0" applyBorder="0" applyAlignment="0"/>
    <xf numFmtId="181" fontId="31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5" fillId="26" borderId="5" applyNumberFormat="0" applyAlignment="0" applyProtection="0"/>
    <xf numFmtId="0" fontId="65" fillId="26" borderId="5" applyNumberFormat="0" applyAlignment="0" applyProtection="0"/>
    <xf numFmtId="40" fontId="64" fillId="23" borderId="6">
      <alignment vertical="center"/>
    </xf>
    <xf numFmtId="0" fontId="66" fillId="27" borderId="7" applyNumberFormat="0" applyAlignment="0" applyProtection="0"/>
    <xf numFmtId="0" fontId="67" fillId="0" borderId="8" applyNumberFormat="0" applyFill="0" applyAlignment="0" applyProtection="0"/>
    <xf numFmtId="0" fontId="66" fillId="27" borderId="7" applyNumberFormat="0" applyAlignment="0" applyProtection="0"/>
    <xf numFmtId="0" fontId="68" fillId="28" borderId="9" applyFont="0" applyFill="0" applyBorder="0"/>
    <xf numFmtId="0" fontId="43" fillId="0" borderId="10"/>
    <xf numFmtId="0" fontId="69" fillId="0" borderId="11"/>
    <xf numFmtId="41" fontId="113" fillId="0" borderId="0" applyFont="0" applyFill="0" applyBorder="0" applyAlignment="0" applyProtection="0"/>
    <xf numFmtId="180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43" fontId="113" fillId="0" borderId="0" applyFont="0" applyFill="0" applyBorder="0" applyAlignment="0" applyProtection="0"/>
    <xf numFmtId="3" fontId="70" fillId="0" borderId="0" applyFont="0" applyFill="0" applyBorder="0" applyAlignment="0" applyProtection="0"/>
    <xf numFmtId="168" fontId="31" fillId="29" borderId="0" applyNumberFormat="0" applyFont="0" applyBorder="0" applyAlignment="0" applyProtection="0"/>
    <xf numFmtId="0" fontId="69" fillId="0" borderId="11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198" fontId="113" fillId="0" borderId="0" applyFont="0" applyFill="0" applyBorder="0" applyAlignment="0" applyProtection="0"/>
    <xf numFmtId="178" fontId="64" fillId="0" borderId="0" applyFont="0" applyFill="0" applyBorder="0" applyAlignment="0" applyProtection="0"/>
    <xf numFmtId="199" fontId="113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62" fillId="0" borderId="0">
      <protection locked="0"/>
    </xf>
    <xf numFmtId="169" fontId="72" fillId="0" borderId="0">
      <protection locked="0"/>
    </xf>
    <xf numFmtId="14" fontId="40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39" fontId="69" fillId="0" borderId="0" applyFont="0" applyFill="0" applyBorder="0" applyAlignment="0" applyProtection="0"/>
    <xf numFmtId="0" fontId="71" fillId="0" borderId="0" applyFont="0" applyFill="0" applyBorder="0" applyAlignment="0"/>
    <xf numFmtId="183" fontId="4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73" fillId="8" borderId="5" applyNumberFormat="0" applyAlignment="0" applyProtection="0"/>
    <xf numFmtId="0" fontId="45" fillId="0" borderId="0">
      <alignment vertical="center"/>
    </xf>
    <xf numFmtId="184" fontId="31" fillId="0" borderId="0" applyFont="0" applyFill="0" applyBorder="0" applyAlignment="0" applyProtection="0"/>
    <xf numFmtId="3" fontId="39" fillId="0" borderId="13" applyFill="0" applyBorder="0"/>
    <xf numFmtId="0" fontId="74" fillId="0" borderId="0" applyNumberFormat="0" applyFill="0" applyBorder="0" applyAlignment="0" applyProtection="0"/>
    <xf numFmtId="37" fontId="75" fillId="0" borderId="0" applyBorder="0" applyAlignment="0"/>
    <xf numFmtId="185" fontId="31" fillId="0" borderId="0">
      <protection locked="0"/>
    </xf>
    <xf numFmtId="186" fontId="62" fillId="0" borderId="0"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76" fillId="23" borderId="0" applyNumberFormat="0" applyFont="0" applyBorder="0" applyAlignment="0" applyProtection="0">
      <alignment horizontal="centerContinuous"/>
    </xf>
    <xf numFmtId="0" fontId="76" fillId="30" borderId="0" applyNumberFormat="0" applyFont="0" applyBorder="0" applyAlignment="0" applyProtection="0">
      <alignment horizontal="centerContinuous"/>
    </xf>
    <xf numFmtId="0" fontId="77" fillId="9" borderId="14" applyNumberFormat="0" applyFont="0" applyBorder="0" applyAlignment="0"/>
    <xf numFmtId="0" fontId="41" fillId="23" borderId="15" applyNumberFormat="0" applyFont="0" applyBorder="0" applyAlignment="0" applyProtection="0"/>
    <xf numFmtId="10" fontId="31" fillId="23" borderId="0" applyNumberFormat="0" applyFont="0" applyBorder="0" applyAlignment="0"/>
    <xf numFmtId="0" fontId="61" fillId="5" borderId="0" applyNumberFormat="0" applyBorder="0" applyAlignment="0" applyProtection="0"/>
    <xf numFmtId="38" fontId="78" fillId="9" borderId="0" applyNumberFormat="0" applyBorder="0" applyAlignment="0" applyProtection="0"/>
    <xf numFmtId="0" fontId="79" fillId="0" borderId="0" applyNumberFormat="0" applyFill="0" applyBorder="0" applyAlignment="0" applyProtection="0"/>
    <xf numFmtId="0" fontId="80" fillId="0" borderId="16" applyNumberFormat="0" applyAlignment="0" applyProtection="0">
      <alignment horizontal="left" vertical="center"/>
    </xf>
    <xf numFmtId="0" fontId="80" fillId="0" borderId="17">
      <alignment horizontal="left" vertical="center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0" fontId="84" fillId="0" borderId="19" applyNumberFormat="0" applyFill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45" fillId="0" borderId="0"/>
    <xf numFmtId="37" fontId="85" fillId="0" borderId="0" applyFill="0" applyBorder="0" applyAlignment="0">
      <protection locked="0"/>
    </xf>
    <xf numFmtId="0" fontId="85" fillId="0" borderId="20" applyFill="0" applyBorder="0" applyAlignment="0">
      <alignment horizontal="center"/>
      <protection locked="0"/>
    </xf>
    <xf numFmtId="10" fontId="78" fillId="23" borderId="6" applyNumberFormat="0" applyBorder="0" applyAlignment="0" applyProtection="0"/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7" fillId="0" borderId="8" applyNumberFormat="0" applyFill="0" applyAlignment="0" applyProtection="0"/>
    <xf numFmtId="167" fontId="29" fillId="0" borderId="0" applyFont="0" applyFill="0" applyBorder="0" applyAlignment="0" applyProtection="0"/>
    <xf numFmtId="188" fontId="62" fillId="0" borderId="0">
      <protection locked="0"/>
    </xf>
    <xf numFmtId="0" fontId="31" fillId="0" borderId="0" applyFont="0" applyFill="0" applyBorder="0" applyAlignment="0" applyProtection="0"/>
    <xf numFmtId="3" fontId="86" fillId="2" borderId="1">
      <alignment horizontal="center"/>
    </xf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37" fontId="88" fillId="0" borderId="0"/>
    <xf numFmtId="189" fontId="89" fillId="0" borderId="0"/>
    <xf numFmtId="190" fontId="90" fillId="0" borderId="0"/>
    <xf numFmtId="191" fontId="90" fillId="0" borderId="0"/>
    <xf numFmtId="0" fontId="31" fillId="0" borderId="0" applyFill="0" applyBorder="0" applyAlignment="0"/>
    <xf numFmtId="0" fontId="31" fillId="0" borderId="0">
      <alignment vertical="top"/>
    </xf>
    <xf numFmtId="0" fontId="41" fillId="0" borderId="0"/>
    <xf numFmtId="0" fontId="41" fillId="0" borderId="0"/>
    <xf numFmtId="0" fontId="31" fillId="0" borderId="0"/>
    <xf numFmtId="0" fontId="41" fillId="0" borderId="0"/>
    <xf numFmtId="0" fontId="31" fillId="0" borderId="0"/>
    <xf numFmtId="0" fontId="41" fillId="0" borderId="0"/>
    <xf numFmtId="0" fontId="41" fillId="0" borderId="0"/>
    <xf numFmtId="0" fontId="31" fillId="0" borderId="0" applyProtection="0"/>
    <xf numFmtId="0" fontId="41" fillId="32" borderId="21" applyNumberFormat="0" applyFont="0" applyAlignment="0" applyProtection="0"/>
    <xf numFmtId="0" fontId="31" fillId="32" borderId="21" applyNumberFormat="0" applyFont="0" applyAlignment="0" applyProtection="0"/>
    <xf numFmtId="0" fontId="91" fillId="26" borderId="22" applyNumberFormat="0" applyAlignment="0" applyProtection="0"/>
    <xf numFmtId="0" fontId="92" fillId="33" borderId="0"/>
    <xf numFmtId="0" fontId="31" fillId="0" borderId="23" applyFont="0" applyFill="0" applyBorder="0" applyAlignment="0" applyProtection="0">
      <alignment horizontal="right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4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39" fillId="22" borderId="24" applyNumberFormat="0" applyFon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14" fontId="63" fillId="34" borderId="19" applyNumberFormat="0" applyFont="0" applyBorder="0" applyAlignment="0" applyProtection="0">
      <alignment horizontal="center" vertical="center"/>
    </xf>
    <xf numFmtId="3" fontId="93" fillId="0" borderId="0" applyFill="0" applyBorder="0" applyAlignment="0" applyProtection="0"/>
    <xf numFmtId="3" fontId="44" fillId="0" borderId="0" applyFill="0" applyBorder="0" applyAlignment="0" applyProtection="0"/>
    <xf numFmtId="3" fontId="93" fillId="0" borderId="0" applyFill="0" applyBorder="0" applyAlignment="0" applyProtection="0"/>
    <xf numFmtId="0" fontId="91" fillId="26" borderId="22" applyNumberFormat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68" fontId="2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3" fontId="95" fillId="36" borderId="0">
      <alignment horizontal="left"/>
    </xf>
    <xf numFmtId="0" fontId="47" fillId="0" borderId="0">
      <alignment vertical="top"/>
    </xf>
    <xf numFmtId="0" fontId="96" fillId="0" borderId="0"/>
    <xf numFmtId="0" fontId="96" fillId="0" borderId="0"/>
    <xf numFmtId="0" fontId="96" fillId="0" borderId="0"/>
    <xf numFmtId="0" fontId="96" fillId="0" borderId="0"/>
    <xf numFmtId="38" fontId="97" fillId="0" borderId="0" applyFill="0" applyBorder="0" applyAlignment="0" applyProtection="0"/>
    <xf numFmtId="0" fontId="31" fillId="0" borderId="0" applyFill="0" applyBorder="0" applyAlignment="0" applyProtection="0"/>
    <xf numFmtId="49" fontId="40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" fontId="99" fillId="0" borderId="0" applyFont="0" applyFill="0" applyBorder="0" applyAlignment="0" applyProtection="0">
      <alignment horizontal="left"/>
    </xf>
    <xf numFmtId="0" fontId="100" fillId="0" borderId="0" applyNumberFormat="0" applyFill="0" applyBorder="0" applyAlignment="0" applyProtection="0"/>
    <xf numFmtId="3" fontId="101" fillId="36" borderId="0">
      <alignment horizontal="center"/>
    </xf>
    <xf numFmtId="0" fontId="100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3" fontId="105" fillId="36" borderId="0">
      <alignment horizontal="left"/>
    </xf>
    <xf numFmtId="187" fontId="31" fillId="0" borderId="27">
      <protection locked="0"/>
    </xf>
    <xf numFmtId="3" fontId="50" fillId="37" borderId="0">
      <alignment horizontal="right"/>
    </xf>
    <xf numFmtId="10" fontId="106" fillId="0" borderId="28" applyNumberFormat="0" applyFont="0" applyFill="0" applyAlignment="0" applyProtection="0"/>
    <xf numFmtId="37" fontId="78" fillId="29" borderId="0" applyNumberFormat="0" applyBorder="0" applyAlignment="0" applyProtection="0"/>
    <xf numFmtId="37" fontId="43" fillId="0" borderId="0"/>
    <xf numFmtId="3" fontId="107" fillId="0" borderId="19" applyProtection="0"/>
    <xf numFmtId="193" fontId="62" fillId="0" borderId="0">
      <protection locked="0"/>
    </xf>
    <xf numFmtId="194" fontId="62" fillId="0" borderId="0">
      <protection locked="0"/>
    </xf>
    <xf numFmtId="0" fontId="98" fillId="0" borderId="0" applyNumberFormat="0" applyFill="0" applyBorder="0" applyAlignment="0" applyProtection="0"/>
    <xf numFmtId="0" fontId="31" fillId="0" borderId="17" applyFont="0" applyFill="0" applyBorder="0" applyAlignment="0" applyProtection="0"/>
    <xf numFmtId="167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36" fillId="0" borderId="0">
      <alignment vertical="top"/>
    </xf>
    <xf numFmtId="0" fontId="31" fillId="0" borderId="0"/>
    <xf numFmtId="9" fontId="31" fillId="0" borderId="0" applyFont="0" applyFill="0" applyBorder="0" applyAlignment="0" applyProtection="0"/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4" fillId="0" borderId="30" applyBorder="0"/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0" fontId="31" fillId="0" borderId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31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80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83" fillId="0" borderId="0" applyNumberFormat="0" applyFill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31" applyNumberFormat="0" applyAlignment="0" applyProtection="0"/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0" fontId="31" fillId="23" borderId="33" applyNumberFormat="0" applyFon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3" fontId="86" fillId="2" borderId="30">
      <alignment horizontal="center"/>
    </xf>
    <xf numFmtId="0" fontId="87" fillId="31" borderId="0" applyNumberFormat="0" applyBorder="0" applyAlignment="0" applyProtection="0"/>
    <xf numFmtId="203" fontId="31" fillId="0" borderId="0"/>
    <xf numFmtId="203" fontId="31" fillId="0" borderId="0"/>
    <xf numFmtId="203" fontId="31" fillId="0" borderId="0"/>
    <xf numFmtId="203" fontId="31" fillId="0" borderId="0"/>
    <xf numFmtId="190" fontId="117" fillId="0" borderId="0"/>
    <xf numFmtId="191" fontId="117" fillId="0" borderId="0"/>
    <xf numFmtId="0" fontId="71" fillId="0" borderId="0"/>
    <xf numFmtId="0" fontId="36" fillId="0" borderId="0"/>
    <xf numFmtId="0" fontId="31" fillId="0" borderId="0">
      <alignment vertical="top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8" fillId="0" borderId="0"/>
    <xf numFmtId="0" fontId="118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184" fontId="71" fillId="0" borderId="0"/>
    <xf numFmtId="184" fontId="71" fillId="0" borderId="0"/>
    <xf numFmtId="0" fontId="3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70" fontId="31" fillId="0" borderId="0"/>
    <xf numFmtId="0" fontId="119" fillId="0" borderId="0"/>
    <xf numFmtId="0" fontId="31" fillId="0" borderId="0"/>
    <xf numFmtId="0" fontId="28" fillId="0" borderId="0"/>
    <xf numFmtId="170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49" fillId="0" borderId="0"/>
    <xf numFmtId="0" fontId="49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0" borderId="23" applyFont="0" applyFill="0" applyBorder="0" applyAlignment="0" applyProtection="0">
      <alignment horizontal="right"/>
    </xf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20" fillId="0" borderId="0" applyNumberFormat="0" applyFill="0" applyBorder="0" applyAlignment="0" applyProtection="0"/>
    <xf numFmtId="0" fontId="91" fillId="26" borderId="37" applyNumberFormat="0" applyAlignment="0" applyProtection="0"/>
    <xf numFmtId="0" fontId="91" fillId="26" borderId="37" applyNumberFormat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20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5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71" fillId="0" borderId="0" applyFont="0" applyFill="0" applyBorder="0" applyAlignment="0" applyProtection="0"/>
    <xf numFmtId="0" fontId="121" fillId="0" borderId="38" applyProtection="0">
      <alignment horizontal="centerContinuous"/>
    </xf>
    <xf numFmtId="0" fontId="44" fillId="0" borderId="0"/>
    <xf numFmtId="0" fontId="44" fillId="0" borderId="0"/>
    <xf numFmtId="0" fontId="44" fillId="0" borderId="0"/>
    <xf numFmtId="0" fontId="44" fillId="0" borderId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39" applyNumberFormat="0" applyFill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52" fillId="0" borderId="0"/>
    <xf numFmtId="0" fontId="52" fillId="0" borderId="0"/>
    <xf numFmtId="0" fontId="27" fillId="0" borderId="0"/>
    <xf numFmtId="168" fontId="42" fillId="0" borderId="0" applyFont="0" applyFill="0" applyBorder="0" applyAlignment="0" applyProtection="0"/>
    <xf numFmtId="0" fontId="42" fillId="0" borderId="0"/>
    <xf numFmtId="9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206" fontId="125" fillId="0" borderId="0" applyFill="0" applyBorder="0" applyProtection="0">
      <alignment horizontal="right"/>
      <protection locked="0"/>
    </xf>
    <xf numFmtId="207" fontId="125" fillId="0" borderId="0" applyFill="0" applyBorder="0" applyProtection="0">
      <alignment horizontal="right"/>
      <protection locked="0"/>
    </xf>
    <xf numFmtId="208" fontId="125" fillId="0" borderId="0" applyFill="0" applyBorder="0" applyProtection="0">
      <alignment horizontal="right"/>
      <protection locked="0"/>
    </xf>
    <xf numFmtId="207" fontId="125" fillId="0" borderId="0" applyFont="0" applyFill="0" applyBorder="0" applyAlignment="0"/>
    <xf numFmtId="208" fontId="125" fillId="0" borderId="0" applyFont="0" applyFill="0" applyBorder="0" applyAlignment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209" fontId="117" fillId="0" borderId="0" applyFill="0" applyBorder="0" applyProtection="0">
      <alignment horizontal="right"/>
      <protection locked="0"/>
    </xf>
    <xf numFmtId="210" fontId="125" fillId="0" borderId="41" applyFont="0" applyFill="0" applyBorder="0" applyAlignment="0"/>
    <xf numFmtId="211" fontId="125" fillId="0" borderId="0" applyFill="0" applyBorder="0" applyProtection="0">
      <alignment horizontal="right"/>
      <protection locked="0"/>
    </xf>
    <xf numFmtId="212" fontId="117" fillId="0" borderId="0" applyFill="0" applyBorder="0" applyProtection="0">
      <alignment horizontal="right"/>
      <protection locked="0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1" fillId="0" borderId="0"/>
    <xf numFmtId="168" fontId="31" fillId="0" borderId="0" applyFont="0" applyFill="0" applyBorder="0" applyAlignment="0" applyProtection="0">
      <alignment wrapText="1"/>
    </xf>
    <xf numFmtId="17" fontId="68" fillId="0" borderId="0" applyFill="0" applyBorder="0">
      <alignment horizontal="right"/>
    </xf>
    <xf numFmtId="169" fontId="72" fillId="0" borderId="0">
      <protection locked="0"/>
    </xf>
    <xf numFmtId="0" fontId="126" fillId="47" borderId="0" applyNumberFormat="0" applyBorder="0" applyProtection="0">
      <alignment horizontal="center"/>
      <protection locked="0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3" fontId="128" fillId="0" borderId="42" applyFill="0" applyBorder="0" applyAlignment="0">
      <alignment horizontal="center"/>
    </xf>
    <xf numFmtId="167" fontId="26" fillId="0" borderId="0" applyFont="0" applyFill="0" applyBorder="0" applyAlignment="0" applyProtection="0"/>
    <xf numFmtId="0" fontId="45" fillId="0" borderId="0"/>
    <xf numFmtId="0" fontId="31" fillId="0" borderId="0"/>
    <xf numFmtId="0" fontId="31" fillId="0" borderId="0"/>
    <xf numFmtId="0" fontId="31" fillId="0" borderId="0">
      <alignment vertical="top"/>
    </xf>
    <xf numFmtId="0" fontId="31" fillId="0" borderId="0"/>
    <xf numFmtId="0" fontId="31" fillId="0" borderId="0"/>
    <xf numFmtId="0" fontId="31" fillId="0" borderId="0"/>
    <xf numFmtId="0" fontId="26" fillId="0" borderId="0">
      <alignment vertical="center"/>
    </xf>
    <xf numFmtId="213" fontId="68" fillId="0" borderId="0" applyNumberFormat="0" applyFill="0" applyBorder="0" applyAlignment="0" applyProtection="0"/>
    <xf numFmtId="9" fontId="4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129" fillId="40" borderId="43">
      <alignment horizontal="left"/>
    </xf>
    <xf numFmtId="4" fontId="50" fillId="0" borderId="44" applyNumberFormat="0" applyProtection="0">
      <alignment vertical="center"/>
    </xf>
    <xf numFmtId="4" fontId="130" fillId="29" borderId="44" applyNumberFormat="0" applyProtection="0">
      <alignment vertical="center"/>
    </xf>
    <xf numFmtId="4" fontId="50" fillId="0" borderId="44" applyNumberFormat="0" applyProtection="0">
      <alignment horizontal="left" vertical="center" indent="1"/>
    </xf>
    <xf numFmtId="0" fontId="50" fillId="0" borderId="44" applyNumberFormat="0" applyProtection="0">
      <alignment horizontal="left" vertical="top" indent="1"/>
    </xf>
    <xf numFmtId="4" fontId="50" fillId="0" borderId="0" applyNumberFormat="0" applyProtection="0">
      <alignment horizontal="left" vertical="center" indent="1"/>
    </xf>
    <xf numFmtId="4" fontId="36" fillId="4" borderId="44" applyNumberFormat="0" applyProtection="0">
      <alignment horizontal="right" vertical="center"/>
    </xf>
    <xf numFmtId="4" fontId="36" fillId="11" borderId="44" applyNumberFormat="0" applyProtection="0">
      <alignment horizontal="right" vertical="center"/>
    </xf>
    <xf numFmtId="4" fontId="36" fillId="19" borderId="44" applyNumberFormat="0" applyProtection="0">
      <alignment horizontal="right" vertical="center"/>
    </xf>
    <xf numFmtId="4" fontId="36" fillId="13" borderId="44" applyNumberFormat="0" applyProtection="0">
      <alignment horizontal="right" vertical="center"/>
    </xf>
    <xf numFmtId="4" fontId="36" fillId="17" borderId="44" applyNumberFormat="0" applyProtection="0">
      <alignment horizontal="right" vertical="center"/>
    </xf>
    <xf numFmtId="4" fontId="36" fillId="21" borderId="44" applyNumberFormat="0" applyProtection="0">
      <alignment horizontal="right" vertical="center"/>
    </xf>
    <xf numFmtId="4" fontId="36" fillId="20" borderId="44" applyNumberFormat="0" applyProtection="0">
      <alignment horizontal="right" vertical="center"/>
    </xf>
    <xf numFmtId="4" fontId="36" fillId="48" borderId="44" applyNumberFormat="0" applyProtection="0">
      <alignment horizontal="right" vertical="center"/>
    </xf>
    <xf numFmtId="4" fontId="36" fillId="12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49" borderId="0" applyNumberFormat="0" applyProtection="0">
      <alignment horizontal="left" vertical="center" indent="1"/>
    </xf>
    <xf numFmtId="4" fontId="36" fillId="50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0" borderId="41" applyNumberFormat="0" applyProtection="0">
      <alignment horizontal="left" vertical="center" indent="1"/>
    </xf>
    <xf numFmtId="0" fontId="31" fillId="49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51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22" borderId="44" applyNumberFormat="0" applyProtection="0">
      <alignment horizontal="left" vertical="top" indent="1"/>
    </xf>
    <xf numFmtId="0" fontId="31" fillId="52" borderId="44" applyNumberFormat="0" applyProtection="0">
      <alignment horizontal="left" vertical="center" indent="1"/>
    </xf>
    <xf numFmtId="0" fontId="31" fillId="52" borderId="44" applyNumberFormat="0" applyProtection="0">
      <alignment horizontal="left" vertical="top" indent="1"/>
    </xf>
    <xf numFmtId="4" fontId="36" fillId="23" borderId="44" applyNumberFormat="0" applyProtection="0">
      <alignment vertical="center"/>
    </xf>
    <xf numFmtId="4" fontId="132" fillId="23" borderId="44" applyNumberFormat="0" applyProtection="0">
      <alignment vertical="center"/>
    </xf>
    <xf numFmtId="4" fontId="36" fillId="23" borderId="44" applyNumberFormat="0" applyProtection="0">
      <alignment horizontal="left" vertical="center" indent="1"/>
    </xf>
    <xf numFmtId="0" fontId="36" fillId="23" borderId="44" applyNumberFormat="0" applyProtection="0">
      <alignment horizontal="left" vertical="top" indent="1"/>
    </xf>
    <xf numFmtId="4" fontId="36" fillId="0" borderId="41" applyNumberFormat="0" applyProtection="0">
      <alignment horizontal="right" vertical="center"/>
    </xf>
    <xf numFmtId="4" fontId="132" fillId="0" borderId="44" applyNumberFormat="0" applyProtection="0">
      <alignment horizontal="right" vertical="center"/>
    </xf>
    <xf numFmtId="4" fontId="36" fillId="0" borderId="45" applyNumberFormat="0" applyProtection="0">
      <alignment horizontal="left" vertical="center" indent="1"/>
    </xf>
    <xf numFmtId="0" fontId="50" fillId="0" borderId="41" applyNumberFormat="0" applyProtection="0">
      <alignment horizontal="left" vertical="top" indent="1"/>
    </xf>
    <xf numFmtId="4" fontId="121" fillId="0" borderId="0" applyNumberFormat="0" applyProtection="0">
      <alignment horizontal="left" vertical="center" indent="1"/>
    </xf>
    <xf numFmtId="4" fontId="31" fillId="0" borderId="44" applyNumberFormat="0" applyProtection="0">
      <alignment horizontal="right" vertical="center"/>
    </xf>
    <xf numFmtId="168" fontId="42" fillId="0" borderId="0" applyFont="0" applyFill="0" applyBorder="0" applyAlignment="0" applyProtection="0"/>
    <xf numFmtId="168" fontId="42" fillId="0" borderId="0" applyFont="0" applyFill="0" applyBorder="0" applyAlignment="0" applyProtection="0"/>
    <xf numFmtId="213" fontId="43" fillId="53" borderId="0" applyNumberFormat="0" applyFont="0" applyBorder="0" applyAlignment="0">
      <protection hidden="1"/>
    </xf>
    <xf numFmtId="0" fontId="133" fillId="0" borderId="0" applyFill="0" applyBorder="0" applyAlignment="0" applyProtection="0">
      <protection locked="0"/>
    </xf>
    <xf numFmtId="0" fontId="134" fillId="0" borderId="0" applyBorder="0" applyAlignment="0" applyProtection="0">
      <protection locked="0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5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45" fillId="0" borderId="0">
      <alignment vertical="center"/>
    </xf>
    <xf numFmtId="168" fontId="29" fillId="0" borderId="0" applyFont="0" applyFill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46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46" applyNumberFormat="0" applyAlignment="0" applyProtection="0"/>
    <xf numFmtId="0" fontId="73" fillId="8" borderId="46" applyNumberFormat="0" applyAlignment="0" applyProtection="0"/>
    <xf numFmtId="0" fontId="57" fillId="4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7" fontId="25" fillId="0" borderId="0" applyFont="0" applyFill="0" applyBorder="0" applyAlignment="0" applyProtection="0"/>
    <xf numFmtId="0" fontId="87" fillId="31" borderId="0" applyNumberFormat="0" applyBorder="0" applyAlignment="0" applyProtection="0"/>
    <xf numFmtId="190" fontId="117" fillId="0" borderId="0"/>
    <xf numFmtId="190" fontId="117" fillId="0" borderId="0"/>
    <xf numFmtId="191" fontId="117" fillId="0" borderId="0"/>
    <xf numFmtId="191" fontId="117" fillId="0" borderId="0"/>
    <xf numFmtId="0" fontId="31" fillId="0" borderId="0">
      <alignment vertical="top"/>
    </xf>
    <xf numFmtId="0" fontId="31" fillId="0" borderId="0">
      <alignment vertical="top"/>
    </xf>
    <xf numFmtId="0" fontId="29" fillId="0" borderId="0"/>
    <xf numFmtId="0" fontId="49" fillId="32" borderId="47" applyNumberFormat="0" applyFon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91" fillId="26" borderId="48" applyNumberFormat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49" applyNumberFormat="0" applyFill="0" applyAlignment="0" applyProtection="0"/>
    <xf numFmtId="0" fontId="122" fillId="0" borderId="4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167" fontId="36" fillId="0" borderId="0" applyFont="0" applyFill="0" applyBorder="0" applyAlignment="0" applyProtection="0"/>
    <xf numFmtId="0" fontId="31" fillId="0" borderId="0"/>
    <xf numFmtId="0" fontId="36" fillId="0" borderId="0">
      <alignment vertical="top"/>
    </xf>
    <xf numFmtId="0" fontId="139" fillId="0" borderId="0" applyNumberFormat="0" applyFill="0" applyBorder="0" applyAlignment="0" applyProtection="0"/>
    <xf numFmtId="0" fontId="73" fillId="8" borderId="31" applyNumberFormat="0" applyAlignment="0" applyProtection="0"/>
    <xf numFmtId="0" fontId="65" fillId="26" borderId="31" applyNumberFormat="0" applyAlignment="0" applyProtection="0"/>
    <xf numFmtId="0" fontId="66" fillId="27" borderId="32" applyNumberFormat="0" applyAlignment="0" applyProtection="0"/>
    <xf numFmtId="218" fontId="43" fillId="0" borderId="0" applyFont="0" applyFill="0" applyBorder="0" applyAlignment="0" applyProtection="0"/>
    <xf numFmtId="0" fontId="140" fillId="0" borderId="0" applyNumberFormat="0" applyFill="0" applyBorder="0" applyAlignment="0" applyProtection="0">
      <alignment vertical="top"/>
      <protection locked="0"/>
    </xf>
    <xf numFmtId="0" fontId="73" fillId="8" borderId="31" applyNumberFormat="0" applyAlignment="0" applyProtection="0"/>
    <xf numFmtId="0" fontId="141" fillId="32" borderId="35" applyNumberFormat="0" applyFont="0" applyAlignment="0" applyProtection="0"/>
    <xf numFmtId="0" fontId="91" fillId="26" borderId="48" applyNumberFormat="0" applyAlignment="0" applyProtection="0"/>
    <xf numFmtId="0" fontId="24" fillId="0" borderId="0"/>
    <xf numFmtId="0" fontId="73" fillId="8" borderId="31" applyNumberFormat="0" applyAlignment="0" applyProtection="0"/>
    <xf numFmtId="0" fontId="73" fillId="8" borderId="31" applyNumberFormat="0" applyAlignment="0" applyProtection="0"/>
    <xf numFmtId="0" fontId="24" fillId="0" borderId="0"/>
    <xf numFmtId="0" fontId="24" fillId="0" borderId="0"/>
    <xf numFmtId="0" fontId="29" fillId="0" borderId="0"/>
    <xf numFmtId="0" fontId="54" fillId="0" borderId="55" applyBorder="0"/>
    <xf numFmtId="0" fontId="65" fillId="26" borderId="46" applyNumberFormat="0" applyAlignment="0" applyProtection="0"/>
    <xf numFmtId="40" fontId="64" fillId="23" borderId="56">
      <alignment vertical="center"/>
    </xf>
    <xf numFmtId="0" fontId="80" fillId="0" borderId="52">
      <alignment horizontal="left" vertical="center"/>
    </xf>
    <xf numFmtId="10" fontId="43" fillId="23" borderId="56" applyNumberFormat="0" applyBorder="0" applyAlignment="0" applyProtection="0"/>
    <xf numFmtId="3" fontId="86" fillId="2" borderId="55">
      <alignment horizontal="center"/>
    </xf>
    <xf numFmtId="0" fontId="31" fillId="32" borderId="35" applyNumberFormat="0" applyFont="0" applyAlignment="0" applyProtection="0"/>
    <xf numFmtId="0" fontId="31" fillId="0" borderId="54" applyFont="0" applyFill="0" applyBorder="0" applyAlignment="0" applyProtection="0">
      <alignment horizontal="right"/>
    </xf>
    <xf numFmtId="9" fontId="31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187" fontId="31" fillId="0" borderId="51">
      <protection locked="0"/>
    </xf>
    <xf numFmtId="0" fontId="31" fillId="0" borderId="52" applyFont="0" applyFill="0" applyBorder="0" applyAlignment="0" applyProtection="0"/>
    <xf numFmtId="0" fontId="54" fillId="0" borderId="55" applyBorder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3" fontId="86" fillId="2" borderId="55">
      <alignment horizontal="center"/>
    </xf>
    <xf numFmtId="0" fontId="23" fillId="0" borderId="0"/>
    <xf numFmtId="0" fontId="23" fillId="0" borderId="0"/>
    <xf numFmtId="0" fontId="31" fillId="0" borderId="54" applyFont="0" applyFill="0" applyBorder="0" applyAlignment="0" applyProtection="0">
      <alignment horizontal="right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0" fontId="91" fillId="26" borderId="48" applyNumberFormat="0" applyAlignment="0" applyProtection="0"/>
    <xf numFmtId="0" fontId="91" fillId="26" borderId="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1" fillId="0" borderId="50" applyProtection="0">
      <alignment horizontal="centerContinuous"/>
    </xf>
    <xf numFmtId="0" fontId="122" fillId="0" borderId="49" applyNumberFormat="0" applyFill="0" applyAlignment="0" applyProtection="0"/>
    <xf numFmtId="0" fontId="23" fillId="0" borderId="0"/>
    <xf numFmtId="210" fontId="125" fillId="0" borderId="56" applyFont="0" applyFill="0" applyBorder="0" applyAlignment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4" fontId="36" fillId="0" borderId="56" applyNumberFormat="0" applyProtection="0">
      <alignment horizontal="right" vertical="center"/>
    </xf>
    <xf numFmtId="4" fontId="36" fillId="0" borderId="58" applyNumberFormat="0" applyProtection="0">
      <alignment horizontal="left" vertical="center" indent="1"/>
    </xf>
    <xf numFmtId="0" fontId="50" fillId="0" borderId="56" applyNumberFormat="0" applyProtection="0">
      <alignment horizontal="left" vertical="top" indent="1"/>
    </xf>
    <xf numFmtId="0" fontId="23" fillId="0" borderId="0"/>
    <xf numFmtId="0" fontId="66" fillId="27" borderId="57" applyNumberFormat="0" applyAlignment="0" applyProtection="0"/>
    <xf numFmtId="167" fontId="23" fillId="0" borderId="0" applyFont="0" applyFill="0" applyBorder="0" applyAlignment="0" applyProtection="0"/>
    <xf numFmtId="0" fontId="49" fillId="32" borderId="35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3" fillId="8" borderId="46" applyNumberFormat="0" applyAlignment="0" applyProtection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0" fontId="23" fillId="0" borderId="0"/>
    <xf numFmtId="0" fontId="73" fillId="8" borderId="46" applyNumberFormat="0" applyAlignment="0" applyProtection="0"/>
    <xf numFmtId="0" fontId="73" fillId="8" borderId="46" applyNumberFormat="0" applyAlignment="0" applyProtection="0"/>
    <xf numFmtId="0" fontId="23" fillId="0" borderId="0"/>
    <xf numFmtId="0" fontId="23" fillId="0" borderId="0"/>
    <xf numFmtId="0" fontId="29" fillId="0" borderId="0"/>
    <xf numFmtId="9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29" fillId="0" borderId="0"/>
    <xf numFmtId="0" fontId="29" fillId="0" borderId="0"/>
    <xf numFmtId="4" fontId="31" fillId="0" borderId="72" applyNumberFormat="0" applyProtection="0">
      <alignment horizontal="right" vertical="center"/>
    </xf>
    <xf numFmtId="4" fontId="132" fillId="0" borderId="72" applyNumberFormat="0" applyProtection="0">
      <alignment horizontal="right" vertical="center"/>
    </xf>
    <xf numFmtId="4" fontId="36" fillId="23" borderId="72" applyNumberFormat="0" applyProtection="0">
      <alignment horizontal="left" vertical="center" indent="1"/>
    </xf>
    <xf numFmtId="4" fontId="36" fillId="23" borderId="72" applyNumberFormat="0" applyProtection="0">
      <alignment vertical="center"/>
    </xf>
    <xf numFmtId="0" fontId="31" fillId="52" borderId="72" applyNumberFormat="0" applyProtection="0">
      <alignment horizontal="left" vertical="top" indent="1"/>
    </xf>
    <xf numFmtId="0" fontId="31" fillId="49" borderId="72" applyNumberFormat="0" applyProtection="0">
      <alignment horizontal="left" vertical="top" indent="1"/>
    </xf>
    <xf numFmtId="4" fontId="36" fillId="12" borderId="72" applyNumberFormat="0" applyProtection="0">
      <alignment horizontal="right" vertical="center"/>
    </xf>
    <xf numFmtId="4" fontId="36" fillId="20" borderId="72" applyNumberFormat="0" applyProtection="0">
      <alignment horizontal="right" vertical="center"/>
    </xf>
    <xf numFmtId="4" fontId="36" fillId="17" borderId="72" applyNumberFormat="0" applyProtection="0">
      <alignment horizontal="right" vertical="center"/>
    </xf>
    <xf numFmtId="4" fontId="36" fillId="13" borderId="72" applyNumberFormat="0" applyProtection="0">
      <alignment horizontal="right" vertical="center"/>
    </xf>
    <xf numFmtId="0" fontId="50" fillId="0" borderId="72" applyNumberFormat="0" applyProtection="0">
      <alignment horizontal="left" vertical="top" indent="1"/>
    </xf>
    <xf numFmtId="4" fontId="50" fillId="0" borderId="72" applyNumberFormat="0" applyProtection="0">
      <alignment horizontal="left" vertical="center" indent="1"/>
    </xf>
    <xf numFmtId="4" fontId="50" fillId="0" borderId="72" applyNumberFormat="0" applyProtection="0">
      <alignment vertical="center"/>
    </xf>
    <xf numFmtId="0" fontId="65" fillId="26" borderId="65" applyNumberFormat="0" applyAlignment="0" applyProtection="0"/>
    <xf numFmtId="0" fontId="65" fillId="26" borderId="65" applyNumberFormat="0" applyAlignment="0" applyProtection="0"/>
    <xf numFmtId="40" fontId="64" fillId="23" borderId="62">
      <alignment vertical="center"/>
    </xf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0" fontId="80" fillId="0" borderId="59">
      <alignment horizontal="left" vertical="center"/>
    </xf>
    <xf numFmtId="10" fontId="43" fillId="23" borderId="62" applyNumberFormat="0" applyBorder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0" fontId="29" fillId="0" borderId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49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4" fontId="36" fillId="0" borderId="73" applyNumberFormat="0" applyProtection="0">
      <alignment horizontal="left" vertical="center" indent="1"/>
    </xf>
    <xf numFmtId="4" fontId="132" fillId="23" borderId="72" applyNumberFormat="0" applyProtection="0">
      <alignment vertical="center"/>
    </xf>
    <xf numFmtId="4" fontId="36" fillId="50" borderId="72" applyNumberFormat="0" applyProtection="0">
      <alignment horizontal="right" vertical="center"/>
    </xf>
    <xf numFmtId="4" fontId="36" fillId="21" borderId="72" applyNumberFormat="0" applyProtection="0">
      <alignment horizontal="right" vertical="center"/>
    </xf>
    <xf numFmtId="4" fontId="130" fillId="29" borderId="72" applyNumberFormat="0" applyProtection="0">
      <alignment vertical="center"/>
    </xf>
    <xf numFmtId="0" fontId="22" fillId="0" borderId="0"/>
    <xf numFmtId="0" fontId="36" fillId="23" borderId="72" applyNumberFormat="0" applyProtection="0">
      <alignment horizontal="left" vertical="top" indent="1"/>
    </xf>
    <xf numFmtId="0" fontId="31" fillId="52" borderId="72" applyNumberFormat="0" applyProtection="0">
      <alignment horizontal="left" vertical="center" indent="1"/>
    </xf>
    <xf numFmtId="0" fontId="31" fillId="22" borderId="72" applyNumberFormat="0" applyProtection="0">
      <alignment horizontal="left" vertical="top" indent="1"/>
    </xf>
    <xf numFmtId="0" fontId="31" fillId="51" borderId="72" applyNumberFormat="0" applyProtection="0">
      <alignment horizontal="left" vertical="top" indent="1"/>
    </xf>
    <xf numFmtId="4" fontId="36" fillId="48" borderId="72" applyNumberFormat="0" applyProtection="0">
      <alignment horizontal="right" vertical="center"/>
    </xf>
    <xf numFmtId="4" fontId="36" fillId="19" borderId="72" applyNumberFormat="0" applyProtection="0">
      <alignment horizontal="right" vertical="center"/>
    </xf>
    <xf numFmtId="4" fontId="36" fillId="11" borderId="72" applyNumberFormat="0" applyProtection="0">
      <alignment horizontal="right" vertical="center"/>
    </xf>
    <xf numFmtId="4" fontId="36" fillId="4" borderId="72" applyNumberFormat="0" applyProtection="0">
      <alignment horizontal="right" vertical="center"/>
    </xf>
    <xf numFmtId="210" fontId="125" fillId="0" borderId="62" applyFont="0" applyFill="0" applyBorder="0" applyAlignment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50" fillId="0" borderId="70" applyNumberFormat="0" applyProtection="0">
      <alignment vertical="center"/>
    </xf>
    <xf numFmtId="4" fontId="130" fillId="29" borderId="70" applyNumberFormat="0" applyProtection="0">
      <alignment vertical="center"/>
    </xf>
    <xf numFmtId="4" fontId="50" fillId="0" borderId="70" applyNumberFormat="0" applyProtection="0">
      <alignment horizontal="left" vertical="center" indent="1"/>
    </xf>
    <xf numFmtId="0" fontId="50" fillId="0" borderId="70" applyNumberFormat="0" applyProtection="0">
      <alignment horizontal="left" vertical="top" indent="1"/>
    </xf>
    <xf numFmtId="4" fontId="36" fillId="4" borderId="70" applyNumberFormat="0" applyProtection="0">
      <alignment horizontal="right" vertical="center"/>
    </xf>
    <xf numFmtId="4" fontId="36" fillId="11" borderId="70" applyNumberFormat="0" applyProtection="0">
      <alignment horizontal="right" vertical="center"/>
    </xf>
    <xf numFmtId="4" fontId="36" fillId="19" borderId="70" applyNumberFormat="0" applyProtection="0">
      <alignment horizontal="right" vertical="center"/>
    </xf>
    <xf numFmtId="4" fontId="36" fillId="13" borderId="70" applyNumberFormat="0" applyProtection="0">
      <alignment horizontal="right" vertical="center"/>
    </xf>
    <xf numFmtId="4" fontId="36" fillId="17" borderId="70" applyNumberFormat="0" applyProtection="0">
      <alignment horizontal="right" vertical="center"/>
    </xf>
    <xf numFmtId="4" fontId="36" fillId="21" borderId="70" applyNumberFormat="0" applyProtection="0">
      <alignment horizontal="right" vertical="center"/>
    </xf>
    <xf numFmtId="4" fontId="36" fillId="20" borderId="70" applyNumberFormat="0" applyProtection="0">
      <alignment horizontal="right" vertical="center"/>
    </xf>
    <xf numFmtId="4" fontId="36" fillId="48" borderId="70" applyNumberFormat="0" applyProtection="0">
      <alignment horizontal="right" vertical="center"/>
    </xf>
    <xf numFmtId="4" fontId="36" fillId="12" borderId="70" applyNumberFormat="0" applyProtection="0">
      <alignment horizontal="right" vertical="center"/>
    </xf>
    <xf numFmtId="4" fontId="36" fillId="50" borderId="70" applyNumberFormat="0" applyProtection="0">
      <alignment horizontal="right" vertical="center"/>
    </xf>
    <xf numFmtId="0" fontId="31" fillId="0" borderId="62" applyNumberFormat="0" applyProtection="0">
      <alignment horizontal="left" vertical="center" indent="1"/>
    </xf>
    <xf numFmtId="0" fontId="31" fillId="49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51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22" borderId="70" applyNumberFormat="0" applyProtection="0">
      <alignment horizontal="left" vertical="top" indent="1"/>
    </xf>
    <xf numFmtId="0" fontId="31" fillId="52" borderId="70" applyNumberFormat="0" applyProtection="0">
      <alignment horizontal="left" vertical="center" indent="1"/>
    </xf>
    <xf numFmtId="0" fontId="31" fillId="52" borderId="70" applyNumberFormat="0" applyProtection="0">
      <alignment horizontal="left" vertical="top" indent="1"/>
    </xf>
    <xf numFmtId="4" fontId="36" fillId="23" borderId="70" applyNumberFormat="0" applyProtection="0">
      <alignment vertical="center"/>
    </xf>
    <xf numFmtId="4" fontId="132" fillId="23" borderId="70" applyNumberFormat="0" applyProtection="0">
      <alignment vertical="center"/>
    </xf>
    <xf numFmtId="4" fontId="36" fillId="23" borderId="70" applyNumberFormat="0" applyProtection="0">
      <alignment horizontal="left" vertical="center" indent="1"/>
    </xf>
    <xf numFmtId="0" fontId="36" fillId="23" borderId="70" applyNumberFormat="0" applyProtection="0">
      <alignment horizontal="left" vertical="top" indent="1"/>
    </xf>
    <xf numFmtId="4" fontId="36" fillId="0" borderId="62" applyNumberFormat="0" applyProtection="0">
      <alignment horizontal="right" vertical="center"/>
    </xf>
    <xf numFmtId="4" fontId="132" fillId="0" borderId="70" applyNumberFormat="0" applyProtection="0">
      <alignment horizontal="right" vertical="center"/>
    </xf>
    <xf numFmtId="4" fontId="36" fillId="0" borderId="71" applyNumberFormat="0" applyProtection="0">
      <alignment horizontal="left" vertical="center" indent="1"/>
    </xf>
    <xf numFmtId="0" fontId="50" fillId="0" borderId="62" applyNumberFormat="0" applyProtection="0">
      <alignment horizontal="left" vertical="top" indent="1"/>
    </xf>
    <xf numFmtId="4" fontId="31" fillId="0" borderId="70" applyNumberFormat="0" applyProtection="0">
      <alignment horizontal="right" vertical="center"/>
    </xf>
    <xf numFmtId="0" fontId="22" fillId="0" borderId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91" fillId="26" borderId="68" applyNumberFormat="0" applyAlignment="0" applyProtection="0"/>
    <xf numFmtId="0" fontId="122" fillId="0" borderId="69" applyNumberFormat="0" applyFill="0" applyAlignment="0" applyProtection="0"/>
    <xf numFmtId="0" fontId="122" fillId="0" borderId="69" applyNumberFormat="0" applyFill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141" fillId="32" borderId="67" applyNumberFormat="0" applyFont="0" applyAlignment="0" applyProtection="0"/>
    <xf numFmtId="0" fontId="91" fillId="26" borderId="68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65" applyNumberFormat="0" applyAlignment="0" applyProtection="0"/>
    <xf numFmtId="0" fontId="80" fillId="0" borderId="59">
      <alignment horizontal="left" vertical="center"/>
    </xf>
    <xf numFmtId="0" fontId="31" fillId="32" borderId="67" applyNumberFormat="0" applyFont="0" applyAlignment="0" applyProtection="0"/>
    <xf numFmtId="0" fontId="32" fillId="22" borderId="36" applyNumberFormat="0" applyFont="0" applyBorder="0" applyAlignment="0" applyProtection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0" fontId="22" fillId="0" borderId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36" fillId="0" borderId="71" applyNumberFormat="0" applyProtection="0">
      <alignment horizontal="left" vertical="center" indent="1"/>
    </xf>
    <xf numFmtId="0" fontId="22" fillId="0" borderId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49" fillId="32" borderId="76" applyNumberFormat="0" applyFont="0" applyAlignment="0" applyProtection="0"/>
    <xf numFmtId="0" fontId="91" fillId="26" borderId="77" applyNumberFormat="0" applyAlignment="0" applyProtection="0"/>
    <xf numFmtId="0" fontId="122" fillId="0" borderId="78" applyNumberFormat="0" applyFill="0" applyAlignment="0" applyProtection="0"/>
    <xf numFmtId="0" fontId="122" fillId="0" borderId="78" applyNumberFormat="0" applyFill="0" applyAlignment="0" applyProtection="0"/>
    <xf numFmtId="0" fontId="91" fillId="26" borderId="77" applyNumberFormat="0" applyAlignment="0" applyProtection="0"/>
    <xf numFmtId="0" fontId="65" fillId="26" borderId="75" applyNumberFormat="0" applyAlignment="0" applyProtection="0"/>
    <xf numFmtId="40" fontId="64" fillId="23" borderId="74">
      <alignment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87" fontId="31" fillId="0" borderId="80">
      <protection locked="0"/>
    </xf>
    <xf numFmtId="0" fontId="31" fillId="0" borderId="81" applyFont="0" applyFill="0" applyBorder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91" fillId="26" borderId="77" applyNumberFormat="0" applyAlignment="0" applyProtection="0"/>
    <xf numFmtId="0" fontId="91" fillId="26" borderId="77" applyNumberFormat="0" applyAlignment="0" applyProtection="0"/>
    <xf numFmtId="0" fontId="121" fillId="0" borderId="79" applyProtection="0">
      <alignment horizontal="centerContinuous"/>
    </xf>
    <xf numFmtId="0" fontId="122" fillId="0" borderId="78" applyNumberFormat="0" applyFill="0" applyAlignment="0" applyProtection="0"/>
    <xf numFmtId="210" fontId="125" fillId="0" borderId="74" applyFont="0" applyFill="0" applyBorder="0" applyAlignment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4" fontId="36" fillId="0" borderId="73" applyNumberFormat="0" applyProtection="0">
      <alignment horizontal="left" vertical="center" indent="1"/>
    </xf>
    <xf numFmtId="0" fontId="50" fillId="0" borderId="74" applyNumberFormat="0" applyProtection="0">
      <alignment horizontal="left" vertical="top" indent="1"/>
    </xf>
    <xf numFmtId="0" fontId="66" fillId="27" borderId="82" applyNumberFormat="0" applyAlignment="0" applyProtection="0"/>
    <xf numFmtId="0" fontId="73" fillId="8" borderId="75" applyNumberFormat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29" fillId="0" borderId="0"/>
    <xf numFmtId="0" fontId="73" fillId="8" borderId="86" applyNumberFormat="0" applyAlignment="0" applyProtection="0"/>
    <xf numFmtId="0" fontId="65" fillId="26" borderId="86" applyNumberFormat="0" applyAlignment="0" applyProtection="0"/>
    <xf numFmtId="0" fontId="31" fillId="0" borderId="92" applyFont="0" applyFill="0" applyBorder="0" applyAlignment="0" applyProtection="0"/>
    <xf numFmtId="10" fontId="43" fillId="23" borderId="85" applyNumberFormat="0" applyBorder="0" applyAlignment="0" applyProtection="0"/>
    <xf numFmtId="0" fontId="80" fillId="0" borderId="92">
      <alignment horizontal="left" vertical="center"/>
    </xf>
    <xf numFmtId="0" fontId="50" fillId="0" borderId="94" applyNumberFormat="0" applyProtection="0">
      <alignment horizontal="left" vertical="top" indent="1"/>
    </xf>
    <xf numFmtId="0" fontId="122" fillId="0" borderId="89" applyNumberFormat="0" applyFill="0" applyAlignment="0" applyProtection="0"/>
    <xf numFmtId="0" fontId="122" fillId="0" borderId="89" applyNumberFormat="0" applyFill="0" applyAlignment="0" applyProtection="0"/>
    <xf numFmtId="0" fontId="91" fillId="26" borderId="88" applyNumberFormat="0" applyAlignment="0" applyProtection="0"/>
    <xf numFmtId="0" fontId="49" fillId="32" borderId="87" applyNumberFormat="0" applyFont="0" applyAlignment="0" applyProtection="0"/>
    <xf numFmtId="0" fontId="73" fillId="8" borderId="86" applyNumberFormat="0" applyAlignment="0" applyProtection="0"/>
    <xf numFmtId="0" fontId="91" fillId="26" borderId="98" applyNumberFormat="0" applyAlignment="0" applyProtection="0"/>
    <xf numFmtId="4" fontId="36" fillId="23" borderId="83" applyNumberFormat="0" applyProtection="0">
      <alignment horizontal="left" vertical="center" indent="1"/>
    </xf>
    <xf numFmtId="4" fontId="132" fillId="23" borderId="83" applyNumberFormat="0" applyProtection="0">
      <alignment vertical="center"/>
    </xf>
    <xf numFmtId="4" fontId="36" fillId="23" borderId="83" applyNumberFormat="0" applyProtection="0">
      <alignment vertical="center"/>
    </xf>
    <xf numFmtId="0" fontId="31" fillId="52" borderId="83" applyNumberFormat="0" applyProtection="0">
      <alignment horizontal="left" vertical="center" indent="1"/>
    </xf>
    <xf numFmtId="0" fontId="31" fillId="51" borderId="83" applyNumberFormat="0" applyProtection="0">
      <alignment horizontal="left" vertical="top" indent="1"/>
    </xf>
    <xf numFmtId="0" fontId="31" fillId="49" borderId="83" applyNumberFormat="0" applyProtection="0">
      <alignment horizontal="left" vertical="top" indent="1"/>
    </xf>
    <xf numFmtId="4" fontId="36" fillId="50" borderId="83" applyNumberFormat="0" applyProtection="0">
      <alignment horizontal="right" vertical="center"/>
    </xf>
    <xf numFmtId="4" fontId="36" fillId="12" borderId="83" applyNumberFormat="0" applyProtection="0">
      <alignment horizontal="right" vertical="center"/>
    </xf>
    <xf numFmtId="4" fontId="36" fillId="48" borderId="83" applyNumberFormat="0" applyProtection="0">
      <alignment horizontal="right" vertical="center"/>
    </xf>
    <xf numFmtId="4" fontId="36" fillId="21" borderId="83" applyNumberFormat="0" applyProtection="0">
      <alignment horizontal="right" vertical="center"/>
    </xf>
    <xf numFmtId="4" fontId="36" fillId="17" borderId="83" applyNumberFormat="0" applyProtection="0">
      <alignment horizontal="right" vertical="center"/>
    </xf>
    <xf numFmtId="4" fontId="36" fillId="13" borderId="83" applyNumberFormat="0" applyProtection="0">
      <alignment horizontal="right" vertical="center"/>
    </xf>
    <xf numFmtId="4" fontId="36" fillId="11" borderId="83" applyNumberFormat="0" applyProtection="0">
      <alignment horizontal="right" vertical="center"/>
    </xf>
    <xf numFmtId="4" fontId="36" fillId="4" borderId="83" applyNumberFormat="0" applyProtection="0">
      <alignment horizontal="right" vertical="center"/>
    </xf>
    <xf numFmtId="4" fontId="50" fillId="0" borderId="83" applyNumberFormat="0" applyProtection="0">
      <alignment horizontal="left" vertical="center" indent="1"/>
    </xf>
    <xf numFmtId="4" fontId="130" fillId="29" borderId="83" applyNumberFormat="0" applyProtection="0">
      <alignment vertical="center"/>
    </xf>
    <xf numFmtId="4" fontId="50" fillId="0" borderId="83" applyNumberFormat="0" applyProtection="0">
      <alignment vertical="center"/>
    </xf>
    <xf numFmtId="0" fontId="91" fillId="26" borderId="98" applyNumberFormat="0" applyAlignment="0" applyProtection="0"/>
    <xf numFmtId="4" fontId="36" fillId="13" borderId="102" applyNumberFormat="0" applyProtection="0">
      <alignment horizontal="right" vertical="center"/>
    </xf>
    <xf numFmtId="0" fontId="65" fillId="26" borderId="93" applyNumberFormat="0" applyAlignment="0" applyProtection="0"/>
    <xf numFmtId="0" fontId="73" fillId="8" borderId="93" applyNumberFormat="0" applyAlignment="0" applyProtection="0"/>
    <xf numFmtId="0" fontId="121" fillId="0" borderId="100" applyProtection="0">
      <alignment horizontal="centerContinuous"/>
    </xf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31" fillId="32" borderId="97" applyNumberFormat="0" applyFont="0" applyAlignment="0" applyProtection="0"/>
    <xf numFmtId="0" fontId="121" fillId="0" borderId="100" applyProtection="0">
      <alignment horizontal="centerContinuous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31" fillId="0" borderId="94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6" fillId="23" borderId="102" applyNumberFormat="0" applyProtection="0">
      <alignment horizontal="left" vertical="top" indent="1"/>
    </xf>
    <xf numFmtId="0" fontId="50" fillId="0" borderId="94" applyNumberFormat="0" applyProtection="0">
      <alignment horizontal="left" vertical="top" indent="1"/>
    </xf>
    <xf numFmtId="0" fontId="73" fillId="8" borderId="93" applyNumberFormat="0" applyAlignment="0" applyProtection="0"/>
    <xf numFmtId="0" fontId="91" fillId="26" borderId="98" applyNumberFormat="0" applyAlignment="0" applyProtection="0"/>
    <xf numFmtId="0" fontId="122" fillId="0" borderId="101" applyNumberFormat="0" applyFill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73" fillId="8" borderId="93" applyNumberFormat="0" applyAlignment="0" applyProtection="0"/>
    <xf numFmtId="10" fontId="43" fillId="23" borderId="94" applyNumberFormat="0" applyBorder="0" applyAlignment="0" applyProtection="0"/>
    <xf numFmtId="187" fontId="31" fillId="0" borderId="99">
      <protection locked="0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29" fillId="0" borderId="0"/>
    <xf numFmtId="40" fontId="64" fillId="23" borderId="94">
      <alignment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4" fontId="50" fillId="0" borderId="102" applyNumberFormat="0" applyProtection="0">
      <alignment horizontal="left" vertical="center" indent="1"/>
    </xf>
    <xf numFmtId="4" fontId="36" fillId="19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0" fontId="31" fillId="0" borderId="94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0" borderId="94" applyNumberFormat="0" applyProtection="0">
      <alignment horizontal="left" vertical="center" indent="1"/>
    </xf>
    <xf numFmtId="4" fontId="36" fillId="23" borderId="102" applyNumberFormat="0" applyProtection="0">
      <alignment vertical="center"/>
    </xf>
    <xf numFmtId="0" fontId="31" fillId="0" borderId="94" applyNumberFormat="0" applyProtection="0">
      <alignment horizontal="left" vertical="center" indent="1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65" fillId="26" borderId="93" applyNumberFormat="0" applyAlignment="0" applyProtection="0"/>
    <xf numFmtId="210" fontId="125" fillId="0" borderId="94" applyFont="0" applyFill="0" applyBorder="0" applyAlignment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121" fillId="0" borderId="100" applyProtection="0">
      <alignment horizontal="centerContinuous"/>
    </xf>
    <xf numFmtId="0" fontId="73" fillId="8" borderId="93" applyNumberFormat="0" applyAlignment="0" applyProtection="0"/>
    <xf numFmtId="0" fontId="65" fillId="26" borderId="93" applyNumberFormat="0" applyAlignment="0" applyProtection="0"/>
    <xf numFmtId="187" fontId="31" fillId="0" borderId="99">
      <protection locked="0"/>
    </xf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21" fillId="0" borderId="0"/>
    <xf numFmtId="0" fontId="21" fillId="0" borderId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210" fontId="125" fillId="0" borderId="94" applyFont="0" applyFill="0" applyBorder="0" applyAlignment="0"/>
    <xf numFmtId="9" fontId="21" fillId="0" borderId="0" applyFont="0" applyFill="0" applyBorder="0" applyAlignment="0" applyProtection="0"/>
    <xf numFmtId="0" fontId="50" fillId="0" borderId="102" applyNumberFormat="0" applyProtection="0">
      <alignment horizontal="left" vertical="top" indent="1"/>
    </xf>
    <xf numFmtId="4" fontId="36" fillId="21" borderId="102" applyNumberFormat="0" applyProtection="0">
      <alignment horizontal="right" vertical="center"/>
    </xf>
    <xf numFmtId="0" fontId="31" fillId="52" borderId="102" applyNumberFormat="0" applyProtection="0">
      <alignment horizontal="left" vertical="center" indent="1"/>
    </xf>
    <xf numFmtId="4" fontId="132" fillId="23" borderId="102" applyNumberFormat="0" applyProtection="0">
      <alignment vertical="center"/>
    </xf>
    <xf numFmtId="4" fontId="132" fillId="0" borderId="102" applyNumberFormat="0" applyProtection="0">
      <alignment horizontal="right" vertical="center"/>
    </xf>
    <xf numFmtId="0" fontId="122" fillId="0" borderId="101" applyNumberFormat="0" applyFill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73" fillId="8" borderId="93" applyNumberFormat="0" applyAlignment="0" applyProtection="0"/>
    <xf numFmtId="0" fontId="141" fillId="32" borderId="97" applyNumberFormat="0" applyFont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0" borderId="103" applyNumberFormat="0" applyProtection="0">
      <alignment horizontal="left" vertical="center" indent="1"/>
    </xf>
    <xf numFmtId="0" fontId="73" fillId="8" borderId="93" applyNumberFormat="0" applyAlignment="0" applyProtection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1">
      <protection locked="0"/>
    </xf>
    <xf numFmtId="0" fontId="91" fillId="26" borderId="88" applyNumberFormat="0" applyAlignment="0" applyProtection="0"/>
    <xf numFmtId="0" fontId="73" fillId="8" borderId="86" applyNumberFormat="0" applyAlignment="0" applyProtection="0"/>
    <xf numFmtId="0" fontId="31" fillId="32" borderId="97" applyNumberFormat="0" applyFont="0" applyAlignment="0" applyProtection="0"/>
    <xf numFmtId="4" fontId="31" fillId="0" borderId="83" applyNumberFormat="0" applyProtection="0">
      <alignment horizontal="right" vertical="center"/>
    </xf>
    <xf numFmtId="0" fontId="36" fillId="23" borderId="83" applyNumberFormat="0" applyProtection="0">
      <alignment horizontal="left" vertical="top" indent="1"/>
    </xf>
    <xf numFmtId="0" fontId="31" fillId="52" borderId="83" applyNumberFormat="0" applyProtection="0">
      <alignment horizontal="left" vertical="top" indent="1"/>
    </xf>
    <xf numFmtId="0" fontId="31" fillId="22" borderId="83" applyNumberFormat="0" applyProtection="0">
      <alignment horizontal="left" vertical="top" indent="1"/>
    </xf>
    <xf numFmtId="4" fontId="36" fillId="20" borderId="83" applyNumberFormat="0" applyProtection="0">
      <alignment horizontal="right" vertical="center"/>
    </xf>
    <xf numFmtId="4" fontId="36" fillId="19" borderId="83" applyNumberFormat="0" applyProtection="0">
      <alignment horizontal="right" vertical="center"/>
    </xf>
    <xf numFmtId="0" fontId="50" fillId="0" borderId="83" applyNumberFormat="0" applyProtection="0">
      <alignment horizontal="left" vertical="top" indent="1"/>
    </xf>
    <xf numFmtId="210" fontId="125" fillId="0" borderId="94" applyFont="0" applyFill="0" applyBorder="0" applyAlignment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11" borderId="102" applyNumberFormat="0" applyProtection="0">
      <alignment horizontal="right" vertical="center"/>
    </xf>
    <xf numFmtId="0" fontId="31" fillId="22" borderId="102" applyNumberFormat="0" applyProtection="0">
      <alignment horizontal="left" vertical="top" indent="1"/>
    </xf>
    <xf numFmtId="0" fontId="65" fillId="26" borderId="93" applyNumberFormat="0" applyAlignment="0" applyProtection="0"/>
    <xf numFmtId="0" fontId="31" fillId="32" borderId="97" applyNumberFormat="0" applyFon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210" fontId="125" fillId="0" borderId="94" applyFont="0" applyFill="0" applyBorder="0" applyAlignment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21" fillId="0" borderId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73" fillId="8" borderId="86" applyNumberFormat="0" applyAlignment="0" applyProtection="0"/>
    <xf numFmtId="40" fontId="64" fillId="23" borderId="85">
      <alignment vertical="center"/>
    </xf>
    <xf numFmtId="0" fontId="65" fillId="26" borderId="86" applyNumberFormat="0" applyAlignment="0" applyProtection="0"/>
    <xf numFmtId="0" fontId="65" fillId="26" borderId="86" applyNumberFormat="0" applyAlignment="0" applyProtection="0"/>
    <xf numFmtId="4" fontId="36" fillId="0" borderId="84" applyNumberFormat="0" applyProtection="0">
      <alignment horizontal="left" vertical="center" indent="1"/>
    </xf>
    <xf numFmtId="4" fontId="132" fillId="0" borderId="83" applyNumberFormat="0" applyProtection="0">
      <alignment horizontal="right" vertical="center"/>
    </xf>
    <xf numFmtId="0" fontId="49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0" fontId="65" fillId="26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4" fontId="130" fillId="29" borderId="102" applyNumberFormat="0" applyProtection="0">
      <alignment vertical="center"/>
    </xf>
    <xf numFmtId="4" fontId="36" fillId="20" borderId="102" applyNumberFormat="0" applyProtection="0">
      <alignment horizontal="right" vertical="center"/>
    </xf>
    <xf numFmtId="0" fontId="31" fillId="23" borderId="95" applyNumberFormat="0" applyFont="0" applyBorder="0" applyAlignment="0" applyProtection="0"/>
    <xf numFmtId="0" fontId="31" fillId="32" borderId="97" applyNumberFormat="0" applyFont="0" applyAlignment="0" applyProtection="0"/>
    <xf numFmtId="167" fontId="21" fillId="0" borderId="0" applyFont="0" applyFill="0" applyBorder="0" applyAlignment="0" applyProtection="0"/>
    <xf numFmtId="0" fontId="21" fillId="0" borderId="0">
      <alignment vertical="center"/>
    </xf>
    <xf numFmtId="4" fontId="31" fillId="0" borderId="102" applyNumberFormat="0" applyProtection="0">
      <alignment horizontal="right"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21" fillId="0" borderId="0"/>
    <xf numFmtId="0" fontId="65" fillId="26" borderId="93" applyNumberFormat="0" applyAlignment="0" applyProtection="0"/>
    <xf numFmtId="0" fontId="65" fillId="26" borderId="93" applyNumberFormat="0" applyAlignment="0" applyProtection="0"/>
    <xf numFmtId="0" fontId="31" fillId="23" borderId="95" applyNumberFormat="0" applyFont="0" applyBorder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121" fillId="0" borderId="100" applyProtection="0">
      <alignment horizontal="centerContinuous"/>
    </xf>
    <xf numFmtId="167" fontId="21" fillId="0" borderId="0" applyFont="0" applyFill="0" applyBorder="0" applyAlignment="0" applyProtection="0"/>
    <xf numFmtId="4" fontId="36" fillId="4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50" borderId="102" applyNumberFormat="0" applyProtection="0">
      <alignment horizontal="right" vertical="center"/>
    </xf>
    <xf numFmtId="4" fontId="36" fillId="0" borderId="94" applyNumberFormat="0" applyProtection="0">
      <alignment horizontal="right" vertical="center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0" borderId="94" applyNumberFormat="0" applyProtection="0">
      <alignment horizontal="left" vertical="center" indent="1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41" fillId="32" borderId="76" applyNumberFormat="0" applyFont="0" applyAlignment="0" applyProtection="0"/>
    <xf numFmtId="0" fontId="21" fillId="0" borderId="0"/>
    <xf numFmtId="0" fontId="21" fillId="0" borderId="0"/>
    <xf numFmtId="0" fontId="21" fillId="0" borderId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31" fillId="32" borderId="76" applyNumberFormat="0" applyFont="0" applyAlignment="0" applyProtection="0"/>
    <xf numFmtId="0" fontId="49" fillId="32" borderId="97" applyNumberFormat="0" applyFont="0" applyAlignment="0" applyProtection="0"/>
    <xf numFmtId="0" fontId="29" fillId="0" borderId="0"/>
    <xf numFmtId="0" fontId="73" fillId="8" borderId="93" applyNumberFormat="0" applyAlignment="0" applyProtection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" fontId="36" fillId="23" borderId="102" applyNumberFormat="0" applyProtection="0">
      <alignment horizontal="left" vertical="center" indent="1"/>
    </xf>
    <xf numFmtId="4" fontId="36" fillId="0" borderId="103" applyNumberFormat="0" applyProtection="0">
      <alignment horizontal="left" vertical="center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0" fontId="64" fillId="23" borderId="94">
      <alignment vertical="center"/>
    </xf>
    <xf numFmtId="0" fontId="21" fillId="0" borderId="0"/>
    <xf numFmtId="167" fontId="21" fillId="0" borderId="0" applyFont="0" applyFill="0" applyBorder="0" applyAlignment="0" applyProtection="0"/>
    <xf numFmtId="0" fontId="21" fillId="0" borderId="0">
      <alignment vertical="center"/>
    </xf>
    <xf numFmtId="0" fontId="65" fillId="26" borderId="93" applyNumberFormat="0" applyAlignment="0" applyProtection="0"/>
    <xf numFmtId="0" fontId="49" fillId="32" borderId="97" applyNumberFormat="0" applyFont="0" applyAlignment="0" applyProtection="0"/>
    <xf numFmtId="0" fontId="21" fillId="0" borderId="0"/>
    <xf numFmtId="167" fontId="21" fillId="0" borderId="0" applyFont="0" applyFill="0" applyBorder="0" applyAlignment="0" applyProtection="0"/>
    <xf numFmtId="0" fontId="49" fillId="32" borderId="76" applyNumberFormat="0" applyFont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0" fontId="43" fillId="23" borderId="94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210" fontId="125" fillId="0" borderId="74" applyFont="0" applyFill="0" applyBorder="0" applyAlignment="0"/>
    <xf numFmtId="40" fontId="64" fillId="23" borderId="74">
      <alignment vertical="center"/>
    </xf>
    <xf numFmtId="0" fontId="73" fillId="8" borderId="93" applyNumberFormat="0" applyAlignment="0" applyProtection="0"/>
    <xf numFmtId="0" fontId="80" fillId="0" borderId="81">
      <alignment horizontal="left"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0" fontId="50" fillId="0" borderId="74" applyNumberFormat="0" applyProtection="0">
      <alignment horizontal="left" vertical="top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121" fillId="0" borderId="79" applyProtection="0">
      <alignment horizontal="centerContinuous"/>
    </xf>
    <xf numFmtId="0" fontId="121" fillId="0" borderId="79" applyProtection="0">
      <alignment horizontal="centerContinuous"/>
    </xf>
    <xf numFmtId="0" fontId="31" fillId="0" borderId="81" applyFont="0" applyFill="0" applyBorder="0" applyAlignment="0" applyProtection="0"/>
    <xf numFmtId="0" fontId="31" fillId="0" borderId="81" applyFont="0" applyFill="0" applyBorder="0" applyAlignment="0" applyProtection="0"/>
    <xf numFmtId="209" fontId="90" fillId="0" borderId="0" applyFill="0" applyBorder="0" applyProtection="0">
      <alignment horizontal="right"/>
      <protection locked="0"/>
    </xf>
    <xf numFmtId="212" fontId="90" fillId="0" borderId="0" applyFill="0" applyBorder="0" applyProtection="0">
      <alignment horizontal="right"/>
      <protection locked="0"/>
    </xf>
    <xf numFmtId="0" fontId="54" fillId="0" borderId="55" applyBorder="0"/>
    <xf numFmtId="0" fontId="54" fillId="0" borderId="55" applyBorder="0"/>
    <xf numFmtId="0" fontId="54" fillId="0" borderId="55" applyBorder="0"/>
    <xf numFmtId="0" fontId="54" fillId="0" borderId="55" applyBorder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167" fontId="3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0" fontId="42" fillId="0" borderId="0"/>
    <xf numFmtId="0" fontId="21" fillId="0" borderId="0"/>
    <xf numFmtId="0" fontId="21" fillId="0" borderId="0"/>
    <xf numFmtId="0" fontId="3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9" fillId="0" borderId="0"/>
    <xf numFmtId="0" fontId="29" fillId="0" borderId="0"/>
    <xf numFmtId="0" fontId="29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31" fillId="0" borderId="0"/>
    <xf numFmtId="0" fontId="31" fillId="0" borderId="0">
      <alignment vertical="top"/>
    </xf>
    <xf numFmtId="0" fontId="21" fillId="0" borderId="0"/>
    <xf numFmtId="0" fontId="3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0" fontId="21" fillId="0" borderId="0"/>
    <xf numFmtId="0" fontId="31" fillId="0" borderId="0">
      <alignment vertical="top"/>
    </xf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4" fontId="50" fillId="0" borderId="102" applyNumberFormat="0" applyProtection="0">
      <alignment vertical="center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87" fontId="31" fillId="0" borderId="80">
      <protection locked="0"/>
    </xf>
    <xf numFmtId="0" fontId="91" fillId="26" borderId="88" applyNumberFormat="0" applyAlignment="0" applyProtection="0"/>
    <xf numFmtId="0" fontId="91" fillId="26" borderId="88" applyNumberFormat="0" applyAlignment="0" applyProtection="0"/>
    <xf numFmtId="0" fontId="121" fillId="0" borderId="90" applyProtection="0">
      <alignment horizontal="centerContinuous"/>
    </xf>
    <xf numFmtId="0" fontId="122" fillId="0" borderId="89" applyNumberFormat="0" applyFill="0" applyAlignment="0" applyProtection="0"/>
    <xf numFmtId="210" fontId="125" fillId="0" borderId="85" applyFont="0" applyFill="0" applyBorder="0" applyAlignment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4" applyNumberFormat="0" applyProtection="0">
      <alignment horizontal="left" vertical="center" indent="1"/>
    </xf>
    <xf numFmtId="0" fontId="50" fillId="0" borderId="85" applyNumberFormat="0" applyProtection="0">
      <alignment horizontal="left" vertical="top" indent="1"/>
    </xf>
    <xf numFmtId="0" fontId="73" fillId="8" borderId="86" applyNumberFormat="0" applyAlignment="0" applyProtection="0"/>
    <xf numFmtId="0" fontId="65" fillId="26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210" fontId="125" fillId="0" borderId="85" applyFont="0" applyFill="0" applyBorder="0" applyAlignment="0"/>
    <xf numFmtId="210" fontId="125" fillId="0" borderId="85" applyFont="0" applyFill="0" applyBorder="0" applyAlignment="0"/>
    <xf numFmtId="40" fontId="64" fillId="23" borderId="85">
      <alignment vertical="center"/>
    </xf>
    <xf numFmtId="40" fontId="64" fillId="23" borderId="85">
      <alignment vertical="center"/>
    </xf>
    <xf numFmtId="0" fontId="80" fillId="0" borderId="92">
      <alignment horizontal="left" vertical="center"/>
    </xf>
    <xf numFmtId="0" fontId="80" fillId="0" borderId="92">
      <alignment horizontal="left" vertical="center"/>
    </xf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5" applyNumberFormat="0" applyProtection="0">
      <alignment horizontal="right" vertical="center"/>
    </xf>
    <xf numFmtId="0" fontId="50" fillId="0" borderId="85" applyNumberFormat="0" applyProtection="0">
      <alignment horizontal="left" vertical="top" indent="1"/>
    </xf>
    <xf numFmtId="0" fontId="50" fillId="0" borderId="85" applyNumberFormat="0" applyProtection="0">
      <alignment horizontal="left" vertical="top" indent="1"/>
    </xf>
    <xf numFmtId="0" fontId="121" fillId="0" borderId="90" applyProtection="0">
      <alignment horizontal="centerContinuous"/>
    </xf>
    <xf numFmtId="0" fontId="121" fillId="0" borderId="90" applyProtection="0">
      <alignment horizontal="centerContinuous"/>
    </xf>
    <xf numFmtId="0" fontId="31" fillId="0" borderId="92" applyFont="0" applyFill="0" applyBorder="0" applyAlignment="0" applyProtection="0"/>
    <xf numFmtId="0" fontId="31" fillId="0" borderId="92" applyFont="0" applyFill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32" borderId="87" applyNumberFormat="0" applyFont="0" applyAlignment="0" applyProtection="0"/>
    <xf numFmtId="187" fontId="31" fillId="0" borderId="91">
      <protection locked="0"/>
    </xf>
    <xf numFmtId="0" fontId="49" fillId="32" borderId="97" applyNumberFormat="0" applyFon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9">
      <protection locked="0"/>
    </xf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46" fillId="0" borderId="0" applyNumberFormat="0" applyFill="0" applyBorder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37" fontId="54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47" fillId="0" borderId="0"/>
    <xf numFmtId="0" fontId="147" fillId="0" borderId="0"/>
    <xf numFmtId="0" fontId="147" fillId="0" borderId="0"/>
    <xf numFmtId="0" fontId="147" fillId="0" borderId="0"/>
    <xf numFmtId="0" fontId="69" fillId="0" borderId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6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139" fillId="0" borderId="0" applyFont="0" applyFill="0" applyBorder="0" applyAlignment="0" applyProtection="0"/>
    <xf numFmtId="0" fontId="139" fillId="0" borderId="0" applyFont="0" applyFill="0" applyBorder="0" applyAlignment="0" applyProtection="0"/>
    <xf numFmtId="9" fontId="31" fillId="53" borderId="0"/>
    <xf numFmtId="9" fontId="31" fillId="53" borderId="0"/>
    <xf numFmtId="9" fontId="31" fillId="53" borderId="0"/>
    <xf numFmtId="9" fontId="31" fillId="53" borderId="0"/>
    <xf numFmtId="192" fontId="62" fillId="0" borderId="0">
      <protection locked="0"/>
    </xf>
    <xf numFmtId="192" fontId="62" fillId="0" borderId="0">
      <protection locked="0"/>
    </xf>
    <xf numFmtId="192" fontId="62" fillId="0" borderId="0">
      <protection locked="0"/>
    </xf>
    <xf numFmtId="0" fontId="31" fillId="0" borderId="0"/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148" fillId="0" borderId="0">
      <alignment horizontal="left"/>
    </xf>
    <xf numFmtId="3" fontId="48" fillId="2" borderId="0">
      <alignment horizontal="left"/>
    </xf>
    <xf numFmtId="3" fontId="48" fillId="2" borderId="0">
      <alignment horizontal="left"/>
    </xf>
    <xf numFmtId="0" fontId="149" fillId="3" borderId="0" applyNumberFormat="0" applyBorder="0" applyAlignment="0" applyProtection="0"/>
    <xf numFmtId="0" fontId="149" fillId="4" borderId="0" applyNumberFormat="0" applyBorder="0" applyAlignment="0" applyProtection="0"/>
    <xf numFmtId="0" fontId="149" fillId="5" borderId="0" applyNumberFormat="0" applyBorder="0" applyAlignment="0" applyProtection="0"/>
    <xf numFmtId="0" fontId="149" fillId="6" borderId="0" applyNumberFormat="0" applyBorder="0" applyAlignment="0" applyProtection="0"/>
    <xf numFmtId="0" fontId="149" fillId="7" borderId="0" applyNumberFormat="0" applyBorder="0" applyAlignment="0" applyProtection="0"/>
    <xf numFmtId="0" fontId="149" fillId="8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0" fontId="149" fillId="10" borderId="0" applyNumberFormat="0" applyBorder="0" applyAlignment="0" applyProtection="0"/>
    <xf numFmtId="0" fontId="149" fillId="11" borderId="0" applyNumberFormat="0" applyBorder="0" applyAlignment="0" applyProtection="0"/>
    <xf numFmtId="0" fontId="149" fillId="12" borderId="0" applyNumberFormat="0" applyBorder="0" applyAlignment="0" applyProtection="0"/>
    <xf numFmtId="0" fontId="149" fillId="6" borderId="0" applyNumberFormat="0" applyBorder="0" applyAlignment="0" applyProtection="0"/>
    <xf numFmtId="0" fontId="149" fillId="10" borderId="0" applyNumberFormat="0" applyBorder="0" applyAlignment="0" applyProtection="0"/>
    <xf numFmtId="0" fontId="149" fillId="13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0" fontId="150" fillId="14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15" borderId="0" applyNumberFormat="0" applyBorder="0" applyAlignment="0" applyProtection="0"/>
    <xf numFmtId="0" fontId="150" fillId="16" borderId="0" applyNumberFormat="0" applyBorder="0" applyAlignment="0" applyProtection="0"/>
    <xf numFmtId="0" fontId="150" fillId="17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4" borderId="0" applyNumberFormat="0" applyBorder="0" applyAlignment="0" applyProtection="0"/>
    <xf numFmtId="221" fontId="51" fillId="11" borderId="0" applyNumberFormat="0" applyBorder="0" applyAlignment="0" applyProtection="0"/>
    <xf numFmtId="221" fontId="51" fillId="12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17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5" borderId="0" applyNumberFormat="0" applyBorder="0" applyAlignment="0" applyProtection="0"/>
    <xf numFmtId="0" fontId="150" fillId="18" borderId="0" applyNumberFormat="0" applyBorder="0" applyAlignment="0" applyProtection="0"/>
    <xf numFmtId="0" fontId="51" fillId="66" borderId="0" applyNumberFormat="0" applyBorder="0" applyAlignment="0" applyProtection="0"/>
    <xf numFmtId="0" fontId="49" fillId="67" borderId="0" applyNumberFormat="0" applyBorder="0" applyAlignment="0" applyProtection="0"/>
    <xf numFmtId="0" fontId="49" fillId="68" borderId="0" applyNumberFormat="0" applyBorder="0" applyAlignment="0" applyProtection="0"/>
    <xf numFmtId="0" fontId="51" fillId="69" borderId="0" applyNumberFormat="0" applyBorder="0" applyAlignment="0" applyProtection="0"/>
    <xf numFmtId="184" fontId="137" fillId="70" borderId="0" applyNumberFormat="0" applyBorder="0" applyAlignment="0" applyProtection="0"/>
    <xf numFmtId="0" fontId="150" fillId="19" borderId="0" applyNumberFormat="0" applyBorder="0" applyAlignment="0" applyProtection="0"/>
    <xf numFmtId="0" fontId="51" fillId="71" borderId="0" applyNumberFormat="0" applyBorder="0" applyAlignment="0" applyProtection="0"/>
    <xf numFmtId="0" fontId="49" fillId="72" borderId="0" applyNumberFormat="0" applyBorder="0" applyAlignment="0" applyProtection="0"/>
    <xf numFmtId="0" fontId="49" fillId="73" borderId="0" applyNumberFormat="0" applyBorder="0" applyAlignment="0" applyProtection="0"/>
    <xf numFmtId="0" fontId="51" fillId="74" borderId="0" applyNumberFormat="0" applyBorder="0" applyAlignment="0" applyProtection="0"/>
    <xf numFmtId="184" fontId="137" fillId="75" borderId="0" applyNumberFormat="0" applyBorder="0" applyAlignment="0" applyProtection="0"/>
    <xf numFmtId="0" fontId="150" fillId="20" borderId="0" applyNumberFormat="0" applyBorder="0" applyAlignment="0" applyProtection="0"/>
    <xf numFmtId="0" fontId="51" fillId="69" borderId="0" applyNumberFormat="0" applyBorder="0" applyAlignment="0" applyProtection="0"/>
    <xf numFmtId="0" fontId="49" fillId="73" borderId="0" applyNumberFormat="0" applyBorder="0" applyAlignment="0" applyProtection="0"/>
    <xf numFmtId="0" fontId="49" fillId="74" borderId="0" applyNumberFormat="0" applyBorder="0" applyAlignment="0" applyProtection="0"/>
    <xf numFmtId="0" fontId="51" fillId="74" borderId="0" applyNumberFormat="0" applyBorder="0" applyAlignment="0" applyProtection="0"/>
    <xf numFmtId="0" fontId="150" fillId="15" borderId="0" applyNumberFormat="0" applyBorder="0" applyAlignment="0" applyProtection="0"/>
    <xf numFmtId="0" fontId="51" fillId="76" borderId="0" applyNumberFormat="0" applyBorder="0" applyAlignment="0" applyProtection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4" borderId="0" applyNumberFormat="0" applyBorder="0" applyAlignment="0" applyProtection="0"/>
    <xf numFmtId="0" fontId="150" fillId="16" borderId="0" applyNumberFormat="0" applyBorder="0" applyAlignment="0" applyProtection="0"/>
    <xf numFmtId="0" fontId="51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68" borderId="0" applyNumberFormat="0" applyBorder="0" applyAlignment="0" applyProtection="0"/>
    <xf numFmtId="0" fontId="51" fillId="79" borderId="0" applyNumberFormat="0" applyBorder="0" applyAlignment="0" applyProtection="0"/>
    <xf numFmtId="0" fontId="150" fillId="21" borderId="0" applyNumberFormat="0" applyBorder="0" applyAlignment="0" applyProtection="0"/>
    <xf numFmtId="0" fontId="51" fillId="80" borderId="0" applyNumberFormat="0" applyBorder="0" applyAlignment="0" applyProtection="0"/>
    <xf numFmtId="177" fontId="32" fillId="22" borderId="2">
      <alignment horizontal="center"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84" fontId="31" fillId="0" borderId="0"/>
    <xf numFmtId="181" fontId="31" fillId="0" borderId="0"/>
    <xf numFmtId="0" fontId="31" fillId="0" borderId="0"/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3" fontId="48" fillId="0" borderId="0" applyNumberFormat="0" applyFill="0" applyBorder="0" applyAlignment="0" applyProtection="0"/>
    <xf numFmtId="0" fontId="151" fillId="0" borderId="10">
      <protection hidden="1"/>
    </xf>
    <xf numFmtId="0" fontId="148" fillId="26" borderId="10" applyNumberFormat="0" applyFont="0" applyBorder="0" applyAlignment="0" applyProtection="0">
      <protection hidden="1"/>
    </xf>
    <xf numFmtId="0" fontId="151" fillId="0" borderId="10">
      <protection hidden="1"/>
    </xf>
    <xf numFmtId="0" fontId="152" fillId="81" borderId="0"/>
    <xf numFmtId="0" fontId="153" fillId="4" borderId="0" applyNumberFormat="0" applyBorder="0" applyAlignment="0" applyProtection="0"/>
    <xf numFmtId="0" fontId="154" fillId="0" borderId="0" applyFont="0" applyFill="0" applyBorder="0" applyAlignment="0" applyProtection="0">
      <alignment horizontal="right"/>
    </xf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155" fillId="0" borderId="55" applyNumberFormat="0" applyFill="0" applyAlignment="0" applyProtection="0"/>
    <xf numFmtId="178" fontId="156" fillId="0" borderId="0">
      <alignment horizontal="right"/>
    </xf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2" fontId="120" fillId="0" borderId="63" applyAlignment="0" applyProtection="0"/>
    <xf numFmtId="221" fontId="61" fillId="5" borderId="0" applyNumberFormat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220" fontId="65" fillId="26" borderId="93" applyNumberFormat="0" applyAlignment="0" applyProtection="0"/>
    <xf numFmtId="221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3" fontId="31" fillId="0" borderId="0" applyFont="0" applyFill="0" applyBorder="0" applyAlignment="0" applyProtection="0"/>
    <xf numFmtId="224" fontId="31" fillId="0" borderId="0" applyFont="0" applyFill="0" applyBorder="0" applyAlignment="0" applyProtection="0"/>
    <xf numFmtId="0" fontId="66" fillId="27" borderId="82" applyNumberFormat="0" applyAlignment="0" applyProtection="0"/>
    <xf numFmtId="0" fontId="67" fillId="0" borderId="8" applyNumberFormat="0" applyFill="0" applyAlignment="0" applyProtection="0"/>
    <xf numFmtId="0" fontId="67" fillId="0" borderId="8" applyNumberFormat="0" applyFill="0" applyAlignment="0" applyProtection="0"/>
    <xf numFmtId="37" fontId="157" fillId="29" borderId="94" applyProtection="0">
      <alignment horizontal="center"/>
    </xf>
    <xf numFmtId="0" fontId="66" fillId="69" borderId="82" applyNumberFormat="0" applyAlignment="0" applyProtection="0"/>
    <xf numFmtId="0" fontId="68" fillId="28" borderId="9" applyFont="0" applyFill="0" applyBorder="0"/>
    <xf numFmtId="0" fontId="43" fillId="0" borderId="10"/>
    <xf numFmtId="0" fontId="43" fillId="0" borderId="10"/>
    <xf numFmtId="0" fontId="43" fillId="0" borderId="10"/>
    <xf numFmtId="0" fontId="30" fillId="0" borderId="0" applyNumberFormat="0" applyFill="0" applyBorder="0" applyAlignment="0" applyProtection="0">
      <alignment vertical="top"/>
      <protection locked="0"/>
    </xf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225" fontId="159" fillId="0" borderId="0"/>
    <xf numFmtId="225" fontId="159" fillId="0" borderId="0"/>
    <xf numFmtId="213" fontId="125" fillId="0" borderId="0" applyFill="0" applyBorder="0" applyAlignment="0" applyProtection="0"/>
    <xf numFmtId="40" fontId="125" fillId="0" borderId="0" applyFill="0" applyBorder="0" applyAlignment="0" applyProtection="0"/>
    <xf numFmtId="226" fontId="125" fillId="82" borderId="0" applyFill="0" applyBorder="0" applyAlignment="0">
      <alignment vertical="top"/>
    </xf>
    <xf numFmtId="227" fontId="125" fillId="0" borderId="0" applyFill="0" applyBorder="0" applyAlignment="0" applyProtection="0"/>
    <xf numFmtId="18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6" fontId="36" fillId="0" borderId="0" applyProtection="0"/>
    <xf numFmtId="223" fontId="36" fillId="0" borderId="0" applyProtection="0"/>
    <xf numFmtId="168" fontId="36" fillId="0" borderId="0" applyProtection="0"/>
    <xf numFmtId="166" fontId="84" fillId="0" borderId="0" applyProtection="0"/>
    <xf numFmtId="223" fontId="84" fillId="0" borderId="0" applyProtection="0"/>
    <xf numFmtId="168" fontId="84" fillId="0" borderId="0" applyProtection="0"/>
    <xf numFmtId="0" fontId="69" fillId="0" borderId="0"/>
    <xf numFmtId="0" fontId="54" fillId="0" borderId="0"/>
    <xf numFmtId="0" fontId="161" fillId="0" borderId="0"/>
    <xf numFmtId="0" fontId="69" fillId="0" borderId="0"/>
    <xf numFmtId="3" fontId="70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54" fillId="0" borderId="0"/>
    <xf numFmtId="0" fontId="161" fillId="0" borderId="0"/>
    <xf numFmtId="0" fontId="69" fillId="0" borderId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228" fontId="125" fillId="82" borderId="99" applyFill="0" applyBorder="0" applyAlignment="0">
      <alignment horizontal="right"/>
    </xf>
    <xf numFmtId="0" fontId="160" fillId="0" borderId="0" applyFont="0" applyFill="0" applyBorder="0" applyAlignment="0" applyProtection="0">
      <alignment horizontal="right"/>
    </xf>
    <xf numFmtId="0" fontId="160" fillId="0" borderId="0" applyFont="0" applyFill="0" applyBorder="0" applyAlignment="0" applyProtection="0">
      <alignment horizontal="right"/>
    </xf>
    <xf numFmtId="182" fontId="70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160" fillId="0" borderId="0" applyFont="0" applyFill="0" applyBorder="0" applyAlignment="0" applyProtection="0"/>
    <xf numFmtId="14" fontId="36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71" fillId="0" borderId="0" applyFont="0" applyFill="0" applyBorder="0" applyAlignment="0"/>
    <xf numFmtId="183" fontId="31" fillId="0" borderId="12">
      <alignment vertical="center"/>
    </xf>
    <xf numFmtId="0" fontId="162" fillId="9" borderId="64" applyNumberFormat="0" applyBorder="0" applyAlignment="0">
      <alignment horizontal="center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0" fontId="62" fillId="0" borderId="0">
      <protection locked="0"/>
    </xf>
    <xf numFmtId="0" fontId="160" fillId="0" borderId="105" applyNumberFormat="0" applyFont="0" applyFill="0" applyAlignment="0" applyProtection="0"/>
    <xf numFmtId="0" fontId="125" fillId="0" borderId="0" applyNumberFormat="0" applyFill="0" applyBorder="0" applyAlignment="0" applyProtection="0"/>
    <xf numFmtId="0" fontId="122" fillId="83" borderId="0" applyNumberFormat="0" applyBorder="0" applyAlignment="0" applyProtection="0"/>
    <xf numFmtId="0" fontId="122" fillId="84" borderId="0" applyNumberFormat="0" applyBorder="0" applyAlignment="0" applyProtection="0"/>
    <xf numFmtId="0" fontId="122" fillId="85" borderId="0" applyNumberFormat="0" applyBorder="0" applyAlignment="0" applyProtection="0"/>
    <xf numFmtId="0" fontId="163" fillId="0" borderId="0">
      <protection locked="0"/>
    </xf>
    <xf numFmtId="0" fontId="163" fillId="0" borderId="0">
      <protection locked="0"/>
    </xf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18" borderId="0" applyNumberFormat="0" applyBorder="0" applyAlignment="0" applyProtection="0"/>
    <xf numFmtId="221" fontId="51" fillId="19" borderId="0" applyNumberFormat="0" applyBorder="0" applyAlignment="0" applyProtection="0"/>
    <xf numFmtId="221" fontId="51" fillId="20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184" fontId="31" fillId="0" borderId="0" applyFont="0" applyFill="0" applyBorder="0" applyAlignment="0" applyProtection="0"/>
    <xf numFmtId="220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229" fontId="31" fillId="0" borderId="0" applyFill="0" applyBorder="0" applyAlignment="0" applyProtection="0"/>
    <xf numFmtId="0" fontId="164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7" fontId="75" fillId="0" borderId="0" applyBorder="0" applyAlignment="0"/>
    <xf numFmtId="37" fontId="75" fillId="0" borderId="0" applyBorder="0" applyAlignment="0"/>
    <xf numFmtId="0" fontId="62" fillId="0" borderId="0">
      <protection locked="0"/>
    </xf>
    <xf numFmtId="3" fontId="70" fillId="0" borderId="0" applyFont="0" applyFill="0" applyBorder="0" applyAlignment="0" applyProtection="0"/>
    <xf numFmtId="0" fontId="62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6" fontId="62" fillId="0" borderId="0">
      <protection locked="0"/>
    </xf>
    <xf numFmtId="186" fontId="62" fillId="0" borderId="0">
      <protection locked="0"/>
    </xf>
    <xf numFmtId="0" fontId="165" fillId="0" borderId="0" applyFill="0" applyBorder="0" applyProtection="0">
      <alignment horizontal="left"/>
    </xf>
    <xf numFmtId="0" fontId="138" fillId="0" borderId="0"/>
    <xf numFmtId="38" fontId="162" fillId="0" borderId="10" applyBorder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2" fontId="31" fillId="0" borderId="0"/>
    <xf numFmtId="2" fontId="31" fillId="0" borderId="0"/>
    <xf numFmtId="2" fontId="31" fillId="0" borderId="0"/>
    <xf numFmtId="2" fontId="31" fillId="0" borderId="0"/>
    <xf numFmtId="0" fontId="166" fillId="5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60" fillId="0" borderId="0" applyFont="0" applyFill="0" applyBorder="0" applyAlignment="0" applyProtection="0">
      <alignment horizontal="right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67" fillId="0" borderId="0" applyProtection="0">
      <alignment horizontal="left"/>
    </xf>
    <xf numFmtId="184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230" fontId="125" fillId="0" borderId="0" applyFill="0" applyBorder="0" applyAlignment="0" applyProtection="0"/>
    <xf numFmtId="0" fontId="84" fillId="0" borderId="19" applyNumberFormat="0" applyFill="0" applyAlignment="0" applyProtection="0"/>
    <xf numFmtId="0" fontId="84" fillId="0" borderId="19" applyNumberFormat="0" applyFill="0" applyAlignment="0" applyProtection="0"/>
    <xf numFmtId="0" fontId="168" fillId="0" borderId="0" applyNumberFormat="0" applyFill="0" applyBorder="0" applyAlignment="0" applyProtection="0">
      <alignment vertical="top"/>
      <protection locked="0"/>
    </xf>
    <xf numFmtId="0" fontId="168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45" fillId="0" borderId="0"/>
    <xf numFmtId="231" fontId="31" fillId="0" borderId="0" applyNumberFormat="0" applyFill="0" applyBorder="0" applyAlignment="0" applyProtection="0"/>
    <xf numFmtId="231" fontId="31" fillId="0" borderId="0" applyNumberFormat="0" applyFill="0" applyBorder="0" applyAlignment="0" applyProtection="0"/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232" fontId="139" fillId="0" borderId="0"/>
    <xf numFmtId="232" fontId="139" fillId="0" borderId="0"/>
    <xf numFmtId="232" fontId="139" fillId="0" borderId="0"/>
    <xf numFmtId="233" fontId="139" fillId="0" borderId="0"/>
    <xf numFmtId="233" fontId="139" fillId="0" borderId="0"/>
    <xf numFmtId="233" fontId="139" fillId="0" borderId="0"/>
    <xf numFmtId="234" fontId="139" fillId="0" borderId="0"/>
    <xf numFmtId="234" fontId="139" fillId="0" borderId="0"/>
    <xf numFmtId="234" fontId="139" fillId="0" borderId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0" fontId="169" fillId="86" borderId="0" applyNumberFormat="0" applyBorder="0" applyAlignment="0">
      <protection locked="0"/>
    </xf>
    <xf numFmtId="0" fontId="73" fillId="8" borderId="93" applyNumberFormat="0" applyAlignment="0" applyProtection="0"/>
    <xf numFmtId="235" fontId="170" fillId="0" borderId="0"/>
    <xf numFmtId="0" fontId="30" fillId="0" borderId="0" applyNumberFormat="0" applyFill="0" applyBorder="0" applyAlignment="0" applyProtection="0">
      <alignment vertical="top"/>
      <protection locked="0"/>
    </xf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71" fillId="0" borderId="8" applyNumberFormat="0" applyFill="0" applyAlignment="0" applyProtection="0"/>
    <xf numFmtId="0" fontId="172" fillId="0" borderId="10">
      <alignment horizontal="left"/>
      <protection locked="0"/>
    </xf>
    <xf numFmtId="236" fontId="173" fillId="0" borderId="0" applyFont="0" applyFill="0" applyBorder="0" applyAlignment="0" applyProtection="0"/>
    <xf numFmtId="38" fontId="71" fillId="0" borderId="0" applyFont="0" applyFill="0" applyBorder="0" applyAlignment="0" applyProtection="0"/>
    <xf numFmtId="40" fontId="71" fillId="0" borderId="0" applyFont="0" applyFill="0" applyBorder="0" applyAlignment="0" applyProtection="0"/>
    <xf numFmtId="0" fontId="174" fillId="0" borderId="0" applyBorder="0"/>
    <xf numFmtId="237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88" fontId="62" fillId="0" borderId="0">
      <protection locked="0"/>
    </xf>
    <xf numFmtId="188" fontId="62" fillId="0" borderId="0">
      <protection locked="0"/>
    </xf>
    <xf numFmtId="239" fontId="31" fillId="0" borderId="0" applyFont="0" applyFill="0" applyBorder="0" applyAlignment="0" applyProtection="0"/>
    <xf numFmtId="24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2" fillId="0" borderId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9" fontId="145" fillId="0" borderId="0" applyProtection="0"/>
    <xf numFmtId="241" fontId="145" fillId="0" borderId="0" applyProtection="0"/>
    <xf numFmtId="242" fontId="145" fillId="0" borderId="0" applyProtection="0"/>
    <xf numFmtId="169" fontId="145" fillId="0" borderId="0" applyProtection="0"/>
    <xf numFmtId="241" fontId="145" fillId="0" borderId="0" applyProtection="0"/>
    <xf numFmtId="242" fontId="145" fillId="0" borderId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0" fontId="175" fillId="31" borderId="0" applyNumberFormat="0" applyBorder="0" applyAlignment="0" applyProtection="0"/>
    <xf numFmtId="0" fontId="31" fillId="0" borderId="0" applyNumberFormat="0" applyFill="0" applyBorder="0" applyAlignment="0" applyProtection="0"/>
    <xf numFmtId="37" fontId="88" fillId="0" borderId="0"/>
    <xf numFmtId="37" fontId="88" fillId="0" borderId="0"/>
    <xf numFmtId="0" fontId="45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33" fontId="139" fillId="0" borderId="0"/>
    <xf numFmtId="233" fontId="139" fillId="0" borderId="0"/>
    <xf numFmtId="233" fontId="139" fillId="0" borderId="0"/>
    <xf numFmtId="244" fontId="139" fillId="0" borderId="0">
      <alignment horizontal="right"/>
    </xf>
    <xf numFmtId="244" fontId="139" fillId="0" borderId="0">
      <alignment horizontal="right"/>
    </xf>
    <xf numFmtId="244" fontId="139" fillId="0" borderId="0">
      <alignment horizontal="right"/>
    </xf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0" fontId="29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 applyFill="0" applyBorder="0" applyAlignment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31" fillId="0" borderId="0"/>
    <xf numFmtId="221" fontId="31" fillId="0" borderId="0"/>
    <xf numFmtId="221" fontId="31" fillId="0" borderId="0"/>
    <xf numFmtId="221" fontId="31" fillId="0" borderId="0"/>
    <xf numFmtId="0" fontId="3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3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0" fontId="31" fillId="0" borderId="0"/>
    <xf numFmtId="0" fontId="31" fillId="0" borderId="0"/>
    <xf numFmtId="221" fontId="31" fillId="0" borderId="0"/>
    <xf numFmtId="0" fontId="31" fillId="0" borderId="0"/>
    <xf numFmtId="0" fontId="31" fillId="0" borderId="0"/>
    <xf numFmtId="220" fontId="31" fillId="0" borderId="0"/>
    <xf numFmtId="221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31" fillId="0" borderId="0">
      <alignment vertical="top"/>
    </xf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71" fillId="0" borderId="0"/>
    <xf numFmtId="221" fontId="71" fillId="0" borderId="0"/>
    <xf numFmtId="220" fontId="31" fillId="0" borderId="0"/>
    <xf numFmtId="0" fontId="31" fillId="0" borderId="0"/>
    <xf numFmtId="221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184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77" fillId="0" borderId="0"/>
    <xf numFmtId="0" fontId="145" fillId="0" borderId="0"/>
    <xf numFmtId="0" fontId="173" fillId="0" borderId="0"/>
    <xf numFmtId="0" fontId="147" fillId="0" borderId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1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0" fontId="178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9" fillId="33" borderId="29"/>
    <xf numFmtId="1" fontId="180" fillId="0" borderId="0" applyProtection="0">
      <alignment horizontal="right" vertical="center"/>
    </xf>
    <xf numFmtId="178" fontId="181" fillId="0" borderId="55">
      <alignment vertical="center"/>
    </xf>
    <xf numFmtId="0" fontId="69" fillId="0" borderId="0"/>
    <xf numFmtId="0" fontId="54" fillId="0" borderId="0"/>
    <xf numFmtId="0" fontId="31" fillId="0" borderId="54" applyFont="0" applyFill="0" applyBorder="0" applyAlignment="0" applyProtection="0">
      <alignment horizontal="right"/>
    </xf>
    <xf numFmtId="245" fontId="125" fillId="82" borderId="0" applyFill="0" applyBorder="0" applyAlignment="0" applyProtection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46" fontId="125" fillId="82" borderId="0" applyFill="0" applyBorder="0" applyAlignment="0" applyProtection="0">
      <alignment vertical="top"/>
    </xf>
    <xf numFmtId="247" fontId="125" fillId="0" borderId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10" fontId="70" fillId="0" borderId="0" applyFont="0" applyFill="0" applyBorder="0" applyAlignment="0" applyProtection="0"/>
    <xf numFmtId="250" fontId="62" fillId="0" borderId="0">
      <protection locked="0"/>
    </xf>
    <xf numFmtId="193" fontId="62" fillId="0" borderId="0">
      <protection locked="0"/>
    </xf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62" fillId="0" borderId="0">
      <protection locked="0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10" fontId="70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82" fillId="0" borderId="0" applyNumberFormat="0">
      <alignment horizontal="left"/>
    </xf>
    <xf numFmtId="231" fontId="31" fillId="0" borderId="0" applyNumberFormat="0" applyAlignment="0">
      <alignment horizontal="left"/>
    </xf>
    <xf numFmtId="0" fontId="71" fillId="0" borderId="0" applyNumberFormat="0" applyFont="0" applyFill="0" applyBorder="0" applyAlignment="0" applyProtection="0">
      <alignment horizontal="left"/>
    </xf>
    <xf numFmtId="15" fontId="71" fillId="0" borderId="0" applyFont="0" applyFill="0" applyBorder="0" applyAlignment="0" applyProtection="0"/>
    <xf numFmtId="4" fontId="71" fillId="0" borderId="0" applyFont="0" applyFill="0" applyBorder="0" applyAlignment="0" applyProtection="0"/>
    <xf numFmtId="0" fontId="120" fillId="0" borderId="106">
      <alignment horizontal="center"/>
    </xf>
    <xf numFmtId="3" fontId="71" fillId="0" borderId="0" applyFont="0" applyFill="0" applyBorder="0" applyAlignment="0" applyProtection="0"/>
    <xf numFmtId="0" fontId="71" fillId="28" borderId="0" applyNumberFormat="0" applyFont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0" fontId="183" fillId="0" borderId="94">
      <alignment horizontal="center" vertical="center"/>
    </xf>
    <xf numFmtId="0" fontId="184" fillId="0" borderId="107" applyBorder="0">
      <alignment vertical="top"/>
      <protection locked="0"/>
    </xf>
    <xf numFmtId="3" fontId="44" fillId="0" borderId="0" applyFill="0" applyBorder="0" applyAlignment="0" applyProtection="0"/>
    <xf numFmtId="3" fontId="44" fillId="0" borderId="0" applyFill="0" applyBorder="0" applyAlignment="0" applyProtection="0"/>
    <xf numFmtId="0" fontId="185" fillId="0" borderId="10" applyNumberFormat="0" applyFill="0" applyBorder="0" applyAlignment="0" applyProtection="0">
      <protection hidden="1"/>
    </xf>
    <xf numFmtId="38" fontId="182" fillId="0" borderId="0"/>
    <xf numFmtId="220" fontId="91" fillId="26" borderId="98" applyNumberFormat="0" applyAlignment="0" applyProtection="0"/>
    <xf numFmtId="221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4" fontId="50" fillId="0" borderId="102" applyNumberFormat="0" applyProtection="0">
      <alignment vertical="center"/>
    </xf>
    <xf numFmtId="4" fontId="130" fillId="29" borderId="102" applyNumberFormat="0" applyProtection="0">
      <alignment vertical="center"/>
    </xf>
    <xf numFmtId="4" fontId="50" fillId="0" borderId="102" applyNumberFormat="0" applyProtection="0">
      <alignment horizontal="left" vertical="center" indent="1"/>
    </xf>
    <xf numFmtId="0" fontId="50" fillId="0" borderId="102" applyNumberFormat="0" applyProtection="0">
      <alignment horizontal="left" vertical="top" indent="1"/>
    </xf>
    <xf numFmtId="0" fontId="31" fillId="87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4" fontId="50" fillId="50" borderId="0" applyNumberFormat="0" applyProtection="0">
      <alignment horizontal="left" vertical="center" indent="1"/>
    </xf>
    <xf numFmtId="4" fontId="36" fillId="4" borderId="102" applyNumberFormat="0" applyProtection="0">
      <alignment horizontal="right" vertical="center"/>
    </xf>
    <xf numFmtId="4" fontId="36" fillId="11" borderId="102" applyNumberFormat="0" applyProtection="0">
      <alignment horizontal="right" vertical="center"/>
    </xf>
    <xf numFmtId="4" fontId="36" fillId="19" borderId="102" applyNumberFormat="0" applyProtection="0">
      <alignment horizontal="right" vertical="center"/>
    </xf>
    <xf numFmtId="4" fontId="36" fillId="13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21" borderId="102" applyNumberFormat="0" applyProtection="0">
      <alignment horizontal="right" vertical="center"/>
    </xf>
    <xf numFmtId="4" fontId="36" fillId="20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88" borderId="0" applyNumberFormat="0" applyProtection="0">
      <alignment horizontal="left" vertical="center" indent="1"/>
    </xf>
    <xf numFmtId="4" fontId="36" fillId="50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89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22" borderId="102" applyNumberFormat="0" applyProtection="0">
      <alignment horizontal="left" vertical="top" indent="1"/>
    </xf>
    <xf numFmtId="0" fontId="31" fillId="52" borderId="102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1" fillId="82" borderId="94" applyNumberFormat="0">
      <protection locked="0"/>
    </xf>
    <xf numFmtId="4" fontId="36" fillId="23" borderId="102" applyNumberFormat="0" applyProtection="0">
      <alignment vertical="center"/>
    </xf>
    <xf numFmtId="4" fontId="132" fillId="23" borderId="102" applyNumberFormat="0" applyProtection="0">
      <alignment vertical="center"/>
    </xf>
    <xf numFmtId="4" fontId="36" fillId="23" borderId="102" applyNumberFormat="0" applyProtection="0">
      <alignment horizontal="left" vertical="center" indent="1"/>
    </xf>
    <xf numFmtId="0" fontId="36" fillId="23" borderId="102" applyNumberFormat="0" applyProtection="0">
      <alignment horizontal="left" vertical="top" indent="1"/>
    </xf>
    <xf numFmtId="4" fontId="132" fillId="0" borderId="102" applyNumberFormat="0" applyProtection="0">
      <alignment horizontal="right" vertical="center"/>
    </xf>
    <xf numFmtId="0" fontId="186" fillId="0" borderId="0"/>
    <xf numFmtId="4" fontId="121" fillId="0" borderId="0" applyNumberFormat="0" applyProtection="0">
      <alignment horizontal="left" vertical="center" indent="1"/>
    </xf>
    <xf numFmtId="4" fontId="187" fillId="90" borderId="98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187" fillId="90" borderId="98" applyNumberFormat="0" applyProtection="0">
      <alignment horizontal="right" vertical="center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92" fontId="94" fillId="0" borderId="0">
      <protection locked="0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118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9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2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0" fontId="104" fillId="0" borderId="0" applyNumberFormat="0" applyFill="0" applyBorder="0" applyAlignment="0" applyProtection="0"/>
    <xf numFmtId="0" fontId="31" fillId="0" borderId="108"/>
    <xf numFmtId="0" fontId="36" fillId="0" borderId="0">
      <alignment vertical="top"/>
    </xf>
    <xf numFmtId="0" fontId="36" fillId="0" borderId="0">
      <alignment vertical="top"/>
    </xf>
    <xf numFmtId="0" fontId="31" fillId="0" borderId="94" applyNumberFormat="0" applyFont="0" applyFill="0" applyProtection="0">
      <alignment horizontal="center"/>
    </xf>
    <xf numFmtId="22" fontId="31" fillId="0" borderId="94" applyFont="0" applyFill="0" applyProtection="0">
      <alignment horizontal="center"/>
    </xf>
    <xf numFmtId="0" fontId="32" fillId="9" borderId="94" applyNumberFormat="0" applyProtection="0">
      <alignment horizontal="center"/>
    </xf>
    <xf numFmtId="0" fontId="188" fillId="38" borderId="94" applyNumberFormat="0" applyProtection="0">
      <alignment horizontal="right"/>
    </xf>
    <xf numFmtId="4" fontId="31" fillId="0" borderId="94" applyFont="0" applyFill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31" fillId="91" borderId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166" fontId="31" fillId="0" borderId="0"/>
    <xf numFmtId="0" fontId="31" fillId="0" borderId="109"/>
    <xf numFmtId="0" fontId="189" fillId="0" borderId="0" applyBorder="0" applyProtection="0">
      <alignment vertical="center"/>
    </xf>
    <xf numFmtId="0" fontId="145" fillId="0" borderId="53" applyBorder="0" applyProtection="0">
      <alignment horizontal="right" vertical="center"/>
    </xf>
    <xf numFmtId="0" fontId="190" fillId="92" borderId="0" applyBorder="0" applyProtection="0">
      <alignment horizontal="centerContinuous" vertical="center"/>
    </xf>
    <xf numFmtId="0" fontId="190" fillId="93" borderId="53" applyBorder="0" applyProtection="0">
      <alignment horizontal="centerContinuous" vertical="center"/>
    </xf>
    <xf numFmtId="0" fontId="191" fillId="0" borderId="0" applyFill="0" applyBorder="0" applyProtection="0">
      <alignment horizontal="left"/>
    </xf>
    <xf numFmtId="0" fontId="165" fillId="0" borderId="20" applyFill="0" applyBorder="0" applyProtection="0">
      <alignment horizontal="left" vertical="top"/>
    </xf>
    <xf numFmtId="0" fontId="192" fillId="0" borderId="0"/>
    <xf numFmtId="0" fontId="45" fillId="0" borderId="0"/>
    <xf numFmtId="0" fontId="193" fillId="0" borderId="0" applyNumberFormat="0" applyFill="0" applyBorder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40" fontId="194" fillId="0" borderId="0"/>
    <xf numFmtId="184" fontId="100" fillId="0" borderId="0" applyNumberFormat="0" applyFill="0" applyBorder="0" applyAlignment="0" applyProtection="0"/>
    <xf numFmtId="220" fontId="102" fillId="0" borderId="25" applyNumberFormat="0" applyFill="0" applyAlignment="0" applyProtection="0"/>
    <xf numFmtId="221" fontId="102" fillId="0" borderId="25" applyNumberFormat="0" applyFill="0" applyAlignment="0" applyProtection="0"/>
    <xf numFmtId="0" fontId="81" fillId="0" borderId="0" applyNumberFormat="0" applyFill="0" applyBorder="0" applyAlignment="0" applyProtection="0"/>
    <xf numFmtId="221" fontId="102" fillId="0" borderId="25" applyNumberFormat="0" applyFill="0" applyAlignment="0" applyProtection="0"/>
    <xf numFmtId="221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3" fillId="0" borderId="26" applyNumberFormat="0" applyFill="0" applyAlignment="0" applyProtection="0"/>
    <xf numFmtId="221" fontId="103" fillId="0" borderId="26" applyNumberFormat="0" applyFill="0" applyAlignment="0" applyProtection="0"/>
    <xf numFmtId="0" fontId="82" fillId="0" borderId="0" applyNumberFormat="0" applyFill="0" applyBorder="0" applyAlignment="0" applyProtection="0"/>
    <xf numFmtId="221" fontId="103" fillId="0" borderId="26" applyNumberFormat="0" applyFill="0" applyAlignment="0" applyProtection="0"/>
    <xf numFmtId="221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192" fontId="163" fillId="0" borderId="0">
      <protection locked="0"/>
    </xf>
    <xf numFmtId="192" fontId="163" fillId="0" borderId="0">
      <protection locked="0"/>
    </xf>
    <xf numFmtId="0" fontId="31" fillId="91" borderId="0"/>
    <xf numFmtId="0" fontId="182" fillId="26" borderId="10"/>
    <xf numFmtId="178" fontId="195" fillId="0" borderId="0">
      <alignment horizontal="left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3" fontId="32" fillId="0" borderId="63" applyFont="0" applyFill="0" applyBorder="0" applyProtection="0">
      <alignment horizontal="center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0" borderId="0"/>
    <xf numFmtId="37" fontId="43" fillId="0" borderId="0"/>
    <xf numFmtId="37" fontId="43" fillId="0" borderId="0"/>
    <xf numFmtId="37" fontId="43" fillId="29" borderId="0" applyNumberFormat="0" applyBorder="0" applyAlignment="0" applyProtection="0"/>
    <xf numFmtId="0" fontId="196" fillId="0" borderId="0">
      <alignment vertical="top"/>
    </xf>
    <xf numFmtId="37" fontId="197" fillId="0" borderId="0">
      <protection locked="0"/>
    </xf>
    <xf numFmtId="193" fontId="62" fillId="0" borderId="0">
      <protection locked="0"/>
    </xf>
    <xf numFmtId="193" fontId="62" fillId="0" borderId="0">
      <protection locked="0"/>
    </xf>
    <xf numFmtId="194" fontId="62" fillId="0" borderId="0">
      <protection locked="0"/>
    </xf>
    <xf numFmtId="194" fontId="62" fillId="0" borderId="0">
      <protection locked="0"/>
    </xf>
    <xf numFmtId="189" fontId="145" fillId="0" borderId="0" applyFont="0" applyFill="0" applyBorder="0" applyAlignment="0" applyProtection="0"/>
    <xf numFmtId="189" fontId="145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9" fillId="0" borderId="0" applyFont="0" applyFill="0" applyBorder="0" applyAlignment="0" applyProtection="0"/>
    <xf numFmtId="3" fontId="31" fillId="0" borderId="0" applyFont="0" applyFill="0" applyBorder="0" applyAlignment="0" applyProtection="0"/>
    <xf numFmtId="2" fontId="70" fillId="0" borderId="0" applyFont="0" applyFill="0" applyBorder="0" applyAlignment="0" applyProtection="0"/>
    <xf numFmtId="235" fontId="117" fillId="0" borderId="0" applyFill="0"/>
    <xf numFmtId="0" fontId="198" fillId="0" borderId="0" applyNumberForma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200" fillId="0" borderId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43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201" fillId="0" borderId="0"/>
    <xf numFmtId="43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43" fontId="4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31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03" fillId="0" borderId="0"/>
    <xf numFmtId="0" fontId="18" fillId="0" borderId="0"/>
    <xf numFmtId="0" fontId="112" fillId="0" borderId="0"/>
    <xf numFmtId="0" fontId="17" fillId="0" borderId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6" fillId="0" borderId="0"/>
    <xf numFmtId="0" fontId="29" fillId="0" borderId="0"/>
    <xf numFmtId="0" fontId="15" fillId="0" borderId="0"/>
    <xf numFmtId="210" fontId="125" fillId="0" borderId="110" applyFont="0" applyFill="0" applyBorder="0" applyAlignment="0"/>
    <xf numFmtId="210" fontId="125" fillId="0" borderId="110" applyFont="0" applyFill="0" applyBorder="0" applyAlignment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40" fontId="64" fillId="23" borderId="110">
      <alignment vertical="center"/>
    </xf>
    <xf numFmtId="40" fontId="64" fillId="23" borderId="110">
      <alignment vertical="center"/>
    </xf>
    <xf numFmtId="43" fontId="31" fillId="0" borderId="0" applyFont="0" applyFill="0" applyBorder="0" applyAlignment="0" applyProtection="0">
      <alignment wrapText="1"/>
    </xf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29" borderId="0" applyNumberFormat="0" applyFont="0" applyBorder="0" applyAlignment="0" applyProtection="0"/>
    <xf numFmtId="0" fontId="80" fillId="0" borderId="112">
      <alignment horizontal="left" vertical="center"/>
    </xf>
    <xf numFmtId="0" fontId="80" fillId="0" borderId="112">
      <alignment horizontal="left" vertical="center"/>
    </xf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43" fontId="31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4" fontId="36" fillId="0" borderId="110" applyNumberFormat="0" applyProtection="0">
      <alignment horizontal="right" vertical="center"/>
    </xf>
    <xf numFmtId="4" fontId="36" fillId="0" borderId="110" applyNumberFormat="0" applyProtection="0">
      <alignment horizontal="right" vertical="center"/>
    </xf>
    <xf numFmtId="0" fontId="50" fillId="0" borderId="110" applyNumberFormat="0" applyProtection="0">
      <alignment horizontal="left" vertical="top" indent="1"/>
    </xf>
    <xf numFmtId="0" fontId="50" fillId="0" borderId="110" applyNumberFormat="0" applyProtection="0">
      <alignment horizontal="left" vertical="top" indent="1"/>
    </xf>
    <xf numFmtId="43" fontId="36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21" fillId="0" borderId="111" applyProtection="0">
      <alignment horizontal="centerContinuous"/>
    </xf>
    <xf numFmtId="0" fontId="121" fillId="0" borderId="111" applyProtection="0">
      <alignment horizontal="centerContinuous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9" fillId="0" borderId="0"/>
    <xf numFmtId="0" fontId="31" fillId="0" borderId="112" applyFont="0" applyFill="0" applyBorder="0" applyAlignment="0" applyProtection="0"/>
    <xf numFmtId="0" fontId="31" fillId="0" borderId="112" applyFont="0" applyFill="0" applyBorder="0" applyAlignment="0" applyProtection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9" fillId="0" borderId="0"/>
    <xf numFmtId="0" fontId="14" fillId="0" borderId="0"/>
    <xf numFmtId="43" fontId="14" fillId="0" borderId="0" applyFont="0" applyFill="0" applyBorder="0" applyAlignment="0" applyProtection="0"/>
    <xf numFmtId="0" fontId="13" fillId="0" borderId="0"/>
    <xf numFmtId="43" fontId="29" fillId="0" borderId="0" applyFont="0" applyFill="0" applyBorder="0" applyAlignment="0" applyProtection="0"/>
    <xf numFmtId="0" fontId="12" fillId="0" borderId="0"/>
    <xf numFmtId="0" fontId="11" fillId="0" borderId="0"/>
    <xf numFmtId="0" fontId="265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269" fillId="112" borderId="158" applyNumberFormat="0" applyAlignment="0" applyProtection="0"/>
    <xf numFmtId="9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31" fillId="0" borderId="0"/>
    <xf numFmtId="0" fontId="31" fillId="0" borderId="0"/>
    <xf numFmtId="168" fontId="31" fillId="0" borderId="0" applyFont="0" applyFill="0" applyBorder="0" applyAlignment="0" applyProtection="0"/>
  </cellStyleXfs>
  <cellXfs count="1810">
    <xf numFmtId="0" fontId="0" fillId="0" borderId="0" xfId="0"/>
    <xf numFmtId="0" fontId="31" fillId="0" borderId="0" xfId="831"/>
    <xf numFmtId="0" fontId="31" fillId="33" borderId="0" xfId="831" applyFill="1"/>
    <xf numFmtId="0" fontId="30" fillId="33" borderId="0" xfId="801" applyFill="1" applyBorder="1" applyAlignment="1" applyProtection="1">
      <alignment horizontal="right"/>
    </xf>
    <xf numFmtId="14" fontId="31" fillId="0" borderId="0" xfId="831" applyNumberFormat="1"/>
    <xf numFmtId="0" fontId="34" fillId="33" borderId="0" xfId="831" applyFont="1" applyFill="1" applyAlignment="1">
      <alignment horizontal="left"/>
    </xf>
    <xf numFmtId="0" fontId="38" fillId="39" borderId="29" xfId="831" applyFont="1" applyFill="1" applyBorder="1" applyAlignment="1">
      <alignment horizontal="center" vertical="center"/>
    </xf>
    <xf numFmtId="14" fontId="108" fillId="0" borderId="0" xfId="831" applyNumberFormat="1" applyFont="1"/>
    <xf numFmtId="14" fontId="0" fillId="0" borderId="0" xfId="0" applyNumberFormat="1"/>
    <xf numFmtId="0" fontId="29" fillId="0" borderId="0" xfId="0" applyFont="1"/>
    <xf numFmtId="168" fontId="31" fillId="0" borderId="0" xfId="863" applyFont="1"/>
    <xf numFmtId="10" fontId="31" fillId="0" borderId="0" xfId="847" applyNumberFormat="1" applyFont="1"/>
    <xf numFmtId="0" fontId="0" fillId="41" borderId="0" xfId="0" applyFill="1"/>
    <xf numFmtId="0" fontId="42" fillId="0" borderId="0" xfId="0" applyFont="1" applyAlignment="1">
      <alignment vertical="center"/>
    </xf>
    <xf numFmtId="0" fontId="124" fillId="0" borderId="0" xfId="0" applyFont="1"/>
    <xf numFmtId="0" fontId="115" fillId="41" borderId="0" xfId="0" applyFont="1" applyFill="1"/>
    <xf numFmtId="0" fontId="29" fillId="0" borderId="0" xfId="1891" applyAlignment="1">
      <alignment vertical="top"/>
    </xf>
    <xf numFmtId="14" fontId="29" fillId="0" borderId="0" xfId="0" applyNumberFormat="1" applyFont="1"/>
    <xf numFmtId="0" fontId="29" fillId="0" borderId="0" xfId="2697"/>
    <xf numFmtId="10" fontId="42" fillId="41" borderId="0" xfId="847" applyNumberFormat="1" applyFont="1" applyFill="1" applyBorder="1"/>
    <xf numFmtId="10" fontId="42" fillId="0" borderId="0" xfId="847" applyNumberFormat="1" applyFont="1"/>
    <xf numFmtId="10" fontId="143" fillId="41" borderId="0" xfId="847" applyNumberFormat="1" applyFont="1" applyFill="1" applyBorder="1" applyAlignment="1">
      <alignment horizontal="center" vertical="center"/>
    </xf>
    <xf numFmtId="3" fontId="42" fillId="41" borderId="0" xfId="907" applyNumberFormat="1" applyFont="1" applyFill="1" applyAlignment="1">
      <alignment horizontal="center"/>
    </xf>
    <xf numFmtId="0" fontId="42" fillId="41" borderId="0" xfId="907" applyFont="1" applyFill="1"/>
    <xf numFmtId="4" fontId="42" fillId="41" borderId="0" xfId="907" applyNumberFormat="1" applyFont="1" applyFill="1"/>
    <xf numFmtId="10" fontId="42" fillId="41" borderId="0" xfId="907" applyNumberFormat="1" applyFont="1" applyFill="1"/>
    <xf numFmtId="167" fontId="42" fillId="41" borderId="0" xfId="907" applyNumberFormat="1" applyFont="1" applyFill="1"/>
    <xf numFmtId="167" fontId="136" fillId="41" borderId="0" xfId="1033" applyFont="1" applyFill="1" applyBorder="1"/>
    <xf numFmtId="167" fontId="42" fillId="41" borderId="0" xfId="815" applyFont="1" applyFill="1" applyBorder="1"/>
    <xf numFmtId="0" fontId="142" fillId="41" borderId="0" xfId="907" applyFont="1" applyFill="1"/>
    <xf numFmtId="0" fontId="109" fillId="41" borderId="0" xfId="907" applyFont="1" applyFill="1"/>
    <xf numFmtId="167" fontId="42" fillId="41" borderId="0" xfId="815" applyFont="1" applyFill="1" applyBorder="1" applyAlignment="1" applyProtection="1"/>
    <xf numFmtId="167" fontId="37" fillId="41" borderId="0" xfId="907" applyNumberFormat="1" applyFont="1" applyFill="1" applyProtection="1">
      <protection hidden="1"/>
    </xf>
    <xf numFmtId="167" fontId="37" fillId="41" borderId="0" xfId="907" applyNumberFormat="1" applyFont="1" applyFill="1" applyAlignment="1" applyProtection="1">
      <alignment horizontal="center"/>
      <protection hidden="1"/>
    </xf>
    <xf numFmtId="10" fontId="37" fillId="41" borderId="0" xfId="847" applyNumberFormat="1" applyFont="1" applyFill="1" applyBorder="1" applyAlignment="1" applyProtection="1">
      <alignment horizontal="center"/>
      <protection hidden="1"/>
    </xf>
    <xf numFmtId="0" fontId="42" fillId="41" borderId="0" xfId="43187" quotePrefix="1" applyFont="1" applyFill="1" applyAlignment="1">
      <alignment horizontal="left"/>
    </xf>
    <xf numFmtId="10" fontId="42" fillId="41" borderId="0" xfId="847" applyNumberFormat="1" applyFont="1" applyFill="1" applyBorder="1" applyAlignment="1" applyProtection="1">
      <alignment horizontal="center"/>
    </xf>
    <xf numFmtId="0" fontId="42" fillId="41" borderId="0" xfId="43187" applyFont="1" applyFill="1" applyAlignment="1">
      <alignment horizontal="left"/>
    </xf>
    <xf numFmtId="0" fontId="116" fillId="41" borderId="0" xfId="907" applyFont="1" applyFill="1" applyAlignment="1">
      <alignment horizontal="center"/>
    </xf>
    <xf numFmtId="167" fontId="142" fillId="41" borderId="0" xfId="815" applyFont="1" applyFill="1" applyBorder="1"/>
    <xf numFmtId="0" fontId="202" fillId="41" borderId="0" xfId="907" applyFont="1" applyFill="1"/>
    <xf numFmtId="10" fontId="202" fillId="41" borderId="0" xfId="847" applyNumberFormat="1" applyFont="1" applyFill="1" applyBorder="1" applyAlignment="1" applyProtection="1">
      <alignment horizontal="center"/>
      <protection hidden="1"/>
    </xf>
    <xf numFmtId="167" fontId="42" fillId="41" borderId="0" xfId="815" applyFont="1" applyFill="1" applyBorder="1" applyAlignment="1">
      <alignment horizontal="left"/>
    </xf>
    <xf numFmtId="10" fontId="109" fillId="41" borderId="0" xfId="847" applyNumberFormat="1" applyFont="1" applyFill="1" applyBorder="1" applyAlignment="1">
      <alignment horizontal="center"/>
    </xf>
    <xf numFmtId="0" fontId="42" fillId="41" borderId="0" xfId="43187" applyFont="1" applyFill="1"/>
    <xf numFmtId="10" fontId="42" fillId="41" borderId="0" xfId="847" applyNumberFormat="1" applyFont="1" applyFill="1" applyBorder="1" applyAlignment="1">
      <alignment horizontal="right"/>
    </xf>
    <xf numFmtId="167" fontId="42" fillId="41" borderId="0" xfId="815" applyFont="1" applyFill="1" applyBorder="1" applyAlignment="1">
      <alignment horizontal="left" indent="1"/>
    </xf>
    <xf numFmtId="0" fontId="42" fillId="33" borderId="0" xfId="776" applyFont="1" applyFill="1" applyAlignment="1">
      <alignment wrapText="1"/>
    </xf>
    <xf numFmtId="10" fontId="42" fillId="33" borderId="0" xfId="847" applyNumberFormat="1" applyFont="1" applyFill="1" applyBorder="1" applyAlignment="1">
      <alignment horizontal="center" wrapText="1"/>
    </xf>
    <xf numFmtId="0" fontId="42" fillId="0" borderId="0" xfId="907" applyFont="1"/>
    <xf numFmtId="0" fontId="109" fillId="0" borderId="0" xfId="907" applyFont="1" applyAlignment="1">
      <alignment horizontal="center"/>
    </xf>
    <xf numFmtId="9" fontId="37" fillId="0" borderId="0" xfId="1823" applyFont="1" applyFill="1" applyBorder="1" applyAlignment="1">
      <alignment horizontal="center" vertical="center" wrapText="1"/>
    </xf>
    <xf numFmtId="9" fontId="42" fillId="41" borderId="0" xfId="1823" applyFont="1" applyFill="1" applyBorder="1" applyAlignment="1">
      <alignment horizontal="left" vertical="center" wrapText="1"/>
    </xf>
    <xf numFmtId="37" fontId="42" fillId="41" borderId="0" xfId="905" applyNumberFormat="1" applyFont="1" applyFill="1" applyAlignment="1">
      <alignment horizontal="left"/>
    </xf>
    <xf numFmtId="167" fontId="109" fillId="41" borderId="0" xfId="815" applyFont="1" applyFill="1" applyBorder="1"/>
    <xf numFmtId="217" fontId="42" fillId="33" borderId="0" xfId="1095" applyNumberFormat="1" applyFont="1" applyFill="1" applyBorder="1" applyAlignment="1">
      <alignment horizontal="center"/>
    </xf>
    <xf numFmtId="167" fontId="42" fillId="33" borderId="0" xfId="815" applyFont="1" applyFill="1" applyBorder="1"/>
    <xf numFmtId="217" fontId="42" fillId="33" borderId="0" xfId="1718" applyNumberFormat="1" applyFont="1" applyFill="1" applyBorder="1" applyAlignment="1">
      <alignment horizontal="center"/>
    </xf>
    <xf numFmtId="10" fontId="42" fillId="33" borderId="0" xfId="1718" applyNumberFormat="1" applyFont="1" applyFill="1" applyBorder="1" applyAlignment="1">
      <alignment horizontal="center"/>
    </xf>
    <xf numFmtId="0" fontId="42" fillId="0" borderId="0" xfId="2544" applyFont="1"/>
    <xf numFmtId="167" fontId="37" fillId="38" borderId="0" xfId="815" applyFont="1" applyFill="1" applyBorder="1" applyAlignment="1">
      <alignment horizontal="center" vertical="center" wrapText="1"/>
    </xf>
    <xf numFmtId="0" fontId="42" fillId="0" borderId="0" xfId="776" applyFont="1" applyAlignment="1">
      <alignment wrapText="1"/>
    </xf>
    <xf numFmtId="217" fontId="42" fillId="0" borderId="0" xfId="1718" applyNumberFormat="1" applyFont="1" applyFill="1" applyBorder="1" applyAlignment="1">
      <alignment horizontal="center"/>
    </xf>
    <xf numFmtId="0" fontId="30" fillId="0" borderId="0" xfId="801" applyAlignment="1" applyProtection="1"/>
    <xf numFmtId="0" fontId="30" fillId="0" borderId="0" xfId="801" quotePrefix="1" applyAlignment="1" applyProtection="1"/>
    <xf numFmtId="0" fontId="42" fillId="0" borderId="0" xfId="2697" applyFont="1" applyAlignment="1">
      <alignment vertical="center"/>
    </xf>
    <xf numFmtId="172" fontId="31" fillId="0" borderId="0" xfId="863" applyNumberFormat="1" applyFont="1"/>
    <xf numFmtId="255" fontId="31" fillId="0" borderId="0" xfId="863" applyNumberFormat="1" applyFont="1"/>
    <xf numFmtId="0" fontId="204" fillId="0" borderId="0" xfId="0" applyFont="1"/>
    <xf numFmtId="168" fontId="204" fillId="0" borderId="0" xfId="863" applyFont="1"/>
    <xf numFmtId="0" fontId="204" fillId="33" borderId="0" xfId="829" applyFont="1" applyFill="1"/>
    <xf numFmtId="0" fontId="207" fillId="0" borderId="0" xfId="0" applyFont="1"/>
    <xf numFmtId="0" fontId="204" fillId="41" borderId="0" xfId="0" applyFont="1" applyFill="1"/>
    <xf numFmtId="0" fontId="208" fillId="0" borderId="0" xfId="0" applyFont="1" applyAlignment="1">
      <alignment horizontal="center"/>
    </xf>
    <xf numFmtId="0" fontId="208" fillId="0" borderId="0" xfId="0" applyFont="1"/>
    <xf numFmtId="0" fontId="210" fillId="0" borderId="0" xfId="0" applyFont="1" applyAlignment="1">
      <alignment horizontal="right" vertical="center"/>
    </xf>
    <xf numFmtId="0" fontId="204" fillId="60" borderId="0" xfId="0" applyFont="1" applyFill="1" applyAlignment="1" applyProtection="1">
      <alignment horizontal="left" wrapText="1"/>
      <protection hidden="1"/>
    </xf>
    <xf numFmtId="167" fontId="204" fillId="0" borderId="0" xfId="815" applyFont="1" applyBorder="1"/>
    <xf numFmtId="0" fontId="204" fillId="0" borderId="0" xfId="0" applyFont="1" applyAlignment="1">
      <alignment horizontal="left" indent="1"/>
    </xf>
    <xf numFmtId="10" fontId="204" fillId="0" borderId="0" xfId="847" applyNumberFormat="1" applyFont="1"/>
    <xf numFmtId="167" fontId="204" fillId="0" borderId="0" xfId="815" applyFont="1" applyFill="1" applyBorder="1"/>
    <xf numFmtId="0" fontId="204" fillId="0" borderId="0" xfId="907" applyFont="1" applyAlignment="1">
      <alignment horizontal="left" indent="1"/>
    </xf>
    <xf numFmtId="37" fontId="204" fillId="0" borderId="0" xfId="0" applyNumberFormat="1" applyFont="1"/>
    <xf numFmtId="37" fontId="204" fillId="0" borderId="0" xfId="0" applyNumberFormat="1" applyFont="1" applyAlignment="1">
      <alignment horizontal="left"/>
    </xf>
    <xf numFmtId="0" fontId="205" fillId="33" borderId="0" xfId="829" applyFont="1" applyFill="1" applyAlignment="1">
      <alignment vertical="top"/>
    </xf>
    <xf numFmtId="10" fontId="210" fillId="0" borderId="0" xfId="0" applyNumberFormat="1" applyFont="1" applyAlignment="1">
      <alignment horizontal="right" vertical="top"/>
    </xf>
    <xf numFmtId="174" fontId="210" fillId="0" borderId="0" xfId="0" applyNumberFormat="1" applyFont="1" applyAlignment="1">
      <alignment horizontal="right"/>
    </xf>
    <xf numFmtId="10" fontId="210" fillId="0" borderId="0" xfId="0" applyNumberFormat="1" applyFont="1" applyAlignment="1">
      <alignment horizontal="right"/>
    </xf>
    <xf numFmtId="168" fontId="204" fillId="45" borderId="0" xfId="863" applyFont="1" applyFill="1" applyBorder="1"/>
    <xf numFmtId="168" fontId="204" fillId="41" borderId="0" xfId="863" applyFont="1" applyFill="1" applyBorder="1"/>
    <xf numFmtId="168" fontId="204" fillId="41" borderId="0" xfId="863" applyFont="1" applyFill="1" applyBorder="1" applyAlignment="1">
      <alignment horizontal="center"/>
    </xf>
    <xf numFmtId="0" fontId="208" fillId="41" borderId="0" xfId="0" applyFont="1" applyFill="1"/>
    <xf numFmtId="0" fontId="204" fillId="41" borderId="0" xfId="0" applyFont="1" applyFill="1" applyAlignment="1">
      <alignment horizontal="center"/>
    </xf>
    <xf numFmtId="168" fontId="204" fillId="0" borderId="0" xfId="0" applyNumberFormat="1" applyFont="1"/>
    <xf numFmtId="0" fontId="204" fillId="41" borderId="0" xfId="0" applyFont="1" applyFill="1" applyAlignment="1" applyProtection="1">
      <alignment horizontal="left"/>
      <protection hidden="1"/>
    </xf>
    <xf numFmtId="0" fontId="204" fillId="0" borderId="0" xfId="2697" applyFont="1"/>
    <xf numFmtId="0" fontId="213" fillId="0" borderId="0" xfId="801" applyFont="1" applyAlignment="1" applyProtection="1"/>
    <xf numFmtId="0" fontId="204" fillId="41" borderId="0" xfId="2697" applyFont="1" applyFill="1"/>
    <xf numFmtId="0" fontId="204" fillId="33" borderId="0" xfId="2697" applyFont="1" applyFill="1"/>
    <xf numFmtId="168" fontId="204" fillId="41" borderId="0" xfId="43185" applyNumberFormat="1" applyFont="1" applyFill="1" applyBorder="1" applyAlignment="1" applyProtection="1">
      <alignment horizontal="right"/>
      <protection locked="0"/>
    </xf>
    <xf numFmtId="167" fontId="204" fillId="41" borderId="29" xfId="815" applyFont="1" applyFill="1" applyBorder="1"/>
    <xf numFmtId="0" fontId="204" fillId="0" borderId="0" xfId="907" applyFont="1"/>
    <xf numFmtId="0" fontId="207" fillId="58" borderId="20" xfId="834" applyFont="1" applyFill="1" applyBorder="1" applyAlignment="1" applyProtection="1">
      <alignment horizontal="left" vertical="center"/>
    </xf>
    <xf numFmtId="0" fontId="207" fillId="58" borderId="29" xfId="834" applyFont="1" applyFill="1" applyBorder="1" applyAlignment="1" applyProtection="1">
      <alignment horizontal="left" vertical="center"/>
    </xf>
    <xf numFmtId="165" fontId="204" fillId="0" borderId="0" xfId="43184" applyFont="1" applyBorder="1"/>
    <xf numFmtId="43" fontId="204" fillId="0" borderId="0" xfId="2697" applyNumberFormat="1" applyFont="1"/>
    <xf numFmtId="165" fontId="204" fillId="0" borderId="0" xfId="2697" applyNumberFormat="1" applyFont="1"/>
    <xf numFmtId="165" fontId="208" fillId="0" borderId="0" xfId="2697" applyNumberFormat="1" applyFont="1"/>
    <xf numFmtId="167" fontId="204" fillId="0" borderId="0" xfId="815" applyFont="1"/>
    <xf numFmtId="167" fontId="204" fillId="0" borderId="0" xfId="815" applyFont="1" applyAlignment="1">
      <alignment horizontal="right"/>
    </xf>
    <xf numFmtId="10" fontId="204" fillId="0" borderId="0" xfId="847" applyNumberFormat="1" applyFont="1" applyAlignment="1">
      <alignment horizontal="right"/>
    </xf>
    <xf numFmtId="167" fontId="204" fillId="0" borderId="0" xfId="2697" applyNumberFormat="1" applyFont="1"/>
    <xf numFmtId="0" fontId="207" fillId="0" borderId="0" xfId="907" applyFont="1" applyAlignment="1">
      <alignment horizontal="left"/>
    </xf>
    <xf numFmtId="0" fontId="204" fillId="41" borderId="0" xfId="834" applyFont="1" applyFill="1" applyAlignment="1" applyProtection="1">
      <alignment horizontal="left" vertical="center" indent="2"/>
    </xf>
    <xf numFmtId="165" fontId="204" fillId="41" borderId="0" xfId="43184" applyFont="1" applyFill="1" applyBorder="1" applyAlignment="1" applyProtection="1">
      <alignment horizontal="right"/>
      <protection locked="0"/>
    </xf>
    <xf numFmtId="0" fontId="214" fillId="41" borderId="0" xfId="834" applyFont="1" applyFill="1" applyAlignment="1" applyProtection="1">
      <alignment horizontal="left" vertical="center" indent="1"/>
    </xf>
    <xf numFmtId="167" fontId="204" fillId="41" borderId="0" xfId="815" applyFont="1" applyFill="1" applyBorder="1"/>
    <xf numFmtId="10" fontId="204" fillId="0" borderId="0" xfId="847" applyNumberFormat="1" applyFont="1" applyFill="1" applyBorder="1"/>
    <xf numFmtId="0" fontId="204" fillId="97" borderId="0" xfId="0" applyFont="1" applyFill="1" applyAlignment="1" applyProtection="1">
      <alignment horizontal="left"/>
      <protection hidden="1"/>
    </xf>
    <xf numFmtId="14" fontId="204" fillId="0" borderId="0" xfId="2697" applyNumberFormat="1" applyFont="1" applyAlignment="1">
      <alignment horizontal="left"/>
    </xf>
    <xf numFmtId="165" fontId="204" fillId="45" borderId="0" xfId="863" applyNumberFormat="1" applyFont="1" applyFill="1" applyBorder="1"/>
    <xf numFmtId="0" fontId="205" fillId="33" borderId="0" xfId="829" applyFont="1" applyFill="1" applyAlignment="1">
      <alignment horizontal="right" vertical="top"/>
    </xf>
    <xf numFmtId="10" fontId="210" fillId="0" borderId="0" xfId="0" applyNumberFormat="1" applyFont="1" applyAlignment="1">
      <alignment horizontal="left" vertical="top"/>
    </xf>
    <xf numFmtId="43" fontId="204" fillId="41" borderId="0" xfId="863" applyNumberFormat="1" applyFont="1" applyFill="1" applyBorder="1" applyAlignment="1">
      <alignment horizontal="right"/>
    </xf>
    <xf numFmtId="0" fontId="204" fillId="0" borderId="0" xfId="0" applyFont="1" applyAlignment="1">
      <alignment horizontal="right"/>
    </xf>
    <xf numFmtId="0" fontId="218" fillId="0" borderId="0" xfId="0" applyFont="1"/>
    <xf numFmtId="9" fontId="206" fillId="0" borderId="0" xfId="847" applyFont="1" applyFill="1" applyBorder="1" applyAlignment="1">
      <alignment horizontal="right"/>
    </xf>
    <xf numFmtId="0" fontId="218" fillId="41" borderId="0" xfId="0" applyFont="1" applyFill="1"/>
    <xf numFmtId="43" fontId="204" fillId="41" borderId="0" xfId="0" applyNumberFormat="1" applyFont="1" applyFill="1" applyAlignment="1">
      <alignment horizontal="center"/>
    </xf>
    <xf numFmtId="10" fontId="204" fillId="41" borderId="0" xfId="847" applyNumberFormat="1" applyFont="1" applyFill="1" applyAlignment="1">
      <alignment horizontal="center"/>
    </xf>
    <xf numFmtId="0" fontId="207" fillId="0" borderId="0" xfId="907" applyFont="1"/>
    <xf numFmtId="170" fontId="204" fillId="0" borderId="0" xfId="863" applyNumberFormat="1" applyFont="1" applyBorder="1"/>
    <xf numFmtId="43" fontId="204" fillId="57" borderId="0" xfId="863" applyNumberFormat="1" applyFont="1" applyFill="1" applyBorder="1"/>
    <xf numFmtId="167" fontId="204" fillId="0" borderId="29" xfId="815" applyFont="1" applyBorder="1"/>
    <xf numFmtId="2" fontId="207" fillId="0" borderId="0" xfId="0" applyNumberFormat="1" applyFont="1"/>
    <xf numFmtId="9" fontId="204" fillId="41" borderId="0" xfId="847" applyFont="1" applyFill="1"/>
    <xf numFmtId="256" fontId="207" fillId="0" borderId="0" xfId="907" applyNumberFormat="1" applyFont="1"/>
    <xf numFmtId="168" fontId="218" fillId="0" borderId="0" xfId="0" applyNumberFormat="1" applyFont="1"/>
    <xf numFmtId="0" fontId="207" fillId="33" borderId="0" xfId="829" applyFont="1" applyFill="1" applyAlignment="1">
      <alignment horizontal="left" vertical="top"/>
    </xf>
    <xf numFmtId="0" fontId="207" fillId="0" borderId="0" xfId="0" applyFont="1" applyAlignment="1">
      <alignment horizontal="left" indent="1"/>
    </xf>
    <xf numFmtId="0" fontId="210" fillId="41" borderId="0" xfId="0" applyFont="1" applyFill="1" applyAlignment="1">
      <alignment horizontal="right" vertical="center"/>
    </xf>
    <xf numFmtId="168" fontId="204" fillId="0" borderId="0" xfId="863" applyFont="1" applyBorder="1"/>
    <xf numFmtId="43" fontId="204" fillId="0" borderId="0" xfId="0" applyNumberFormat="1" applyFont="1"/>
    <xf numFmtId="165" fontId="204" fillId="0" borderId="0" xfId="0" applyNumberFormat="1" applyFont="1"/>
    <xf numFmtId="167" fontId="204" fillId="0" borderId="0" xfId="0" applyNumberFormat="1" applyFont="1"/>
    <xf numFmtId="0" fontId="204" fillId="0" borderId="0" xfId="907" applyFont="1" applyAlignment="1">
      <alignment horizontal="left" indent="2"/>
    </xf>
    <xf numFmtId="219" fontId="217" fillId="41" borderId="0" xfId="863" applyNumberFormat="1" applyFont="1" applyFill="1" applyBorder="1"/>
    <xf numFmtId="0" fontId="209" fillId="43" borderId="0" xfId="0" applyFont="1" applyFill="1"/>
    <xf numFmtId="10" fontId="210" fillId="0" borderId="0" xfId="0" applyNumberFormat="1" applyFont="1" applyAlignment="1">
      <alignment horizontal="center" vertical="top"/>
    </xf>
    <xf numFmtId="168" fontId="204" fillId="45" borderId="0" xfId="863" applyFont="1" applyFill="1" applyBorder="1" applyAlignment="1"/>
    <xf numFmtId="10" fontId="204" fillId="41" borderId="0" xfId="847" applyNumberFormat="1" applyFont="1" applyFill="1" applyBorder="1" applyAlignment="1">
      <alignment horizontal="center"/>
    </xf>
    <xf numFmtId="0" fontId="204" fillId="33" borderId="0" xfId="831" applyFont="1" applyFill="1" applyAlignment="1">
      <alignment vertical="center"/>
    </xf>
    <xf numFmtId="10" fontId="210" fillId="0" borderId="0" xfId="2697" applyNumberFormat="1" applyFont="1" applyAlignment="1">
      <alignment horizontal="right" vertical="top"/>
    </xf>
    <xf numFmtId="0" fontId="205" fillId="33" borderId="0" xfId="831" applyFont="1" applyFill="1" applyAlignment="1">
      <alignment horizontal="left" vertical="center"/>
    </xf>
    <xf numFmtId="170" fontId="204" fillId="33" borderId="0" xfId="863" applyNumberFormat="1" applyFont="1" applyFill="1" applyAlignment="1">
      <alignment vertical="center"/>
    </xf>
    <xf numFmtId="170" fontId="204" fillId="33" borderId="0" xfId="863" applyNumberFormat="1" applyFont="1" applyFill="1" applyBorder="1" applyAlignment="1">
      <alignment vertical="center"/>
    </xf>
    <xf numFmtId="0" fontId="222" fillId="33" borderId="0" xfId="831" applyFont="1" applyFill="1" applyAlignment="1">
      <alignment horizontal="left" vertical="center"/>
    </xf>
    <xf numFmtId="0" fontId="204" fillId="33" borderId="0" xfId="831" applyFont="1" applyFill="1" applyAlignment="1">
      <alignment vertical="center" wrapText="1"/>
    </xf>
    <xf numFmtId="0" fontId="204" fillId="0" borderId="0" xfId="831" applyFont="1" applyAlignment="1">
      <alignment vertical="center"/>
    </xf>
    <xf numFmtId="176" fontId="204" fillId="0" borderId="0" xfId="863" applyNumberFormat="1" applyFont="1" applyFill="1" applyBorder="1" applyAlignment="1">
      <alignment vertical="center"/>
    </xf>
    <xf numFmtId="168" fontId="207" fillId="33" borderId="0" xfId="831" applyNumberFormat="1" applyFont="1" applyFill="1" applyAlignment="1">
      <alignment vertical="center"/>
    </xf>
    <xf numFmtId="170" fontId="207" fillId="33" borderId="0" xfId="863" applyNumberFormat="1" applyFont="1" applyFill="1" applyBorder="1" applyAlignment="1">
      <alignment vertical="center"/>
    </xf>
    <xf numFmtId="168" fontId="207" fillId="33" borderId="0" xfId="863" applyFont="1" applyFill="1" applyBorder="1" applyAlignment="1">
      <alignment vertical="center"/>
    </xf>
    <xf numFmtId="176" fontId="204" fillId="33" borderId="0" xfId="831" applyNumberFormat="1" applyFont="1" applyFill="1" applyAlignment="1">
      <alignment vertical="center"/>
    </xf>
    <xf numFmtId="0" fontId="222" fillId="0" borderId="0" xfId="831" applyFont="1" applyAlignment="1">
      <alignment horizontal="left" vertical="center"/>
    </xf>
    <xf numFmtId="0" fontId="207" fillId="0" borderId="0" xfId="831" applyFont="1" applyAlignment="1">
      <alignment horizontal="center" vertical="center"/>
    </xf>
    <xf numFmtId="4" fontId="207" fillId="0" borderId="0" xfId="831" applyNumberFormat="1" applyFont="1" applyAlignment="1">
      <alignment horizontal="right" vertical="center"/>
    </xf>
    <xf numFmtId="0" fontId="204" fillId="41" borderId="0" xfId="831" applyFont="1" applyFill="1" applyAlignment="1">
      <alignment vertical="center"/>
    </xf>
    <xf numFmtId="170" fontId="204" fillId="41" borderId="0" xfId="863" applyNumberFormat="1" applyFont="1" applyFill="1" applyBorder="1" applyAlignment="1">
      <alignment vertical="center"/>
    </xf>
    <xf numFmtId="0" fontId="204" fillId="61" borderId="0" xfId="831" applyFont="1" applyFill="1" applyAlignment="1">
      <alignment vertical="center"/>
    </xf>
    <xf numFmtId="0" fontId="223" fillId="95" borderId="113" xfId="2697" applyFont="1" applyFill="1" applyBorder="1" applyAlignment="1">
      <alignment vertical="top"/>
    </xf>
    <xf numFmtId="0" fontId="223" fillId="95" borderId="114" xfId="2697" applyFont="1" applyFill="1" applyBorder="1" applyAlignment="1">
      <alignment horizontal="right" vertical="top"/>
    </xf>
    <xf numFmtId="0" fontId="223" fillId="95" borderId="115" xfId="2697" applyFont="1" applyFill="1" applyBorder="1" applyAlignment="1">
      <alignment vertical="top"/>
    </xf>
    <xf numFmtId="0" fontId="223" fillId="95" borderId="116" xfId="2697" applyFont="1" applyFill="1" applyBorder="1" applyAlignment="1">
      <alignment vertical="top"/>
    </xf>
    <xf numFmtId="0" fontId="223" fillId="95" borderId="117" xfId="2697" applyFont="1" applyFill="1" applyBorder="1" applyAlignment="1">
      <alignment horizontal="right" vertical="top"/>
    </xf>
    <xf numFmtId="0" fontId="223" fillId="95" borderId="118" xfId="2697" applyFont="1" applyFill="1" applyBorder="1" applyAlignment="1">
      <alignment vertical="top"/>
    </xf>
    <xf numFmtId="0" fontId="207" fillId="41" borderId="0" xfId="2697" applyFont="1" applyFill="1"/>
    <xf numFmtId="2" fontId="204" fillId="41" borderId="0" xfId="0" applyNumberFormat="1" applyFont="1" applyFill="1"/>
    <xf numFmtId="170" fontId="204" fillId="41" borderId="0" xfId="863" applyNumberFormat="1" applyFont="1" applyFill="1" applyBorder="1"/>
    <xf numFmtId="0" fontId="204" fillId="41" borderId="0" xfId="0" applyFont="1" applyFill="1" applyAlignment="1">
      <alignment vertical="center"/>
    </xf>
    <xf numFmtId="168" fontId="207" fillId="41" borderId="0" xfId="863" applyFont="1" applyFill="1" applyBorder="1"/>
    <xf numFmtId="168" fontId="204" fillId="33" borderId="0" xfId="863" applyFont="1" applyFill="1" applyBorder="1" applyAlignment="1" applyProtection="1">
      <alignment horizontal="center" vertical="center"/>
      <protection locked="0"/>
    </xf>
    <xf numFmtId="0" fontId="204" fillId="0" borderId="0" xfId="831" applyFont="1"/>
    <xf numFmtId="170" fontId="224" fillId="0" borderId="0" xfId="863" applyNumberFormat="1" applyFont="1" applyAlignment="1">
      <alignment horizontal="right"/>
    </xf>
    <xf numFmtId="0" fontId="223" fillId="95" borderId="0" xfId="2697" applyFont="1" applyFill="1" applyAlignment="1">
      <alignment vertical="top"/>
    </xf>
    <xf numFmtId="0" fontId="223" fillId="95" borderId="0" xfId="2697" applyFont="1" applyFill="1" applyAlignment="1">
      <alignment horizontal="right" vertical="top"/>
    </xf>
    <xf numFmtId="0" fontId="223" fillId="95" borderId="119" xfId="2697" applyFont="1" applyFill="1" applyBorder="1" applyAlignment="1">
      <alignment vertical="top"/>
    </xf>
    <xf numFmtId="0" fontId="223" fillId="95" borderId="120" xfId="2697" applyFont="1" applyFill="1" applyBorder="1" applyAlignment="1">
      <alignment horizontal="right" vertical="top"/>
    </xf>
    <xf numFmtId="0" fontId="223" fillId="95" borderId="121" xfId="2697" applyFont="1" applyFill="1" applyBorder="1" applyAlignment="1">
      <alignment vertical="top"/>
    </xf>
    <xf numFmtId="14" fontId="204" fillId="33" borderId="0" xfId="831" applyNumberFormat="1" applyFont="1" applyFill="1" applyAlignment="1">
      <alignment vertical="center"/>
    </xf>
    <xf numFmtId="168" fontId="207" fillId="33" borderId="0" xfId="863" applyFont="1" applyFill="1" applyBorder="1" applyAlignment="1">
      <alignment horizontal="center" vertical="center"/>
    </xf>
    <xf numFmtId="4" fontId="204" fillId="33" borderId="0" xfId="831" applyNumberFormat="1" applyFont="1" applyFill="1" applyAlignment="1">
      <alignment horizontal="center" vertical="center"/>
    </xf>
    <xf numFmtId="4" fontId="204" fillId="46" borderId="0" xfId="831" applyNumberFormat="1" applyFont="1" applyFill="1" applyAlignment="1">
      <alignment horizontal="center" vertical="center"/>
    </xf>
    <xf numFmtId="168" fontId="207" fillId="54" borderId="0" xfId="903" applyFont="1" applyFill="1" applyBorder="1" applyAlignment="1">
      <alignment horizontal="right"/>
    </xf>
    <xf numFmtId="168" fontId="207" fillId="54" borderId="0" xfId="903" applyFont="1" applyFill="1" applyBorder="1" applyAlignment="1">
      <alignment horizontal="left" vertical="top" wrapText="1"/>
    </xf>
    <xf numFmtId="0" fontId="213" fillId="0" borderId="0" xfId="801" applyFont="1" applyFill="1" applyBorder="1" applyAlignment="1" applyProtection="1">
      <alignment horizontal="right" vertical="center"/>
    </xf>
    <xf numFmtId="0" fontId="213" fillId="33" borderId="0" xfId="801" applyFont="1" applyFill="1" applyBorder="1" applyAlignment="1" applyProtection="1">
      <alignment horizontal="right" vertical="center"/>
    </xf>
    <xf numFmtId="0" fontId="204" fillId="33" borderId="0" xfId="0" applyFont="1" applyFill="1" applyAlignment="1">
      <alignment vertical="center"/>
    </xf>
    <xf numFmtId="14" fontId="204" fillId="0" borderId="0" xfId="0" applyNumberFormat="1" applyFont="1"/>
    <xf numFmtId="0" fontId="204" fillId="0" borderId="20" xfId="0" applyFont="1" applyBorder="1"/>
    <xf numFmtId="167" fontId="204" fillId="0" borderId="0" xfId="815" applyFont="1" applyFill="1"/>
    <xf numFmtId="168" fontId="204" fillId="54" borderId="0" xfId="903" applyFont="1" applyFill="1" applyBorder="1" applyAlignment="1">
      <alignment horizontal="left" vertical="top"/>
    </xf>
    <xf numFmtId="215" fontId="204" fillId="54" borderId="0" xfId="903" applyNumberFormat="1" applyFont="1" applyFill="1" applyBorder="1" applyAlignment="1">
      <alignment horizontal="right"/>
    </xf>
    <xf numFmtId="168" fontId="204" fillId="41" borderId="0" xfId="903" applyFont="1" applyFill="1" applyBorder="1" applyAlignment="1">
      <alignment horizontal="left" vertical="top" wrapText="1"/>
    </xf>
    <xf numFmtId="167" fontId="204" fillId="0" borderId="0" xfId="815" applyFont="1" applyFill="1" applyBorder="1" applyAlignment="1">
      <alignment horizontal="right"/>
    </xf>
    <xf numFmtId="167" fontId="204" fillId="41" borderId="0" xfId="815" applyFont="1" applyFill="1" applyBorder="1" applyAlignment="1">
      <alignment horizontal="right"/>
    </xf>
    <xf numFmtId="0" fontId="204" fillId="0" borderId="0" xfId="832" applyFont="1"/>
    <xf numFmtId="0" fontId="205" fillId="33" borderId="0" xfId="0" applyFont="1" applyFill="1" applyAlignment="1">
      <alignment horizontal="left"/>
    </xf>
    <xf numFmtId="167" fontId="204" fillId="0" borderId="0" xfId="815" applyFont="1" applyAlignment="1">
      <alignment vertical="center"/>
    </xf>
    <xf numFmtId="167" fontId="204" fillId="41" borderId="20" xfId="815" applyFont="1" applyFill="1" applyBorder="1"/>
    <xf numFmtId="197" fontId="204" fillId="0" borderId="0" xfId="0" applyNumberFormat="1" applyFont="1"/>
    <xf numFmtId="0" fontId="210" fillId="33" borderId="0" xfId="0" applyFont="1" applyFill="1" applyAlignment="1">
      <alignment horizontal="right"/>
    </xf>
    <xf numFmtId="9" fontId="204" fillId="0" borderId="0" xfId="847" applyFont="1"/>
    <xf numFmtId="0" fontId="204" fillId="33" borderId="0" xfId="0" applyFont="1" applyFill="1"/>
    <xf numFmtId="0" fontId="204" fillId="33" borderId="20" xfId="789" applyFont="1" applyFill="1" applyBorder="1"/>
    <xf numFmtId="0" fontId="204" fillId="33" borderId="29" xfId="789" applyFont="1" applyFill="1" applyBorder="1"/>
    <xf numFmtId="10" fontId="204" fillId="33" borderId="29" xfId="847" applyNumberFormat="1" applyFont="1" applyFill="1" applyBorder="1"/>
    <xf numFmtId="17" fontId="204" fillId="0" borderId="29" xfId="0" applyNumberFormat="1" applyFont="1" applyBorder="1"/>
    <xf numFmtId="0" fontId="210" fillId="0" borderId="0" xfId="0" applyFont="1" applyAlignment="1">
      <alignment horizontal="right"/>
    </xf>
    <xf numFmtId="168" fontId="204" fillId="41" borderId="0" xfId="863" applyFont="1" applyFill="1"/>
    <xf numFmtId="168" fontId="204" fillId="41" borderId="0" xfId="863" applyFont="1" applyFill="1" applyAlignment="1">
      <alignment vertical="center"/>
    </xf>
    <xf numFmtId="167" fontId="204" fillId="41" borderId="0" xfId="815" applyFont="1" applyFill="1"/>
    <xf numFmtId="43" fontId="204" fillId="41" borderId="0" xfId="0" applyNumberFormat="1" applyFont="1" applyFill="1"/>
    <xf numFmtId="10" fontId="204" fillId="0" borderId="20" xfId="847" applyNumberFormat="1" applyFont="1" applyBorder="1" applyAlignment="1">
      <alignment horizontal="right"/>
    </xf>
    <xf numFmtId="10" fontId="204" fillId="0" borderId="20" xfId="847" applyNumberFormat="1" applyFont="1" applyFill="1" applyBorder="1" applyAlignment="1">
      <alignment horizontal="right"/>
    </xf>
    <xf numFmtId="167" fontId="204" fillId="0" borderId="20" xfId="815" applyFont="1" applyBorder="1"/>
    <xf numFmtId="167" fontId="204" fillId="0" borderId="20" xfId="815" applyFont="1" applyFill="1" applyBorder="1"/>
    <xf numFmtId="167" fontId="204" fillId="0" borderId="29" xfId="815" applyFont="1" applyFill="1" applyBorder="1"/>
    <xf numFmtId="0" fontId="207" fillId="0" borderId="0" xfId="2697" applyFont="1"/>
    <xf numFmtId="0" fontId="228" fillId="0" borderId="0" xfId="2697" applyFont="1"/>
    <xf numFmtId="10" fontId="42" fillId="41" borderId="0" xfId="847" applyNumberFormat="1" applyFont="1" applyFill="1" applyBorder="1" applyAlignment="1">
      <alignment horizontal="center"/>
    </xf>
    <xf numFmtId="0" fontId="37" fillId="55" borderId="0" xfId="834" applyFont="1" applyFill="1" applyAlignment="1" applyProtection="1">
      <alignment horizontal="center" vertical="center"/>
    </xf>
    <xf numFmtId="0" fontId="204" fillId="46" borderId="0" xfId="2697" applyFont="1" applyFill="1"/>
    <xf numFmtId="165" fontId="204" fillId="46" borderId="0" xfId="2697" applyNumberFormat="1" applyFont="1" applyFill="1"/>
    <xf numFmtId="168" fontId="0" fillId="0" borderId="0" xfId="863" applyFont="1"/>
    <xf numFmtId="168" fontId="29" fillId="0" borderId="0" xfId="863" applyFont="1"/>
    <xf numFmtId="168" fontId="230" fillId="0" borderId="0" xfId="863" applyFont="1"/>
    <xf numFmtId="0" fontId="231" fillId="0" borderId="122" xfId="0" applyFont="1" applyBorder="1"/>
    <xf numFmtId="168" fontId="231" fillId="0" borderId="122" xfId="863" applyFont="1" applyBorder="1"/>
    <xf numFmtId="14" fontId="231" fillId="0" borderId="122" xfId="0" applyNumberFormat="1" applyFont="1" applyBorder="1"/>
    <xf numFmtId="0" fontId="231" fillId="62" borderId="122" xfId="0" applyFont="1" applyFill="1" applyBorder="1"/>
    <xf numFmtId="168" fontId="231" fillId="62" borderId="122" xfId="863" applyFont="1" applyFill="1" applyBorder="1"/>
    <xf numFmtId="14" fontId="231" fillId="62" borderId="122" xfId="0" applyNumberFormat="1" applyFont="1" applyFill="1" applyBorder="1"/>
    <xf numFmtId="168" fontId="232" fillId="0" borderId="0" xfId="863" applyFont="1"/>
    <xf numFmtId="0" fontId="232" fillId="0" borderId="0" xfId="0" applyFont="1"/>
    <xf numFmtId="0" fontId="232" fillId="41" borderId="0" xfId="0" applyFont="1" applyFill="1"/>
    <xf numFmtId="0" fontId="233" fillId="41" borderId="0" xfId="0" applyFont="1" applyFill="1"/>
    <xf numFmtId="168" fontId="232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4" fillId="0" borderId="0" xfId="847" applyNumberFormat="1" applyFont="1" applyAlignment="1">
      <alignment horizontal="left"/>
    </xf>
    <xf numFmtId="257" fontId="204" fillId="0" borderId="0" xfId="847" applyNumberFormat="1" applyFont="1" applyAlignment="1">
      <alignment horizontal="left"/>
    </xf>
    <xf numFmtId="170" fontId="204" fillId="0" borderId="0" xfId="863" applyNumberFormat="1" applyFont="1" applyAlignment="1">
      <alignment horizontal="left" vertical="top"/>
    </xf>
    <xf numFmtId="167" fontId="207" fillId="44" borderId="29" xfId="0" applyNumberFormat="1" applyFont="1" applyFill="1" applyBorder="1" applyProtection="1">
      <protection hidden="1"/>
    </xf>
    <xf numFmtId="168" fontId="0" fillId="46" borderId="0" xfId="863" applyFont="1" applyFill="1"/>
    <xf numFmtId="0" fontId="0" fillId="46" borderId="0" xfId="0" applyFill="1"/>
    <xf numFmtId="170" fontId="204" fillId="41" borderId="0" xfId="863" applyNumberFormat="1" applyFont="1" applyFill="1" applyBorder="1" applyAlignment="1">
      <alignment horizontal="right"/>
    </xf>
    <xf numFmtId="262" fontId="204" fillId="0" borderId="0" xfId="847" applyNumberFormat="1" applyFont="1" applyBorder="1"/>
    <xf numFmtId="262" fontId="204" fillId="0" borderId="0" xfId="847" applyNumberFormat="1" applyFont="1" applyFill="1" applyBorder="1" applyAlignment="1">
      <alignment horizontal="right"/>
    </xf>
    <xf numFmtId="262" fontId="204" fillId="0" borderId="0" xfId="847" applyNumberFormat="1" applyFont="1" applyBorder="1" applyAlignment="1">
      <alignment horizontal="right"/>
    </xf>
    <xf numFmtId="0" fontId="29" fillId="0" borderId="0" xfId="0" applyFont="1" applyAlignment="1">
      <alignment horizontal="right" vertical="center"/>
    </xf>
    <xf numFmtId="0" fontId="236" fillId="0" borderId="0" xfId="0" applyFont="1" applyAlignment="1">
      <alignment horizontal="right" vertical="center"/>
    </xf>
    <xf numFmtId="0" fontId="204" fillId="0" borderId="0" xfId="0" applyFont="1" applyAlignment="1">
      <alignment horizontal="left"/>
    </xf>
    <xf numFmtId="0" fontId="228" fillId="0" borderId="0" xfId="832" applyFont="1"/>
    <xf numFmtId="253" fontId="115" fillId="0" borderId="0" xfId="0" applyNumberFormat="1" applyFont="1"/>
    <xf numFmtId="4" fontId="115" fillId="0" borderId="0" xfId="0" applyNumberFormat="1" applyFont="1"/>
    <xf numFmtId="0" fontId="115" fillId="0" borderId="0" xfId="0" applyFont="1"/>
    <xf numFmtId="167" fontId="204" fillId="0" borderId="0" xfId="801" applyNumberFormat="1" applyFont="1" applyBorder="1" applyAlignment="1" applyProtection="1"/>
    <xf numFmtId="167" fontId="204" fillId="0" borderId="0" xfId="815" applyFont="1" applyFill="1" applyBorder="1" applyAlignment="1">
      <alignment horizontal="right" indent="2"/>
    </xf>
    <xf numFmtId="167" fontId="204" fillId="0" borderId="0" xfId="815" applyFont="1" applyFill="1" applyBorder="1" applyAlignment="1">
      <alignment horizontal="right" indent="5"/>
    </xf>
    <xf numFmtId="167" fontId="204" fillId="0" borderId="0" xfId="801" applyNumberFormat="1" applyFont="1" applyFill="1" applyBorder="1" applyAlignment="1" applyProtection="1"/>
    <xf numFmtId="0" fontId="207" fillId="0" borderId="0" xfId="0" applyFont="1" applyAlignment="1">
      <alignment horizontal="center"/>
    </xf>
    <xf numFmtId="171" fontId="204" fillId="0" borderId="0" xfId="0" applyNumberFormat="1" applyFont="1"/>
    <xf numFmtId="0" fontId="211" fillId="0" borderId="0" xfId="0" applyFont="1" applyAlignment="1">
      <alignment horizontal="center" vertical="center" wrapText="1"/>
    </xf>
    <xf numFmtId="167" fontId="207" fillId="0" borderId="0" xfId="0" applyNumberFormat="1" applyFont="1"/>
    <xf numFmtId="0" fontId="29" fillId="0" borderId="0" xfId="907"/>
    <xf numFmtId="171" fontId="29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38" fillId="0" borderId="0" xfId="905" applyNumberFormat="1" applyFont="1" applyAlignment="1">
      <alignment horizontal="center" vertical="center" wrapText="1"/>
    </xf>
    <xf numFmtId="0" fontId="32" fillId="0" borderId="0" xfId="907" applyFont="1"/>
    <xf numFmtId="167" fontId="32" fillId="0" borderId="0" xfId="815" applyFont="1" applyFill="1" applyBorder="1" applyAlignment="1">
      <alignment horizontal="right"/>
    </xf>
    <xf numFmtId="17" fontId="38" fillId="0" borderId="0" xfId="905" applyNumberFormat="1" applyFont="1" applyAlignment="1">
      <alignment horizontal="left" vertical="center" indent="6"/>
    </xf>
    <xf numFmtId="17" fontId="38" fillId="38" borderId="29" xfId="905" applyNumberFormat="1" applyFont="1" applyFill="1" applyBorder="1" applyAlignment="1">
      <alignment horizontal="center" vertical="center" wrapText="1"/>
    </xf>
    <xf numFmtId="0" fontId="35" fillId="0" borderId="0" xfId="907" applyFont="1"/>
    <xf numFmtId="168" fontId="29" fillId="0" borderId="10" xfId="863" applyBorder="1"/>
    <xf numFmtId="0" fontId="223" fillId="0" borderId="0" xfId="2697" applyFont="1" applyAlignment="1">
      <alignment vertical="top"/>
    </xf>
    <xf numFmtId="0" fontId="223" fillId="0" borderId="0" xfId="2697" applyFont="1" applyAlignment="1">
      <alignment horizontal="right" vertical="top"/>
    </xf>
    <xf numFmtId="17" fontId="38" fillId="0" borderId="0" xfId="905" applyNumberFormat="1" applyFont="1" applyAlignment="1">
      <alignment horizontal="left" vertical="center" indent="11"/>
    </xf>
    <xf numFmtId="167" fontId="32" fillId="0" borderId="0" xfId="815" applyFont="1" applyFill="1" applyBorder="1"/>
    <xf numFmtId="171" fontId="32" fillId="0" borderId="0" xfId="907" applyNumberFormat="1" applyFont="1"/>
    <xf numFmtId="0" fontId="145" fillId="41" borderId="0" xfId="907" applyFont="1" applyFill="1"/>
    <xf numFmtId="168" fontId="115" fillId="0" borderId="0" xfId="863" applyFont="1"/>
    <xf numFmtId="168" fontId="204" fillId="0" borderId="0" xfId="863" applyFont="1" applyFill="1" applyBorder="1"/>
    <xf numFmtId="0" fontId="227" fillId="0" borderId="0" xfId="830" applyFont="1"/>
    <xf numFmtId="0" fontId="225" fillId="0" borderId="0" xfId="831" applyFont="1"/>
    <xf numFmtId="0" fontId="204" fillId="0" borderId="0" xfId="0" applyFont="1" applyAlignment="1">
      <alignment horizontal="center"/>
    </xf>
    <xf numFmtId="14" fontId="204" fillId="0" borderId="0" xfId="0" applyNumberFormat="1" applyFont="1" applyAlignment="1">
      <alignment horizontal="center"/>
    </xf>
    <xf numFmtId="0" fontId="224" fillId="0" borderId="0" xfId="0" applyFont="1"/>
    <xf numFmtId="167" fontId="204" fillId="0" borderId="10" xfId="815" applyFont="1" applyFill="1" applyBorder="1"/>
    <xf numFmtId="0" fontId="240" fillId="33" borderId="0" xfId="831" applyFont="1" applyFill="1" applyAlignment="1">
      <alignment horizontal="right" vertical="center"/>
    </xf>
    <xf numFmtId="0" fontId="109" fillId="41" borderId="0" xfId="907" applyFont="1" applyFill="1" applyAlignment="1">
      <alignment horizontal="center"/>
    </xf>
    <xf numFmtId="9" fontId="37" fillId="38" borderId="0" xfId="1823" applyFont="1" applyFill="1" applyBorder="1" applyAlignment="1">
      <alignment horizontal="center" vertical="center" wrapText="1"/>
    </xf>
    <xf numFmtId="0" fontId="42" fillId="41" borderId="0" xfId="907" applyFont="1" applyFill="1" applyAlignment="1">
      <alignment horizontal="left" indent="1"/>
    </xf>
    <xf numFmtId="0" fontId="241" fillId="41" borderId="106" xfId="831" applyFont="1" applyFill="1" applyBorder="1" applyAlignment="1">
      <alignment horizontal="left"/>
    </xf>
    <xf numFmtId="0" fontId="30" fillId="41" borderId="0" xfId="801" applyFill="1" applyBorder="1" applyAlignment="1" applyProtection="1">
      <alignment horizontal="left"/>
    </xf>
    <xf numFmtId="0" fontId="42" fillId="41" borderId="0" xfId="2697" applyFont="1" applyFill="1"/>
    <xf numFmtId="0" fontId="30" fillId="41" borderId="0" xfId="801" applyFill="1" applyBorder="1" applyAlignment="1" applyProtection="1"/>
    <xf numFmtId="0" fontId="242" fillId="41" borderId="0" xfId="907" applyFont="1" applyFill="1" applyAlignment="1">
      <alignment horizontal="left"/>
    </xf>
    <xf numFmtId="0" fontId="30" fillId="41" borderId="0" xfId="801" applyFill="1" applyBorder="1" applyAlignment="1" applyProtection="1">
      <alignment horizontal="right"/>
    </xf>
    <xf numFmtId="0" fontId="116" fillId="101" borderId="0" xfId="2697" applyFont="1" applyFill="1" applyAlignment="1">
      <alignment horizontal="center" vertical="center" wrapText="1"/>
    </xf>
    <xf numFmtId="0" fontId="42" fillId="41" borderId="0" xfId="2697" applyFont="1" applyFill="1" applyAlignment="1">
      <alignment horizontal="left" vertical="center"/>
    </xf>
    <xf numFmtId="43" fontId="42" fillId="41" borderId="0" xfId="43199" applyFont="1" applyFill="1" applyBorder="1" applyAlignment="1"/>
    <xf numFmtId="43" fontId="42" fillId="41" borderId="0" xfId="43199" applyFont="1" applyFill="1" applyBorder="1"/>
    <xf numFmtId="167" fontId="42" fillId="41" borderId="0" xfId="815" quotePrefix="1" applyFont="1" applyFill="1" applyBorder="1"/>
    <xf numFmtId="10" fontId="42" fillId="41" borderId="0" xfId="847" applyNumberFormat="1" applyFont="1" applyFill="1" applyBorder="1" applyAlignment="1">
      <alignment horizontal="right" vertical="center"/>
    </xf>
    <xf numFmtId="43" fontId="42" fillId="41" borderId="0" xfId="907" applyNumberFormat="1" applyFont="1" applyFill="1"/>
    <xf numFmtId="167" fontId="109" fillId="41" borderId="0" xfId="815" applyFont="1" applyFill="1" applyBorder="1" applyAlignment="1"/>
    <xf numFmtId="43" fontId="109" fillId="41" borderId="0" xfId="907" applyNumberFormat="1" applyFont="1" applyFill="1"/>
    <xf numFmtId="0" fontId="29" fillId="41" borderId="0" xfId="2697" applyFill="1" applyAlignment="1">
      <alignment horizontal="center"/>
    </xf>
    <xf numFmtId="167" fontId="242" fillId="41" borderId="0" xfId="815" applyFont="1" applyFill="1" applyBorder="1" applyAlignment="1"/>
    <xf numFmtId="43" fontId="42" fillId="41" borderId="0" xfId="43200" applyFont="1" applyFill="1" applyBorder="1" applyAlignment="1" applyProtection="1">
      <alignment horizontal="center"/>
    </xf>
    <xf numFmtId="43" fontId="202" fillId="41" borderId="0" xfId="43199" applyFont="1" applyFill="1" applyBorder="1"/>
    <xf numFmtId="43" fontId="109" fillId="41" borderId="0" xfId="43199" applyFont="1" applyFill="1" applyBorder="1"/>
    <xf numFmtId="0" fontId="42" fillId="41" borderId="0" xfId="907" applyFont="1" applyFill="1" applyAlignment="1">
      <alignment horizontal="center"/>
    </xf>
    <xf numFmtId="0" fontId="231" fillId="41" borderId="123" xfId="2697" applyFont="1" applyFill="1" applyBorder="1" applyAlignment="1">
      <alignment horizontal="center"/>
    </xf>
    <xf numFmtId="0" fontId="231" fillId="41" borderId="124" xfId="2697" applyFont="1" applyFill="1" applyBorder="1" applyAlignment="1">
      <alignment horizontal="center"/>
    </xf>
    <xf numFmtId="0" fontId="242" fillId="41" borderId="0" xfId="907" applyFont="1" applyFill="1"/>
    <xf numFmtId="170" fontId="42" fillId="33" borderId="0" xfId="43199" applyNumberFormat="1" applyFont="1" applyFill="1" applyBorder="1" applyAlignment="1">
      <alignment horizontal="center" wrapText="1"/>
    </xf>
    <xf numFmtId="43" fontId="42" fillId="41" borderId="0" xfId="43199" applyFont="1" applyFill="1" applyBorder="1" applyAlignment="1">
      <alignment horizontal="center"/>
    </xf>
    <xf numFmtId="0" fontId="42" fillId="41" borderId="0" xfId="2697" applyFont="1" applyFill="1" applyAlignment="1">
      <alignment horizontal="center" vertical="center"/>
    </xf>
    <xf numFmtId="2" fontId="42" fillId="41" borderId="0" xfId="2697" applyNumberFormat="1" applyFont="1" applyFill="1" applyAlignment="1">
      <alignment horizontal="center"/>
    </xf>
    <xf numFmtId="43" fontId="42" fillId="41" borderId="0" xfId="2697" applyNumberFormat="1" applyFont="1" applyFill="1" applyAlignment="1">
      <alignment horizontal="left"/>
    </xf>
    <xf numFmtId="0" fontId="42" fillId="41" borderId="0" xfId="2697" applyFont="1" applyFill="1" applyAlignment="1">
      <alignment horizontal="center"/>
    </xf>
    <xf numFmtId="0" fontId="42" fillId="41" borderId="0" xfId="2697" applyFont="1" applyFill="1" applyAlignment="1">
      <alignment horizontal="left"/>
    </xf>
    <xf numFmtId="0" fontId="142" fillId="41" borderId="125" xfId="907" applyFont="1" applyFill="1" applyBorder="1" applyAlignment="1">
      <alignment horizontal="center"/>
    </xf>
    <xf numFmtId="3" fontId="42" fillId="41" borderId="0" xfId="43199" applyNumberFormat="1" applyFont="1" applyFill="1" applyBorder="1" applyAlignment="1">
      <alignment horizontal="right"/>
    </xf>
    <xf numFmtId="43" fontId="42" fillId="41" borderId="0" xfId="43199" applyFont="1" applyFill="1" applyBorder="1" applyAlignment="1">
      <alignment horizontal="right"/>
    </xf>
    <xf numFmtId="43" fontId="42" fillId="41" borderId="0" xfId="43199" applyFont="1" applyFill="1" applyBorder="1" applyAlignment="1">
      <alignment horizontal="left"/>
    </xf>
    <xf numFmtId="0" fontId="243" fillId="41" borderId="123" xfId="907" applyFont="1" applyFill="1" applyBorder="1" applyAlignment="1">
      <alignment horizontal="center"/>
    </xf>
    <xf numFmtId="43" fontId="42" fillId="0" borderId="0" xfId="43199" applyFont="1" applyFill="1" applyBorder="1" applyAlignment="1">
      <alignment horizontal="left"/>
    </xf>
    <xf numFmtId="0" fontId="243" fillId="41" borderId="124" xfId="907" applyFont="1" applyFill="1" applyBorder="1" applyAlignment="1">
      <alignment horizontal="center"/>
    </xf>
    <xf numFmtId="43" fontId="109" fillId="0" borderId="0" xfId="43199" applyFont="1" applyFill="1" applyBorder="1" applyAlignment="1">
      <alignment horizontal="left"/>
    </xf>
    <xf numFmtId="43" fontId="42" fillId="0" borderId="0" xfId="2697" applyNumberFormat="1" applyFont="1"/>
    <xf numFmtId="43" fontId="109" fillId="0" borderId="0" xfId="2697" applyNumberFormat="1" applyFont="1" applyAlignment="1">
      <alignment horizontal="left"/>
    </xf>
    <xf numFmtId="43" fontId="109" fillId="41" borderId="0" xfId="43199" quotePrefix="1" applyFont="1" applyFill="1" applyBorder="1" applyAlignment="1">
      <alignment horizontal="left"/>
    </xf>
    <xf numFmtId="10" fontId="42" fillId="41" borderId="0" xfId="43199" applyNumberFormat="1" applyFont="1" applyFill="1" applyBorder="1"/>
    <xf numFmtId="0" fontId="144" fillId="41" borderId="0" xfId="2697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 wrapText="1"/>
    </xf>
    <xf numFmtId="0" fontId="143" fillId="41" borderId="0" xfId="2697" applyFont="1" applyFill="1" applyAlignment="1">
      <alignment vertical="center"/>
    </xf>
    <xf numFmtId="3" fontId="143" fillId="41" borderId="0" xfId="2697" applyNumberFormat="1" applyFont="1" applyFill="1" applyAlignment="1">
      <alignment horizontal="center" vertical="center"/>
    </xf>
    <xf numFmtId="10" fontId="143" fillId="41" borderId="0" xfId="2697" applyNumberFormat="1" applyFont="1" applyFill="1" applyAlignment="1">
      <alignment horizontal="center" vertical="center"/>
    </xf>
    <xf numFmtId="0" fontId="143" fillId="41" borderId="0" xfId="2697" applyFont="1" applyFill="1" applyAlignment="1">
      <alignment horizontal="center" vertical="center"/>
    </xf>
    <xf numFmtId="3" fontId="143" fillId="41" borderId="0" xfId="2697" applyNumberFormat="1" applyFont="1" applyFill="1" applyAlignment="1">
      <alignment vertical="center"/>
    </xf>
    <xf numFmtId="10" fontId="143" fillId="41" borderId="0" xfId="2697" applyNumberFormat="1" applyFont="1" applyFill="1" applyAlignment="1">
      <alignment horizontal="right" vertical="center"/>
    </xf>
    <xf numFmtId="0" fontId="145" fillId="41" borderId="0" xfId="2697" applyFont="1" applyFill="1"/>
    <xf numFmtId="9" fontId="37" fillId="38" borderId="0" xfId="1095" applyFont="1" applyFill="1" applyBorder="1" applyAlignment="1">
      <alignment horizontal="center" vertical="center" wrapText="1"/>
    </xf>
    <xf numFmtId="0" fontId="142" fillId="41" borderId="0" xfId="2697" applyFont="1" applyFill="1" applyAlignment="1">
      <alignment horizontal="center" vertical="center"/>
    </xf>
    <xf numFmtId="43" fontId="42" fillId="0" borderId="0" xfId="43199" applyFont="1" applyAlignment="1">
      <alignment vertical="center"/>
    </xf>
    <xf numFmtId="0" fontId="42" fillId="0" borderId="0" xfId="2697" applyFont="1"/>
    <xf numFmtId="0" fontId="109" fillId="0" borderId="0" xfId="2697" applyFont="1"/>
    <xf numFmtId="43" fontId="42" fillId="0" borderId="0" xfId="43201" applyFont="1" applyFill="1" applyBorder="1" applyAlignment="1">
      <alignment horizontal="right" vertical="center"/>
    </xf>
    <xf numFmtId="0" fontId="145" fillId="0" borderId="0" xfId="2697" applyFont="1" applyAlignment="1">
      <alignment vertical="center"/>
    </xf>
    <xf numFmtId="0" fontId="145" fillId="0" borderId="0" xfId="2697" applyFont="1"/>
    <xf numFmtId="43" fontId="145" fillId="41" borderId="0" xfId="43199" applyFont="1" applyFill="1" applyBorder="1"/>
    <xf numFmtId="43" fontId="142" fillId="41" borderId="0" xfId="2697" applyNumberFormat="1" applyFont="1" applyFill="1" applyAlignment="1">
      <alignment horizontal="center" vertical="center"/>
    </xf>
    <xf numFmtId="9" fontId="42" fillId="0" borderId="0" xfId="2697" applyNumberFormat="1" applyFont="1"/>
    <xf numFmtId="10" fontId="42" fillId="0" borderId="0" xfId="2697" applyNumberFormat="1" applyFont="1"/>
    <xf numFmtId="0" fontId="42" fillId="41" borderId="0" xfId="2697" applyFont="1" applyFill="1" applyAlignment="1">
      <alignment vertical="center"/>
    </xf>
    <xf numFmtId="43" fontId="42" fillId="41" borderId="0" xfId="43199" applyFont="1" applyFill="1" applyBorder="1" applyAlignment="1">
      <alignment vertical="center"/>
    </xf>
    <xf numFmtId="217" fontId="42" fillId="33" borderId="0" xfId="2697" applyNumberFormat="1" applyFont="1" applyFill="1" applyAlignment="1">
      <alignment horizontal="center"/>
    </xf>
    <xf numFmtId="0" fontId="123" fillId="41" borderId="0" xfId="43202" applyFont="1" applyFill="1" applyAlignment="1">
      <alignment horizontal="center" wrapText="1"/>
    </xf>
    <xf numFmtId="0" fontId="123" fillId="41" borderId="0" xfId="43202" applyFont="1" applyFill="1" applyAlignment="1">
      <alignment horizontal="center"/>
    </xf>
    <xf numFmtId="0" fontId="136" fillId="41" borderId="0" xfId="43202" applyFont="1" applyFill="1"/>
    <xf numFmtId="43" fontId="136" fillId="41" borderId="0" xfId="43199" applyFont="1" applyFill="1" applyBorder="1"/>
    <xf numFmtId="167" fontId="29" fillId="0" borderId="0" xfId="815" applyFont="1" applyFill="1" applyBorder="1" applyAlignment="1">
      <alignment horizontal="left"/>
    </xf>
    <xf numFmtId="3" fontId="29" fillId="0" borderId="0" xfId="0" applyNumberFormat="1" applyFont="1"/>
    <xf numFmtId="49" fontId="29" fillId="0" borderId="0" xfId="847" applyNumberFormat="1" applyFont="1" applyFill="1" applyBorder="1" applyAlignment="1">
      <alignment horizontal="center"/>
    </xf>
    <xf numFmtId="168" fontId="204" fillId="0" borderId="0" xfId="863" applyFont="1" applyFill="1" applyBorder="1" applyAlignment="1"/>
    <xf numFmtId="168" fontId="204" fillId="0" borderId="0" xfId="863" applyFont="1" applyFill="1" applyBorder="1" applyAlignment="1">
      <alignment horizontal="left"/>
    </xf>
    <xf numFmtId="0" fontId="109" fillId="102" borderId="0" xfId="0" applyFont="1" applyFill="1"/>
    <xf numFmtId="0" fontId="31" fillId="45" borderId="0" xfId="10225" applyFill="1" applyAlignment="1"/>
    <xf numFmtId="0" fontId="42" fillId="0" borderId="0" xfId="0" applyFont="1"/>
    <xf numFmtId="174" fontId="0" fillId="0" borderId="0" xfId="0" applyNumberFormat="1"/>
    <xf numFmtId="0" fontId="109" fillId="102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2" fillId="0" borderId="0" xfId="0" applyFont="1" applyAlignment="1">
      <alignment wrapText="1"/>
    </xf>
    <xf numFmtId="0" fontId="42" fillId="0" borderId="0" xfId="2697" applyFont="1" applyAlignment="1">
      <alignment horizontal="center" vertical="center"/>
    </xf>
    <xf numFmtId="170" fontId="37" fillId="55" borderId="137" xfId="863" applyNumberFormat="1" applyFont="1" applyFill="1" applyBorder="1" applyAlignment="1">
      <alignment horizontal="center" vertical="center"/>
    </xf>
    <xf numFmtId="170" fontId="37" fillId="55" borderId="138" xfId="863" applyNumberFormat="1" applyFont="1" applyFill="1" applyBorder="1" applyAlignment="1">
      <alignment horizontal="center" vertical="center"/>
    </xf>
    <xf numFmtId="170" fontId="37" fillId="55" borderId="139" xfId="863" applyNumberFormat="1" applyFont="1" applyFill="1" applyBorder="1" applyAlignment="1">
      <alignment horizontal="center" vertical="center"/>
    </xf>
    <xf numFmtId="17" fontId="37" fillId="55" borderId="140" xfId="905" applyNumberFormat="1" applyFont="1" applyFill="1" applyBorder="1" applyAlignment="1">
      <alignment horizontal="center" vertical="center"/>
    </xf>
    <xf numFmtId="17" fontId="37" fillId="55" borderId="138" xfId="905" applyNumberFormat="1" applyFont="1" applyFill="1" applyBorder="1" applyAlignment="1">
      <alignment horizontal="center" vertical="center"/>
    </xf>
    <xf numFmtId="17" fontId="37" fillId="55" borderId="141" xfId="905" applyNumberFormat="1" applyFont="1" applyFill="1" applyBorder="1" applyAlignment="1">
      <alignment horizontal="center" vertical="center"/>
    </xf>
    <xf numFmtId="168" fontId="207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vertical="center"/>
    </xf>
    <xf numFmtId="10" fontId="42" fillId="33" borderId="0" xfId="2697" applyNumberFormat="1" applyFont="1" applyFill="1" applyAlignment="1">
      <alignment horizontal="center"/>
    </xf>
    <xf numFmtId="10" fontId="204" fillId="0" borderId="0" xfId="0" applyNumberFormat="1" applyFont="1"/>
    <xf numFmtId="168" fontId="204" fillId="100" borderId="0" xfId="863" applyFont="1" applyFill="1" applyBorder="1"/>
    <xf numFmtId="49" fontId="29" fillId="0" borderId="0" xfId="847" applyNumberFormat="1" applyFont="1" applyFill="1" applyBorder="1" applyAlignment="1">
      <alignment vertical="center" wrapText="1"/>
    </xf>
    <xf numFmtId="168" fontId="0" fillId="104" borderId="0" xfId="863" applyFont="1" applyFill="1"/>
    <xf numFmtId="168" fontId="0" fillId="100" borderId="0" xfId="863" applyFont="1" applyFill="1"/>
    <xf numFmtId="10" fontId="204" fillId="104" borderId="0" xfId="847" applyNumberFormat="1" applyFont="1" applyFill="1" applyBorder="1" applyAlignment="1">
      <alignment horizontal="right"/>
    </xf>
    <xf numFmtId="167" fontId="204" fillId="100" borderId="29" xfId="815" applyFont="1" applyFill="1" applyBorder="1"/>
    <xf numFmtId="170" fontId="42" fillId="0" borderId="0" xfId="43199" applyNumberFormat="1" applyFont="1" applyFill="1" applyBorder="1" applyAlignment="1">
      <alignment horizontal="right"/>
    </xf>
    <xf numFmtId="2" fontId="42" fillId="0" borderId="0" xfId="2697" applyNumberFormat="1" applyFont="1" applyAlignment="1">
      <alignment horizontal="center"/>
    </xf>
    <xf numFmtId="0" fontId="42" fillId="0" borderId="0" xfId="907" applyFont="1" applyAlignment="1">
      <alignment horizontal="center"/>
    </xf>
    <xf numFmtId="4" fontId="0" fillId="0" borderId="0" xfId="0" applyNumberFormat="1"/>
    <xf numFmtId="9" fontId="42" fillId="41" borderId="0" xfId="847" applyFont="1" applyFill="1" applyBorder="1"/>
    <xf numFmtId="43" fontId="42" fillId="0" borderId="0" xfId="43199" applyFont="1" applyFill="1" applyBorder="1" applyAlignment="1">
      <alignment horizontal="left" vertical="center"/>
    </xf>
    <xf numFmtId="43" fontId="42" fillId="41" borderId="0" xfId="43199" applyFont="1" applyFill="1" applyBorder="1" applyAlignment="1">
      <alignment horizontal="center" vertical="center"/>
    </xf>
    <xf numFmtId="0" fontId="116" fillId="41" borderId="142" xfId="907" applyFont="1" applyFill="1" applyBorder="1" applyAlignment="1">
      <alignment horizontal="center"/>
    </xf>
    <xf numFmtId="0" fontId="145" fillId="41" borderId="0" xfId="907" applyFont="1" applyFill="1" applyProtection="1">
      <protection locked="0"/>
    </xf>
    <xf numFmtId="43" fontId="145" fillId="41" borderId="0" xfId="43199" applyFont="1" applyFill="1" applyBorder="1" applyProtection="1">
      <protection locked="0"/>
    </xf>
    <xf numFmtId="0" fontId="42" fillId="0" borderId="0" xfId="2697" applyFont="1" applyProtection="1">
      <protection locked="0"/>
    </xf>
    <xf numFmtId="167" fontId="204" fillId="44" borderId="20" xfId="815" applyFont="1" applyFill="1" applyBorder="1"/>
    <xf numFmtId="0" fontId="0" fillId="61" borderId="0" xfId="0" applyFill="1"/>
    <xf numFmtId="168" fontId="0" fillId="61" borderId="0" xfId="863" applyFont="1" applyFill="1"/>
    <xf numFmtId="10" fontId="0" fillId="61" borderId="0" xfId="847" applyNumberFormat="1" applyFont="1" applyFill="1"/>
    <xf numFmtId="0" fontId="243" fillId="41" borderId="125" xfId="907" applyFont="1" applyFill="1" applyBorder="1" applyAlignment="1">
      <alignment horizontal="center"/>
    </xf>
    <xf numFmtId="0" fontId="29" fillId="61" borderId="0" xfId="0" applyFont="1" applyFill="1"/>
    <xf numFmtId="168" fontId="42" fillId="41" borderId="0" xfId="863" applyFont="1" applyFill="1" applyBorder="1" applyAlignment="1">
      <alignment horizontal="right"/>
    </xf>
    <xf numFmtId="168" fontId="0" fillId="106" borderId="0" xfId="863" applyFont="1" applyFill="1"/>
    <xf numFmtId="0" fontId="219" fillId="0" borderId="0" xfId="0" applyFont="1"/>
    <xf numFmtId="168" fontId="42" fillId="41" borderId="0" xfId="863" applyFont="1" applyFill="1" applyBorder="1"/>
    <xf numFmtId="0" fontId="246" fillId="0" borderId="0" xfId="0" applyFont="1" applyAlignment="1">
      <alignment horizontal="right" vertical="center"/>
    </xf>
    <xf numFmtId="43" fontId="42" fillId="0" borderId="0" xfId="43185" applyFont="1" applyFill="1" applyBorder="1" applyAlignment="1" applyProtection="1">
      <alignment horizontal="right"/>
      <protection locked="0"/>
    </xf>
    <xf numFmtId="0" fontId="211" fillId="43" borderId="0" xfId="0" applyFont="1" applyFill="1" applyAlignment="1">
      <alignment horizontal="center"/>
    </xf>
    <xf numFmtId="0" fontId="116" fillId="0" borderId="0" xfId="907" applyFont="1"/>
    <xf numFmtId="0" fontId="42" fillId="0" borderId="0" xfId="2697" applyFont="1" applyAlignment="1">
      <alignment horizontal="left" vertical="center"/>
    </xf>
    <xf numFmtId="43" fontId="42" fillId="0" borderId="0" xfId="43199" applyFont="1" applyFill="1" applyBorder="1" applyAlignment="1"/>
    <xf numFmtId="10" fontId="42" fillId="41" borderId="0" xfId="43199" applyNumberFormat="1" applyFont="1" applyFill="1" applyBorder="1" applyAlignment="1"/>
    <xf numFmtId="0" fontId="243" fillId="0" borderId="0" xfId="43405" applyFont="1"/>
    <xf numFmtId="10" fontId="243" fillId="0" borderId="0" xfId="847" applyNumberFormat="1" applyFont="1" applyFill="1" applyBorder="1"/>
    <xf numFmtId="0" fontId="249" fillId="0" borderId="0" xfId="7308" applyFont="1"/>
    <xf numFmtId="0" fontId="250" fillId="0" borderId="0" xfId="7308" applyFont="1" applyAlignment="1">
      <alignment horizontal="center"/>
    </xf>
    <xf numFmtId="2" fontId="249" fillId="0" borderId="0" xfId="7308" applyNumberFormat="1" applyFont="1"/>
    <xf numFmtId="0" fontId="250" fillId="0" borderId="0" xfId="7308" applyFont="1"/>
    <xf numFmtId="0" fontId="251" fillId="0" borderId="0" xfId="7308" applyFont="1" applyAlignment="1">
      <alignment horizontal="center"/>
    </xf>
    <xf numFmtId="0" fontId="252" fillId="0" borderId="0" xfId="7308" applyFont="1"/>
    <xf numFmtId="168" fontId="251" fillId="0" borderId="0" xfId="43165" applyFont="1"/>
    <xf numFmtId="0" fontId="249" fillId="42" borderId="0" xfId="7308" applyFont="1" applyFill="1"/>
    <xf numFmtId="0" fontId="258" fillId="41" borderId="0" xfId="831" applyFont="1" applyFill="1" applyAlignment="1">
      <alignment horizontal="left"/>
    </xf>
    <xf numFmtId="0" fontId="249" fillId="0" borderId="20" xfId="7308" applyFont="1" applyBorder="1"/>
    <xf numFmtId="10" fontId="249" fillId="41" borderId="10" xfId="1095" applyNumberFormat="1" applyFont="1" applyFill="1" applyBorder="1"/>
    <xf numFmtId="0" fontId="259" fillId="55" borderId="0" xfId="834" applyFont="1" applyFill="1" applyAlignment="1" applyProtection="1">
      <alignment horizontal="left" vertical="center"/>
    </xf>
    <xf numFmtId="0" fontId="259" fillId="55" borderId="0" xfId="834" applyFont="1" applyFill="1" applyAlignment="1" applyProtection="1">
      <alignment horizontal="center" vertical="center"/>
    </xf>
    <xf numFmtId="0" fontId="249" fillId="0" borderId="0" xfId="2697" applyFont="1" applyAlignment="1">
      <alignment vertical="center"/>
    </xf>
    <xf numFmtId="191" fontId="249" fillId="0" borderId="0" xfId="1095" applyNumberFormat="1" applyFont="1" applyBorder="1" applyAlignment="1">
      <alignment horizontal="right" vertical="center"/>
    </xf>
    <xf numFmtId="167" fontId="249" fillId="41" borderId="10" xfId="902" applyFont="1" applyFill="1" applyBorder="1"/>
    <xf numFmtId="10" fontId="249" fillId="0" borderId="0" xfId="1095" applyNumberFormat="1" applyFont="1" applyBorder="1" applyAlignment="1">
      <alignment horizontal="right" vertical="center"/>
    </xf>
    <xf numFmtId="43" fontId="249" fillId="0" borderId="0" xfId="7308" applyNumberFormat="1" applyFont="1"/>
    <xf numFmtId="168" fontId="249" fillId="0" borderId="0" xfId="43165" applyFont="1" applyAlignment="1">
      <alignment horizontal="center"/>
    </xf>
    <xf numFmtId="0" fontId="263" fillId="0" borderId="0" xfId="7308" applyFont="1" applyAlignment="1">
      <alignment horizontal="center"/>
    </xf>
    <xf numFmtId="168" fontId="249" fillId="0" borderId="0" xfId="43165" applyFont="1" applyAlignment="1"/>
    <xf numFmtId="168" fontId="249" fillId="0" borderId="0" xfId="43165" applyFont="1" applyAlignment="1">
      <alignment horizontal="left" vertical="center"/>
    </xf>
    <xf numFmtId="168" fontId="250" fillId="0" borderId="0" xfId="43165" applyFont="1" applyAlignment="1"/>
    <xf numFmtId="168" fontId="250" fillId="0" borderId="0" xfId="43165" applyFont="1" applyAlignment="1">
      <alignment horizontal="center"/>
    </xf>
    <xf numFmtId="165" fontId="204" fillId="0" borderId="0" xfId="815" applyNumberFormat="1" applyFont="1" applyBorder="1"/>
    <xf numFmtId="165" fontId="204" fillId="0" borderId="0" xfId="815" applyNumberFormat="1" applyFont="1" applyBorder="1" applyAlignment="1">
      <alignment horizontal="left"/>
    </xf>
    <xf numFmtId="0" fontId="242" fillId="0" borderId="0" xfId="831" applyFont="1" applyAlignment="1">
      <alignment horizontal="left"/>
    </xf>
    <xf numFmtId="0" fontId="37" fillId="0" borderId="0" xfId="834" applyFont="1" applyAlignment="1" applyProtection="1">
      <alignment horizontal="center" vertical="center"/>
    </xf>
    <xf numFmtId="191" fontId="42" fillId="0" borderId="0" xfId="1095" applyNumberFormat="1" applyFont="1" applyFill="1" applyBorder="1" applyAlignment="1">
      <alignment horizontal="right" vertical="center"/>
    </xf>
    <xf numFmtId="0" fontId="262" fillId="0" borderId="0" xfId="7308" applyFont="1"/>
    <xf numFmtId="168" fontId="249" fillId="0" borderId="0" xfId="43165" applyFont="1" applyFill="1" applyBorder="1" applyAlignment="1">
      <alignment horizontal="center"/>
    </xf>
    <xf numFmtId="168" fontId="249" fillId="0" borderId="0" xfId="43165" applyFont="1" applyFill="1" applyBorder="1" applyAlignment="1"/>
    <xf numFmtId="0" fontId="109" fillId="0" borderId="0" xfId="2697" applyFont="1" applyAlignment="1">
      <alignment vertical="center"/>
    </xf>
    <xf numFmtId="4" fontId="109" fillId="0" borderId="0" xfId="2697" applyNumberFormat="1" applyFont="1" applyAlignment="1">
      <alignment vertical="center"/>
    </xf>
    <xf numFmtId="168" fontId="250" fillId="0" borderId="0" xfId="43165" applyFont="1" applyFill="1" applyBorder="1" applyAlignment="1"/>
    <xf numFmtId="10" fontId="260" fillId="61" borderId="150" xfId="1095" applyNumberFormat="1" applyFont="1" applyFill="1" applyBorder="1" applyAlignment="1">
      <alignment vertical="center"/>
    </xf>
    <xf numFmtId="0" fontId="250" fillId="0" borderId="151" xfId="7308" applyFont="1" applyBorder="1" applyAlignment="1">
      <alignment horizontal="center"/>
    </xf>
    <xf numFmtId="167" fontId="249" fillId="102" borderId="10" xfId="902" applyFont="1" applyFill="1" applyBorder="1"/>
    <xf numFmtId="0" fontId="209" fillId="41" borderId="0" xfId="0" applyFont="1" applyFill="1"/>
    <xf numFmtId="0" fontId="202" fillId="41" borderId="125" xfId="907" applyFont="1" applyFill="1" applyBorder="1" applyAlignment="1">
      <alignment horizontal="center"/>
    </xf>
    <xf numFmtId="10" fontId="29" fillId="0" borderId="0" xfId="847" applyNumberFormat="1" applyFont="1" applyFill="1" applyBorder="1" applyAlignment="1">
      <alignment horizontal="right"/>
    </xf>
    <xf numFmtId="10" fontId="204" fillId="108" borderId="0" xfId="847" applyNumberFormat="1" applyFont="1" applyFill="1" applyBorder="1"/>
    <xf numFmtId="168" fontId="204" fillId="108" borderId="0" xfId="863" applyFont="1" applyFill="1" applyBorder="1"/>
    <xf numFmtId="10" fontId="204" fillId="0" borderId="0" xfId="847" applyNumberFormat="1" applyFont="1" applyFill="1" applyBorder="1" applyAlignment="1">
      <alignment horizontal="right"/>
    </xf>
    <xf numFmtId="0" fontId="112" fillId="0" borderId="0" xfId="0" applyFont="1"/>
    <xf numFmtId="0" fontId="42" fillId="0" borderId="20" xfId="0" applyFont="1" applyBorder="1"/>
    <xf numFmtId="0" fontId="0" fillId="0" borderId="0" xfId="0" applyAlignment="1">
      <alignment horizontal="center"/>
    </xf>
    <xf numFmtId="0" fontId="264" fillId="0" borderId="0" xfId="43410" applyFont="1"/>
    <xf numFmtId="0" fontId="265" fillId="0" borderId="0" xfId="43411"/>
    <xf numFmtId="10" fontId="210" fillId="0" borderId="0" xfId="847" applyNumberFormat="1" applyFont="1" applyBorder="1" applyAlignment="1">
      <alignment horizontal="right" vertical="center"/>
    </xf>
    <xf numFmtId="168" fontId="29" fillId="0" borderId="0" xfId="863" applyFont="1" applyFill="1" applyBorder="1"/>
    <xf numFmtId="10" fontId="29" fillId="0" borderId="0" xfId="847" applyNumberFormat="1" applyFont="1"/>
    <xf numFmtId="0" fontId="29" fillId="0" borderId="0" xfId="0" applyFont="1" applyAlignment="1">
      <alignment horizontal="center"/>
    </xf>
    <xf numFmtId="10" fontId="29" fillId="0" borderId="0" xfId="0" applyNumberFormat="1" applyFont="1"/>
    <xf numFmtId="14" fontId="35" fillId="0" borderId="0" xfId="0" applyNumberFormat="1" applyFont="1" applyAlignment="1">
      <alignment horizontal="center"/>
    </xf>
    <xf numFmtId="260" fontId="29" fillId="0" borderId="0" xfId="0" applyNumberFormat="1" applyFont="1"/>
    <xf numFmtId="168" fontId="29" fillId="0" borderId="0" xfId="863" applyFont="1" applyFill="1"/>
    <xf numFmtId="171" fontId="29" fillId="0" borderId="0" xfId="0" applyNumberFormat="1" applyFont="1"/>
    <xf numFmtId="0" fontId="35" fillId="0" borderId="0" xfId="0" applyFont="1"/>
    <xf numFmtId="0" fontId="35" fillId="45" borderId="152" xfId="907" applyFont="1" applyFill="1" applyBorder="1" applyAlignment="1">
      <alignment horizontal="center" vertical="center" wrapText="1"/>
    </xf>
    <xf numFmtId="0" fontId="204" fillId="0" borderId="20" xfId="0" applyFont="1" applyBorder="1" applyAlignment="1">
      <alignment horizontal="right"/>
    </xf>
    <xf numFmtId="0" fontId="204" fillId="0" borderId="29" xfId="832" applyFont="1" applyBorder="1" applyAlignment="1">
      <alignment horizontal="left"/>
    </xf>
    <xf numFmtId="0" fontId="204" fillId="41" borderId="20" xfId="0" applyFont="1" applyFill="1" applyBorder="1" applyAlignment="1">
      <alignment horizontal="right"/>
    </xf>
    <xf numFmtId="14" fontId="115" fillId="0" borderId="0" xfId="0" applyNumberFormat="1" applyFont="1"/>
    <xf numFmtId="164" fontId="210" fillId="0" borderId="0" xfId="0" applyNumberFormat="1" applyFont="1" applyAlignment="1">
      <alignment horizontal="right" vertical="center"/>
    </xf>
    <xf numFmtId="168" fontId="29" fillId="44" borderId="0" xfId="863" applyFont="1" applyFill="1" applyBorder="1" applyAlignment="1">
      <alignment horizontal="right"/>
    </xf>
    <xf numFmtId="10" fontId="210" fillId="0" borderId="0" xfId="847" applyNumberFormat="1" applyFont="1" applyFill="1" applyBorder="1" applyAlignment="1">
      <alignment horizontal="right" vertical="center"/>
    </xf>
    <xf numFmtId="10" fontId="204" fillId="0" borderId="0" xfId="847" applyNumberFormat="1" applyFont="1" applyFill="1" applyBorder="1" applyAlignment="1">
      <alignment horizontal="right" vertical="center"/>
    </xf>
    <xf numFmtId="0" fontId="29" fillId="104" borderId="0" xfId="0" applyFont="1" applyFill="1"/>
    <xf numFmtId="14" fontId="31" fillId="0" borderId="0" xfId="831" applyNumberFormat="1" applyAlignment="1">
      <alignment horizontal="center"/>
    </xf>
    <xf numFmtId="10" fontId="204" fillId="0" borderId="0" xfId="847" applyNumberFormat="1" applyFont="1" applyFill="1"/>
    <xf numFmtId="0" fontId="5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6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6" fillId="103" borderId="154" xfId="0" applyFont="1" applyFill="1" applyBorder="1" applyAlignment="1">
      <alignment horizontal="center" vertical="distributed"/>
    </xf>
    <xf numFmtId="14" fontId="266" fillId="103" borderId="154" xfId="0" applyNumberFormat="1" applyFont="1" applyFill="1" applyBorder="1" applyAlignment="1">
      <alignment horizontal="center" vertical="distributed"/>
    </xf>
    <xf numFmtId="0" fontId="266" fillId="103" borderId="10" xfId="0" applyFont="1" applyFill="1" applyBorder="1" applyAlignment="1">
      <alignment horizontal="center"/>
    </xf>
    <xf numFmtId="168" fontId="29" fillId="61" borderId="0" xfId="863" applyFont="1" applyFill="1"/>
    <xf numFmtId="168" fontId="42" fillId="41" borderId="0" xfId="903" applyFont="1" applyFill="1" applyBorder="1" applyAlignment="1">
      <alignment horizontal="left" vertical="top" wrapText="1"/>
    </xf>
    <xf numFmtId="0" fontId="29" fillId="111" borderId="0" xfId="0" applyFont="1" applyFill="1" applyAlignment="1">
      <alignment horizontal="center"/>
    </xf>
    <xf numFmtId="0" fontId="29" fillId="111" borderId="0" xfId="0" applyFont="1" applyFill="1"/>
    <xf numFmtId="14" fontId="29" fillId="111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4" fillId="111" borderId="0" xfId="847" applyNumberFormat="1" applyFont="1" applyFill="1" applyBorder="1"/>
    <xf numFmtId="168" fontId="204" fillId="111" borderId="0" xfId="863" applyFont="1" applyFill="1" applyBorder="1"/>
    <xf numFmtId="168" fontId="204" fillId="111" borderId="0" xfId="0" applyNumberFormat="1" applyFont="1" applyFill="1"/>
    <xf numFmtId="2" fontId="236" fillId="0" borderId="0" xfId="0" applyNumberFormat="1" applyFont="1" applyAlignment="1">
      <alignment horizontal="center" vertical="center" wrapText="1"/>
    </xf>
    <xf numFmtId="168" fontId="236" fillId="0" borderId="0" xfId="863" applyFont="1" applyFill="1" applyBorder="1" applyAlignment="1">
      <alignment horizontal="right" vertical="center" wrapText="1"/>
    </xf>
    <xf numFmtId="168" fontId="236" fillId="0" borderId="0" xfId="863" applyFont="1" applyFill="1" applyBorder="1" applyAlignment="1">
      <alignment horizontal="center" vertical="center" wrapText="1"/>
    </xf>
    <xf numFmtId="0" fontId="247" fillId="0" borderId="0" xfId="0" applyFont="1" applyAlignment="1">
      <alignment horizontal="center" vertical="center" wrapText="1"/>
    </xf>
    <xf numFmtId="0" fontId="124" fillId="0" borderId="0" xfId="0" applyFont="1" applyAlignment="1">
      <alignment horizontal="justify" vertical="center" wrapText="1"/>
    </xf>
    <xf numFmtId="264" fontId="124" fillId="0" borderId="0" xfId="907" applyNumberFormat="1" applyFont="1" applyAlignment="1">
      <alignment horizontal="center"/>
    </xf>
    <xf numFmtId="0" fontId="124" fillId="0" borderId="0" xfId="0" applyFont="1" applyAlignment="1">
      <alignment horizontal="center" vertical="center" wrapText="1"/>
    </xf>
    <xf numFmtId="167" fontId="42" fillId="0" borderId="0" xfId="815" applyFont="1" applyFill="1" applyBorder="1" applyAlignment="1">
      <alignment horizontal="left"/>
    </xf>
    <xf numFmtId="167" fontId="42" fillId="113" borderId="16" xfId="815" applyFont="1" applyFill="1" applyBorder="1" applyAlignment="1">
      <alignment horizontal="left"/>
    </xf>
    <xf numFmtId="3" fontId="29" fillId="113" borderId="16" xfId="0" applyNumberFormat="1" applyFont="1" applyFill="1" applyBorder="1"/>
    <xf numFmtId="167" fontId="29" fillId="42" borderId="0" xfId="815" applyFont="1" applyFill="1" applyBorder="1" applyAlignment="1">
      <alignment horizontal="left"/>
    </xf>
    <xf numFmtId="4" fontId="29" fillId="0" borderId="0" xfId="0" applyNumberFormat="1" applyFont="1"/>
    <xf numFmtId="230" fontId="29" fillId="111" borderId="0" xfId="863" applyNumberFormat="1" applyFont="1" applyFill="1" applyBorder="1" applyAlignment="1">
      <alignment horizontal="left"/>
    </xf>
    <xf numFmtId="230" fontId="29" fillId="111" borderId="0" xfId="0" applyNumberFormat="1" applyFont="1" applyFill="1"/>
    <xf numFmtId="230" fontId="29" fillId="111" borderId="0" xfId="0" applyNumberFormat="1" applyFont="1" applyFill="1" applyAlignment="1">
      <alignment horizontal="left"/>
    </xf>
    <xf numFmtId="230" fontId="115" fillId="111" borderId="0" xfId="0" applyNumberFormat="1" applyFont="1" applyFill="1" applyAlignment="1">
      <alignment horizontal="left"/>
    </xf>
    <xf numFmtId="0" fontId="270" fillId="113" borderId="16" xfId="0" applyFont="1" applyFill="1" applyBorder="1"/>
    <xf numFmtId="165" fontId="29" fillId="0" borderId="0" xfId="863" applyNumberFormat="1" applyFont="1" applyFill="1" applyBorder="1"/>
    <xf numFmtId="168" fontId="29" fillId="111" borderId="0" xfId="863" applyFont="1" applyFill="1" applyBorder="1"/>
    <xf numFmtId="0" fontId="267" fillId="0" borderId="0" xfId="0" applyFont="1"/>
    <xf numFmtId="0" fontId="42" fillId="0" borderId="29" xfId="0" applyFont="1" applyBorder="1"/>
    <xf numFmtId="0" fontId="270" fillId="0" borderId="0" xfId="0" applyFont="1"/>
    <xf numFmtId="0" fontId="42" fillId="33" borderId="0" xfId="829" applyFont="1" applyFill="1"/>
    <xf numFmtId="0" fontId="273" fillId="0" borderId="0" xfId="0" applyFont="1"/>
    <xf numFmtId="0" fontId="262" fillId="0" borderId="0" xfId="0" applyFont="1"/>
    <xf numFmtId="0" fontId="124" fillId="0" borderId="20" xfId="0" applyFont="1" applyBorder="1" applyAlignment="1">
      <alignment horizontal="left"/>
    </xf>
    <xf numFmtId="0" fontId="42" fillId="113" borderId="159" xfId="0" applyFont="1" applyFill="1" applyBorder="1"/>
    <xf numFmtId="0" fontId="42" fillId="113" borderId="16" xfId="0" applyFont="1" applyFill="1" applyBorder="1"/>
    <xf numFmtId="0" fontId="42" fillId="113" borderId="16" xfId="907" applyFont="1" applyFill="1" applyBorder="1"/>
    <xf numFmtId="10" fontId="42" fillId="113" borderId="16" xfId="847" applyNumberFormat="1" applyFont="1" applyFill="1" applyBorder="1" applyAlignment="1"/>
    <xf numFmtId="14" fontId="42" fillId="113" borderId="16" xfId="0" applyNumberFormat="1" applyFont="1" applyFill="1" applyBorder="1"/>
    <xf numFmtId="0" fontId="274" fillId="113" borderId="151" xfId="0" applyFont="1" applyFill="1" applyBorder="1"/>
    <xf numFmtId="0" fontId="124" fillId="0" borderId="0" xfId="0" applyFont="1" applyAlignment="1">
      <alignment horizontal="left"/>
    </xf>
    <xf numFmtId="0" fontId="274" fillId="0" borderId="0" xfId="0" applyFont="1"/>
    <xf numFmtId="0" fontId="275" fillId="0" borderId="0" xfId="0" applyFont="1"/>
    <xf numFmtId="0" fontId="274" fillId="0" borderId="29" xfId="0" applyFont="1" applyBorder="1"/>
    <xf numFmtId="10" fontId="42" fillId="0" borderId="0" xfId="847" applyNumberFormat="1" applyFont="1" applyFill="1" applyBorder="1" applyAlignment="1"/>
    <xf numFmtId="14" fontId="42" fillId="0" borderId="0" xfId="0" applyNumberFormat="1" applyFont="1"/>
    <xf numFmtId="4" fontId="143" fillId="0" borderId="0" xfId="0" applyNumberFormat="1" applyFont="1"/>
    <xf numFmtId="0" fontId="42" fillId="0" borderId="0" xfId="0" quotePrefix="1" applyFont="1"/>
    <xf numFmtId="43" fontId="267" fillId="0" borderId="0" xfId="0" applyNumberFormat="1" applyFont="1"/>
    <xf numFmtId="168" fontId="42" fillId="0" borderId="0" xfId="863" applyFont="1"/>
    <xf numFmtId="0" fontId="29" fillId="0" borderId="29" xfId="0" applyFont="1" applyBorder="1"/>
    <xf numFmtId="0" fontId="274" fillId="0" borderId="153" xfId="0" applyFont="1" applyBorder="1"/>
    <xf numFmtId="168" fontId="42" fillId="0" borderId="0" xfId="863" applyFont="1" applyBorder="1"/>
    <xf numFmtId="0" fontId="42" fillId="0" borderId="0" xfId="0" applyFont="1" applyAlignment="1">
      <alignment horizontal="center"/>
    </xf>
    <xf numFmtId="0" fontId="42" fillId="0" borderId="20" xfId="0" applyFont="1" applyBorder="1" applyAlignment="1">
      <alignment horizontal="left"/>
    </xf>
    <xf numFmtId="168" fontId="42" fillId="0" borderId="0" xfId="863" applyFont="1" applyBorder="1" applyAlignment="1">
      <alignment horizontal="center"/>
    </xf>
    <xf numFmtId="0" fontId="236" fillId="0" borderId="0" xfId="0" applyFont="1" applyAlignment="1">
      <alignment horizontal="center" vertical="center"/>
    </xf>
    <xf numFmtId="0" fontId="236" fillId="0" borderId="20" xfId="0" applyFont="1" applyBorder="1" applyAlignment="1">
      <alignment horizontal="center" vertical="center"/>
    </xf>
    <xf numFmtId="43" fontId="42" fillId="0" borderId="0" xfId="0" applyNumberFormat="1" applyFont="1"/>
    <xf numFmtId="14" fontId="236" fillId="0" borderId="20" xfId="0" applyNumberFormat="1" applyFont="1" applyBorder="1" applyAlignment="1">
      <alignment horizontal="center" vertical="center"/>
    </xf>
    <xf numFmtId="0" fontId="270" fillId="113" borderId="159" xfId="0" applyFont="1" applyFill="1" applyBorder="1"/>
    <xf numFmtId="0" fontId="270" fillId="113" borderId="151" xfId="0" applyFont="1" applyFill="1" applyBorder="1"/>
    <xf numFmtId="14" fontId="236" fillId="0" borderId="0" xfId="0" applyNumberFormat="1" applyFont="1" applyAlignment="1">
      <alignment horizontal="center" vertical="center"/>
    </xf>
    <xf numFmtId="0" fontId="277" fillId="0" borderId="0" xfId="0" applyFont="1"/>
    <xf numFmtId="171" fontId="42" fillId="0" borderId="0" xfId="907" applyNumberFormat="1" applyFont="1"/>
    <xf numFmtId="0" fontId="29" fillId="59" borderId="0" xfId="907" applyFill="1"/>
    <xf numFmtId="43" fontId="29" fillId="0" borderId="0" xfId="0" applyNumberFormat="1" applyFont="1"/>
    <xf numFmtId="0" fontId="29" fillId="0" borderId="0" xfId="907" applyAlignment="1">
      <alignment horizontal="center"/>
    </xf>
    <xf numFmtId="0" fontId="271" fillId="43" borderId="149" xfId="0" applyFont="1" applyFill="1" applyBorder="1" applyAlignment="1">
      <alignment horizontal="center" vertical="center" wrapText="1"/>
    </xf>
    <xf numFmtId="0" fontId="271" fillId="43" borderId="148" xfId="0" applyFont="1" applyFill="1" applyBorder="1" applyAlignment="1">
      <alignment horizontal="center" vertical="center" wrapText="1"/>
    </xf>
    <xf numFmtId="0" fontId="29" fillId="59" borderId="144" xfId="907" applyFill="1" applyBorder="1"/>
    <xf numFmtId="0" fontId="271" fillId="59" borderId="144" xfId="0" applyFont="1" applyFill="1" applyBorder="1"/>
    <xf numFmtId="10" fontId="29" fillId="0" borderId="0" xfId="847" applyNumberFormat="1" applyFont="1" applyFill="1" applyBorder="1" applyAlignment="1"/>
    <xf numFmtId="0" fontId="29" fillId="0" borderId="0" xfId="907" applyAlignment="1">
      <alignment horizontal="left"/>
    </xf>
    <xf numFmtId="10" fontId="29" fillId="0" borderId="0" xfId="847" applyNumberFormat="1" applyFont="1" applyFill="1" applyBorder="1" applyAlignment="1">
      <alignment horizontal="left"/>
    </xf>
    <xf numFmtId="10" fontId="29" fillId="0" borderId="144" xfId="847" applyNumberFormat="1" applyFont="1" applyFill="1" applyBorder="1" applyAlignment="1"/>
    <xf numFmtId="0" fontId="35" fillId="42" borderId="0" xfId="0" applyFont="1" applyFill="1"/>
    <xf numFmtId="0" fontId="29" fillId="42" borderId="0" xfId="0" applyFont="1" applyFill="1"/>
    <xf numFmtId="165" fontId="29" fillId="0" borderId="0" xfId="0" applyNumberFormat="1" applyFont="1"/>
    <xf numFmtId="167" fontId="29" fillId="111" borderId="0" xfId="815" applyFont="1" applyFill="1" applyBorder="1" applyAlignment="1"/>
    <xf numFmtId="10" fontId="29" fillId="111" borderId="0" xfId="847" applyNumberFormat="1" applyFont="1" applyFill="1" applyBorder="1" applyAlignment="1">
      <alignment horizontal="right"/>
    </xf>
    <xf numFmtId="168" fontId="29" fillId="0" borderId="0" xfId="863" applyFont="1" applyFill="1" applyBorder="1" applyAlignment="1"/>
    <xf numFmtId="170" fontId="29" fillId="0" borderId="0" xfId="0" applyNumberFormat="1" applyFont="1"/>
    <xf numFmtId="0" fontId="278" fillId="96" borderId="147" xfId="0" applyFont="1" applyFill="1" applyBorder="1" applyAlignment="1">
      <alignment vertical="center"/>
    </xf>
    <xf numFmtId="0" fontId="278" fillId="96" borderId="29" xfId="0" applyFont="1" applyFill="1" applyBorder="1" applyAlignment="1">
      <alignment vertical="center"/>
    </xf>
    <xf numFmtId="14" fontId="29" fillId="0" borderId="0" xfId="0" applyNumberFormat="1" applyFont="1" applyAlignment="1">
      <alignment horizontal="right"/>
    </xf>
    <xf numFmtId="14" fontId="29" fillId="41" borderId="0" xfId="0" applyNumberFormat="1" applyFont="1" applyFill="1" applyAlignment="1">
      <alignment horizontal="right"/>
    </xf>
    <xf numFmtId="14" fontId="29" fillId="41" borderId="0" xfId="0" applyNumberFormat="1" applyFont="1" applyFill="1"/>
    <xf numFmtId="14" fontId="29" fillId="0" borderId="0" xfId="0" applyNumberFormat="1" applyFont="1" applyAlignment="1">
      <alignment horizontal="center"/>
    </xf>
    <xf numFmtId="0" fontId="115" fillId="0" borderId="0" xfId="0" applyFont="1" applyAlignment="1">
      <alignment horizontal="center"/>
    </xf>
    <xf numFmtId="14" fontId="29" fillId="0" borderId="10" xfId="0" applyNumberFormat="1" applyFont="1" applyBorder="1" applyAlignment="1">
      <alignment horizontal="center"/>
    </xf>
    <xf numFmtId="14" fontId="115" fillId="0" borderId="0" xfId="0" applyNumberFormat="1" applyFont="1" applyAlignment="1">
      <alignment horizontal="center"/>
    </xf>
    <xf numFmtId="0" fontId="115" fillId="98" borderId="152" xfId="0" applyFont="1" applyFill="1" applyBorder="1"/>
    <xf numFmtId="0" fontId="29" fillId="98" borderId="152" xfId="0" applyFont="1" applyFill="1" applyBorder="1"/>
    <xf numFmtId="263" fontId="115" fillId="98" borderId="152" xfId="0" applyNumberFormat="1" applyFont="1" applyFill="1" applyBorder="1"/>
    <xf numFmtId="0" fontId="29" fillId="0" borderId="10" xfId="0" applyFont="1" applyBorder="1"/>
    <xf numFmtId="1" fontId="29" fillId="0" borderId="0" xfId="815" applyNumberFormat="1" applyFont="1" applyFill="1" applyBorder="1" applyAlignment="1"/>
    <xf numFmtId="3" fontId="29" fillId="42" borderId="144" xfId="0" applyNumberFormat="1" applyFont="1" applyFill="1" applyBorder="1"/>
    <xf numFmtId="10" fontId="204" fillId="44" borderId="0" xfId="847" applyNumberFormat="1" applyFont="1" applyFill="1" applyBorder="1"/>
    <xf numFmtId="0" fontId="29" fillId="111" borderId="0" xfId="863" applyNumberFormat="1" applyFont="1" applyFill="1" applyBorder="1" applyAlignment="1">
      <alignment horizontal="left"/>
    </xf>
    <xf numFmtId="10" fontId="29" fillId="111" borderId="0" xfId="847" applyNumberFormat="1" applyFont="1" applyFill="1" applyBorder="1" applyAlignment="1">
      <alignment horizontal="left"/>
    </xf>
    <xf numFmtId="260" fontId="29" fillId="111" borderId="0" xfId="0" applyNumberFormat="1" applyFont="1" applyFill="1" applyAlignment="1">
      <alignment horizontal="left"/>
    </xf>
    <xf numFmtId="260" fontId="29" fillId="111" borderId="0" xfId="0" applyNumberFormat="1" applyFont="1" applyFill="1"/>
    <xf numFmtId="257" fontId="29" fillId="111" borderId="0" xfId="863" applyNumberFormat="1" applyFont="1" applyFill="1" applyBorder="1" applyAlignment="1">
      <alignment horizontal="left"/>
    </xf>
    <xf numFmtId="258" fontId="29" fillId="111" borderId="0" xfId="847" applyNumberFormat="1" applyFont="1" applyFill="1" applyBorder="1" applyAlignment="1">
      <alignment horizontal="left"/>
    </xf>
    <xf numFmtId="259" fontId="29" fillId="111" borderId="0" xfId="0" applyNumberFormat="1" applyFont="1" applyFill="1" applyAlignment="1">
      <alignment horizontal="left"/>
    </xf>
    <xf numFmtId="230" fontId="29" fillId="111" borderId="0" xfId="2697" applyNumberFormat="1" applyFill="1"/>
    <xf numFmtId="257" fontId="29" fillId="111" borderId="0" xfId="847" applyNumberFormat="1" applyFont="1" applyFill="1" applyBorder="1" applyAlignment="1">
      <alignment horizontal="left"/>
    </xf>
    <xf numFmtId="4" fontId="29" fillId="111" borderId="0" xfId="863" applyNumberFormat="1" applyFont="1" applyFill="1" applyBorder="1" applyAlignment="1">
      <alignment horizontal="left"/>
    </xf>
    <xf numFmtId="0" fontId="29" fillId="111" borderId="0" xfId="0" applyFont="1" applyFill="1" applyAlignment="1">
      <alignment horizontal="left"/>
    </xf>
    <xf numFmtId="0" fontId="274" fillId="0" borderId="160" xfId="0" applyFont="1" applyBorder="1"/>
    <xf numFmtId="0" fontId="29" fillId="0" borderId="0" xfId="0" applyFont="1" applyAlignment="1">
      <alignment horizontal="center" vertical="distributed"/>
    </xf>
    <xf numFmtId="0" fontId="211" fillId="0" borderId="0" xfId="0" applyFont="1" applyAlignment="1">
      <alignment horizontal="center"/>
    </xf>
    <xf numFmtId="0" fontId="204" fillId="0" borderId="0" xfId="908" applyFont="1">
      <alignment vertical="top"/>
    </xf>
    <xf numFmtId="0" fontId="211" fillId="0" borderId="0" xfId="0" applyFont="1" applyAlignment="1">
      <alignment horizontal="left"/>
    </xf>
    <xf numFmtId="0" fontId="204" fillId="0" borderId="0" xfId="0" applyFont="1" applyAlignment="1" applyProtection="1">
      <alignment horizontal="left"/>
      <protection hidden="1"/>
    </xf>
    <xf numFmtId="168" fontId="204" fillId="0" borderId="0" xfId="43185" applyNumberFormat="1" applyFont="1" applyFill="1" applyBorder="1" applyAlignment="1" applyProtection="1">
      <alignment horizontal="right"/>
      <protection locked="0"/>
    </xf>
    <xf numFmtId="168" fontId="207" fillId="0" borderId="0" xfId="43183" applyNumberFormat="1" applyFont="1" applyFill="1" applyBorder="1" applyAlignment="1" applyProtection="1">
      <alignment vertical="center"/>
    </xf>
    <xf numFmtId="0" fontId="281" fillId="33" borderId="0" xfId="829" applyFont="1" applyFill="1" applyAlignment="1">
      <alignment horizontal="left" vertical="top"/>
    </xf>
    <xf numFmtId="0" fontId="275" fillId="33" borderId="0" xfId="829" applyFont="1" applyFill="1"/>
    <xf numFmtId="0" fontId="282" fillId="33" borderId="0" xfId="829" applyFont="1" applyFill="1"/>
    <xf numFmtId="0" fontId="282" fillId="0" borderId="0" xfId="0" applyFont="1"/>
    <xf numFmtId="0" fontId="283" fillId="33" borderId="0" xfId="829" applyFont="1" applyFill="1" applyAlignment="1">
      <alignment horizontal="right" vertical="top"/>
    </xf>
    <xf numFmtId="10" fontId="284" fillId="0" borderId="0" xfId="0" applyNumberFormat="1" applyFont="1" applyAlignment="1">
      <alignment horizontal="left" vertical="top"/>
    </xf>
    <xf numFmtId="0" fontId="283" fillId="33" borderId="0" xfId="829" applyFont="1" applyFill="1" applyAlignment="1">
      <alignment horizontal="left" vertical="top"/>
    </xf>
    <xf numFmtId="168" fontId="282" fillId="0" borderId="0" xfId="863" applyFont="1"/>
    <xf numFmtId="168" fontId="282" fillId="0" borderId="0" xfId="0" applyNumberFormat="1" applyFont="1"/>
    <xf numFmtId="0" fontId="287" fillId="0" borderId="0" xfId="0" applyFont="1"/>
    <xf numFmtId="0" fontId="282" fillId="117" borderId="0" xfId="0" applyFont="1" applyFill="1"/>
    <xf numFmtId="165" fontId="282" fillId="117" borderId="0" xfId="815" applyNumberFormat="1" applyFont="1" applyFill="1" applyBorder="1"/>
    <xf numFmtId="167" fontId="288" fillId="43" borderId="0" xfId="0" applyNumberFormat="1" applyFont="1" applyFill="1"/>
    <xf numFmtId="10" fontId="288" fillId="43" borderId="0" xfId="0" applyNumberFormat="1" applyFont="1" applyFill="1"/>
    <xf numFmtId="0" fontId="289" fillId="0" borderId="0" xfId="0" applyFont="1"/>
    <xf numFmtId="0" fontId="282" fillId="1" borderId="0" xfId="0" applyFont="1" applyFill="1"/>
    <xf numFmtId="0" fontId="282" fillId="42" borderId="0" xfId="0" applyFont="1" applyFill="1"/>
    <xf numFmtId="167" fontId="282" fillId="42" borderId="0" xfId="815" applyFont="1" applyFill="1" applyBorder="1"/>
    <xf numFmtId="167" fontId="281" fillId="42" borderId="0" xfId="815" applyFont="1" applyFill="1" applyBorder="1"/>
    <xf numFmtId="0" fontId="279" fillId="0" borderId="0" xfId="0" applyFont="1"/>
    <xf numFmtId="0" fontId="29" fillId="0" borderId="0" xfId="0" applyFont="1" applyAlignment="1">
      <alignment horizontal="center" vertical="center"/>
    </xf>
    <xf numFmtId="0" fontId="29" fillId="115" borderId="161" xfId="0" applyFont="1" applyFill="1" applyBorder="1" applyAlignment="1">
      <alignment horizontal="center" vertical="distributed"/>
    </xf>
    <xf numFmtId="0" fontId="29" fillId="116" borderId="161" xfId="0" applyFont="1" applyFill="1" applyBorder="1" applyAlignment="1">
      <alignment horizontal="center" vertical="distributed"/>
    </xf>
    <xf numFmtId="0" fontId="29" fillId="116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29" fillId="42" borderId="0" xfId="847" applyNumberFormat="1" applyFont="1" applyFill="1" applyBorder="1" applyAlignment="1">
      <alignment horizontal="left"/>
    </xf>
    <xf numFmtId="230" fontId="29" fillId="42" borderId="0" xfId="863" applyNumberFormat="1" applyFont="1" applyFill="1" applyBorder="1" applyAlignment="1">
      <alignment horizontal="left"/>
    </xf>
    <xf numFmtId="0" fontId="115" fillId="99" borderId="0" xfId="907" applyFont="1" applyFill="1" applyAlignment="1">
      <alignment horizontal="center"/>
    </xf>
    <xf numFmtId="167" fontId="109" fillId="94" borderId="0" xfId="815" applyFont="1" applyFill="1" applyBorder="1" applyAlignment="1">
      <alignment horizontal="center" vertical="center" wrapText="1"/>
    </xf>
    <xf numFmtId="0" fontId="116" fillId="0" borderId="0" xfId="2697" applyFont="1" applyAlignment="1">
      <alignment horizontal="center" vertical="center" wrapText="1"/>
    </xf>
    <xf numFmtId="167" fontId="37" fillId="0" borderId="0" xfId="815" applyFont="1" applyFill="1" applyBorder="1" applyAlignment="1">
      <alignment horizontal="center" vertical="center" wrapText="1"/>
    </xf>
    <xf numFmtId="167" fontId="42" fillId="0" borderId="0" xfId="815" applyFont="1" applyFill="1" applyBorder="1" applyAlignment="1">
      <alignment wrapText="1"/>
    </xf>
    <xf numFmtId="167" fontId="42" fillId="0" borderId="0" xfId="815" applyFont="1" applyFill="1" applyBorder="1" applyAlignment="1"/>
    <xf numFmtId="9" fontId="109" fillId="0" borderId="0" xfId="1823" applyFont="1" applyFill="1" applyBorder="1" applyAlignment="1">
      <alignment horizontal="left" vertical="center" wrapText="1"/>
    </xf>
    <xf numFmtId="217" fontId="109" fillId="0" borderId="0" xfId="1823" applyNumberFormat="1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wrapText="1"/>
    </xf>
    <xf numFmtId="9" fontId="109" fillId="0" borderId="0" xfId="1823" applyFont="1" applyFill="1" applyBorder="1" applyAlignment="1">
      <alignment horizontal="center" vertical="center" wrapText="1"/>
    </xf>
    <xf numFmtId="0" fontId="42" fillId="41" borderId="106" xfId="907" applyFont="1" applyFill="1" applyBorder="1"/>
    <xf numFmtId="0" fontId="42" fillId="41" borderId="106" xfId="2697" applyFont="1" applyFill="1" applyBorder="1"/>
    <xf numFmtId="0" fontId="42" fillId="0" borderId="106" xfId="907" applyFont="1" applyBorder="1"/>
    <xf numFmtId="43" fontId="42" fillId="41" borderId="106" xfId="907" applyNumberFormat="1" applyFont="1" applyFill="1" applyBorder="1"/>
    <xf numFmtId="0" fontId="262" fillId="0" borderId="0" xfId="2697" applyFont="1"/>
    <xf numFmtId="0" fontId="145" fillId="41" borderId="0" xfId="36379" applyFont="1" applyFill="1" applyProtection="1">
      <protection locked="0"/>
    </xf>
    <xf numFmtId="0" fontId="42" fillId="41" borderId="0" xfId="36379" applyFont="1" applyFill="1"/>
    <xf numFmtId="0" fontId="290" fillId="41" borderId="0" xfId="36379" applyFont="1" applyFill="1" applyProtection="1">
      <protection locked="0"/>
    </xf>
    <xf numFmtId="10" fontId="29" fillId="0" borderId="0" xfId="847" applyNumberFormat="1" applyFont="1" applyAlignment="1">
      <alignment horizontal="center"/>
    </xf>
    <xf numFmtId="0" fontId="211" fillId="43" borderId="0" xfId="0" applyFont="1" applyFill="1" applyAlignment="1">
      <alignment horizontal="left"/>
    </xf>
    <xf numFmtId="10" fontId="204" fillId="45" borderId="0" xfId="847" applyNumberFormat="1" applyFont="1" applyFill="1" applyBorder="1"/>
    <xf numFmtId="262" fontId="204" fillId="0" borderId="152" xfId="847" applyNumberFormat="1" applyFont="1" applyFill="1" applyBorder="1"/>
    <xf numFmtId="0" fontId="212" fillId="0" borderId="0" xfId="907" applyFont="1" applyAlignment="1">
      <alignment horizontal="left"/>
    </xf>
    <xf numFmtId="22" fontId="42" fillId="0" borderId="0" xfId="0" applyNumberFormat="1" applyFont="1" applyAlignment="1">
      <alignment horizontal="right"/>
    </xf>
    <xf numFmtId="0" fontId="42" fillId="0" borderId="144" xfId="907" applyFont="1" applyBorder="1"/>
    <xf numFmtId="0" fontId="204" fillId="0" borderId="152" xfId="0" applyFont="1" applyBorder="1" applyAlignment="1">
      <alignment horizontal="center"/>
    </xf>
    <xf numFmtId="0" fontId="211" fillId="43" borderId="144" xfId="0" applyFont="1" applyFill="1" applyBorder="1" applyAlignment="1">
      <alignment horizontal="center"/>
    </xf>
    <xf numFmtId="0" fontId="207" fillId="56" borderId="156" xfId="834" applyFont="1" applyFill="1" applyBorder="1" applyAlignment="1" applyProtection="1">
      <alignment horizontal="left" vertical="center"/>
    </xf>
    <xf numFmtId="0" fontId="207" fillId="56" borderId="155" xfId="834" applyFont="1" applyFill="1" applyBorder="1" applyAlignment="1" applyProtection="1">
      <alignment horizontal="left" vertical="center"/>
    </xf>
    <xf numFmtId="10" fontId="204" fillId="0" borderId="152" xfId="847" applyNumberFormat="1" applyFont="1" applyFill="1" applyBorder="1"/>
    <xf numFmtId="0" fontId="241" fillId="41" borderId="0" xfId="831" applyFont="1" applyFill="1" applyAlignment="1">
      <alignment horizontal="left"/>
    </xf>
    <xf numFmtId="0" fontId="247" fillId="41" borderId="106" xfId="831" applyFont="1" applyFill="1" applyBorder="1" applyAlignment="1">
      <alignment horizontal="left"/>
    </xf>
    <xf numFmtId="0" fontId="242" fillId="41" borderId="0" xfId="831" applyFont="1" applyFill="1" applyAlignment="1">
      <alignment horizontal="left"/>
    </xf>
    <xf numFmtId="0" fontId="42" fillId="0" borderId="0" xfId="2697" applyFont="1" applyAlignment="1">
      <alignment horizontal="center"/>
    </xf>
    <xf numFmtId="0" fontId="116" fillId="55" borderId="163" xfId="2697" applyFont="1" applyFill="1" applyBorder="1" applyAlignment="1">
      <alignment horizontal="center" vertical="center" wrapText="1"/>
    </xf>
    <xf numFmtId="0" fontId="116" fillId="55" borderId="164" xfId="2697" applyFont="1" applyFill="1" applyBorder="1" applyAlignment="1">
      <alignment horizontal="center" vertical="center" wrapText="1"/>
    </xf>
    <xf numFmtId="269" fontId="42" fillId="0" borderId="20" xfId="43183" applyNumberFormat="1" applyFont="1" applyBorder="1" applyAlignment="1">
      <alignment vertical="center"/>
    </xf>
    <xf numFmtId="0" fontId="42" fillId="0" borderId="29" xfId="2697" applyFont="1" applyBorder="1" applyAlignment="1">
      <alignment vertical="center"/>
    </xf>
    <xf numFmtId="269" fontId="42" fillId="0" borderId="20" xfId="2697" applyNumberFormat="1" applyFont="1" applyBorder="1" applyAlignment="1">
      <alignment vertical="center"/>
    </xf>
    <xf numFmtId="269" fontId="42" fillId="0" borderId="10" xfId="2697" applyNumberFormat="1" applyFont="1" applyBorder="1" applyAlignment="1">
      <alignment vertical="center"/>
    </xf>
    <xf numFmtId="0" fontId="42" fillId="0" borderId="155" xfId="2697" applyFont="1" applyBorder="1" applyAlignment="1">
      <alignment vertical="center"/>
    </xf>
    <xf numFmtId="269" fontId="42" fillId="0" borderId="156" xfId="2697" applyNumberFormat="1" applyFont="1" applyBorder="1" applyAlignment="1">
      <alignment vertical="center"/>
    </xf>
    <xf numFmtId="0" fontId="116" fillId="55" borderId="0" xfId="2697" applyFont="1" applyFill="1" applyAlignment="1">
      <alignment horizontal="center" vertical="center" wrapText="1"/>
    </xf>
    <xf numFmtId="171" fontId="116" fillId="43" borderId="0" xfId="2697" applyNumberFormat="1" applyFont="1" applyFill="1" applyAlignment="1">
      <alignment horizontal="center" vertical="center" wrapText="1"/>
    </xf>
    <xf numFmtId="171" fontId="116" fillId="55" borderId="0" xfId="2697" applyNumberFormat="1" applyFont="1" applyFill="1" applyAlignment="1">
      <alignment horizontal="center" vertical="center" wrapText="1"/>
    </xf>
    <xf numFmtId="0" fontId="42" fillId="0" borderId="29" xfId="2697" applyFont="1" applyBorder="1"/>
    <xf numFmtId="0" fontId="42" fillId="0" borderId="10" xfId="2697" applyFont="1" applyBorder="1" applyAlignment="1">
      <alignment vertical="center"/>
    </xf>
    <xf numFmtId="270" fontId="42" fillId="0" borderId="0" xfId="2697" applyNumberFormat="1" applyFont="1" applyAlignment="1">
      <alignment vertical="center"/>
    </xf>
    <xf numFmtId="0" fontId="42" fillId="0" borderId="155" xfId="2697" applyFont="1" applyBorder="1"/>
    <xf numFmtId="0" fontId="42" fillId="0" borderId="20" xfId="2697" applyFont="1" applyBorder="1" applyAlignment="1">
      <alignment vertical="center"/>
    </xf>
    <xf numFmtId="270" fontId="42" fillId="118" borderId="20" xfId="2697" applyNumberFormat="1" applyFont="1" applyFill="1" applyBorder="1" applyAlignment="1">
      <alignment vertical="center"/>
    </xf>
    <xf numFmtId="270" fontId="42" fillId="118" borderId="0" xfId="2697" applyNumberFormat="1" applyFont="1" applyFill="1" applyAlignment="1">
      <alignment vertical="center"/>
    </xf>
    <xf numFmtId="270" fontId="42" fillId="118" borderId="156" xfId="2697" applyNumberFormat="1" applyFont="1" applyFill="1" applyBorder="1" applyAlignment="1">
      <alignment vertical="center"/>
    </xf>
    <xf numFmtId="0" fontId="42" fillId="0" borderId="152" xfId="0" applyFont="1" applyBorder="1"/>
    <xf numFmtId="0" fontId="267" fillId="0" borderId="152" xfId="0" applyFont="1" applyBorder="1"/>
    <xf numFmtId="0" fontId="267" fillId="99" borderId="152" xfId="0" applyFont="1" applyFill="1" applyBorder="1"/>
    <xf numFmtId="14" fontId="29" fillId="111" borderId="0" xfId="0" applyNumberFormat="1" applyFont="1" applyFill="1" applyAlignment="1">
      <alignment horizontal="right"/>
    </xf>
    <xf numFmtId="168" fontId="42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2" fillId="0" borderId="152" xfId="907" applyNumberFormat="1" applyFont="1" applyBorder="1"/>
    <xf numFmtId="0" fontId="42" fillId="0" borderId="152" xfId="907" applyFont="1" applyBorder="1"/>
    <xf numFmtId="0" fontId="109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2" fillId="41" borderId="152" xfId="907" applyFont="1" applyFill="1" applyBorder="1"/>
    <xf numFmtId="0" fontId="42" fillId="0" borderId="152" xfId="907" applyFont="1" applyBorder="1" applyAlignment="1">
      <alignment horizontal="center"/>
    </xf>
    <xf numFmtId="4" fontId="42" fillId="0" borderId="152" xfId="815" applyNumberFormat="1" applyFont="1" applyFill="1" applyBorder="1"/>
    <xf numFmtId="22" fontId="42" fillId="0" borderId="0" xfId="907" applyNumberFormat="1" applyFont="1"/>
    <xf numFmtId="22" fontId="42" fillId="0" borderId="152" xfId="907" applyNumberFormat="1" applyFont="1" applyBorder="1"/>
    <xf numFmtId="168" fontId="210" fillId="0" borderId="0" xfId="863" applyFont="1" applyBorder="1" applyAlignment="1">
      <alignment horizontal="right" vertical="center"/>
    </xf>
    <xf numFmtId="43" fontId="282" fillId="0" borderId="0" xfId="0" applyNumberFormat="1" applyFont="1"/>
    <xf numFmtId="0" fontId="204" fillId="0" borderId="166" xfId="0" applyFont="1" applyBorder="1"/>
    <xf numFmtId="0" fontId="211" fillId="0" borderId="166" xfId="0" applyFont="1" applyBorder="1" applyAlignment="1">
      <alignment horizontal="center"/>
    </xf>
    <xf numFmtId="167" fontId="207" fillId="0" borderId="166" xfId="0" applyNumberFormat="1" applyFont="1" applyBorder="1" applyProtection="1">
      <protection hidden="1"/>
    </xf>
    <xf numFmtId="0" fontId="239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29" fillId="0" borderId="0" xfId="0" applyNumberFormat="1" applyFont="1" applyAlignment="1">
      <alignment horizontal="center" vertical="distributed"/>
    </xf>
    <xf numFmtId="0" fontId="234" fillId="42" borderId="0" xfId="0" applyFont="1" applyFill="1"/>
    <xf numFmtId="171" fontId="29" fillId="110" borderId="167" xfId="907" applyNumberFormat="1" applyFill="1" applyBorder="1"/>
    <xf numFmtId="171" fontId="29" fillId="110" borderId="170" xfId="907" applyNumberFormat="1" applyFill="1" applyBorder="1"/>
    <xf numFmtId="171" fontId="29" fillId="59" borderId="170" xfId="907" applyNumberFormat="1" applyFill="1" applyBorder="1"/>
    <xf numFmtId="171" fontId="29" fillId="59" borderId="172" xfId="907" applyNumberFormat="1" applyFill="1" applyBorder="1"/>
    <xf numFmtId="0" fontId="271" fillId="43" borderId="167" xfId="0" applyFont="1" applyFill="1" applyBorder="1" applyAlignment="1">
      <alignment horizontal="center" vertical="center" wrapText="1"/>
    </xf>
    <xf numFmtId="0" fontId="271" fillId="43" borderId="174" xfId="0" applyFont="1" applyFill="1" applyBorder="1" applyAlignment="1">
      <alignment horizontal="center" vertical="center" wrapText="1"/>
    </xf>
    <xf numFmtId="0" fontId="271" fillId="43" borderId="169" xfId="0" applyFont="1" applyFill="1" applyBorder="1" applyAlignment="1">
      <alignment vertical="center" wrapText="1"/>
    </xf>
    <xf numFmtId="171" fontId="29" fillId="110" borderId="172" xfId="907" applyNumberFormat="1" applyFill="1" applyBorder="1"/>
    <xf numFmtId="167" fontId="29" fillId="111" borderId="171" xfId="815" applyFont="1" applyFill="1" applyBorder="1" applyAlignment="1">
      <alignment horizontal="center" vertical="center"/>
    </xf>
    <xf numFmtId="168" fontId="232" fillId="0" borderId="0" xfId="863" quotePrefix="1" applyFont="1"/>
    <xf numFmtId="0" fontId="35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7" fillId="41" borderId="178" xfId="863" applyFont="1" applyFill="1" applyBorder="1"/>
    <xf numFmtId="272" fontId="207" fillId="41" borderId="178" xfId="863" applyNumberFormat="1" applyFont="1" applyFill="1" applyBorder="1"/>
    <xf numFmtId="167" fontId="29" fillId="44" borderId="173" xfId="815" applyFont="1" applyFill="1" applyBorder="1" applyAlignment="1">
      <alignment horizontal="center" vertical="center"/>
    </xf>
    <xf numFmtId="167" fontId="29" fillId="44" borderId="176" xfId="815" applyFont="1" applyFill="1" applyBorder="1" applyAlignment="1">
      <alignment horizontal="center" vertical="center"/>
    </xf>
    <xf numFmtId="0" fontId="207" fillId="41" borderId="178" xfId="0" applyFont="1" applyFill="1" applyBorder="1" applyAlignment="1">
      <alignment horizontal="right"/>
    </xf>
    <xf numFmtId="0" fontId="207" fillId="41" borderId="178" xfId="0" applyFont="1" applyFill="1" applyBorder="1" applyAlignment="1">
      <alignment horizontal="left"/>
    </xf>
    <xf numFmtId="0" fontId="204" fillId="41" borderId="178" xfId="0" applyFont="1" applyFill="1" applyBorder="1" applyAlignment="1">
      <alignment horizontal="right"/>
    </xf>
    <xf numFmtId="168" fontId="207" fillId="41" borderId="178" xfId="0" applyNumberFormat="1" applyFont="1" applyFill="1" applyBorder="1"/>
    <xf numFmtId="167" fontId="29" fillId="44" borderId="179" xfId="815" applyFont="1" applyFill="1" applyBorder="1" applyAlignment="1">
      <alignment horizontal="center" vertical="center"/>
    </xf>
    <xf numFmtId="167" fontId="29" fillId="44" borderId="180" xfId="815" applyFont="1" applyFill="1" applyBorder="1" applyAlignment="1">
      <alignment horizontal="center" vertical="center"/>
    </xf>
    <xf numFmtId="167" fontId="29" fillId="59" borderId="179" xfId="815" applyFont="1" applyFill="1" applyBorder="1" applyAlignment="1">
      <alignment horizontal="center" vertical="center"/>
    </xf>
    <xf numFmtId="167" fontId="29" fillId="59" borderId="173" xfId="815" applyFont="1" applyFill="1" applyBorder="1" applyAlignment="1">
      <alignment horizontal="center" vertical="center"/>
    </xf>
    <xf numFmtId="167" fontId="29" fillId="59" borderId="180" xfId="815" applyFont="1" applyFill="1" applyBorder="1" applyAlignment="1">
      <alignment horizontal="center" vertical="center"/>
    </xf>
    <xf numFmtId="0" fontId="204" fillId="0" borderId="0" xfId="847" applyNumberFormat="1" applyFont="1" applyFill="1" applyBorder="1" applyAlignment="1">
      <alignment horizontal="right"/>
    </xf>
    <xf numFmtId="0" fontId="42" fillId="0" borderId="160" xfId="0" applyFont="1" applyBorder="1"/>
    <xf numFmtId="0" fontId="42" fillId="0" borderId="153" xfId="0" applyFont="1" applyBorder="1"/>
    <xf numFmtId="4" fontId="236" fillId="0" borderId="20" xfId="0" applyNumberFormat="1" applyFont="1" applyBorder="1" applyAlignment="1">
      <alignment horizontal="right" vertical="center"/>
    </xf>
    <xf numFmtId="167" fontId="29" fillId="111" borderId="180" xfId="815" applyFont="1" applyFill="1" applyBorder="1" applyAlignment="1">
      <alignment horizontal="center" vertical="center"/>
    </xf>
    <xf numFmtId="0" fontId="29" fillId="59" borderId="166" xfId="907" applyFill="1" applyBorder="1"/>
    <xf numFmtId="0" fontId="29" fillId="59" borderId="178" xfId="907" applyFill="1" applyBorder="1"/>
    <xf numFmtId="217" fontId="42" fillId="41" borderId="0" xfId="847" applyNumberFormat="1" applyFont="1" applyFill="1" applyBorder="1" applyAlignment="1">
      <alignment horizontal="center"/>
    </xf>
    <xf numFmtId="0" fontId="29" fillId="111" borderId="166" xfId="0" applyFont="1" applyFill="1" applyBorder="1" applyAlignment="1">
      <alignment horizontal="left" wrapText="1"/>
    </xf>
    <xf numFmtId="14" fontId="29" fillId="111" borderId="178" xfId="0" applyNumberFormat="1" applyFont="1" applyFill="1" applyBorder="1" applyAlignment="1">
      <alignment horizontal="left" wrapText="1"/>
    </xf>
    <xf numFmtId="0" fontId="29" fillId="111" borderId="144" xfId="0" applyFont="1" applyFill="1" applyBorder="1" applyAlignment="1">
      <alignment horizontal="left" wrapText="1"/>
    </xf>
    <xf numFmtId="0" fontId="204" fillId="0" borderId="0" xfId="863" applyNumberFormat="1" applyFont="1" applyFill="1" applyBorder="1"/>
    <xf numFmtId="0" fontId="204" fillId="0" borderId="0" xfId="815" applyNumberFormat="1" applyFont="1" applyFill="1" applyBorder="1"/>
    <xf numFmtId="273" fontId="204" fillId="119" borderId="0" xfId="847" applyNumberFormat="1" applyFont="1" applyFill="1"/>
    <xf numFmtId="168" fontId="0" fillId="0" borderId="0" xfId="0" applyNumberFormat="1"/>
    <xf numFmtId="0" fontId="194" fillId="0" borderId="0" xfId="0" applyFont="1" applyAlignment="1">
      <alignment vertical="center"/>
    </xf>
    <xf numFmtId="0" fontId="29" fillId="0" borderId="178" xfId="0" applyFont="1" applyBorder="1"/>
    <xf numFmtId="167" fontId="29" fillId="42" borderId="178" xfId="815" applyFont="1" applyFill="1" applyBorder="1" applyAlignment="1">
      <alignment horizontal="left"/>
    </xf>
    <xf numFmtId="168" fontId="42" fillId="0" borderId="0" xfId="0" applyNumberFormat="1" applyFont="1"/>
    <xf numFmtId="0" fontId="29" fillId="0" borderId="0" xfId="0" applyFont="1" applyAlignment="1">
      <alignment horizontal="right"/>
    </xf>
    <xf numFmtId="168" fontId="42" fillId="41" borderId="0" xfId="863" applyFont="1" applyFill="1" applyBorder="1" applyAlignment="1"/>
    <xf numFmtId="14" fontId="29" fillId="0" borderId="106" xfId="0" applyNumberFormat="1" applyFont="1" applyBorder="1"/>
    <xf numFmtId="14" fontId="42" fillId="0" borderId="0" xfId="847" applyNumberFormat="1" applyFont="1"/>
    <xf numFmtId="14" fontId="274" fillId="113" borderId="16" xfId="0" applyNumberFormat="1" applyFont="1" applyFill="1" applyBorder="1"/>
    <xf numFmtId="14" fontId="236" fillId="0" borderId="0" xfId="863" applyNumberFormat="1" applyFont="1" applyFill="1" applyBorder="1" applyAlignment="1">
      <alignment horizontal="center" vertical="center" wrapText="1"/>
    </xf>
    <xf numFmtId="14" fontId="245" fillId="0" borderId="0" xfId="43183" applyNumberFormat="1" applyFont="1" applyFill="1" applyBorder="1"/>
    <xf numFmtId="9" fontId="282" fillId="0" borderId="0" xfId="847" applyFont="1"/>
    <xf numFmtId="4" fontId="0" fillId="0" borderId="0" xfId="0" applyNumberFormat="1" applyAlignment="1">
      <alignment horizontal="center" vertical="center"/>
    </xf>
    <xf numFmtId="274" fontId="204" fillId="41" borderId="0" xfId="863" applyNumberFormat="1" applyFont="1" applyFill="1" applyBorder="1" applyAlignment="1">
      <alignment horizontal="right"/>
    </xf>
    <xf numFmtId="168" fontId="215" fillId="0" borderId="0" xfId="863" applyFont="1"/>
    <xf numFmtId="168" fontId="218" fillId="0" borderId="0" xfId="863" applyFont="1"/>
    <xf numFmtId="10" fontId="207" fillId="0" borderId="0" xfId="847" applyNumberFormat="1" applyFont="1"/>
    <xf numFmtId="0" fontId="0" fillId="0" borderId="181" xfId="0" applyBorder="1"/>
    <xf numFmtId="0" fontId="0" fillId="0" borderId="182" xfId="0" applyBorder="1"/>
    <xf numFmtId="14" fontId="29" fillId="42" borderId="178" xfId="815" applyNumberFormat="1" applyFont="1" applyFill="1" applyBorder="1" applyAlignment="1">
      <alignment horizontal="left"/>
    </xf>
    <xf numFmtId="43" fontId="0" fillId="103" borderId="152" xfId="0" applyNumberFormat="1" applyFill="1" applyBorder="1"/>
    <xf numFmtId="268" fontId="42" fillId="41" borderId="0" xfId="847" applyNumberFormat="1" applyFont="1" applyFill="1" applyBorder="1"/>
    <xf numFmtId="168" fontId="209" fillId="0" borderId="0" xfId="831" applyNumberFormat="1" applyFont="1" applyAlignment="1">
      <alignment vertical="center"/>
    </xf>
    <xf numFmtId="10" fontId="42" fillId="103" borderId="0" xfId="907" applyNumberFormat="1" applyFont="1" applyFill="1"/>
    <xf numFmtId="0" fontId="271" fillId="0" borderId="144" xfId="0" applyFont="1" applyBorder="1" applyAlignment="1">
      <alignment horizontal="center" vertical="center" wrapText="1"/>
    </xf>
    <xf numFmtId="0" fontId="115" fillId="0" borderId="0" xfId="0" applyFont="1" applyAlignment="1">
      <alignment horizontal="center" vertical="distributed"/>
    </xf>
    <xf numFmtId="10" fontId="115" fillId="0" borderId="0" xfId="847" applyNumberFormat="1" applyFont="1" applyAlignment="1">
      <alignment horizontal="center"/>
    </xf>
    <xf numFmtId="0" fontId="266" fillId="103" borderId="152" xfId="0" applyFont="1" applyFill="1" applyBorder="1" applyAlignment="1">
      <alignment horizontal="center" vertical="distributed"/>
    </xf>
    <xf numFmtId="168" fontId="115" fillId="0" borderId="0" xfId="863" quotePrefix="1" applyFont="1"/>
    <xf numFmtId="2" fontId="29" fillId="0" borderId="0" xfId="0" applyNumberFormat="1" applyFont="1" applyAlignment="1">
      <alignment horizontal="center"/>
    </xf>
    <xf numFmtId="10" fontId="29" fillId="0" borderId="0" xfId="847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/>
    </xf>
    <xf numFmtId="10" fontId="29" fillId="0" borderId="0" xfId="847" applyNumberFormat="1" applyFont="1" applyBorder="1" applyAlignment="1">
      <alignment horizontal="center" vertical="distributed"/>
    </xf>
    <xf numFmtId="0" fontId="29" fillId="0" borderId="152" xfId="0" applyFont="1" applyBorder="1" applyAlignment="1">
      <alignment horizontal="center" vertical="distributed"/>
    </xf>
    <xf numFmtId="0" fontId="29" fillId="0" borderId="0" xfId="0" quotePrefix="1" applyFont="1"/>
    <xf numFmtId="168" fontId="29" fillId="61" borderId="144" xfId="863" applyFont="1" applyFill="1" applyBorder="1" applyAlignment="1">
      <alignment horizontal="right"/>
    </xf>
    <xf numFmtId="168" fontId="29" fillId="61" borderId="0" xfId="863" applyFont="1" applyFill="1" applyBorder="1" applyAlignment="1">
      <alignment horizontal="right"/>
    </xf>
    <xf numFmtId="168" fontId="29" fillId="0" borderId="0" xfId="0" applyNumberFormat="1" applyFont="1"/>
    <xf numFmtId="0" fontId="35" fillId="0" borderId="178" xfId="0" applyFont="1" applyBorder="1"/>
    <xf numFmtId="0" fontId="204" fillId="0" borderId="178" xfId="0" applyFont="1" applyBorder="1"/>
    <xf numFmtId="0" fontId="294" fillId="121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8" borderId="0" xfId="43408" applyFont="1" applyFill="1"/>
    <xf numFmtId="205" fontId="0" fillId="0" borderId="0" xfId="0" applyNumberFormat="1"/>
    <xf numFmtId="168" fontId="204" fillId="42" borderId="0" xfId="863" applyFont="1" applyFill="1"/>
    <xf numFmtId="167" fontId="204" fillId="111" borderId="0" xfId="815" applyFont="1" applyFill="1"/>
    <xf numFmtId="168" fontId="207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4" fillId="111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4" fillId="0" borderId="0" xfId="907" applyNumberFormat="1" applyFont="1"/>
    <xf numFmtId="170" fontId="204" fillId="42" borderId="0" xfId="863" applyNumberFormat="1" applyFont="1" applyFill="1" applyBorder="1" applyAlignment="1">
      <alignment horizontal="right"/>
    </xf>
    <xf numFmtId="43" fontId="204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7" fillId="0" borderId="0" xfId="863" applyFont="1"/>
    <xf numFmtId="14" fontId="29" fillId="0" borderId="29" xfId="0" applyNumberFormat="1" applyFont="1" applyBorder="1"/>
    <xf numFmtId="167" fontId="204" fillId="42" borderId="0" xfId="815" applyFont="1" applyFill="1" applyBorder="1"/>
    <xf numFmtId="40" fontId="119" fillId="0" borderId="152" xfId="0" applyNumberFormat="1" applyFont="1" applyBorder="1" applyAlignment="1">
      <alignment horizontal="center" vertical="center"/>
    </xf>
    <xf numFmtId="0" fontId="29" fillId="0" borderId="156" xfId="0" applyFont="1" applyBorder="1" applyAlignment="1">
      <alignment horizontal="right"/>
    </xf>
    <xf numFmtId="0" fontId="42" fillId="0" borderId="152" xfId="43433" quotePrefix="1" applyFont="1" applyBorder="1"/>
    <xf numFmtId="43" fontId="243" fillId="0" borderId="152" xfId="43431" applyFont="1" applyBorder="1"/>
    <xf numFmtId="43" fontId="243" fillId="113" borderId="152" xfId="43431" applyFont="1" applyFill="1" applyBorder="1"/>
    <xf numFmtId="4" fontId="42" fillId="42" borderId="152" xfId="815" applyNumberFormat="1" applyFont="1" applyFill="1" applyBorder="1"/>
    <xf numFmtId="167" fontId="204" fillId="111" borderId="0" xfId="815" applyFont="1" applyFill="1" applyBorder="1"/>
    <xf numFmtId="168" fontId="0" fillId="0" borderId="0" xfId="863" applyFont="1" applyFill="1"/>
    <xf numFmtId="168" fontId="0" fillId="111" borderId="0" xfId="863" applyFont="1" applyFill="1"/>
    <xf numFmtId="0" fontId="301" fillId="0" borderId="0" xfId="0" applyFont="1"/>
    <xf numFmtId="168" fontId="29" fillId="111" borderId="178" xfId="863" applyFont="1" applyFill="1" applyBorder="1"/>
    <xf numFmtId="168" fontId="29" fillId="111" borderId="166" xfId="863" applyFont="1" applyFill="1" applyBorder="1"/>
    <xf numFmtId="168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10" fontId="29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3" fillId="0" borderId="152" xfId="43431" applyFont="1" applyFill="1" applyBorder="1"/>
    <xf numFmtId="167" fontId="29" fillId="111" borderId="183" xfId="815" applyFont="1" applyFill="1" applyBorder="1" applyAlignment="1">
      <alignment horizontal="center" vertical="center"/>
    </xf>
    <xf numFmtId="168" fontId="282" fillId="0" borderId="0" xfId="863" applyFont="1" applyFill="1" applyBorder="1"/>
    <xf numFmtId="168" fontId="282" fillId="117" borderId="0" xfId="863" applyFont="1" applyFill="1" applyBorder="1"/>
    <xf numFmtId="168" fontId="282" fillId="44" borderId="0" xfId="863" applyFont="1" applyFill="1" applyBorder="1"/>
    <xf numFmtId="197" fontId="204" fillId="61" borderId="0" xfId="0" applyNumberFormat="1" applyFont="1" applyFill="1"/>
    <xf numFmtId="171" fontId="204" fillId="61" borderId="0" xfId="0" applyNumberFormat="1" applyFont="1" applyFill="1"/>
    <xf numFmtId="167" fontId="204" fillId="61" borderId="10" xfId="815" applyFont="1" applyFill="1" applyBorder="1"/>
    <xf numFmtId="167" fontId="204" fillId="61" borderId="29" xfId="815" applyFont="1" applyFill="1" applyBorder="1"/>
    <xf numFmtId="167" fontId="204" fillId="61" borderId="20" xfId="815" applyFont="1" applyFill="1" applyBorder="1"/>
    <xf numFmtId="167" fontId="204" fillId="61" borderId="0" xfId="815" applyFont="1" applyFill="1" applyBorder="1"/>
    <xf numFmtId="0" fontId="204" fillId="61" borderId="0" xfId="0" applyFont="1" applyFill="1"/>
    <xf numFmtId="167" fontId="29" fillId="59" borderId="183" xfId="815" applyFont="1" applyFill="1" applyBorder="1" applyAlignment="1">
      <alignment horizontal="center" vertical="center"/>
    </xf>
    <xf numFmtId="0" fontId="35" fillId="0" borderId="0" xfId="2697" applyFont="1"/>
    <xf numFmtId="9" fontId="35" fillId="103" borderId="0" xfId="2697" applyNumberFormat="1" applyFont="1" applyFill="1"/>
    <xf numFmtId="0" fontId="271" fillId="101" borderId="0" xfId="2697" applyFont="1" applyFill="1"/>
    <xf numFmtId="168" fontId="29" fillId="0" borderId="0" xfId="2697" applyNumberFormat="1"/>
    <xf numFmtId="0" fontId="1" fillId="0" borderId="0" xfId="43435"/>
    <xf numFmtId="43" fontId="0" fillId="0" borderId="0" xfId="43436" applyFont="1"/>
    <xf numFmtId="277" fontId="1" fillId="0" borderId="0" xfId="43435" applyNumberFormat="1"/>
    <xf numFmtId="167" fontId="282" fillId="0" borderId="0" xfId="815" applyFont="1" applyFill="1" applyBorder="1"/>
    <xf numFmtId="168" fontId="42" fillId="41" borderId="0" xfId="863" applyFont="1" applyFill="1" applyBorder="1" applyAlignment="1">
      <alignment horizontal="right" vertical="center" wrapText="1"/>
    </xf>
    <xf numFmtId="168" fontId="42" fillId="0" borderId="0" xfId="863" applyFont="1" applyFill="1" applyBorder="1" applyAlignment="1">
      <alignment horizontal="right" vertical="center" wrapText="1"/>
    </xf>
    <xf numFmtId="0" fontId="29" fillId="0" borderId="152" xfId="0" applyFont="1" applyBorder="1"/>
    <xf numFmtId="277" fontId="0" fillId="0" borderId="0" xfId="0" applyNumberFormat="1"/>
    <xf numFmtId="168" fontId="0" fillId="0" borderId="0" xfId="863" applyFont="1" applyFill="1" applyBorder="1" applyAlignment="1">
      <alignment horizontal="center" vertical="center"/>
    </xf>
    <xf numFmtId="255" fontId="42" fillId="41" borderId="0" xfId="863" applyNumberFormat="1" applyFont="1" applyFill="1" applyBorder="1"/>
    <xf numFmtId="4" fontId="204" fillId="0" borderId="0" xfId="0" applyNumberFormat="1" applyFont="1"/>
    <xf numFmtId="171" fontId="116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2" fillId="118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2" fillId="0" borderId="0" xfId="863" applyFont="1" applyFill="1" applyBorder="1"/>
    <xf numFmtId="269" fontId="42" fillId="0" borderId="0" xfId="2697" applyNumberFormat="1" applyFont="1" applyAlignment="1">
      <alignment vertical="center"/>
    </xf>
    <xf numFmtId="271" fontId="42" fillId="0" borderId="0" xfId="2697" applyNumberFormat="1" applyFont="1" applyAlignment="1">
      <alignment vertical="center"/>
    </xf>
    <xf numFmtId="270" fontId="109" fillId="0" borderId="0" xfId="43183" applyNumberFormat="1" applyFont="1" applyFill="1" applyBorder="1" applyAlignment="1">
      <alignment vertical="center"/>
    </xf>
    <xf numFmtId="0" fontId="249" fillId="0" borderId="0" xfId="0" applyFont="1"/>
    <xf numFmtId="0" fontId="249" fillId="0" borderId="0" xfId="0" applyFont="1" applyAlignment="1">
      <alignment vertical="center"/>
    </xf>
    <xf numFmtId="0" fontId="249" fillId="118" borderId="0" xfId="0" applyFont="1" applyFill="1" applyAlignment="1">
      <alignment vertical="center"/>
    </xf>
    <xf numFmtId="174" fontId="249" fillId="118" borderId="0" xfId="0" applyNumberFormat="1" applyFont="1" applyFill="1" applyAlignment="1">
      <alignment vertical="center"/>
    </xf>
    <xf numFmtId="0" fontId="249" fillId="0" borderId="0" xfId="907" applyFont="1"/>
    <xf numFmtId="168" fontId="249" fillId="0" borderId="0" xfId="863" applyFont="1"/>
    <xf numFmtId="0" fontId="250" fillId="0" borderId="0" xfId="907" applyFont="1"/>
    <xf numFmtId="0" fontId="204" fillId="0" borderId="0" xfId="0" applyFont="1" applyAlignment="1">
      <alignment vertical="center"/>
    </xf>
    <xf numFmtId="14" fontId="249" fillId="118" borderId="0" xfId="0" applyNumberFormat="1" applyFont="1" applyFill="1" applyAlignment="1">
      <alignment vertical="center"/>
    </xf>
    <xf numFmtId="0" fontId="42" fillId="33" borderId="0" xfId="43437" applyFont="1" applyFill="1" applyAlignment="1">
      <alignment vertical="center"/>
    </xf>
    <xf numFmtId="0" fontId="42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49" fillId="33" borderId="178" xfId="43437" applyFont="1" applyFill="1" applyBorder="1" applyAlignment="1">
      <alignment vertical="center" wrapText="1"/>
    </xf>
    <xf numFmtId="0" fontId="42" fillId="33" borderId="178" xfId="43437" applyFont="1" applyFill="1" applyBorder="1" applyAlignment="1">
      <alignment vertical="center"/>
    </xf>
    <xf numFmtId="0" fontId="249" fillId="33" borderId="178" xfId="43437" applyFont="1" applyFill="1" applyBorder="1" applyAlignment="1">
      <alignment horizontal="right" vertical="center"/>
    </xf>
    <xf numFmtId="10" fontId="249" fillId="33" borderId="178" xfId="847" applyNumberFormat="1" applyFont="1" applyFill="1" applyBorder="1" applyAlignment="1">
      <alignment vertical="center"/>
    </xf>
    <xf numFmtId="0" fontId="249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49" fillId="33" borderId="0" xfId="43437" applyFont="1" applyFill="1" applyAlignment="1">
      <alignment vertical="center" wrapText="1"/>
    </xf>
    <xf numFmtId="0" fontId="249" fillId="33" borderId="0" xfId="43437" applyFont="1" applyFill="1" applyAlignment="1">
      <alignment horizontal="right" vertical="center"/>
    </xf>
    <xf numFmtId="10" fontId="249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49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59" fillId="101" borderId="178" xfId="43438" applyFont="1" applyFill="1" applyBorder="1" applyAlignment="1">
      <alignment horizontal="center" vertical="center" wrapText="1"/>
    </xf>
    <xf numFmtId="170" fontId="249" fillId="33" borderId="0" xfId="863" applyNumberFormat="1" applyFont="1" applyFill="1" applyAlignment="1">
      <alignment vertical="center"/>
    </xf>
    <xf numFmtId="0" fontId="249" fillId="0" borderId="0" xfId="43437" quotePrefix="1" applyFont="1" applyAlignment="1">
      <alignment horizontal="left" vertical="center"/>
    </xf>
    <xf numFmtId="278" fontId="249" fillId="41" borderId="0" xfId="43439" applyNumberFormat="1" applyFont="1" applyFill="1" applyBorder="1" applyAlignment="1">
      <alignment vertical="center" wrapText="1"/>
    </xf>
    <xf numFmtId="0" fontId="249" fillId="0" borderId="10" xfId="43437" quotePrefix="1" applyFont="1" applyBorder="1" applyAlignment="1">
      <alignment horizontal="left" vertical="center"/>
    </xf>
    <xf numFmtId="170" fontId="249" fillId="41" borderId="10" xfId="863" applyNumberFormat="1" applyFont="1" applyFill="1" applyBorder="1" applyAlignment="1">
      <alignment vertical="center"/>
    </xf>
    <xf numFmtId="170" fontId="249" fillId="42" borderId="10" xfId="863" applyNumberFormat="1" applyFont="1" applyFill="1" applyBorder="1" applyAlignment="1">
      <alignment vertical="center"/>
    </xf>
    <xf numFmtId="0" fontId="250" fillId="60" borderId="178" xfId="43437" quotePrefix="1" applyFont="1" applyFill="1" applyBorder="1" applyAlignment="1">
      <alignment horizontal="left" vertical="center"/>
    </xf>
    <xf numFmtId="278" fontId="250" fillId="60" borderId="178" xfId="43439" applyNumberFormat="1" applyFont="1" applyFill="1" applyBorder="1" applyAlignment="1">
      <alignment vertical="center" wrapText="1"/>
    </xf>
    <xf numFmtId="170" fontId="256" fillId="9" borderId="0" xfId="863" applyNumberFormat="1" applyFont="1" applyFill="1" applyBorder="1" applyAlignment="1">
      <alignment vertical="center" wrapText="1"/>
    </xf>
    <xf numFmtId="0" fontId="249" fillId="0" borderId="126" xfId="43437" quotePrefix="1" applyFont="1" applyBorder="1" applyAlignment="1">
      <alignment horizontal="left" vertical="center"/>
    </xf>
    <xf numFmtId="170" fontId="249" fillId="41" borderId="165" xfId="863" applyNumberFormat="1" applyFont="1" applyFill="1" applyBorder="1" applyAlignment="1">
      <alignment vertical="center" wrapText="1"/>
    </xf>
    <xf numFmtId="170" fontId="311" fillId="9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/>
    </xf>
    <xf numFmtId="170" fontId="249" fillId="0" borderId="0" xfId="863" applyNumberFormat="1" applyFont="1" applyFill="1" applyBorder="1" applyAlignment="1">
      <alignment vertical="center" wrapText="1"/>
    </xf>
    <xf numFmtId="170" fontId="249" fillId="0" borderId="0" xfId="863" applyNumberFormat="1" applyFont="1" applyFill="1" applyBorder="1" applyAlignment="1">
      <alignment vertical="center"/>
    </xf>
    <xf numFmtId="0" fontId="249" fillId="0" borderId="184" xfId="43437" quotePrefix="1" applyFont="1" applyBorder="1" applyAlignment="1">
      <alignment horizontal="left" vertical="center"/>
    </xf>
    <xf numFmtId="170" fontId="249" fillId="41" borderId="185" xfId="863" applyNumberFormat="1" applyFont="1" applyFill="1" applyBorder="1" applyAlignment="1">
      <alignment vertical="center" wrapText="1"/>
    </xf>
    <xf numFmtId="170" fontId="249" fillId="0" borderId="178" xfId="863" applyNumberFormat="1" applyFont="1" applyFill="1" applyBorder="1" applyAlignment="1">
      <alignment vertical="center" wrapText="1"/>
    </xf>
    <xf numFmtId="170" fontId="249" fillId="0" borderId="178" xfId="863" applyNumberFormat="1" applyFont="1" applyFill="1" applyBorder="1" applyAlignment="1">
      <alignment vertical="center"/>
    </xf>
    <xf numFmtId="170" fontId="250" fillId="60" borderId="178" xfId="863" applyNumberFormat="1" applyFont="1" applyFill="1" applyBorder="1" applyAlignment="1">
      <alignment vertical="center" wrapText="1"/>
    </xf>
    <xf numFmtId="170" fontId="250" fillId="60" borderId="178" xfId="863" applyNumberFormat="1" applyFont="1" applyFill="1" applyBorder="1" applyAlignment="1">
      <alignment vertical="center"/>
    </xf>
    <xf numFmtId="168" fontId="249" fillId="33" borderId="0" xfId="43186" applyFont="1" applyFill="1" applyAlignment="1">
      <alignment vertical="center" wrapText="1"/>
    </xf>
    <xf numFmtId="39" fontId="249" fillId="33" borderId="0" xfId="43437" applyNumberFormat="1" applyFont="1" applyFill="1" applyAlignment="1">
      <alignment vertical="center"/>
    </xf>
    <xf numFmtId="0" fontId="249" fillId="0" borderId="0" xfId="2697" applyFont="1" applyAlignment="1">
      <alignment vertical="center" wrapText="1"/>
    </xf>
    <xf numFmtId="0" fontId="249" fillId="123" borderId="0" xfId="2697" applyFont="1" applyFill="1" applyAlignment="1">
      <alignment vertical="center" wrapText="1"/>
    </xf>
    <xf numFmtId="0" fontId="249" fillId="122" borderId="0" xfId="43437" applyFont="1" applyFill="1" applyAlignment="1">
      <alignment vertical="center" wrapText="1"/>
    </xf>
    <xf numFmtId="43" fontId="249" fillId="41" borderId="0" xfId="43408" applyFont="1" applyFill="1" applyBorder="1" applyAlignment="1">
      <alignment vertical="center" wrapText="1"/>
    </xf>
    <xf numFmtId="0" fontId="249" fillId="124" borderId="0" xfId="2697" applyFont="1" applyFill="1" applyAlignment="1">
      <alignment vertical="center" wrapText="1"/>
    </xf>
    <xf numFmtId="43" fontId="249" fillId="123" borderId="0" xfId="43408" applyFont="1" applyFill="1" applyBorder="1" applyAlignment="1">
      <alignment vertical="center" wrapText="1"/>
    </xf>
    <xf numFmtId="168" fontId="249" fillId="44" borderId="0" xfId="863" applyFont="1" applyFill="1" applyBorder="1" applyAlignment="1">
      <alignment vertical="center" wrapText="1"/>
    </xf>
    <xf numFmtId="0" fontId="249" fillId="122" borderId="0" xfId="2697" applyFont="1" applyFill="1" applyAlignment="1">
      <alignment vertical="center" wrapText="1"/>
    </xf>
    <xf numFmtId="0" fontId="249" fillId="44" borderId="178" xfId="2697" applyFont="1" applyFill="1" applyBorder="1" applyAlignment="1">
      <alignment vertical="center" wrapText="1"/>
    </xf>
    <xf numFmtId="0" fontId="249" fillId="123" borderId="178" xfId="2697" applyFont="1" applyFill="1" applyBorder="1" applyAlignment="1">
      <alignment vertical="center" wrapText="1"/>
    </xf>
    <xf numFmtId="0" fontId="42" fillId="0" borderId="0" xfId="2697" applyFont="1" applyAlignment="1">
      <alignment vertical="center" wrapText="1"/>
    </xf>
    <xf numFmtId="0" fontId="312" fillId="0" borderId="0" xfId="0" applyFont="1"/>
    <xf numFmtId="0" fontId="313" fillId="55" borderId="186" xfId="0" applyFont="1" applyFill="1" applyBorder="1" applyAlignment="1">
      <alignment vertical="center"/>
    </xf>
    <xf numFmtId="14" fontId="249" fillId="0" borderId="20" xfId="0" applyNumberFormat="1" applyFont="1" applyBorder="1" applyAlignment="1">
      <alignment horizontal="left" vertical="center"/>
    </xf>
    <xf numFmtId="167" fontId="249" fillId="0" borderId="0" xfId="815" applyFont="1" applyBorder="1" applyAlignment="1">
      <alignment vertical="center"/>
    </xf>
    <xf numFmtId="170" fontId="249" fillId="0" borderId="10" xfId="863" applyNumberFormat="1" applyFont="1" applyBorder="1" applyAlignment="1">
      <alignment vertical="center"/>
    </xf>
    <xf numFmtId="272" fontId="249" fillId="0" borderId="10" xfId="863" applyNumberFormat="1" applyFont="1" applyBorder="1" applyAlignment="1">
      <alignment vertical="center"/>
    </xf>
    <xf numFmtId="14" fontId="250" fillId="56" borderId="156" xfId="834" applyNumberFormat="1" applyFont="1" applyFill="1" applyBorder="1" applyAlignment="1" applyProtection="1">
      <alignment horizontal="left" vertical="center"/>
    </xf>
    <xf numFmtId="170" fontId="250" fillId="41" borderId="0" xfId="863" applyNumberFormat="1" applyFont="1" applyFill="1" applyBorder="1" applyAlignment="1">
      <alignment vertical="center"/>
    </xf>
    <xf numFmtId="170" fontId="249" fillId="33" borderId="0" xfId="863" applyNumberFormat="1" applyFont="1" applyFill="1" applyBorder="1" applyAlignment="1">
      <alignment vertical="center"/>
    </xf>
    <xf numFmtId="0" fontId="249" fillId="41" borderId="0" xfId="863" applyNumberFormat="1" applyFont="1" applyFill="1" applyBorder="1" applyAlignment="1">
      <alignment vertical="center"/>
    </xf>
    <xf numFmtId="0" fontId="249" fillId="0" borderId="0" xfId="863" applyNumberFormat="1" applyFont="1" applyFill="1" applyBorder="1" applyAlignment="1">
      <alignment vertical="center"/>
    </xf>
    <xf numFmtId="0" fontId="249" fillId="0" borderId="178" xfId="863" applyNumberFormat="1" applyFont="1" applyFill="1" applyBorder="1" applyAlignment="1">
      <alignment vertical="center"/>
    </xf>
    <xf numFmtId="170" fontId="249" fillId="0" borderId="20" xfId="863" applyNumberFormat="1" applyFont="1" applyBorder="1" applyAlignment="1">
      <alignment vertical="center"/>
    </xf>
    <xf numFmtId="170" fontId="249" fillId="0" borderId="156" xfId="863" applyNumberFormat="1" applyFont="1" applyBorder="1" applyAlignment="1">
      <alignment vertical="center"/>
    </xf>
    <xf numFmtId="170" fontId="249" fillId="0" borderId="29" xfId="863" applyNumberFormat="1" applyFont="1" applyBorder="1" applyAlignment="1">
      <alignment vertical="center"/>
    </xf>
    <xf numFmtId="272" fontId="249" fillId="0" borderId="0" xfId="863" applyNumberFormat="1" applyFont="1" applyBorder="1" applyAlignment="1">
      <alignment vertical="center"/>
    </xf>
    <xf numFmtId="14" fontId="312" fillId="118" borderId="0" xfId="0" applyNumberFormat="1" applyFont="1" applyFill="1" applyAlignment="1">
      <alignment vertical="center"/>
    </xf>
    <xf numFmtId="174" fontId="312" fillId="118" borderId="0" xfId="0" applyNumberFormat="1" applyFont="1" applyFill="1" applyAlignment="1">
      <alignment vertical="center"/>
    </xf>
    <xf numFmtId="0" fontId="248" fillId="0" borderId="0" xfId="0" applyFont="1"/>
    <xf numFmtId="14" fontId="248" fillId="118" borderId="0" xfId="0" applyNumberFormat="1" applyFont="1" applyFill="1" applyAlignment="1">
      <alignment vertical="center"/>
    </xf>
    <xf numFmtId="174" fontId="248" fillId="118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1" fillId="125" borderId="0" xfId="0" applyFont="1" applyFill="1"/>
    <xf numFmtId="3" fontId="0" fillId="0" borderId="0" xfId="43169" applyFont="1"/>
    <xf numFmtId="0" fontId="29" fillId="0" borderId="152" xfId="0" applyFont="1" applyBorder="1" applyAlignment="1">
      <alignment horizontal="center" vertical="center"/>
    </xf>
    <xf numFmtId="170" fontId="249" fillId="0" borderId="0" xfId="863" applyNumberFormat="1" applyFont="1" applyAlignment="1">
      <alignment vertical="center"/>
    </xf>
    <xf numFmtId="170" fontId="249" fillId="0" borderId="0" xfId="863" applyNumberFormat="1" applyFont="1" applyBorder="1" applyAlignment="1">
      <alignment vertical="center"/>
    </xf>
    <xf numFmtId="0" fontId="282" fillId="33" borderId="0" xfId="829" applyFont="1" applyFill="1" applyAlignment="1">
      <alignment horizontal="center"/>
    </xf>
    <xf numFmtId="168" fontId="282" fillId="0" borderId="0" xfId="863" applyFont="1" applyAlignment="1">
      <alignment horizontal="center"/>
    </xf>
    <xf numFmtId="10" fontId="282" fillId="0" borderId="0" xfId="847" applyNumberFormat="1" applyFont="1" applyAlignment="1">
      <alignment horizontal="center"/>
    </xf>
    <xf numFmtId="0" fontId="282" fillId="0" borderId="0" xfId="0" applyFont="1" applyAlignment="1">
      <alignment horizontal="center"/>
    </xf>
    <xf numFmtId="10" fontId="282" fillId="117" borderId="0" xfId="847" applyNumberFormat="1" applyFont="1" applyFill="1" applyBorder="1" applyAlignment="1">
      <alignment horizontal="center"/>
    </xf>
    <xf numFmtId="10" fontId="282" fillId="0" borderId="0" xfId="847" applyNumberFormat="1" applyFont="1" applyFill="1" applyBorder="1" applyAlignment="1">
      <alignment horizontal="center"/>
    </xf>
    <xf numFmtId="10" fontId="204" fillId="0" borderId="0" xfId="847" applyNumberFormat="1" applyFont="1" applyAlignment="1">
      <alignment horizontal="center"/>
    </xf>
    <xf numFmtId="167" fontId="281" fillId="126" borderId="0" xfId="5583" applyNumberFormat="1" applyFont="1" applyFill="1" applyBorder="1" applyAlignment="1">
      <alignment vertical="center"/>
    </xf>
    <xf numFmtId="167" fontId="281" fillId="0" borderId="0" xfId="5583" applyNumberFormat="1" applyFont="1" applyFill="1" applyBorder="1" applyAlignment="1">
      <alignment vertical="center"/>
    </xf>
    <xf numFmtId="3" fontId="249" fillId="0" borderId="0" xfId="43169" applyFont="1"/>
    <xf numFmtId="174" fontId="249" fillId="0" borderId="0" xfId="0" applyNumberFormat="1" applyFont="1" applyAlignment="1">
      <alignment vertical="center"/>
    </xf>
    <xf numFmtId="280" fontId="0" fillId="0" borderId="0" xfId="0" applyNumberFormat="1"/>
    <xf numFmtId="43" fontId="0" fillId="0" borderId="0" xfId="0" applyNumberFormat="1"/>
    <xf numFmtId="43" fontId="0" fillId="127" borderId="0" xfId="0" applyNumberFormat="1" applyFill="1"/>
    <xf numFmtId="281" fontId="314" fillId="0" borderId="187" xfId="863" applyNumberFormat="1" applyFont="1" applyFill="1" applyBorder="1" applyAlignment="1">
      <alignment vertical="center"/>
    </xf>
    <xf numFmtId="0" fontId="42" fillId="41" borderId="0" xfId="36379" applyFont="1" applyFill="1" applyAlignment="1">
      <alignment horizontal="center"/>
    </xf>
    <xf numFmtId="9" fontId="42" fillId="0" borderId="0" xfId="847" applyFont="1" applyFill="1"/>
    <xf numFmtId="165" fontId="204" fillId="0" borderId="178" xfId="815" applyNumberFormat="1" applyFont="1" applyBorder="1" applyAlignment="1">
      <alignment horizontal="left"/>
    </xf>
    <xf numFmtId="10" fontId="204" fillId="0" borderId="178" xfId="847" applyNumberFormat="1" applyFont="1" applyFill="1" applyBorder="1" applyAlignment="1">
      <alignment horizontal="right"/>
    </xf>
    <xf numFmtId="165" fontId="204" fillId="0" borderId="166" xfId="815" applyNumberFormat="1" applyFont="1" applyBorder="1" applyAlignment="1">
      <alignment horizontal="left"/>
    </xf>
    <xf numFmtId="10" fontId="204" fillId="0" borderId="166" xfId="847" applyNumberFormat="1" applyFont="1" applyFill="1" applyBorder="1" applyAlignment="1">
      <alignment horizontal="right"/>
    </xf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59" fillId="38" borderId="0" xfId="1823" applyFont="1" applyFill="1" applyBorder="1" applyAlignment="1">
      <alignment horizontal="center" vertical="center" wrapText="1"/>
    </xf>
    <xf numFmtId="9" fontId="249" fillId="41" borderId="0" xfId="1823" applyFont="1" applyFill="1" applyBorder="1" applyAlignment="1">
      <alignment horizontal="left" vertical="center" wrapText="1"/>
    </xf>
    <xf numFmtId="43" fontId="249" fillId="41" borderId="0" xfId="43199" applyFont="1" applyFill="1" applyBorder="1" applyAlignment="1">
      <alignment horizontal="center" vertical="center" wrapText="1"/>
    </xf>
    <xf numFmtId="262" fontId="249" fillId="41" borderId="0" xfId="1823" applyNumberFormat="1" applyFont="1" applyFill="1" applyBorder="1" applyAlignment="1">
      <alignment horizontal="center" vertical="center" wrapText="1"/>
    </xf>
    <xf numFmtId="0" fontId="249" fillId="33" borderId="0" xfId="905" applyFont="1" applyFill="1"/>
    <xf numFmtId="262" fontId="249" fillId="41" borderId="0" xfId="907" applyNumberFormat="1" applyFont="1" applyFill="1"/>
    <xf numFmtId="262" fontId="249" fillId="33" borderId="0" xfId="905" applyNumberFormat="1" applyFont="1" applyFill="1"/>
    <xf numFmtId="37" fontId="249" fillId="41" borderId="0" xfId="905" applyNumberFormat="1" applyFont="1" applyFill="1" applyAlignment="1">
      <alignment horizontal="left"/>
    </xf>
    <xf numFmtId="168" fontId="249" fillId="41" borderId="0" xfId="863" applyFont="1" applyFill="1" applyBorder="1" applyAlignment="1">
      <alignment horizontal="center" vertical="center" wrapText="1"/>
    </xf>
    <xf numFmtId="262" fontId="249" fillId="41" borderId="0" xfId="847" applyNumberFormat="1" applyFont="1" applyFill="1" applyBorder="1" applyAlignment="1">
      <alignment horizontal="center" vertical="center" wrapText="1"/>
    </xf>
    <xf numFmtId="0" fontId="249" fillId="41" borderId="0" xfId="907" applyFont="1" applyFill="1"/>
    <xf numFmtId="168" fontId="249" fillId="41" borderId="0" xfId="863" applyFont="1" applyFill="1" applyBorder="1"/>
    <xf numFmtId="9" fontId="259" fillId="38" borderId="0" xfId="1095" applyFont="1" applyFill="1" applyBorder="1" applyAlignment="1">
      <alignment horizontal="center" vertical="center" wrapText="1"/>
    </xf>
    <xf numFmtId="43" fontId="249" fillId="0" borderId="0" xfId="43199" applyFont="1" applyAlignment="1">
      <alignment vertical="center"/>
    </xf>
    <xf numFmtId="168" fontId="249" fillId="0" borderId="0" xfId="863" applyFont="1" applyAlignment="1">
      <alignment vertical="center"/>
    </xf>
    <xf numFmtId="270" fontId="42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0" fontId="221" fillId="0" borderId="178" xfId="907" applyFont="1" applyBorder="1" applyAlignment="1">
      <alignment horizontal="left"/>
    </xf>
    <xf numFmtId="0" fontId="204" fillId="33" borderId="178" xfId="829" applyFont="1" applyFill="1" applyBorder="1"/>
    <xf numFmtId="174" fontId="210" fillId="0" borderId="178" xfId="0" applyNumberFormat="1" applyFont="1" applyBorder="1" applyAlignment="1">
      <alignment horizontal="left"/>
    </xf>
    <xf numFmtId="10" fontId="210" fillId="0" borderId="178" xfId="0" applyNumberFormat="1" applyFont="1" applyBorder="1" applyAlignment="1">
      <alignment horizontal="right"/>
    </xf>
    <xf numFmtId="0" fontId="207" fillId="0" borderId="178" xfId="0" applyFont="1" applyBorder="1"/>
    <xf numFmtId="0" fontId="211" fillId="43" borderId="144" xfId="0" applyFont="1" applyFill="1" applyBorder="1" applyAlignment="1">
      <alignment horizontal="left"/>
    </xf>
    <xf numFmtId="168" fontId="207" fillId="45" borderId="144" xfId="863" applyFont="1" applyFill="1" applyBorder="1"/>
    <xf numFmtId="0" fontId="29" fillId="111" borderId="166" xfId="0" applyFont="1" applyFill="1" applyBorder="1" applyAlignment="1">
      <alignment horizontal="center"/>
    </xf>
    <xf numFmtId="0" fontId="29" fillId="111" borderId="166" xfId="0" applyFont="1" applyFill="1" applyBorder="1"/>
    <xf numFmtId="14" fontId="29" fillId="111" borderId="166" xfId="0" applyNumberFormat="1" applyFont="1" applyFill="1" applyBorder="1"/>
    <xf numFmtId="0" fontId="204" fillId="41" borderId="166" xfId="0" applyFont="1" applyFill="1" applyBorder="1" applyAlignment="1" applyProtection="1">
      <alignment horizontal="left"/>
      <protection hidden="1"/>
    </xf>
    <xf numFmtId="165" fontId="204" fillId="45" borderId="166" xfId="863" applyNumberFormat="1" applyFont="1" applyFill="1" applyBorder="1"/>
    <xf numFmtId="0" fontId="204" fillId="41" borderId="178" xfId="0" applyFont="1" applyFill="1" applyBorder="1" applyAlignment="1" applyProtection="1">
      <alignment horizontal="left"/>
      <protection hidden="1"/>
    </xf>
    <xf numFmtId="165" fontId="204" fillId="45" borderId="178" xfId="863" applyNumberFormat="1" applyFont="1" applyFill="1" applyBorder="1"/>
    <xf numFmtId="165" fontId="211" fillId="43" borderId="144" xfId="863" applyNumberFormat="1" applyFont="1" applyFill="1" applyBorder="1"/>
    <xf numFmtId="165" fontId="207" fillId="45" borderId="144" xfId="863" applyNumberFormat="1" applyFont="1" applyFill="1" applyBorder="1"/>
    <xf numFmtId="168" fontId="207" fillId="0" borderId="178" xfId="863" applyFont="1" applyBorder="1"/>
    <xf numFmtId="0" fontId="211" fillId="43" borderId="166" xfId="0" applyFont="1" applyFill="1" applyBorder="1" applyAlignment="1">
      <alignment horizontal="left"/>
    </xf>
    <xf numFmtId="10" fontId="204" fillId="45" borderId="166" xfId="847" applyNumberFormat="1" applyFont="1" applyFill="1" applyBorder="1"/>
    <xf numFmtId="0" fontId="211" fillId="43" borderId="178" xfId="0" applyFont="1" applyFill="1" applyBorder="1" applyAlignment="1">
      <alignment horizontal="left"/>
    </xf>
    <xf numFmtId="10" fontId="204" fillId="61" borderId="178" xfId="847" applyNumberFormat="1" applyFont="1" applyFill="1" applyBorder="1"/>
    <xf numFmtId="168" fontId="204" fillId="45" borderId="166" xfId="863" applyFont="1" applyFill="1" applyBorder="1"/>
    <xf numFmtId="168" fontId="204" fillId="45" borderId="178" xfId="863" applyFont="1" applyFill="1" applyBorder="1"/>
    <xf numFmtId="14" fontId="29" fillId="0" borderId="166" xfId="0" applyNumberFormat="1" applyFont="1" applyBorder="1"/>
    <xf numFmtId="14" fontId="29" fillId="111" borderId="178" xfId="0" applyNumberFormat="1" applyFont="1" applyFill="1" applyBorder="1"/>
    <xf numFmtId="0" fontId="29" fillId="111" borderId="178" xfId="0" applyFont="1" applyFill="1" applyBorder="1" applyAlignment="1">
      <alignment horizontal="center"/>
    </xf>
    <xf numFmtId="0" fontId="29" fillId="111" borderId="178" xfId="0" applyFont="1" applyFill="1" applyBorder="1"/>
    <xf numFmtId="14" fontId="29" fillId="111" borderId="166" xfId="0" applyNumberFormat="1" applyFont="1" applyFill="1" applyBorder="1" applyAlignment="1">
      <alignment horizontal="right"/>
    </xf>
    <xf numFmtId="14" fontId="29" fillId="111" borderId="178" xfId="0" applyNumberFormat="1" applyFont="1" applyFill="1" applyBorder="1" applyAlignment="1">
      <alignment horizontal="right"/>
    </xf>
    <xf numFmtId="0" fontId="272" fillId="0" borderId="178" xfId="907" applyFont="1" applyBorder="1" applyAlignment="1">
      <alignment horizontal="left"/>
    </xf>
    <xf numFmtId="0" fontId="42" fillId="33" borderId="178" xfId="829" applyFont="1" applyFill="1" applyBorder="1"/>
    <xf numFmtId="0" fontId="35" fillId="33" borderId="152" xfId="834" applyFont="1" applyFill="1" applyBorder="1" applyAlignment="1" applyProtection="1">
      <alignment horizontal="center" vertical="center" wrapText="1"/>
    </xf>
    <xf numFmtId="171" fontId="29" fillId="0" borderId="152" xfId="863" applyNumberFormat="1" applyFont="1" applyFill="1" applyBorder="1" applyAlignment="1">
      <alignment horizontal="center"/>
    </xf>
    <xf numFmtId="171" fontId="29" fillId="0" borderId="152" xfId="863" applyNumberFormat="1" applyFont="1" applyBorder="1" applyAlignment="1">
      <alignment horizontal="center"/>
    </xf>
    <xf numFmtId="171" fontId="29" fillId="103" borderId="152" xfId="863" applyNumberFormat="1" applyFont="1" applyFill="1" applyBorder="1" applyAlignment="1">
      <alignment horizontal="center"/>
    </xf>
    <xf numFmtId="0" fontId="35" fillId="61" borderId="152" xfId="907" applyFont="1" applyFill="1" applyBorder="1" applyAlignment="1">
      <alignment horizontal="center" vertical="center"/>
    </xf>
    <xf numFmtId="0" fontId="35" fillId="61" borderId="152" xfId="907" applyFont="1" applyFill="1" applyBorder="1" applyAlignment="1">
      <alignment horizontal="center" vertical="center" wrapText="1"/>
    </xf>
    <xf numFmtId="0" fontId="29" fillId="60" borderId="166" xfId="0" applyFont="1" applyFill="1" applyBorder="1" applyAlignment="1">
      <alignment horizontal="right"/>
    </xf>
    <xf numFmtId="0" fontId="278" fillId="96" borderId="155" xfId="0" applyFont="1" applyFill="1" applyBorder="1" applyAlignment="1">
      <alignment vertical="center"/>
    </xf>
    <xf numFmtId="14" fontId="29" fillId="0" borderId="178" xfId="0" applyNumberFormat="1" applyFont="1" applyBorder="1" applyAlignment="1">
      <alignment horizontal="right"/>
    </xf>
    <xf numFmtId="0" fontId="29" fillId="0" borderId="146" xfId="0" applyFont="1" applyBorder="1" applyAlignment="1">
      <alignment horizontal="center"/>
    </xf>
    <xf numFmtId="1" fontId="29" fillId="0" borderId="166" xfId="815" applyNumberFormat="1" applyFont="1" applyFill="1" applyBorder="1" applyAlignment="1"/>
    <xf numFmtId="170" fontId="29" fillId="0" borderId="166" xfId="863" applyNumberFormat="1" applyFont="1" applyFill="1" applyBorder="1" applyAlignment="1">
      <alignment horizontal="left"/>
    </xf>
    <xf numFmtId="0" fontId="29" fillId="0" borderId="154" xfId="0" applyFont="1" applyBorder="1"/>
    <xf numFmtId="10" fontId="29" fillId="0" borderId="178" xfId="847" applyNumberFormat="1" applyFont="1" applyFill="1" applyBorder="1" applyAlignment="1"/>
    <xf numFmtId="0" fontId="275" fillId="0" borderId="178" xfId="0" applyFont="1" applyBorder="1"/>
    <xf numFmtId="0" fontId="42" fillId="0" borderId="178" xfId="0" applyFont="1" applyBorder="1"/>
    <xf numFmtId="43" fontId="42" fillId="0" borderId="178" xfId="0" applyNumberFormat="1" applyFont="1" applyBorder="1"/>
    <xf numFmtId="43" fontId="276" fillId="0" borderId="178" xfId="0" applyNumberFormat="1" applyFont="1" applyBorder="1"/>
    <xf numFmtId="2" fontId="275" fillId="0" borderId="178" xfId="0" applyNumberFormat="1" applyFont="1" applyBorder="1"/>
    <xf numFmtId="14" fontId="275" fillId="0" borderId="178" xfId="0" applyNumberFormat="1" applyFont="1" applyBorder="1"/>
    <xf numFmtId="10" fontId="29" fillId="61" borderId="166" xfId="847" applyNumberFormat="1" applyFont="1" applyFill="1" applyBorder="1" applyAlignment="1">
      <alignment horizontal="right"/>
    </xf>
    <xf numFmtId="167" fontId="29" fillId="111" borderId="166" xfId="815" applyFont="1" applyFill="1" applyBorder="1" applyAlignment="1"/>
    <xf numFmtId="10" fontId="29" fillId="44" borderId="178" xfId="847" applyNumberFormat="1" applyFont="1" applyFill="1" applyBorder="1" applyAlignment="1">
      <alignment horizontal="right"/>
    </xf>
    <xf numFmtId="0" fontId="29" fillId="42" borderId="166" xfId="907" applyFill="1" applyBorder="1"/>
    <xf numFmtId="10" fontId="29" fillId="42" borderId="166" xfId="847" applyNumberFormat="1" applyFont="1" applyFill="1" applyBorder="1" applyAlignment="1">
      <alignment horizontal="right"/>
    </xf>
    <xf numFmtId="167" fontId="29" fillId="111" borderId="178" xfId="815" applyFont="1" applyFill="1" applyBorder="1" applyAlignment="1"/>
    <xf numFmtId="0" fontId="29" fillId="0" borderId="166" xfId="0" applyFont="1" applyBorder="1" applyAlignment="1">
      <alignment horizontal="left"/>
    </xf>
    <xf numFmtId="0" fontId="35" fillId="42" borderId="178" xfId="0" applyFont="1" applyFill="1" applyBorder="1"/>
    <xf numFmtId="0" fontId="29" fillId="42" borderId="178" xfId="0" applyFont="1" applyFill="1" applyBorder="1"/>
    <xf numFmtId="168" fontId="29" fillId="41" borderId="166" xfId="863" applyFont="1" applyFill="1" applyBorder="1" applyAlignment="1"/>
    <xf numFmtId="168" fontId="29" fillId="41" borderId="178" xfId="863" applyFont="1" applyFill="1" applyBorder="1" applyAlignment="1"/>
    <xf numFmtId="0" fontId="29" fillId="0" borderId="178" xfId="0" applyFont="1" applyBorder="1" applyAlignment="1">
      <alignment horizontal="left"/>
    </xf>
    <xf numFmtId="168" fontId="29" fillId="0" borderId="178" xfId="863" applyFont="1" applyFill="1" applyBorder="1" applyAlignment="1"/>
    <xf numFmtId="168" fontId="29" fillId="44" borderId="178" xfId="863" applyFont="1" applyFill="1" applyBorder="1" applyAlignment="1">
      <alignment horizontal="right"/>
    </xf>
    <xf numFmtId="10" fontId="29" fillId="111" borderId="166" xfId="847" applyNumberFormat="1" applyFont="1" applyFill="1" applyBorder="1" applyAlignment="1">
      <alignment horizontal="right"/>
    </xf>
    <xf numFmtId="170" fontId="29" fillId="0" borderId="166" xfId="0" applyNumberFormat="1" applyFont="1" applyBorder="1"/>
    <xf numFmtId="168" fontId="29" fillId="0" borderId="166" xfId="863" applyFont="1" applyFill="1" applyBorder="1" applyAlignment="1"/>
    <xf numFmtId="10" fontId="29" fillId="111" borderId="178" xfId="847" applyNumberFormat="1" applyFont="1" applyFill="1" applyBorder="1" applyAlignment="1">
      <alignment horizontal="right"/>
    </xf>
    <xf numFmtId="168" fontId="29" fillId="0" borderId="144" xfId="863" applyFont="1" applyFill="1" applyBorder="1" applyAlignment="1">
      <alignment horizontal="left"/>
    </xf>
    <xf numFmtId="268" fontId="29" fillId="0" borderId="166" xfId="847" applyNumberFormat="1" applyFont="1" applyFill="1" applyBorder="1" applyAlignment="1">
      <alignment horizontal="left"/>
    </xf>
    <xf numFmtId="10" fontId="29" fillId="0" borderId="166" xfId="847" applyNumberFormat="1" applyFont="1" applyFill="1" applyBorder="1" applyAlignment="1"/>
    <xf numFmtId="10" fontId="29" fillId="0" borderId="178" xfId="847" applyNumberFormat="1" applyFont="1" applyFill="1" applyBorder="1" applyAlignment="1">
      <alignment horizontal="left"/>
    </xf>
    <xf numFmtId="167" fontId="29" fillId="0" borderId="166" xfId="815" applyFont="1" applyFill="1" applyBorder="1" applyAlignment="1">
      <alignment horizontal="left"/>
    </xf>
    <xf numFmtId="167" fontId="29" fillId="0" borderId="178" xfId="815" applyFont="1" applyFill="1" applyBorder="1" applyAlignment="1">
      <alignment horizontal="left"/>
    </xf>
    <xf numFmtId="165" fontId="29" fillId="0" borderId="144" xfId="863" applyNumberFormat="1" applyFont="1" applyFill="1" applyBorder="1"/>
    <xf numFmtId="0" fontId="271" fillId="43" borderId="152" xfId="0" applyFont="1" applyFill="1" applyBorder="1" applyAlignment="1">
      <alignment horizontal="center" vertical="center" wrapText="1"/>
    </xf>
    <xf numFmtId="0" fontId="35" fillId="59" borderId="144" xfId="907" applyFont="1" applyFill="1" applyBorder="1"/>
    <xf numFmtId="0" fontId="29" fillId="59" borderId="144" xfId="907" applyFill="1" applyBorder="1" applyAlignment="1">
      <alignment horizontal="center"/>
    </xf>
    <xf numFmtId="171" fontId="29" fillId="111" borderId="144" xfId="907" applyNumberFormat="1" applyFill="1" applyBorder="1" applyAlignment="1">
      <alignment horizontal="left"/>
    </xf>
    <xf numFmtId="168" fontId="35" fillId="59" borderId="149" xfId="863" applyFont="1" applyFill="1" applyBorder="1"/>
    <xf numFmtId="14" fontId="29" fillId="59" borderId="152" xfId="863" applyNumberFormat="1" applyFont="1" applyFill="1" applyBorder="1"/>
    <xf numFmtId="14" fontId="29" fillId="59" borderId="152" xfId="847" applyNumberFormat="1" applyFont="1" applyFill="1" applyBorder="1" applyAlignment="1">
      <alignment horizontal="center"/>
    </xf>
    <xf numFmtId="168" fontId="29" fillId="111" borderId="144" xfId="863" applyFont="1" applyFill="1" applyBorder="1" applyAlignment="1">
      <alignment horizontal="left"/>
    </xf>
    <xf numFmtId="230" fontId="29" fillId="111" borderId="144" xfId="863" applyNumberFormat="1" applyFont="1" applyFill="1" applyBorder="1" applyAlignment="1">
      <alignment horizontal="left"/>
    </xf>
    <xf numFmtId="3" fontId="29" fillId="111" borderId="166" xfId="863" applyNumberFormat="1" applyFont="1" applyFill="1" applyBorder="1" applyAlignment="1">
      <alignment horizontal="left"/>
    </xf>
    <xf numFmtId="230" fontId="29" fillId="111" borderId="166" xfId="0" applyNumberFormat="1" applyFont="1" applyFill="1" applyBorder="1"/>
    <xf numFmtId="10" fontId="29" fillId="42" borderId="166" xfId="847" applyNumberFormat="1" applyFont="1" applyFill="1" applyBorder="1" applyAlignment="1">
      <alignment horizontal="left"/>
    </xf>
    <xf numFmtId="230" fontId="29" fillId="42" borderId="166" xfId="863" applyNumberFormat="1" applyFont="1" applyFill="1" applyBorder="1" applyAlignment="1">
      <alignment horizontal="left"/>
    </xf>
    <xf numFmtId="10" fontId="29" fillId="42" borderId="178" xfId="847" applyNumberFormat="1" applyFont="1" applyFill="1" applyBorder="1" applyAlignment="1">
      <alignment horizontal="left"/>
    </xf>
    <xf numFmtId="230" fontId="29" fillId="42" borderId="178" xfId="863" applyNumberFormat="1" applyFont="1" applyFill="1" applyBorder="1" applyAlignment="1">
      <alignment horizontal="left"/>
    </xf>
    <xf numFmtId="0" fontId="29" fillId="111" borderId="178" xfId="0" applyFont="1" applyFill="1" applyBorder="1" applyAlignment="1">
      <alignment horizontal="left"/>
    </xf>
    <xf numFmtId="230" fontId="29" fillId="111" borderId="178" xfId="0" applyNumberFormat="1" applyFont="1" applyFill="1" applyBorder="1"/>
    <xf numFmtId="0" fontId="109" fillId="58" borderId="149" xfId="834" applyFont="1" applyFill="1" applyBorder="1" applyAlignment="1" applyProtection="1">
      <alignment horizontal="left" vertical="center"/>
    </xf>
    <xf numFmtId="0" fontId="109" fillId="56" borderId="149" xfId="834" applyFont="1" applyFill="1" applyBorder="1" applyAlignment="1" applyProtection="1">
      <alignment horizontal="left" vertical="center"/>
    </xf>
    <xf numFmtId="14" fontId="109" fillId="56" borderId="148" xfId="834" applyNumberFormat="1" applyFont="1" applyFill="1" applyBorder="1" applyAlignment="1" applyProtection="1">
      <alignment horizontal="left" vertical="center"/>
    </xf>
    <xf numFmtId="0" fontId="280" fillId="0" borderId="178" xfId="907" applyFont="1" applyBorder="1" applyAlignment="1">
      <alignment horizontal="left"/>
    </xf>
    <xf numFmtId="0" fontId="228" fillId="33" borderId="178" xfId="829" applyFont="1" applyFill="1" applyBorder="1"/>
    <xf numFmtId="0" fontId="204" fillId="60" borderId="166" xfId="0" applyFont="1" applyFill="1" applyBorder="1" applyAlignment="1" applyProtection="1">
      <alignment horizontal="left" wrapText="1"/>
      <protection hidden="1"/>
    </xf>
    <xf numFmtId="167" fontId="204" fillId="0" borderId="166" xfId="815" applyFont="1" applyBorder="1"/>
    <xf numFmtId="0" fontId="207" fillId="114" borderId="178" xfId="0" applyFont="1" applyFill="1" applyBorder="1" applyAlignment="1" applyProtection="1">
      <alignment horizontal="left" wrapText="1"/>
      <protection hidden="1"/>
    </xf>
    <xf numFmtId="262" fontId="207" fillId="0" borderId="178" xfId="847" applyNumberFormat="1" applyFont="1" applyBorder="1"/>
    <xf numFmtId="0" fontId="207" fillId="114" borderId="144" xfId="0" applyFont="1" applyFill="1" applyBorder="1" applyAlignment="1" applyProtection="1">
      <alignment horizontal="left" wrapText="1"/>
      <protection hidden="1"/>
    </xf>
    <xf numFmtId="262" fontId="207" fillId="0" borderId="144" xfId="847" applyNumberFormat="1" applyFont="1" applyBorder="1"/>
    <xf numFmtId="0" fontId="210" fillId="0" borderId="178" xfId="0" applyFont="1" applyBorder="1" applyAlignment="1">
      <alignment horizontal="right" vertical="center"/>
    </xf>
    <xf numFmtId="0" fontId="210" fillId="0" borderId="166" xfId="0" applyFont="1" applyBorder="1" applyAlignment="1">
      <alignment horizontal="right" vertical="center"/>
    </xf>
    <xf numFmtId="0" fontId="211" fillId="43" borderId="166" xfId="0" applyFont="1" applyFill="1" applyBorder="1" applyAlignment="1">
      <alignment horizontal="center"/>
    </xf>
    <xf numFmtId="0" fontId="211" fillId="43" borderId="145" xfId="0" applyFont="1" applyFill="1" applyBorder="1" applyAlignment="1">
      <alignment horizontal="center"/>
    </xf>
    <xf numFmtId="0" fontId="211" fillId="43" borderId="147" xfId="0" applyFont="1" applyFill="1" applyBorder="1" applyAlignment="1">
      <alignment horizontal="center"/>
    </xf>
    <xf numFmtId="0" fontId="212" fillId="59" borderId="144" xfId="907" applyFont="1" applyFill="1" applyBorder="1"/>
    <xf numFmtId="167" fontId="207" fillId="59" borderId="149" xfId="0" applyNumberFormat="1" applyFont="1" applyFill="1" applyBorder="1" applyProtection="1">
      <protection hidden="1"/>
    </xf>
    <xf numFmtId="167" fontId="207" fillId="59" borderId="148" xfId="0" applyNumberFormat="1" applyFont="1" applyFill="1" applyBorder="1" applyProtection="1">
      <protection hidden="1"/>
    </xf>
    <xf numFmtId="10" fontId="207" fillId="59" borderId="149" xfId="847" applyNumberFormat="1" applyFont="1" applyFill="1" applyBorder="1" applyAlignment="1" applyProtection="1">
      <alignment horizontal="right"/>
      <protection hidden="1"/>
    </xf>
    <xf numFmtId="262" fontId="207" fillId="59" borderId="144" xfId="847" applyNumberFormat="1" applyFont="1" applyFill="1" applyBorder="1" applyAlignment="1" applyProtection="1">
      <alignment horizontal="right"/>
      <protection hidden="1"/>
    </xf>
    <xf numFmtId="0" fontId="207" fillId="59" borderId="144" xfId="0" applyFont="1" applyFill="1" applyBorder="1" applyAlignment="1" applyProtection="1">
      <alignment horizontal="left"/>
      <protection hidden="1"/>
    </xf>
    <xf numFmtId="0" fontId="207" fillId="59" borderId="178" xfId="0" applyFont="1" applyFill="1" applyBorder="1" applyAlignment="1">
      <alignment horizontal="left"/>
    </xf>
    <xf numFmtId="167" fontId="207" fillId="59" borderId="156" xfId="0" applyNumberFormat="1" applyFont="1" applyFill="1" applyBorder="1" applyProtection="1">
      <protection hidden="1"/>
    </xf>
    <xf numFmtId="167" fontId="207" fillId="59" borderId="155" xfId="0" applyNumberFormat="1" applyFont="1" applyFill="1" applyBorder="1" applyProtection="1">
      <protection hidden="1"/>
    </xf>
    <xf numFmtId="10" fontId="207" fillId="59" borderId="156" xfId="847" applyNumberFormat="1" applyFont="1" applyFill="1" applyBorder="1" applyAlignment="1" applyProtection="1">
      <alignment horizontal="right"/>
      <protection hidden="1"/>
    </xf>
    <xf numFmtId="262" fontId="207" fillId="59" borderId="178" xfId="847" applyNumberFormat="1" applyFont="1" applyFill="1" applyBorder="1" applyAlignment="1" applyProtection="1">
      <alignment horizontal="right"/>
      <protection hidden="1"/>
    </xf>
    <xf numFmtId="0" fontId="211" fillId="43" borderId="149" xfId="0" applyFont="1" applyFill="1" applyBorder="1" applyAlignment="1">
      <alignment horizontal="center"/>
    </xf>
    <xf numFmtId="0" fontId="207" fillId="59" borderId="178" xfId="0" applyFont="1" applyFill="1" applyBorder="1" applyAlignment="1" applyProtection="1">
      <alignment horizontal="left"/>
      <protection hidden="1"/>
    </xf>
    <xf numFmtId="167" fontId="207" fillId="59" borderId="178" xfId="0" applyNumberFormat="1" applyFont="1" applyFill="1" applyBorder="1" applyProtection="1">
      <protection hidden="1"/>
    </xf>
    <xf numFmtId="167" fontId="207" fillId="114" borderId="178" xfId="0" applyNumberFormat="1" applyFont="1" applyFill="1" applyBorder="1" applyProtection="1">
      <protection hidden="1"/>
    </xf>
    <xf numFmtId="262" fontId="207" fillId="59" borderId="156" xfId="847" applyNumberFormat="1" applyFont="1" applyFill="1" applyBorder="1" applyAlignment="1" applyProtection="1">
      <alignment horizontal="center"/>
      <protection hidden="1"/>
    </xf>
    <xf numFmtId="262" fontId="207" fillId="59" borderId="178" xfId="847" applyNumberFormat="1" applyFont="1" applyFill="1" applyBorder="1" applyAlignment="1" applyProtection="1">
      <alignment horizontal="center"/>
      <protection hidden="1"/>
    </xf>
    <xf numFmtId="0" fontId="207" fillId="59" borderId="166" xfId="0" applyFont="1" applyFill="1" applyBorder="1" applyProtection="1">
      <protection hidden="1"/>
    </xf>
    <xf numFmtId="167" fontId="207" fillId="59" borderId="166" xfId="815" applyFont="1" applyFill="1" applyBorder="1" applyAlignment="1" applyProtection="1">
      <protection hidden="1"/>
    </xf>
    <xf numFmtId="10" fontId="207" fillId="59" borderId="166" xfId="847" applyNumberFormat="1" applyFont="1" applyFill="1" applyBorder="1" applyAlignment="1" applyProtection="1">
      <alignment horizontal="right"/>
      <protection hidden="1"/>
    </xf>
    <xf numFmtId="9" fontId="37" fillId="38" borderId="149" xfId="1823" applyFont="1" applyFill="1" applyBorder="1" applyAlignment="1">
      <alignment horizontal="center" vertical="center" wrapText="1"/>
    </xf>
    <xf numFmtId="9" fontId="109" fillId="94" borderId="144" xfId="1823" applyFont="1" applyFill="1" applyBorder="1" applyAlignment="1">
      <alignment horizontal="center" vertical="center" wrapText="1"/>
    </xf>
    <xf numFmtId="10" fontId="109" fillId="94" borderId="144" xfId="1823" applyNumberFormat="1" applyFont="1" applyFill="1" applyBorder="1" applyAlignment="1">
      <alignment horizontal="center" vertical="center" wrapText="1"/>
    </xf>
    <xf numFmtId="0" fontId="42" fillId="33" borderId="178" xfId="776" applyFont="1" applyFill="1" applyBorder="1" applyAlignment="1">
      <alignment wrapText="1"/>
    </xf>
    <xf numFmtId="217" fontId="42" fillId="33" borderId="178" xfId="2697" applyNumberFormat="1" applyFont="1" applyFill="1" applyBorder="1" applyAlignment="1">
      <alignment horizontal="center"/>
    </xf>
    <xf numFmtId="167" fontId="42" fillId="33" borderId="178" xfId="815" applyFont="1" applyFill="1" applyBorder="1"/>
    <xf numFmtId="217" fontId="109" fillId="94" borderId="144" xfId="1823" applyNumberFormat="1" applyFont="1" applyFill="1" applyBorder="1" applyAlignment="1">
      <alignment horizontal="center" vertical="center" wrapText="1"/>
    </xf>
    <xf numFmtId="167" fontId="109" fillId="94" borderId="144" xfId="815" applyFont="1" applyFill="1" applyBorder="1" applyAlignment="1">
      <alignment horizontal="center" vertical="center" wrapText="1"/>
    </xf>
    <xf numFmtId="0" fontId="42" fillId="94" borderId="144" xfId="776" applyFont="1" applyFill="1" applyBorder="1" applyAlignment="1">
      <alignment wrapText="1"/>
    </xf>
    <xf numFmtId="217" fontId="42" fillId="94" borderId="144" xfId="2697" applyNumberFormat="1" applyFont="1" applyFill="1" applyBorder="1" applyAlignment="1">
      <alignment horizontal="center"/>
    </xf>
    <xf numFmtId="171" fontId="29" fillId="0" borderId="152" xfId="907" applyNumberFormat="1" applyBorder="1" applyAlignment="1">
      <alignment horizontal="center"/>
    </xf>
    <xf numFmtId="14" fontId="29" fillId="41" borderId="152" xfId="907" applyNumberFormat="1" applyFill="1" applyBorder="1"/>
    <xf numFmtId="9" fontId="37" fillId="38" borderId="144" xfId="1823" applyFont="1" applyFill="1" applyBorder="1" applyAlignment="1">
      <alignment horizontal="center" vertical="center" wrapText="1"/>
    </xf>
    <xf numFmtId="171" fontId="37" fillId="38" borderId="144" xfId="847" applyNumberFormat="1" applyFont="1" applyFill="1" applyBorder="1" applyAlignment="1">
      <alignment horizontal="center" vertical="center" wrapText="1"/>
    </xf>
    <xf numFmtId="0" fontId="42" fillId="0" borderId="178" xfId="2697" applyFont="1" applyBorder="1" applyAlignment="1">
      <alignment vertical="center"/>
    </xf>
    <xf numFmtId="43" fontId="42" fillId="41" borderId="178" xfId="43199" applyFont="1" applyFill="1" applyBorder="1" applyAlignment="1">
      <alignment vertical="center"/>
    </xf>
    <xf numFmtId="43" fontId="42" fillId="41" borderId="178" xfId="43199" applyFont="1" applyFill="1" applyBorder="1" applyAlignment="1">
      <alignment horizontal="center" vertical="center"/>
    </xf>
    <xf numFmtId="0" fontId="109" fillId="59" borderId="144" xfId="2697" applyFont="1" applyFill="1" applyBorder="1" applyAlignment="1">
      <alignment vertical="center"/>
    </xf>
    <xf numFmtId="10" fontId="109" fillId="59" borderId="144" xfId="847" applyNumberFormat="1" applyFont="1" applyFill="1" applyBorder="1" applyAlignment="1">
      <alignment vertical="center"/>
    </xf>
    <xf numFmtId="43" fontId="109" fillId="59" borderId="144" xfId="43199" applyFont="1" applyFill="1" applyBorder="1" applyAlignment="1">
      <alignment vertical="center"/>
    </xf>
    <xf numFmtId="0" fontId="109" fillId="42" borderId="144" xfId="2697" applyFont="1" applyFill="1" applyBorder="1" applyAlignment="1">
      <alignment vertical="center"/>
    </xf>
    <xf numFmtId="43" fontId="109" fillId="42" borderId="144" xfId="43199" applyFont="1" applyFill="1" applyBorder="1" applyAlignment="1">
      <alignment vertical="center"/>
    </xf>
    <xf numFmtId="10" fontId="109" fillId="42" borderId="144" xfId="847" applyNumberFormat="1" applyFont="1" applyFill="1" applyBorder="1" applyAlignment="1">
      <alignment horizontal="center" vertical="center"/>
    </xf>
    <xf numFmtId="10" fontId="109" fillId="59" borderId="144" xfId="847" applyNumberFormat="1" applyFont="1" applyFill="1" applyBorder="1" applyAlignment="1">
      <alignment horizontal="center" vertical="center"/>
    </xf>
    <xf numFmtId="10" fontId="42" fillId="41" borderId="178" xfId="847" applyNumberFormat="1" applyFont="1" applyFill="1" applyBorder="1" applyAlignment="1">
      <alignment horizontal="center"/>
    </xf>
    <xf numFmtId="0" fontId="42" fillId="42" borderId="144" xfId="776" applyFont="1" applyFill="1" applyBorder="1" applyAlignment="1">
      <alignment wrapText="1"/>
    </xf>
    <xf numFmtId="170" fontId="42" fillId="42" borderId="144" xfId="43199" applyNumberFormat="1" applyFont="1" applyFill="1" applyBorder="1" applyAlignment="1">
      <alignment horizontal="center" wrapText="1"/>
    </xf>
    <xf numFmtId="170" fontId="42" fillId="42" borderId="144" xfId="847" applyNumberFormat="1" applyFont="1" applyFill="1" applyBorder="1" applyAlignment="1">
      <alignment horizontal="center" wrapText="1"/>
    </xf>
    <xf numFmtId="170" fontId="109" fillId="59" borderId="144" xfId="863" applyNumberFormat="1" applyFont="1" applyFill="1" applyBorder="1" applyAlignment="1">
      <alignment vertical="center"/>
    </xf>
    <xf numFmtId="0" fontId="242" fillId="41" borderId="178" xfId="907" applyFont="1" applyFill="1" applyBorder="1" applyAlignment="1">
      <alignment horizontal="left"/>
    </xf>
    <xf numFmtId="9" fontId="37" fillId="38" borderId="144" xfId="1823" applyFont="1" applyFill="1" applyBorder="1" applyAlignment="1">
      <alignment horizontal="left" vertical="center" wrapText="1"/>
    </xf>
    <xf numFmtId="0" fontId="42" fillId="41" borderId="178" xfId="2697" applyFont="1" applyFill="1" applyBorder="1" applyAlignment="1">
      <alignment horizontal="center" vertical="center"/>
    </xf>
    <xf numFmtId="0" fontId="42" fillId="41" borderId="166" xfId="2697" applyFont="1" applyFill="1" applyBorder="1" applyAlignment="1">
      <alignment horizontal="center"/>
    </xf>
    <xf numFmtId="0" fontId="42" fillId="41" borderId="166" xfId="2697" applyFont="1" applyFill="1" applyBorder="1" applyAlignment="1">
      <alignment horizontal="left"/>
    </xf>
    <xf numFmtId="2" fontId="42" fillId="41" borderId="166" xfId="2697" applyNumberFormat="1" applyFont="1" applyFill="1" applyBorder="1" applyAlignment="1">
      <alignment horizontal="center"/>
    </xf>
    <xf numFmtId="3" fontId="42" fillId="41" borderId="178" xfId="43199" applyNumberFormat="1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left"/>
    </xf>
    <xf numFmtId="3" fontId="42" fillId="42" borderId="144" xfId="847" applyNumberFormat="1" applyFont="1" applyFill="1" applyBorder="1" applyAlignment="1">
      <alignment horizontal="right" wrapText="1"/>
    </xf>
    <xf numFmtId="43" fontId="42" fillId="42" borderId="178" xfId="43199" applyFont="1" applyFill="1" applyBorder="1" applyAlignment="1">
      <alignment horizontal="right"/>
    </xf>
    <xf numFmtId="3" fontId="109" fillId="59" borderId="144" xfId="2697" applyNumberFormat="1" applyFont="1" applyFill="1" applyBorder="1" applyAlignment="1">
      <alignment horizontal="right" vertical="center"/>
    </xf>
    <xf numFmtId="43" fontId="109" fillId="59" borderId="144" xfId="43199" applyFont="1" applyFill="1" applyBorder="1" applyAlignment="1">
      <alignment horizontal="right" vertical="center"/>
    </xf>
    <xf numFmtId="0" fontId="242" fillId="0" borderId="178" xfId="907" applyFont="1" applyBorder="1" applyAlignment="1">
      <alignment horizontal="left"/>
    </xf>
    <xf numFmtId="170" fontId="109" fillId="59" borderId="144" xfId="43199" applyNumberFormat="1" applyFont="1" applyFill="1" applyBorder="1" applyAlignment="1">
      <alignment horizontal="right"/>
    </xf>
    <xf numFmtId="9" fontId="37" fillId="38" borderId="144" xfId="1823" applyFont="1" applyFill="1" applyBorder="1" applyAlignment="1">
      <alignment vertical="center" wrapText="1"/>
    </xf>
    <xf numFmtId="168" fontId="109" fillId="59" borderId="144" xfId="863" applyFont="1" applyFill="1" applyBorder="1" applyAlignment="1">
      <alignment vertical="center"/>
    </xf>
    <xf numFmtId="9" fontId="249" fillId="42" borderId="144" xfId="1823" applyFont="1" applyFill="1" applyBorder="1" applyAlignment="1">
      <alignment horizontal="left" vertical="center" wrapText="1"/>
    </xf>
    <xf numFmtId="43" fontId="249" fillId="42" borderId="144" xfId="43199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left" vertical="center" wrapText="1"/>
    </xf>
    <xf numFmtId="37" fontId="249" fillId="42" borderId="144" xfId="905" quotePrefix="1" applyNumberFormat="1" applyFont="1" applyFill="1" applyBorder="1" applyAlignment="1">
      <alignment horizontal="left"/>
    </xf>
    <xf numFmtId="43" fontId="249" fillId="42" borderId="144" xfId="43199" applyFont="1" applyFill="1" applyBorder="1" applyAlignment="1">
      <alignment horizontal="center"/>
    </xf>
    <xf numFmtId="262" fontId="249" fillId="42" borderId="144" xfId="1823" applyNumberFormat="1" applyFont="1" applyFill="1" applyBorder="1" applyAlignment="1">
      <alignment horizontal="center"/>
    </xf>
    <xf numFmtId="0" fontId="250" fillId="59" borderId="144" xfId="905" applyFont="1" applyFill="1" applyBorder="1" applyAlignment="1">
      <alignment horizontal="left"/>
    </xf>
    <xf numFmtId="262" fontId="250" fillId="59" borderId="144" xfId="905" applyNumberFormat="1" applyFont="1" applyFill="1" applyBorder="1" applyAlignment="1">
      <alignment horizontal="left"/>
    </xf>
    <xf numFmtId="262" fontId="250" fillId="59" borderId="144" xfId="847" applyNumberFormat="1" applyFont="1" applyFill="1" applyBorder="1" applyAlignment="1">
      <alignment horizontal="center"/>
    </xf>
    <xf numFmtId="9" fontId="250" fillId="42" borderId="144" xfId="1823" applyFont="1" applyFill="1" applyBorder="1" applyAlignment="1">
      <alignment horizontal="left" vertical="center" wrapText="1"/>
    </xf>
    <xf numFmtId="262" fontId="250" fillId="42" borderId="144" xfId="1823" applyNumberFormat="1" applyFont="1" applyFill="1" applyBorder="1" applyAlignment="1">
      <alignment horizontal="center" vertical="center" wrapText="1"/>
    </xf>
    <xf numFmtId="43" fontId="250" fillId="59" borderId="144" xfId="905" applyNumberFormat="1" applyFont="1" applyFill="1" applyBorder="1" applyAlignment="1">
      <alignment horizontal="left"/>
    </xf>
    <xf numFmtId="262" fontId="250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0" fillId="59" borderId="144" xfId="905" applyNumberFormat="1" applyFont="1" applyFill="1" applyBorder="1" applyAlignment="1">
      <alignment horizontal="center" vertical="center" wrapText="1"/>
    </xf>
    <xf numFmtId="0" fontId="250" fillId="59" borderId="144" xfId="905" applyFont="1" applyFill="1" applyBorder="1" applyAlignment="1">
      <alignment wrapText="1"/>
    </xf>
    <xf numFmtId="10" fontId="250" fillId="59" borderId="144" xfId="847" applyNumberFormat="1" applyFont="1" applyFill="1" applyBorder="1" applyAlignment="1">
      <alignment horizontal="center" vertical="center" wrapText="1"/>
    </xf>
    <xf numFmtId="261" fontId="250" fillId="59" borderId="144" xfId="905" applyNumberFormat="1" applyFont="1" applyFill="1" applyBorder="1" applyAlignment="1">
      <alignment horizontal="center" vertical="center" wrapText="1"/>
    </xf>
    <xf numFmtId="172" fontId="250" fillId="59" borderId="144" xfId="43199" applyNumberFormat="1" applyFont="1" applyFill="1" applyBorder="1" applyAlignment="1">
      <alignment vertical="center"/>
    </xf>
    <xf numFmtId="168" fontId="250" fillId="59" borderId="144" xfId="863" applyFont="1" applyFill="1" applyBorder="1" applyAlignment="1">
      <alignment vertical="center"/>
    </xf>
    <xf numFmtId="172" fontId="109" fillId="59" borderId="144" xfId="43199" applyNumberFormat="1" applyFont="1" applyFill="1" applyBorder="1" applyAlignment="1">
      <alignment vertical="center"/>
    </xf>
    <xf numFmtId="0" fontId="116" fillId="101" borderId="188" xfId="2697" applyFont="1" applyFill="1" applyBorder="1" applyAlignment="1">
      <alignment horizontal="center" vertical="center" wrapText="1"/>
    </xf>
    <xf numFmtId="0" fontId="109" fillId="59" borderId="189" xfId="905" applyFont="1" applyFill="1" applyBorder="1" applyAlignment="1">
      <alignment horizontal="left"/>
    </xf>
    <xf numFmtId="0" fontId="145" fillId="0" borderId="190" xfId="2697" applyFont="1" applyBorder="1" applyAlignment="1">
      <alignment horizontal="center" vertical="center" wrapText="1"/>
    </xf>
    <xf numFmtId="0" fontId="145" fillId="0" borderId="191" xfId="2697" applyFont="1" applyBorder="1" applyAlignment="1">
      <alignment horizontal="center" vertical="center" wrapText="1"/>
    </xf>
    <xf numFmtId="0" fontId="145" fillId="0" borderId="190" xfId="2697" applyFont="1" applyBorder="1" applyAlignment="1">
      <alignment vertical="center"/>
    </xf>
    <xf numFmtId="4" fontId="145" fillId="0" borderId="190" xfId="43199" applyNumberFormat="1" applyFont="1" applyBorder="1" applyAlignment="1">
      <alignment horizontal="right" vertical="center" wrapText="1"/>
    </xf>
    <xf numFmtId="4" fontId="145" fillId="0" borderId="191" xfId="43199" applyNumberFormat="1" applyFont="1" applyBorder="1" applyAlignment="1">
      <alignment horizontal="right" vertical="center" wrapText="1"/>
    </xf>
    <xf numFmtId="0" fontId="145" fillId="41" borderId="190" xfId="907" applyFont="1" applyFill="1" applyBorder="1"/>
    <xf numFmtId="0" fontId="142" fillId="43" borderId="166" xfId="43405" applyFont="1" applyFill="1" applyBorder="1" applyAlignment="1">
      <alignment horizontal="left" wrapText="1"/>
    </xf>
    <xf numFmtId="10" fontId="142" fillId="43" borderId="166" xfId="847" applyNumberFormat="1" applyFont="1" applyFill="1" applyBorder="1" applyAlignment="1">
      <alignment horizontal="right"/>
    </xf>
    <xf numFmtId="0" fontId="243" fillId="0" borderId="178" xfId="43405" applyFont="1" applyBorder="1"/>
    <xf numFmtId="10" fontId="243" fillId="0" borderId="178" xfId="847" applyNumberFormat="1" applyFont="1" applyFill="1" applyBorder="1"/>
    <xf numFmtId="174" fontId="210" fillId="0" borderId="178" xfId="0" applyNumberFormat="1" applyFont="1" applyBorder="1" applyAlignment="1">
      <alignment horizontal="right"/>
    </xf>
    <xf numFmtId="10" fontId="210" fillId="0" borderId="178" xfId="0" applyNumberFormat="1" applyFont="1" applyBorder="1" applyAlignment="1">
      <alignment horizontal="left"/>
    </xf>
    <xf numFmtId="0" fontId="207" fillId="58" borderId="192" xfId="834" applyFont="1" applyFill="1" applyBorder="1" applyAlignment="1" applyProtection="1">
      <alignment horizontal="left" vertical="center"/>
    </xf>
    <xf numFmtId="0" fontId="207" fillId="58" borderId="193" xfId="834" applyFont="1" applyFill="1" applyBorder="1" applyAlignment="1" applyProtection="1">
      <alignment horizontal="left" vertical="center"/>
    </xf>
    <xf numFmtId="4" fontId="207" fillId="58" borderId="192" xfId="834" applyNumberFormat="1" applyFont="1" applyFill="1" applyBorder="1" applyAlignment="1" applyProtection="1">
      <alignment horizontal="left" vertical="center"/>
    </xf>
    <xf numFmtId="14" fontId="207" fillId="56" borderId="156" xfId="834" applyNumberFormat="1" applyFont="1" applyFill="1" applyBorder="1" applyAlignment="1" applyProtection="1">
      <alignment horizontal="left" vertical="center"/>
    </xf>
    <xf numFmtId="0" fontId="211" fillId="43" borderId="189" xfId="0" applyFont="1" applyFill="1" applyBorder="1" applyAlignment="1">
      <alignment horizontal="center"/>
    </xf>
    <xf numFmtId="0" fontId="211" fillId="43" borderId="194" xfId="0" applyFont="1" applyFill="1" applyBorder="1" applyAlignment="1">
      <alignment horizontal="center"/>
    </xf>
    <xf numFmtId="0" fontId="207" fillId="41" borderId="189" xfId="0" applyFont="1" applyFill="1" applyBorder="1" applyAlignment="1" applyProtection="1">
      <alignment horizontal="left"/>
      <protection hidden="1"/>
    </xf>
    <xf numFmtId="170" fontId="207" fillId="41" borderId="189" xfId="43183" applyNumberFormat="1" applyFont="1" applyFill="1" applyBorder="1" applyAlignment="1" applyProtection="1">
      <alignment horizontal="center" vertical="center"/>
    </xf>
    <xf numFmtId="165" fontId="207" fillId="41" borderId="189" xfId="43184" applyFont="1" applyFill="1" applyBorder="1" applyAlignment="1" applyProtection="1">
      <alignment horizontal="center" vertical="center"/>
    </xf>
    <xf numFmtId="0" fontId="204" fillId="41" borderId="194" xfId="2697" applyFont="1" applyFill="1" applyBorder="1"/>
    <xf numFmtId="43" fontId="109" fillId="0" borderId="194" xfId="43185" applyFont="1" applyFill="1" applyBorder="1" applyAlignment="1" applyProtection="1">
      <alignment vertical="center"/>
    </xf>
    <xf numFmtId="167" fontId="204" fillId="41" borderId="194" xfId="815" applyFont="1" applyFill="1" applyBorder="1"/>
    <xf numFmtId="0" fontId="228" fillId="0" borderId="178" xfId="2697" applyFont="1" applyBorder="1"/>
    <xf numFmtId="10" fontId="204" fillId="0" borderId="178" xfId="847" applyNumberFormat="1" applyFont="1" applyFill="1" applyBorder="1"/>
    <xf numFmtId="0" fontId="228" fillId="41" borderId="194" xfId="2697" applyFont="1" applyFill="1" applyBorder="1" applyAlignment="1">
      <alignment vertical="center" wrapText="1"/>
    </xf>
    <xf numFmtId="170" fontId="204" fillId="0" borderId="194" xfId="43183" applyNumberFormat="1" applyFont="1" applyFill="1" applyBorder="1" applyAlignment="1">
      <alignment vertical="center" wrapText="1"/>
    </xf>
    <xf numFmtId="0" fontId="229" fillId="0" borderId="178" xfId="2697" applyFont="1" applyBorder="1"/>
    <xf numFmtId="10" fontId="207" fillId="0" borderId="178" xfId="2697" applyNumberFormat="1" applyFont="1" applyBorder="1"/>
    <xf numFmtId="0" fontId="204" fillId="41" borderId="178" xfId="2697" applyFont="1" applyFill="1" applyBorder="1"/>
    <xf numFmtId="43" fontId="42" fillId="0" borderId="178" xfId="43185" applyFont="1" applyFill="1" applyBorder="1" applyAlignment="1" applyProtection="1">
      <alignment horizontal="right"/>
      <protection locked="0"/>
    </xf>
    <xf numFmtId="167" fontId="204" fillId="41" borderId="178" xfId="815" applyFont="1" applyFill="1" applyBorder="1"/>
    <xf numFmtId="168" fontId="207" fillId="41" borderId="189" xfId="43185" applyNumberFormat="1" applyFont="1" applyFill="1" applyBorder="1" applyAlignment="1" applyProtection="1">
      <alignment horizontal="right"/>
      <protection locked="0"/>
    </xf>
    <xf numFmtId="165" fontId="207" fillId="41" borderId="189" xfId="43184" applyFont="1" applyFill="1" applyBorder="1" applyAlignment="1" applyProtection="1">
      <alignment horizontal="right"/>
      <protection locked="0"/>
    </xf>
    <xf numFmtId="0" fontId="207" fillId="97" borderId="189" xfId="2697" applyFont="1" applyFill="1" applyBorder="1"/>
    <xf numFmtId="167" fontId="207" fillId="97" borderId="189" xfId="2697" applyNumberFormat="1" applyFont="1" applyFill="1" applyBorder="1"/>
    <xf numFmtId="0" fontId="229" fillId="0" borderId="189" xfId="2697" applyFont="1" applyBorder="1"/>
    <xf numFmtId="170" fontId="204" fillId="0" borderId="189" xfId="43183" applyNumberFormat="1" applyFont="1" applyFill="1" applyBorder="1" applyAlignment="1">
      <alignment vertical="center" wrapText="1"/>
    </xf>
    <xf numFmtId="170" fontId="207" fillId="41" borderId="189" xfId="43183" applyNumberFormat="1" applyFont="1" applyFill="1" applyBorder="1" applyAlignment="1" applyProtection="1">
      <alignment vertical="center"/>
    </xf>
    <xf numFmtId="165" fontId="207" fillId="0" borderId="189" xfId="43184" applyFont="1" applyFill="1" applyBorder="1" applyAlignment="1" applyProtection="1">
      <alignment vertical="center"/>
    </xf>
    <xf numFmtId="0" fontId="207" fillId="97" borderId="189" xfId="0" applyFont="1" applyFill="1" applyBorder="1" applyAlignment="1" applyProtection="1">
      <alignment horizontal="left"/>
      <protection hidden="1"/>
    </xf>
    <xf numFmtId="43" fontId="207" fillId="97" borderId="189" xfId="43183" applyFont="1" applyFill="1" applyBorder="1" applyAlignment="1" applyProtection="1">
      <alignment vertical="center"/>
    </xf>
    <xf numFmtId="165" fontId="207" fillId="97" borderId="189" xfId="43184" applyFont="1" applyFill="1" applyBorder="1" applyAlignment="1" applyProtection="1">
      <alignment vertical="center"/>
    </xf>
    <xf numFmtId="0" fontId="109" fillId="58" borderId="191" xfId="834" applyFont="1" applyFill="1" applyBorder="1" applyAlignment="1" applyProtection="1">
      <alignment horizontal="left" vertical="center"/>
    </xf>
    <xf numFmtId="0" fontId="109" fillId="58" borderId="195" xfId="834" applyFont="1" applyFill="1" applyBorder="1" applyAlignment="1" applyProtection="1">
      <alignment horizontal="left" vertical="center"/>
    </xf>
    <xf numFmtId="0" fontId="109" fillId="56" borderId="191" xfId="834" applyFont="1" applyFill="1" applyBorder="1" applyAlignment="1" applyProtection="1">
      <alignment horizontal="left" vertical="center"/>
    </xf>
    <xf numFmtId="0" fontId="109" fillId="56" borderId="195" xfId="834" applyFont="1" applyFill="1" applyBorder="1" applyAlignment="1" applyProtection="1">
      <alignment horizontal="left" vertical="center"/>
    </xf>
    <xf numFmtId="0" fontId="207" fillId="97" borderId="194" xfId="0" applyFont="1" applyFill="1" applyBorder="1" applyAlignment="1" applyProtection="1">
      <alignment horizontal="left"/>
      <protection hidden="1"/>
    </xf>
    <xf numFmtId="0" fontId="207" fillId="0" borderId="189" xfId="2697" applyFont="1" applyBorder="1" applyAlignment="1">
      <alignment horizontal="left"/>
    </xf>
    <xf numFmtId="165" fontId="207" fillId="0" borderId="189" xfId="2697" applyNumberFormat="1" applyFont="1" applyBorder="1"/>
    <xf numFmtId="168" fontId="204" fillId="0" borderId="196" xfId="863" applyFont="1" applyBorder="1"/>
    <xf numFmtId="0" fontId="204" fillId="97" borderId="194" xfId="0" applyFont="1" applyFill="1" applyBorder="1" applyAlignment="1" applyProtection="1">
      <alignment horizontal="left"/>
      <protection hidden="1"/>
    </xf>
    <xf numFmtId="165" fontId="204" fillId="0" borderId="194" xfId="43184" applyFont="1" applyBorder="1"/>
    <xf numFmtId="168" fontId="204" fillId="0" borderId="190" xfId="863" applyFont="1" applyBorder="1"/>
    <xf numFmtId="0" fontId="204" fillId="97" borderId="178" xfId="0" applyFont="1" applyFill="1" applyBorder="1" applyAlignment="1" applyProtection="1">
      <alignment horizontal="left"/>
      <protection hidden="1"/>
    </xf>
    <xf numFmtId="165" fontId="204" fillId="0" borderId="178" xfId="43184" applyFont="1" applyBorder="1"/>
    <xf numFmtId="14" fontId="109" fillId="56" borderId="195" xfId="834" applyNumberFormat="1" applyFont="1" applyFill="1" applyBorder="1" applyAlignment="1" applyProtection="1">
      <alignment horizontal="left" vertical="center"/>
    </xf>
    <xf numFmtId="0" fontId="216" fillId="43" borderId="189" xfId="0" applyFont="1" applyFill="1" applyBorder="1" applyAlignment="1">
      <alignment horizontal="center"/>
    </xf>
    <xf numFmtId="0" fontId="212" fillId="59" borderId="189" xfId="907" applyFont="1" applyFill="1" applyBorder="1"/>
    <xf numFmtId="219" fontId="212" fillId="59" borderId="189" xfId="863" applyNumberFormat="1" applyFont="1" applyFill="1" applyBorder="1"/>
    <xf numFmtId="0" fontId="204" fillId="0" borderId="189" xfId="907" applyFont="1" applyBorder="1" applyAlignment="1">
      <alignment horizontal="left" indent="1"/>
    </xf>
    <xf numFmtId="219" fontId="217" fillId="41" borderId="189" xfId="863" applyNumberFormat="1" applyFont="1" applyFill="1" applyBorder="1"/>
    <xf numFmtId="168" fontId="204" fillId="0" borderId="178" xfId="863" applyFont="1" applyBorder="1"/>
    <xf numFmtId="0" fontId="209" fillId="43" borderId="178" xfId="0" applyFont="1" applyFill="1" applyBorder="1"/>
    <xf numFmtId="0" fontId="209" fillId="43" borderId="178" xfId="0" applyFont="1" applyFill="1" applyBorder="1" applyAlignment="1">
      <alignment horizontal="center"/>
    </xf>
    <xf numFmtId="0" fontId="204" fillId="0" borderId="194" xfId="0" applyFont="1" applyBorder="1"/>
    <xf numFmtId="44" fontId="204" fillId="0" borderId="194" xfId="863" applyNumberFormat="1" applyFont="1" applyBorder="1"/>
    <xf numFmtId="0" fontId="207" fillId="0" borderId="178" xfId="907" applyFont="1" applyBorder="1"/>
    <xf numFmtId="214" fontId="207" fillId="0" borderId="178" xfId="0" applyNumberFormat="1" applyFont="1" applyBorder="1"/>
    <xf numFmtId="168" fontId="204" fillId="0" borderId="194" xfId="863" applyFont="1" applyBorder="1"/>
    <xf numFmtId="168" fontId="204" fillId="100" borderId="178" xfId="863" applyFont="1" applyFill="1" applyBorder="1"/>
    <xf numFmtId="0" fontId="207" fillId="59" borderId="189" xfId="907" applyFont="1" applyFill="1" applyBorder="1"/>
    <xf numFmtId="170" fontId="207" fillId="59" borderId="189" xfId="907" applyNumberFormat="1" applyFont="1" applyFill="1" applyBorder="1"/>
    <xf numFmtId="168" fontId="207" fillId="59" borderId="189" xfId="863" applyFont="1" applyFill="1" applyBorder="1"/>
    <xf numFmtId="167" fontId="207" fillId="59" borderId="189" xfId="907" applyNumberFormat="1" applyFont="1" applyFill="1" applyBorder="1"/>
    <xf numFmtId="0" fontId="204" fillId="0" borderId="194" xfId="907" applyFont="1" applyBorder="1"/>
    <xf numFmtId="168" fontId="204" fillId="61" borderId="194" xfId="863" applyFont="1" applyFill="1" applyBorder="1"/>
    <xf numFmtId="168" fontId="204" fillId="0" borderId="194" xfId="863" applyFont="1" applyFill="1" applyBorder="1"/>
    <xf numFmtId="168" fontId="204" fillId="44" borderId="194" xfId="863" applyFont="1" applyFill="1" applyBorder="1"/>
    <xf numFmtId="0" fontId="216" fillId="43" borderId="194" xfId="0" applyFont="1" applyFill="1" applyBorder="1" applyAlignment="1">
      <alignment horizontal="center" vertical="center" wrapText="1"/>
    </xf>
    <xf numFmtId="0" fontId="216" fillId="43" borderId="189" xfId="0" applyFont="1" applyFill="1" applyBorder="1" applyAlignment="1">
      <alignment horizontal="center" vertical="center" wrapText="1"/>
    </xf>
    <xf numFmtId="0" fontId="296" fillId="43" borderId="192" xfId="907" applyFont="1" applyFill="1" applyBorder="1"/>
    <xf numFmtId="0" fontId="296" fillId="43" borderId="194" xfId="907" applyFont="1" applyFill="1" applyBorder="1"/>
    <xf numFmtId="0" fontId="296" fillId="43" borderId="193" xfId="907" applyFont="1" applyFill="1" applyBorder="1"/>
    <xf numFmtId="0" fontId="293" fillId="43" borderId="191" xfId="907" applyFont="1" applyFill="1" applyBorder="1"/>
    <xf numFmtId="0" fontId="293" fillId="43" borderId="189" xfId="907" applyFont="1" applyFill="1" applyBorder="1"/>
    <xf numFmtId="0" fontId="293" fillId="43" borderId="190" xfId="907" applyFont="1" applyFill="1" applyBorder="1"/>
    <xf numFmtId="0" fontId="207" fillId="97" borderId="189" xfId="0" applyFont="1" applyFill="1" applyBorder="1"/>
    <xf numFmtId="0" fontId="297" fillId="97" borderId="189" xfId="0" applyFont="1" applyFill="1" applyBorder="1"/>
    <xf numFmtId="0" fontId="215" fillId="97" borderId="189" xfId="0" applyFont="1" applyFill="1" applyBorder="1"/>
    <xf numFmtId="168" fontId="207" fillId="97" borderId="189" xfId="0" applyNumberFormat="1" applyFont="1" applyFill="1" applyBorder="1"/>
    <xf numFmtId="272" fontId="207" fillId="97" borderId="189" xfId="863" applyNumberFormat="1" applyFont="1" applyFill="1" applyBorder="1"/>
    <xf numFmtId="43" fontId="207" fillId="97" borderId="189" xfId="0" applyNumberFormat="1" applyFont="1" applyFill="1" applyBorder="1"/>
    <xf numFmtId="0" fontId="293" fillId="43" borderId="191" xfId="907" applyFont="1" applyFill="1" applyBorder="1" applyAlignment="1">
      <alignment vertical="center"/>
    </xf>
    <xf numFmtId="0" fontId="293" fillId="43" borderId="189" xfId="907" applyFont="1" applyFill="1" applyBorder="1" applyAlignment="1">
      <alignment horizontal="center" vertical="center"/>
    </xf>
    <xf numFmtId="0" fontId="293" fillId="43" borderId="190" xfId="907" applyFont="1" applyFill="1" applyBorder="1" applyAlignment="1">
      <alignment vertical="center"/>
    </xf>
    <xf numFmtId="0" fontId="293" fillId="43" borderId="189" xfId="907" applyFont="1" applyFill="1" applyBorder="1" applyAlignment="1">
      <alignment vertical="center"/>
    </xf>
    <xf numFmtId="0" fontId="293" fillId="120" borderId="192" xfId="907" applyFont="1" applyFill="1" applyBorder="1"/>
    <xf numFmtId="0" fontId="293" fillId="120" borderId="194" xfId="907" applyFont="1" applyFill="1" applyBorder="1" applyAlignment="1">
      <alignment horizontal="center" wrapText="1"/>
    </xf>
    <xf numFmtId="0" fontId="293" fillId="120" borderId="194" xfId="907" applyFont="1" applyFill="1" applyBorder="1" applyAlignment="1">
      <alignment horizontal="center"/>
    </xf>
    <xf numFmtId="0" fontId="293" fillId="120" borderId="193" xfId="907" applyFont="1" applyFill="1" applyBorder="1" applyAlignment="1">
      <alignment horizontal="center"/>
    </xf>
    <xf numFmtId="0" fontId="294" fillId="0" borderId="192" xfId="907" applyFont="1" applyBorder="1"/>
    <xf numFmtId="217" fontId="295" fillId="0" borderId="194" xfId="847" applyNumberFormat="1" applyFont="1" applyFill="1" applyBorder="1"/>
    <xf numFmtId="43" fontId="295" fillId="0" borderId="194" xfId="43408" applyFont="1" applyFill="1" applyBorder="1"/>
    <xf numFmtId="43" fontId="294" fillId="0" borderId="193" xfId="43408" applyFont="1" applyFill="1" applyBorder="1"/>
    <xf numFmtId="219" fontId="294" fillId="121" borderId="189" xfId="43408" applyNumberFormat="1" applyFont="1" applyFill="1" applyBorder="1"/>
    <xf numFmtId="43" fontId="295" fillId="121" borderId="189" xfId="43408" applyFont="1" applyFill="1" applyBorder="1"/>
    <xf numFmtId="167" fontId="295" fillId="121" borderId="195" xfId="815" applyFont="1" applyFill="1" applyBorder="1"/>
    <xf numFmtId="0" fontId="295" fillId="0" borderId="194" xfId="0" applyFont="1" applyBorder="1"/>
    <xf numFmtId="0" fontId="237" fillId="0" borderId="178" xfId="907" applyFont="1" applyBorder="1" applyAlignment="1">
      <alignment horizontal="left"/>
    </xf>
    <xf numFmtId="0" fontId="232" fillId="33" borderId="178" xfId="829" applyFont="1" applyFill="1" applyBorder="1"/>
    <xf numFmtId="0" fontId="204" fillId="33" borderId="178" xfId="831" applyFont="1" applyFill="1" applyBorder="1" applyAlignment="1">
      <alignment vertical="center"/>
    </xf>
    <xf numFmtId="170" fontId="204" fillId="33" borderId="178" xfId="863" applyNumberFormat="1" applyFont="1" applyFill="1" applyBorder="1" applyAlignment="1">
      <alignment vertical="center"/>
    </xf>
    <xf numFmtId="10" fontId="210" fillId="0" borderId="178" xfId="0" applyNumberFormat="1" applyFont="1" applyBorder="1" applyAlignment="1">
      <alignment horizontal="center"/>
    </xf>
    <xf numFmtId="0" fontId="222" fillId="33" borderId="197" xfId="831" applyFont="1" applyFill="1" applyBorder="1" applyAlignment="1">
      <alignment horizontal="left" vertical="center"/>
    </xf>
    <xf numFmtId="0" fontId="211" fillId="43" borderId="189" xfId="0" applyFont="1" applyFill="1" applyBorder="1" applyAlignment="1">
      <alignment horizontal="center" vertical="center" wrapText="1"/>
    </xf>
    <xf numFmtId="0" fontId="204" fillId="0" borderId="178" xfId="831" applyFont="1" applyBorder="1" applyAlignment="1">
      <alignment vertical="center"/>
    </xf>
    <xf numFmtId="168" fontId="204" fillId="33" borderId="178" xfId="863" applyFont="1" applyFill="1" applyBorder="1" applyAlignment="1" applyProtection="1">
      <alignment horizontal="center" vertical="center"/>
      <protection locked="0"/>
    </xf>
    <xf numFmtId="0" fontId="206" fillId="38" borderId="191" xfId="905" applyFont="1" applyFill="1" applyBorder="1" applyAlignment="1">
      <alignment horizontal="center" vertical="center"/>
    </xf>
    <xf numFmtId="0" fontId="206" fillId="38" borderId="189" xfId="905" applyFont="1" applyFill="1" applyBorder="1" applyAlignment="1">
      <alignment vertical="center"/>
    </xf>
    <xf numFmtId="0" fontId="206" fillId="38" borderId="195" xfId="905" applyFont="1" applyFill="1" applyBorder="1" applyAlignment="1">
      <alignment vertical="center"/>
    </xf>
    <xf numFmtId="176" fontId="42" fillId="41" borderId="199" xfId="863" applyNumberFormat="1" applyFont="1" applyFill="1" applyBorder="1" applyAlignment="1">
      <alignment vertical="center"/>
    </xf>
    <xf numFmtId="176" fontId="204" fillId="0" borderId="190" xfId="863" applyNumberFormat="1" applyFont="1" applyFill="1" applyBorder="1" applyAlignment="1">
      <alignment vertical="center"/>
    </xf>
    <xf numFmtId="168" fontId="207" fillId="33" borderId="190" xfId="831" applyNumberFormat="1" applyFont="1" applyFill="1" applyBorder="1" applyAlignment="1">
      <alignment vertical="center"/>
    </xf>
    <xf numFmtId="168" fontId="207" fillId="33" borderId="190" xfId="863" applyFont="1" applyFill="1" applyBorder="1" applyAlignment="1">
      <alignment vertical="center"/>
    </xf>
    <xf numFmtId="168" fontId="211" fillId="0" borderId="178" xfId="863" applyFont="1" applyFill="1" applyBorder="1" applyAlignment="1">
      <alignment horizontal="center" vertical="center"/>
    </xf>
    <xf numFmtId="17" fontId="206" fillId="38" borderId="190" xfId="905" applyNumberFormat="1" applyFont="1" applyFill="1" applyBorder="1" applyAlignment="1">
      <alignment horizontal="center" vertical="center"/>
    </xf>
    <xf numFmtId="0" fontId="32" fillId="33" borderId="190" xfId="907" applyFont="1" applyFill="1" applyBorder="1" applyAlignment="1">
      <alignment horizontal="center" vertical="center"/>
    </xf>
    <xf numFmtId="4" fontId="207" fillId="33" borderId="190" xfId="831" applyNumberFormat="1" applyFont="1" applyFill="1" applyBorder="1" applyAlignment="1">
      <alignment horizontal="right" vertical="center"/>
    </xf>
    <xf numFmtId="4" fontId="204" fillId="33" borderId="190" xfId="863" applyNumberFormat="1" applyFont="1" applyFill="1" applyBorder="1" applyAlignment="1">
      <alignment horizontal="right" vertical="center"/>
    </xf>
    <xf numFmtId="17" fontId="38" fillId="38" borderId="190" xfId="905" applyNumberFormat="1" applyFont="1" applyFill="1" applyBorder="1" applyAlignment="1">
      <alignment horizontal="center" vertical="center"/>
    </xf>
    <xf numFmtId="17" fontId="38" fillId="38" borderId="190" xfId="905" applyNumberFormat="1" applyFont="1" applyFill="1" applyBorder="1" applyAlignment="1">
      <alignment horizontal="center" vertical="center" wrapText="1"/>
    </xf>
    <xf numFmtId="17" fontId="38" fillId="38" borderId="199" xfId="905" applyNumberFormat="1" applyFont="1" applyFill="1" applyBorder="1" applyAlignment="1">
      <alignment horizontal="center" vertical="center" wrapText="1"/>
    </xf>
    <xf numFmtId="176" fontId="32" fillId="0" borderId="190" xfId="907" applyNumberFormat="1" applyFont="1" applyBorder="1" applyAlignment="1">
      <alignment horizontal="center" vertical="center"/>
    </xf>
    <xf numFmtId="171" fontId="29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29" fillId="0" borderId="196" xfId="863" applyBorder="1"/>
    <xf numFmtId="17" fontId="37" fillId="38" borderId="195" xfId="905" applyNumberFormat="1" applyFont="1" applyFill="1" applyBorder="1" applyAlignment="1">
      <alignment horizontal="center" vertical="center" wrapText="1"/>
    </xf>
    <xf numFmtId="17" fontId="37" fillId="38" borderId="190" xfId="905" applyNumberFormat="1" applyFont="1" applyFill="1" applyBorder="1" applyAlignment="1">
      <alignment horizontal="center" vertical="center" wrapText="1"/>
    </xf>
    <xf numFmtId="0" fontId="29" fillId="0" borderId="190" xfId="907" applyBorder="1"/>
    <xf numFmtId="168" fontId="29" fillId="0" borderId="190" xfId="863" applyFont="1" applyFill="1" applyBorder="1" applyAlignment="1"/>
    <xf numFmtId="171" fontId="29" fillId="0" borderId="199" xfId="907" applyNumberFormat="1" applyBorder="1" applyAlignment="1">
      <alignment horizontal="center"/>
    </xf>
    <xf numFmtId="168" fontId="0" fillId="9" borderId="199" xfId="863" applyFont="1" applyFill="1" applyBorder="1"/>
    <xf numFmtId="168" fontId="29" fillId="0" borderId="199" xfId="863" applyBorder="1"/>
    <xf numFmtId="0" fontId="32" fillId="0" borderId="190" xfId="907" applyFont="1" applyBorder="1" applyAlignment="1">
      <alignment horizontal="center" vertical="center"/>
    </xf>
    <xf numFmtId="0" fontId="207" fillId="97" borderId="189" xfId="831" applyFont="1" applyFill="1" applyBorder="1" applyAlignment="1">
      <alignment horizontal="center"/>
    </xf>
    <xf numFmtId="4" fontId="207" fillId="97" borderId="189" xfId="831" applyNumberFormat="1" applyFont="1" applyFill="1" applyBorder="1" applyAlignment="1">
      <alignment horizontal="right"/>
    </xf>
    <xf numFmtId="170" fontId="207" fillId="97" borderId="189" xfId="863" applyNumberFormat="1" applyFont="1" applyFill="1" applyBorder="1" applyAlignment="1">
      <alignment horizontal="right"/>
    </xf>
    <xf numFmtId="0" fontId="204" fillId="33" borderId="189" xfId="831" applyFont="1" applyFill="1" applyBorder="1" applyAlignment="1">
      <alignment vertical="center"/>
    </xf>
    <xf numFmtId="170" fontId="207" fillId="97" borderId="189" xfId="863" applyNumberFormat="1" applyFont="1" applyFill="1" applyBorder="1" applyAlignment="1">
      <alignment horizontal="center"/>
    </xf>
    <xf numFmtId="4" fontId="207" fillId="0" borderId="189" xfId="831" applyNumberFormat="1" applyFont="1" applyBorder="1" applyAlignment="1">
      <alignment vertical="center"/>
    </xf>
    <xf numFmtId="14" fontId="207" fillId="42" borderId="189" xfId="863" applyNumberFormat="1" applyFont="1" applyFill="1" applyBorder="1" applyAlignment="1">
      <alignment horizontal="center" vertical="top" wrapText="1"/>
    </xf>
    <xf numFmtId="216" fontId="207" fillId="97" borderId="189" xfId="863" applyNumberFormat="1" applyFont="1" applyFill="1" applyBorder="1" applyAlignment="1">
      <alignment horizontal="center"/>
    </xf>
    <xf numFmtId="0" fontId="238" fillId="33" borderId="178" xfId="829" applyFont="1" applyFill="1" applyBorder="1"/>
    <xf numFmtId="0" fontId="0" fillId="0" borderId="178" xfId="0" applyBorder="1"/>
    <xf numFmtId="0" fontId="211" fillId="43" borderId="189" xfId="0" applyFont="1" applyFill="1" applyBorder="1"/>
    <xf numFmtId="167" fontId="207" fillId="0" borderId="189" xfId="815" applyFont="1" applyBorder="1"/>
    <xf numFmtId="10" fontId="204" fillId="44" borderId="189" xfId="847" applyNumberFormat="1" applyFont="1" applyFill="1" applyBorder="1" applyAlignment="1">
      <alignment horizontal="right"/>
    </xf>
    <xf numFmtId="10" fontId="204" fillId="45" borderId="189" xfId="847" applyNumberFormat="1" applyFont="1" applyFill="1" applyBorder="1" applyAlignment="1">
      <alignment horizontal="right"/>
    </xf>
    <xf numFmtId="0" fontId="235" fillId="43" borderId="189" xfId="0" applyFont="1" applyFill="1" applyBorder="1" applyAlignment="1">
      <alignment horizontal="center" vertical="center" wrapText="1"/>
    </xf>
    <xf numFmtId="168" fontId="204" fillId="54" borderId="178" xfId="903" applyFont="1" applyFill="1" applyBorder="1" applyAlignment="1">
      <alignment horizontal="left" vertical="top" wrapText="1"/>
    </xf>
    <xf numFmtId="276" fontId="204" fillId="111" borderId="178" xfId="863" applyNumberFormat="1" applyFont="1" applyFill="1" applyBorder="1" applyAlignment="1">
      <alignment horizontal="right"/>
    </xf>
    <xf numFmtId="168" fontId="204" fillId="54" borderId="194" xfId="903" applyFont="1" applyFill="1" applyBorder="1" applyAlignment="1">
      <alignment horizontal="left" vertical="top"/>
    </xf>
    <xf numFmtId="168" fontId="204" fillId="54" borderId="194" xfId="903" applyFont="1" applyFill="1" applyBorder="1" applyAlignment="1">
      <alignment horizontal="right"/>
    </xf>
    <xf numFmtId="0" fontId="207" fillId="0" borderId="189" xfId="0" applyFont="1" applyBorder="1"/>
    <xf numFmtId="167" fontId="207" fillId="0" borderId="189" xfId="0" applyNumberFormat="1" applyFont="1" applyBorder="1"/>
    <xf numFmtId="0" fontId="204" fillId="0" borderId="194" xfId="0" applyFont="1" applyBorder="1" applyAlignment="1">
      <alignment horizontal="left"/>
    </xf>
    <xf numFmtId="167" fontId="204" fillId="111" borderId="194" xfId="815" applyFont="1" applyFill="1" applyBorder="1"/>
    <xf numFmtId="168" fontId="42" fillId="41" borderId="178" xfId="903" applyFont="1" applyFill="1" applyBorder="1" applyAlignment="1">
      <alignment horizontal="left" vertical="top" wrapText="1"/>
    </xf>
    <xf numFmtId="168" fontId="42" fillId="41" borderId="178" xfId="863" applyFont="1" applyFill="1" applyBorder="1" applyAlignment="1">
      <alignment horizontal="right"/>
    </xf>
    <xf numFmtId="168" fontId="204" fillId="41" borderId="178" xfId="903" applyFont="1" applyFill="1" applyBorder="1" applyAlignment="1">
      <alignment horizontal="left" vertical="top" wrapText="1"/>
    </xf>
    <xf numFmtId="167" fontId="204" fillId="41" borderId="178" xfId="815" applyFont="1" applyFill="1" applyBorder="1" applyAlignment="1">
      <alignment horizontal="right"/>
    </xf>
    <xf numFmtId="167" fontId="204" fillId="0" borderId="194" xfId="815" applyFont="1" applyFill="1" applyBorder="1"/>
    <xf numFmtId="168" fontId="109" fillId="41" borderId="178" xfId="903" applyFont="1" applyFill="1" applyBorder="1" applyAlignment="1">
      <alignment horizontal="left" vertical="top" wrapText="1"/>
    </xf>
    <xf numFmtId="167" fontId="109" fillId="41" borderId="178" xfId="815" applyFont="1" applyFill="1" applyBorder="1" applyAlignment="1">
      <alignment horizontal="right"/>
    </xf>
    <xf numFmtId="0" fontId="204" fillId="0" borderId="178" xfId="0" applyFont="1" applyBorder="1" applyAlignment="1">
      <alignment horizontal="left"/>
    </xf>
    <xf numFmtId="167" fontId="204" fillId="111" borderId="178" xfId="815" applyFont="1" applyFill="1" applyBorder="1"/>
    <xf numFmtId="167" fontId="204" fillId="0" borderId="178" xfId="815" applyFont="1" applyFill="1" applyBorder="1"/>
    <xf numFmtId="0" fontId="204" fillId="0" borderId="189" xfId="0" applyFont="1" applyBorder="1"/>
    <xf numFmtId="4" fontId="204" fillId="0" borderId="189" xfId="0" applyNumberFormat="1" applyFont="1" applyBorder="1"/>
    <xf numFmtId="43" fontId="204" fillId="0" borderId="194" xfId="0" applyNumberFormat="1" applyFont="1" applyBorder="1"/>
    <xf numFmtId="167" fontId="204" fillId="0" borderId="194" xfId="0" applyNumberFormat="1" applyFont="1" applyBorder="1"/>
    <xf numFmtId="43" fontId="204" fillId="0" borderId="178" xfId="0" applyNumberFormat="1" applyFont="1" applyBorder="1"/>
    <xf numFmtId="167" fontId="204" fillId="0" borderId="178" xfId="0" applyNumberFormat="1" applyFont="1" applyBorder="1"/>
    <xf numFmtId="165" fontId="204" fillId="0" borderId="194" xfId="0" applyNumberFormat="1" applyFont="1" applyBorder="1"/>
    <xf numFmtId="165" fontId="204" fillId="0" borderId="178" xfId="0" applyNumberFormat="1" applyFont="1" applyBorder="1"/>
    <xf numFmtId="10" fontId="232" fillId="0" borderId="178" xfId="0" applyNumberFormat="1" applyFont="1" applyBorder="1" applyAlignment="1">
      <alignment horizontal="left"/>
    </xf>
    <xf numFmtId="0" fontId="204" fillId="33" borderId="178" xfId="829" applyFont="1" applyFill="1" applyBorder="1" applyAlignment="1">
      <alignment horizontal="center"/>
    </xf>
    <xf numFmtId="0" fontId="285" fillId="43" borderId="194" xfId="832" applyFont="1" applyFill="1" applyBorder="1" applyAlignment="1">
      <alignment horizontal="center"/>
    </xf>
    <xf numFmtId="167" fontId="281" fillId="0" borderId="194" xfId="815" applyFont="1" applyBorder="1"/>
    <xf numFmtId="0" fontId="285" fillId="43" borderId="178" xfId="832" applyFont="1" applyFill="1" applyBorder="1" applyAlignment="1">
      <alignment horizontal="center"/>
    </xf>
    <xf numFmtId="167" fontId="281" fillId="0" borderId="178" xfId="815" applyFont="1" applyFill="1" applyBorder="1"/>
    <xf numFmtId="4" fontId="109" fillId="0" borderId="189" xfId="43199" applyNumberFormat="1" applyFont="1" applyFill="1" applyBorder="1" applyAlignment="1">
      <alignment vertical="center"/>
    </xf>
    <xf numFmtId="0" fontId="286" fillId="43" borderId="192" xfId="0" applyFont="1" applyFill="1" applyBorder="1"/>
    <xf numFmtId="167" fontId="281" fillId="0" borderId="194" xfId="815" applyFont="1" applyFill="1" applyBorder="1"/>
    <xf numFmtId="10" fontId="281" fillId="0" borderId="193" xfId="847" applyNumberFormat="1" applyFont="1" applyFill="1" applyBorder="1" applyAlignment="1">
      <alignment horizontal="center"/>
    </xf>
    <xf numFmtId="0" fontId="286" fillId="43" borderId="189" xfId="0" applyFont="1" applyFill="1" applyBorder="1"/>
    <xf numFmtId="40" fontId="288" fillId="43" borderId="189" xfId="0" applyNumberFormat="1" applyFont="1" applyFill="1" applyBorder="1"/>
    <xf numFmtId="10" fontId="288" fillId="43" borderId="189" xfId="0" applyNumberFormat="1" applyFont="1" applyFill="1" applyBorder="1" applyAlignment="1">
      <alignment horizontal="center"/>
    </xf>
    <xf numFmtId="0" fontId="204" fillId="0" borderId="190" xfId="0" applyFont="1" applyBorder="1"/>
    <xf numFmtId="10" fontId="282" fillId="0" borderId="0" xfId="2578" applyNumberFormat="1" applyFont="1" applyFill="1" applyBorder="1" applyAlignment="1">
      <alignment horizontal="center" vertical="center"/>
    </xf>
    <xf numFmtId="170" fontId="282" fillId="0" borderId="0" xfId="863" applyNumberFormat="1" applyFont="1" applyBorder="1" applyAlignment="1">
      <alignment vertical="center"/>
    </xf>
    <xf numFmtId="0" fontId="250" fillId="58" borderId="192" xfId="834" applyFont="1" applyFill="1" applyBorder="1" applyAlignment="1" applyProtection="1">
      <alignment horizontal="left" vertical="center"/>
    </xf>
    <xf numFmtId="0" fontId="249" fillId="0" borderId="194" xfId="43437" quotePrefix="1" applyFont="1" applyBorder="1" applyAlignment="1">
      <alignment horizontal="left" vertical="center"/>
    </xf>
    <xf numFmtId="278" fontId="249" fillId="41" borderId="194" xfId="43439" applyNumberFormat="1" applyFont="1" applyFill="1" applyBorder="1" applyAlignment="1">
      <alignment vertical="center" wrapText="1"/>
    </xf>
    <xf numFmtId="0" fontId="249" fillId="0" borderId="196" xfId="43437" quotePrefix="1" applyFont="1" applyBorder="1" applyAlignment="1">
      <alignment horizontal="left" vertical="center"/>
    </xf>
    <xf numFmtId="170" fontId="311" fillId="42" borderId="196" xfId="863" applyNumberFormat="1" applyFont="1" applyFill="1" applyBorder="1" applyAlignment="1">
      <alignment vertical="center"/>
    </xf>
    <xf numFmtId="170" fontId="308" fillId="42" borderId="199" xfId="863" applyNumberFormat="1" applyFont="1" applyFill="1" applyBorder="1" applyAlignment="1">
      <alignment vertical="center"/>
    </xf>
    <xf numFmtId="170" fontId="249" fillId="42" borderId="196" xfId="863" applyNumberFormat="1" applyFont="1" applyFill="1" applyBorder="1" applyAlignment="1">
      <alignment vertical="center"/>
    </xf>
    <xf numFmtId="0" fontId="249" fillId="0" borderId="199" xfId="43437" quotePrefix="1" applyFont="1" applyBorder="1" applyAlignment="1">
      <alignment horizontal="left" vertical="center"/>
    </xf>
    <xf numFmtId="170" fontId="249" fillId="33" borderId="199" xfId="863" applyNumberFormat="1" applyFont="1" applyFill="1" applyBorder="1" applyAlignment="1">
      <alignment vertical="center"/>
    </xf>
    <xf numFmtId="0" fontId="259" fillId="101" borderId="189" xfId="43438" applyFont="1" applyFill="1" applyBorder="1" applyAlignment="1">
      <alignment horizontal="center" vertical="center" wrapText="1"/>
    </xf>
    <xf numFmtId="0" fontId="249" fillId="0" borderId="200" xfId="43437" quotePrefix="1" applyFont="1" applyBorder="1" applyAlignment="1">
      <alignment horizontal="left" vertical="center"/>
    </xf>
    <xf numFmtId="170" fontId="249" fillId="41" borderId="201" xfId="863" applyNumberFormat="1" applyFont="1" applyFill="1" applyBorder="1" applyAlignment="1">
      <alignment vertical="center" wrapText="1"/>
    </xf>
    <xf numFmtId="170" fontId="249" fillId="41" borderId="194" xfId="863" applyNumberFormat="1" applyFont="1" applyFill="1" applyBorder="1" applyAlignment="1">
      <alignment vertical="center" wrapText="1"/>
    </xf>
    <xf numFmtId="170" fontId="249" fillId="41" borderId="194" xfId="863" applyNumberFormat="1" applyFont="1" applyFill="1" applyBorder="1" applyAlignment="1">
      <alignment vertical="center"/>
    </xf>
    <xf numFmtId="170" fontId="250" fillId="60" borderId="189" xfId="863" applyNumberFormat="1" applyFont="1" applyFill="1" applyBorder="1" applyAlignment="1">
      <alignment vertical="center" wrapText="1"/>
    </xf>
    <xf numFmtId="0" fontId="259" fillId="38" borderId="189" xfId="43438" applyFont="1" applyFill="1" applyBorder="1" applyAlignment="1">
      <alignment horizontal="center" vertical="center" wrapText="1"/>
    </xf>
    <xf numFmtId="0" fontId="249" fillId="122" borderId="194" xfId="43437" applyFont="1" applyFill="1" applyBorder="1" applyAlignment="1">
      <alignment vertical="center" wrapText="1"/>
    </xf>
    <xf numFmtId="0" fontId="313" fillId="55" borderId="192" xfId="0" applyFont="1" applyFill="1" applyBorder="1" applyAlignment="1">
      <alignment vertical="center"/>
    </xf>
    <xf numFmtId="0" fontId="313" fillId="55" borderId="202" xfId="0" applyFont="1" applyFill="1" applyBorder="1" applyAlignment="1">
      <alignment vertical="center"/>
    </xf>
    <xf numFmtId="170" fontId="249" fillId="0" borderId="196" xfId="863" applyNumberFormat="1" applyFont="1" applyBorder="1" applyAlignment="1">
      <alignment vertical="center"/>
    </xf>
    <xf numFmtId="170" fontId="249" fillId="0" borderId="192" xfId="863" applyNumberFormat="1" applyFont="1" applyBorder="1" applyAlignment="1">
      <alignment vertical="center"/>
    </xf>
    <xf numFmtId="272" fontId="249" fillId="0" borderId="196" xfId="863" applyNumberFormat="1" applyFont="1" applyBorder="1" applyAlignment="1">
      <alignment vertical="center"/>
    </xf>
    <xf numFmtId="170" fontId="249" fillId="0" borderId="193" xfId="863" applyNumberFormat="1" applyFont="1" applyBorder="1" applyAlignment="1">
      <alignment vertical="center"/>
    </xf>
    <xf numFmtId="170" fontId="249" fillId="0" borderId="199" xfId="863" applyNumberFormat="1" applyFont="1" applyBorder="1" applyAlignment="1">
      <alignment vertical="center"/>
    </xf>
    <xf numFmtId="272" fontId="249" fillId="0" borderId="199" xfId="863" applyNumberFormat="1" applyFont="1" applyBorder="1" applyAlignment="1">
      <alignment vertical="center"/>
    </xf>
    <xf numFmtId="0" fontId="249" fillId="0" borderId="191" xfId="0" applyFont="1" applyBorder="1" applyAlignment="1">
      <alignment horizontal="left" vertical="center"/>
    </xf>
    <xf numFmtId="279" fontId="249" fillId="0" borderId="189" xfId="0" applyNumberFormat="1" applyFont="1" applyBorder="1" applyAlignment="1">
      <alignment vertical="center"/>
    </xf>
    <xf numFmtId="170" fontId="249" fillId="0" borderId="190" xfId="863" applyNumberFormat="1" applyFont="1" applyBorder="1" applyAlignment="1">
      <alignment vertical="center"/>
    </xf>
    <xf numFmtId="0" fontId="250" fillId="0" borderId="191" xfId="0" applyFont="1" applyBorder="1" applyAlignment="1">
      <alignment vertical="center"/>
    </xf>
    <xf numFmtId="0" fontId="250" fillId="0" borderId="189" xfId="0" applyFont="1" applyBorder="1" applyAlignment="1">
      <alignment vertical="center"/>
    </xf>
    <xf numFmtId="170" fontId="250" fillId="0" borderId="190" xfId="863" applyNumberFormat="1" applyFont="1" applyFill="1" applyBorder="1" applyAlignment="1">
      <alignment vertical="center"/>
    </xf>
    <xf numFmtId="170" fontId="250" fillId="0" borderId="195" xfId="863" applyNumberFormat="1" applyFont="1" applyFill="1" applyBorder="1" applyAlignment="1">
      <alignment vertical="center"/>
    </xf>
    <xf numFmtId="170" fontId="250" fillId="0" borderId="199" xfId="863" applyNumberFormat="1" applyFont="1" applyFill="1" applyBorder="1" applyAlignment="1">
      <alignment vertical="center"/>
    </xf>
    <xf numFmtId="0" fontId="271" fillId="101" borderId="190" xfId="2697" applyFont="1" applyFill="1" applyBorder="1"/>
    <xf numFmtId="14" fontId="29" fillId="0" borderId="190" xfId="2697" applyNumberFormat="1" applyBorder="1"/>
    <xf numFmtId="0" fontId="29" fillId="0" borderId="190" xfId="2697" applyBorder="1"/>
    <xf numFmtId="43" fontId="29" fillId="0" borderId="190" xfId="2697" applyNumberFormat="1" applyBorder="1"/>
    <xf numFmtId="168" fontId="0" fillId="0" borderId="190" xfId="863" applyFont="1" applyBorder="1"/>
    <xf numFmtId="0" fontId="271" fillId="97" borderId="190" xfId="2697" applyFont="1" applyFill="1" applyBorder="1"/>
    <xf numFmtId="168" fontId="271" fillId="97" borderId="190" xfId="863" applyFont="1" applyFill="1" applyBorder="1"/>
    <xf numFmtId="0" fontId="116" fillId="55" borderId="189" xfId="2697" applyFont="1" applyFill="1" applyBorder="1" applyAlignment="1">
      <alignment horizontal="left" vertical="center" wrapText="1"/>
    </xf>
    <xf numFmtId="0" fontId="116" fillId="55" borderId="203" xfId="2697" applyFont="1" applyFill="1" applyBorder="1" applyAlignment="1">
      <alignment horizontal="center" vertical="center" wrapText="1"/>
    </xf>
    <xf numFmtId="0" fontId="42" fillId="0" borderId="194" xfId="2697" applyFont="1" applyBorder="1" applyAlignment="1">
      <alignment vertical="center"/>
    </xf>
    <xf numFmtId="0" fontId="42" fillId="0" borderId="193" xfId="2697" applyFont="1" applyBorder="1" applyAlignment="1">
      <alignment vertical="center"/>
    </xf>
    <xf numFmtId="269" fontId="42" fillId="0" borderId="192" xfId="2697" applyNumberFormat="1" applyFont="1" applyBorder="1" applyAlignment="1">
      <alignment vertical="center"/>
    </xf>
    <xf numFmtId="168" fontId="42" fillId="0" borderId="196" xfId="863" applyFont="1" applyBorder="1" applyAlignment="1">
      <alignment vertical="center"/>
    </xf>
    <xf numFmtId="269" fontId="42" fillId="0" borderId="196" xfId="2697" applyNumberFormat="1" applyFont="1" applyBorder="1" applyAlignment="1">
      <alignment vertical="center"/>
    </xf>
    <xf numFmtId="168" fontId="42" fillId="0" borderId="199" xfId="863" applyFont="1" applyBorder="1" applyAlignment="1">
      <alignment vertical="center"/>
    </xf>
    <xf numFmtId="269" fontId="42" fillId="0" borderId="199" xfId="2697" applyNumberFormat="1" applyFont="1" applyBorder="1" applyAlignment="1">
      <alignment vertical="center"/>
    </xf>
    <xf numFmtId="0" fontId="109" fillId="59" borderId="178" xfId="2697" applyFont="1" applyFill="1" applyBorder="1" applyAlignment="1">
      <alignment vertical="center"/>
    </xf>
    <xf numFmtId="270" fontId="109" fillId="59" borderId="190" xfId="43183" applyNumberFormat="1" applyFont="1" applyFill="1" applyBorder="1" applyAlignment="1">
      <alignment vertical="center"/>
    </xf>
    <xf numFmtId="270" fontId="109" fillId="59" borderId="191" xfId="43183" applyNumberFormat="1" applyFont="1" applyFill="1" applyBorder="1" applyAlignment="1">
      <alignment vertical="center"/>
    </xf>
    <xf numFmtId="0" fontId="42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 applyAlignment="1">
      <alignment vertical="center"/>
    </xf>
    <xf numFmtId="271" fontId="42" fillId="60" borderId="189" xfId="2697" applyNumberFormat="1" applyFont="1" applyFill="1" applyBorder="1" applyAlignment="1">
      <alignment vertical="center"/>
    </xf>
    <xf numFmtId="0" fontId="109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/>
    <xf numFmtId="270" fontId="109" fillId="98" borderId="189" xfId="2697" applyNumberFormat="1" applyFont="1" applyFill="1" applyBorder="1" applyAlignment="1">
      <alignment vertical="center"/>
    </xf>
    <xf numFmtId="270" fontId="109" fillId="60" borderId="189" xfId="2697" applyNumberFormat="1" applyFont="1" applyFill="1" applyBorder="1" applyAlignment="1">
      <alignment vertical="center"/>
    </xf>
    <xf numFmtId="271" fontId="42" fillId="98" borderId="189" xfId="2697" applyNumberFormat="1" applyFont="1" applyFill="1" applyBorder="1" applyAlignment="1">
      <alignment vertical="center"/>
    </xf>
    <xf numFmtId="0" fontId="42" fillId="0" borderId="194" xfId="2697" applyFont="1" applyBorder="1"/>
    <xf numFmtId="171" fontId="116" fillId="43" borderId="192" xfId="2697" applyNumberFormat="1" applyFont="1" applyFill="1" applyBorder="1" applyAlignment="1">
      <alignment horizontal="center" vertical="center" wrapText="1"/>
    </xf>
    <xf numFmtId="0" fontId="29" fillId="0" borderId="190" xfId="0" applyFont="1" applyBorder="1"/>
    <xf numFmtId="0" fontId="0" fillId="0" borderId="190" xfId="0" applyBorder="1"/>
    <xf numFmtId="171" fontId="116" fillId="55" borderId="192" xfId="2697" applyNumberFormat="1" applyFont="1" applyFill="1" applyBorder="1" applyAlignment="1">
      <alignment horizontal="center" vertical="center" wrapText="1"/>
    </xf>
    <xf numFmtId="171" fontId="116" fillId="55" borderId="194" xfId="2697" applyNumberFormat="1" applyFont="1" applyFill="1" applyBorder="1" applyAlignment="1">
      <alignment horizontal="center" vertical="center" wrapText="1"/>
    </xf>
    <xf numFmtId="171" fontId="116" fillId="55" borderId="193" xfId="2697" applyNumberFormat="1" applyFont="1" applyFill="1" applyBorder="1" applyAlignment="1">
      <alignment horizontal="center" vertical="center" wrapText="1"/>
    </xf>
    <xf numFmtId="0" fontId="220" fillId="0" borderId="178" xfId="0" applyFont="1" applyBorder="1" applyAlignment="1">
      <alignment horizontal="right"/>
    </xf>
    <xf numFmtId="0" fontId="204" fillId="0" borderId="204" xfId="832" applyFont="1" applyBorder="1"/>
    <xf numFmtId="0" fontId="204" fillId="33" borderId="204" xfId="0" applyFont="1" applyFill="1" applyBorder="1"/>
    <xf numFmtId="0" fontId="207" fillId="33" borderId="191" xfId="831" applyFont="1" applyFill="1" applyBorder="1" applyAlignment="1">
      <alignment vertical="center"/>
    </xf>
    <xf numFmtId="0" fontId="207" fillId="33" borderId="195" xfId="831" applyFont="1" applyFill="1" applyBorder="1" applyAlignment="1">
      <alignment vertical="center"/>
    </xf>
    <xf numFmtId="0" fontId="207" fillId="0" borderId="190" xfId="832" applyFont="1" applyBorder="1" applyAlignment="1">
      <alignment horizontal="center"/>
    </xf>
    <xf numFmtId="0" fontId="207" fillId="44" borderId="190" xfId="832" applyFont="1" applyFill="1" applyBorder="1" applyAlignment="1">
      <alignment horizontal="center"/>
    </xf>
    <xf numFmtId="0" fontId="207" fillId="44" borderId="190" xfId="0" applyFont="1" applyFill="1" applyBorder="1"/>
    <xf numFmtId="0" fontId="204" fillId="0" borderId="190" xfId="832" applyFont="1" applyBorder="1" applyAlignment="1">
      <alignment horizontal="center"/>
    </xf>
    <xf numFmtId="0" fontId="204" fillId="33" borderId="192" xfId="789" applyFont="1" applyFill="1" applyBorder="1"/>
    <xf numFmtId="17" fontId="204" fillId="0" borderId="193" xfId="0" applyNumberFormat="1" applyFont="1" applyBorder="1"/>
    <xf numFmtId="195" fontId="204" fillId="0" borderId="190" xfId="832" applyNumberFormat="1" applyFont="1" applyBorder="1"/>
    <xf numFmtId="0" fontId="204" fillId="0" borderId="156" xfId="0" applyFont="1" applyBorder="1"/>
    <xf numFmtId="17" fontId="204" fillId="0" borderId="155" xfId="0" applyNumberFormat="1" applyFont="1" applyBorder="1"/>
    <xf numFmtId="172" fontId="214" fillId="0" borderId="190" xfId="863" applyNumberFormat="1" applyFont="1" applyFill="1" applyBorder="1" applyAlignment="1">
      <alignment vertical="top"/>
    </xf>
    <xf numFmtId="165" fontId="226" fillId="44" borderId="190" xfId="863" applyNumberFormat="1" applyFont="1" applyFill="1" applyBorder="1" applyAlignment="1">
      <alignment vertical="top"/>
    </xf>
    <xf numFmtId="165" fontId="214" fillId="0" borderId="190" xfId="863" applyNumberFormat="1" applyFont="1" applyFill="1" applyBorder="1" applyAlignment="1">
      <alignment vertical="top"/>
    </xf>
    <xf numFmtId="0" fontId="206" fillId="0" borderId="189" xfId="832" applyFont="1" applyBorder="1"/>
    <xf numFmtId="0" fontId="204" fillId="0" borderId="189" xfId="832" applyFont="1" applyBorder="1"/>
    <xf numFmtId="0" fontId="204" fillId="0" borderId="191" xfId="0" applyFont="1" applyBorder="1" applyAlignment="1">
      <alignment horizontal="right"/>
    </xf>
    <xf numFmtId="0" fontId="204" fillId="0" borderId="195" xfId="832" applyFont="1" applyBorder="1" applyAlignment="1">
      <alignment horizontal="left"/>
    </xf>
    <xf numFmtId="0" fontId="204" fillId="41" borderId="191" xfId="0" applyFont="1" applyFill="1" applyBorder="1" applyAlignment="1">
      <alignment horizontal="right"/>
    </xf>
    <xf numFmtId="0" fontId="204" fillId="41" borderId="195" xfId="832" applyFont="1" applyFill="1" applyBorder="1" applyAlignment="1">
      <alignment horizontal="left"/>
    </xf>
    <xf numFmtId="171" fontId="204" fillId="0" borderId="194" xfId="0" applyNumberFormat="1" applyFont="1" applyBorder="1"/>
    <xf numFmtId="171" fontId="204" fillId="0" borderId="178" xfId="0" applyNumberFormat="1" applyFont="1" applyBorder="1"/>
    <xf numFmtId="167" fontId="207" fillId="0" borderId="191" xfId="815" applyFont="1" applyFill="1" applyBorder="1"/>
    <xf numFmtId="167" fontId="207" fillId="0" borderId="195" xfId="815" applyFont="1" applyFill="1" applyBorder="1"/>
    <xf numFmtId="167" fontId="207" fillId="0" borderId="189" xfId="815" applyFont="1" applyFill="1" applyBorder="1"/>
    <xf numFmtId="167" fontId="204" fillId="0" borderId="191" xfId="815" applyFont="1" applyFill="1" applyBorder="1"/>
    <xf numFmtId="167" fontId="204" fillId="0" borderId="195" xfId="815" applyFont="1" applyFill="1" applyBorder="1"/>
    <xf numFmtId="167" fontId="207" fillId="0" borderId="191" xfId="815" applyFont="1" applyBorder="1"/>
    <xf numFmtId="167" fontId="207" fillId="0" borderId="195" xfId="815" applyFont="1" applyBorder="1"/>
    <xf numFmtId="0" fontId="204" fillId="41" borderId="195" xfId="832" applyFont="1" applyFill="1" applyBorder="1" applyAlignment="1">
      <alignment horizontal="center"/>
    </xf>
    <xf numFmtId="167" fontId="207" fillId="0" borderId="190" xfId="815" applyFont="1" applyBorder="1"/>
    <xf numFmtId="0" fontId="33" fillId="33" borderId="197" xfId="831" applyFont="1" applyFill="1" applyBorder="1" applyAlignment="1">
      <alignment horizontal="left"/>
    </xf>
    <xf numFmtId="0" fontId="38" fillId="39" borderId="190" xfId="831" applyFont="1" applyFill="1" applyBorder="1" applyAlignment="1">
      <alignment horizontal="center" vertical="center"/>
    </xf>
    <xf numFmtId="14" fontId="32" fillId="0" borderId="0" xfId="831" applyNumberFormat="1" applyFont="1"/>
    <xf numFmtId="17" fontId="42" fillId="0" borderId="190" xfId="831" applyNumberFormat="1" applyFont="1" applyBorder="1" applyAlignment="1">
      <alignment horizontal="center"/>
    </xf>
    <xf numFmtId="172" fontId="42" fillId="0" borderId="190" xfId="863" applyNumberFormat="1" applyFont="1" applyBorder="1" applyAlignment="1">
      <alignment horizontal="center"/>
    </xf>
    <xf numFmtId="196" fontId="42" fillId="0" borderId="190" xfId="863" applyNumberFormat="1" applyFont="1" applyBorder="1" applyAlignment="1">
      <alignment horizontal="center"/>
    </xf>
    <xf numFmtId="0" fontId="1" fillId="0" borderId="0" xfId="43418" applyFont="1"/>
    <xf numFmtId="0" fontId="1" fillId="0" borderId="0" xfId="43418" quotePrefix="1" applyFont="1"/>
    <xf numFmtId="0" fontId="1" fillId="0" borderId="0" xfId="43418" applyFont="1" applyAlignment="1">
      <alignment horizontal="center" vertical="center"/>
    </xf>
    <xf numFmtId="40" fontId="119" fillId="0" borderId="190" xfId="43410" applyNumberFormat="1" applyFont="1" applyBorder="1" applyAlignment="1">
      <alignment vertical="center"/>
    </xf>
    <xf numFmtId="40" fontId="119" fillId="42" borderId="190" xfId="43410" applyNumberFormat="1" applyFont="1" applyFill="1" applyBorder="1" applyAlignment="1">
      <alignment vertical="center"/>
    </xf>
    <xf numFmtId="0" fontId="49" fillId="109" borderId="205" xfId="43411" applyFont="1" applyFill="1" applyBorder="1" applyAlignment="1">
      <alignment horizontal="center"/>
    </xf>
    <xf numFmtId="0" fontId="49" fillId="0" borderId="206" xfId="43411" applyFont="1" applyBorder="1" applyAlignment="1">
      <alignment horizontal="right" wrapText="1"/>
    </xf>
    <xf numFmtId="0" fontId="49" fillId="0" borderId="206" xfId="43411" applyFont="1" applyBorder="1" applyAlignment="1">
      <alignment wrapText="1"/>
    </xf>
    <xf numFmtId="14" fontId="49" fillId="0" borderId="206" xfId="43411" applyNumberFormat="1" applyFont="1" applyBorder="1" applyAlignment="1">
      <alignment horizontal="right" wrapText="1"/>
    </xf>
    <xf numFmtId="267" fontId="49" fillId="0" borderId="206" xfId="43411" applyNumberFormat="1" applyFont="1" applyBorder="1" applyAlignment="1">
      <alignment horizontal="right" wrapText="1"/>
    </xf>
    <xf numFmtId="0" fontId="250" fillId="0" borderId="190" xfId="7308" applyFont="1" applyBorder="1"/>
    <xf numFmtId="214" fontId="249" fillId="0" borderId="190" xfId="7308" applyNumberFormat="1" applyFont="1" applyBorder="1"/>
    <xf numFmtId="0" fontId="260" fillId="0" borderId="190" xfId="7308" applyFont="1" applyBorder="1" applyAlignment="1">
      <alignment vertical="center"/>
    </xf>
    <xf numFmtId="0" fontId="249" fillId="42" borderId="190" xfId="7308" applyFont="1" applyFill="1" applyBorder="1" applyAlignment="1">
      <alignment horizontal="center"/>
    </xf>
    <xf numFmtId="0" fontId="249" fillId="0" borderId="190" xfId="7308" applyFont="1" applyBorder="1"/>
    <xf numFmtId="174" fontId="249" fillId="0" borderId="190" xfId="7308" applyNumberFormat="1" applyFont="1" applyBorder="1"/>
    <xf numFmtId="266" fontId="249" fillId="0" borderId="190" xfId="7308" applyNumberFormat="1" applyFont="1" applyBorder="1"/>
    <xf numFmtId="10" fontId="254" fillId="0" borderId="190" xfId="7308" applyNumberFormat="1" applyFont="1" applyBorder="1" applyAlignment="1">
      <alignment horizontal="right" vertical="center"/>
    </xf>
    <xf numFmtId="214" fontId="249" fillId="0" borderId="190" xfId="43165" applyNumberFormat="1" applyFont="1" applyBorder="1"/>
    <xf numFmtId="167" fontId="257" fillId="41" borderId="190" xfId="902" applyFont="1" applyFill="1" applyBorder="1" applyAlignment="1">
      <alignment horizontal="center"/>
    </xf>
    <xf numFmtId="0" fontId="249" fillId="0" borderId="190" xfId="7308" applyFont="1" applyBorder="1" applyAlignment="1">
      <alignment horizontal="right"/>
    </xf>
    <xf numFmtId="0" fontId="249" fillId="0" borderId="190" xfId="7308" applyFont="1" applyBorder="1" applyAlignment="1">
      <alignment horizontal="center"/>
    </xf>
    <xf numFmtId="10" fontId="256" fillId="0" borderId="190" xfId="7308" applyNumberFormat="1" applyFont="1" applyBorder="1" applyAlignment="1">
      <alignment horizontal="center"/>
    </xf>
    <xf numFmtId="167" fontId="260" fillId="0" borderId="190" xfId="7308" applyNumberFormat="1" applyFont="1" applyBorder="1" applyAlignment="1">
      <alignment vertical="center"/>
    </xf>
    <xf numFmtId="0" fontId="260" fillId="0" borderId="196" xfId="7308" applyFont="1" applyBorder="1" applyAlignment="1">
      <alignment vertical="center"/>
    </xf>
    <xf numFmtId="43" fontId="260" fillId="0" borderId="190" xfId="7308" applyNumberFormat="1" applyFont="1" applyBorder="1" applyAlignment="1">
      <alignment vertical="center"/>
    </xf>
    <xf numFmtId="43" fontId="260" fillId="0" borderId="191" xfId="7308" applyNumberFormat="1" applyFont="1" applyBorder="1" applyAlignment="1">
      <alignment vertical="center"/>
    </xf>
    <xf numFmtId="10" fontId="261" fillId="0" borderId="199" xfId="1095" applyNumberFormat="1" applyFont="1" applyFill="1" applyBorder="1" applyAlignment="1">
      <alignment vertical="center"/>
    </xf>
    <xf numFmtId="10" fontId="261" fillId="0" borderId="190" xfId="1095" applyNumberFormat="1" applyFont="1" applyFill="1" applyBorder="1" applyAlignment="1">
      <alignment vertical="center"/>
    </xf>
    <xf numFmtId="10" fontId="261" fillId="0" borderId="190" xfId="1095" applyNumberFormat="1" applyFont="1" applyBorder="1" applyAlignment="1">
      <alignment vertical="center"/>
    </xf>
    <xf numFmtId="10" fontId="260" fillId="0" borderId="190" xfId="7308" applyNumberFormat="1" applyFont="1" applyBorder="1" applyAlignment="1">
      <alignment vertical="center"/>
    </xf>
    <xf numFmtId="0" fontId="250" fillId="107" borderId="191" xfId="7308" applyFont="1" applyFill="1" applyBorder="1"/>
    <xf numFmtId="167" fontId="250" fillId="41" borderId="190" xfId="902" applyFont="1" applyFill="1" applyBorder="1"/>
    <xf numFmtId="0" fontId="249" fillId="0" borderId="207" xfId="7308" applyFont="1" applyBorder="1"/>
    <xf numFmtId="167" fontId="249" fillId="41" borderId="199" xfId="902" applyFont="1" applyFill="1" applyBorder="1"/>
    <xf numFmtId="0" fontId="253" fillId="0" borderId="190" xfId="7308" applyFont="1" applyBorder="1" applyAlignment="1">
      <alignment horizontal="center" vertical="center"/>
    </xf>
    <xf numFmtId="0" fontId="250" fillId="0" borderId="190" xfId="7308" applyFont="1" applyBorder="1" applyAlignment="1">
      <alignment horizontal="center"/>
    </xf>
    <xf numFmtId="0" fontId="253" fillId="0" borderId="190" xfId="7308" applyFont="1" applyBorder="1" applyAlignment="1">
      <alignment vertical="center"/>
    </xf>
    <xf numFmtId="2" fontId="254" fillId="0" borderId="190" xfId="7308" applyNumberFormat="1" applyFont="1" applyBorder="1" applyAlignment="1">
      <alignment horizontal="center" vertical="center"/>
    </xf>
    <xf numFmtId="0" fontId="255" fillId="42" borderId="190" xfId="7308" applyFont="1" applyFill="1" applyBorder="1" applyAlignment="1">
      <alignment horizontal="center" vertical="center"/>
    </xf>
    <xf numFmtId="10" fontId="254" fillId="42" borderId="190" xfId="7308" applyNumberFormat="1" applyFont="1" applyFill="1" applyBorder="1" applyAlignment="1">
      <alignment horizontal="center" vertical="center"/>
    </xf>
    <xf numFmtId="0" fontId="256" fillId="61" borderId="190" xfId="7308" applyFont="1" applyFill="1" applyBorder="1"/>
    <xf numFmtId="2" fontId="249" fillId="42" borderId="190" xfId="7308" applyNumberFormat="1" applyFont="1" applyFill="1" applyBorder="1" applyAlignment="1">
      <alignment horizontal="center"/>
    </xf>
    <xf numFmtId="2" fontId="254" fillId="42" borderId="190" xfId="7308" applyNumberFormat="1" applyFont="1" applyFill="1" applyBorder="1" applyAlignment="1">
      <alignment horizontal="center" vertical="center"/>
    </xf>
    <xf numFmtId="167" fontId="257" fillId="42" borderId="190" xfId="902" applyFont="1" applyFill="1" applyBorder="1"/>
    <xf numFmtId="0" fontId="249" fillId="46" borderId="190" xfId="7308" applyFont="1" applyFill="1" applyBorder="1"/>
    <xf numFmtId="265" fontId="249" fillId="0" borderId="190" xfId="7308" applyNumberFormat="1" applyFont="1" applyBorder="1"/>
    <xf numFmtId="2" fontId="249" fillId="0" borderId="190" xfId="7308" applyNumberFormat="1" applyFont="1" applyBorder="1"/>
    <xf numFmtId="10" fontId="249" fillId="0" borderId="190" xfId="7308" applyNumberFormat="1" applyFont="1" applyBorder="1"/>
    <xf numFmtId="173" fontId="249" fillId="0" borderId="190" xfId="7308" applyNumberFormat="1" applyFont="1" applyBorder="1"/>
    <xf numFmtId="167" fontId="250" fillId="102" borderId="190" xfId="902" applyFont="1" applyFill="1" applyBorder="1"/>
    <xf numFmtId="0" fontId="250" fillId="59" borderId="189" xfId="2697" applyFont="1" applyFill="1" applyBorder="1" applyAlignment="1">
      <alignment vertical="center"/>
    </xf>
    <xf numFmtId="4" fontId="250" fillId="59" borderId="189" xfId="2697" applyNumberFormat="1" applyFont="1" applyFill="1" applyBorder="1" applyAlignment="1">
      <alignment vertical="center"/>
    </xf>
    <xf numFmtId="167" fontId="249" fillId="102" borderId="199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0" fontId="0" fillId="44" borderId="152" xfId="0" applyFill="1" applyBorder="1"/>
    <xf numFmtId="168" fontId="0" fillId="0" borderId="152" xfId="863" applyFont="1" applyBorder="1"/>
    <xf numFmtId="0" fontId="35" fillId="97" borderId="152" xfId="0" applyFont="1" applyFill="1" applyBorder="1" applyAlignment="1">
      <alignment vertical="center"/>
    </xf>
    <xf numFmtId="0" fontId="35" fillId="97" borderId="152" xfId="0" applyFont="1" applyFill="1" applyBorder="1" applyAlignment="1">
      <alignment horizontal="center" vertical="center" wrapText="1"/>
    </xf>
    <xf numFmtId="0" fontId="35" fillId="97" borderId="152" xfId="0" applyFont="1" applyFill="1" applyBorder="1" applyAlignment="1">
      <alignment horizontal="center" vertical="center"/>
    </xf>
    <xf numFmtId="168" fontId="282" fillId="42" borderId="0" xfId="863" applyFont="1" applyFill="1" applyBorder="1"/>
    <xf numFmtId="0" fontId="112" fillId="42" borderId="0" xfId="0" applyFont="1" applyFill="1"/>
    <xf numFmtId="167" fontId="204" fillId="41" borderId="166" xfId="815" applyFont="1" applyFill="1" applyBorder="1"/>
    <xf numFmtId="0" fontId="211" fillId="43" borderId="166" xfId="0" applyFont="1" applyFill="1" applyBorder="1" applyAlignment="1">
      <alignment horizontal="center" vertical="center" wrapText="1"/>
    </xf>
    <xf numFmtId="0" fontId="204" fillId="0" borderId="0" xfId="847" applyNumberFormat="1" applyFont="1"/>
    <xf numFmtId="168" fontId="204" fillId="44" borderId="0" xfId="863" applyFont="1" applyFill="1"/>
    <xf numFmtId="2" fontId="204" fillId="44" borderId="0" xfId="863" applyNumberFormat="1" applyFont="1" applyFill="1"/>
    <xf numFmtId="14" fontId="204" fillId="44" borderId="0" xfId="847" applyNumberFormat="1" applyFont="1" applyFill="1"/>
    <xf numFmtId="14" fontId="204" fillId="44" borderId="0" xfId="0" applyNumberFormat="1" applyFont="1" applyFill="1"/>
    <xf numFmtId="2" fontId="204" fillId="44" borderId="0" xfId="0" applyNumberFormat="1" applyFont="1" applyFill="1"/>
    <xf numFmtId="167" fontId="204" fillId="44" borderId="0" xfId="815" applyFont="1" applyFill="1"/>
    <xf numFmtId="2" fontId="204" fillId="44" borderId="0" xfId="847" applyNumberFormat="1" applyFont="1" applyFill="1"/>
    <xf numFmtId="0" fontId="204" fillId="44" borderId="0" xfId="0" applyFont="1" applyFill="1"/>
    <xf numFmtId="10" fontId="204" fillId="108" borderId="178" xfId="0" applyNumberFormat="1" applyFont="1" applyFill="1" applyBorder="1"/>
    <xf numFmtId="0" fontId="204" fillId="108" borderId="178" xfId="847" applyNumberFormat="1" applyFont="1" applyFill="1" applyBorder="1"/>
    <xf numFmtId="168" fontId="204" fillId="108" borderId="178" xfId="863" applyFont="1" applyFill="1" applyBorder="1"/>
    <xf numFmtId="3" fontId="29" fillId="0" borderId="0" xfId="0" applyNumberFormat="1" applyFont="1" applyAlignment="1">
      <alignment horizontal="center" vertical="distributed"/>
    </xf>
    <xf numFmtId="257" fontId="29" fillId="0" borderId="0" xfId="0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 vertical="distributed"/>
    </xf>
    <xf numFmtId="9" fontId="29" fillId="0" borderId="0" xfId="0" applyNumberFormat="1" applyFont="1"/>
    <xf numFmtId="14" fontId="29" fillId="0" borderId="0" xfId="863" applyNumberFormat="1" applyFont="1" applyFill="1" applyAlignment="1">
      <alignment horizontal="center"/>
    </xf>
    <xf numFmtId="168" fontId="29" fillId="0" borderId="0" xfId="863" applyFont="1" applyFill="1" applyAlignment="1">
      <alignment horizontal="center" vertical="distributed"/>
    </xf>
    <xf numFmtId="168" fontId="29" fillId="0" borderId="0" xfId="0" applyNumberFormat="1" applyFont="1" applyAlignment="1">
      <alignment horizontal="center" vertical="distributed"/>
    </xf>
    <xf numFmtId="168" fontId="29" fillId="0" borderId="0" xfId="863" applyFont="1" applyFill="1" applyBorder="1" applyAlignment="1">
      <alignment horizontal="center" vertical="distributed"/>
    </xf>
    <xf numFmtId="9" fontId="29" fillId="0" borderId="0" xfId="847" applyFont="1" applyFill="1" applyAlignment="1">
      <alignment horizontal="center" vertical="distributed"/>
    </xf>
    <xf numFmtId="9" fontId="29" fillId="0" borderId="0" xfId="0" applyNumberFormat="1" applyFont="1" applyAlignment="1">
      <alignment horizontal="center" vertical="distributed"/>
    </xf>
    <xf numFmtId="3" fontId="0" fillId="0" borderId="0" xfId="0" applyNumberFormat="1" applyAlignment="1">
      <alignment horizontal="center" vertical="distributed"/>
    </xf>
    <xf numFmtId="9" fontId="0" fillId="0" borderId="0" xfId="0" applyNumberFormat="1"/>
    <xf numFmtId="168" fontId="0" fillId="0" borderId="0" xfId="0" applyNumberFormat="1" applyAlignment="1">
      <alignment horizontal="center" vertical="distributed"/>
    </xf>
    <xf numFmtId="14" fontId="29" fillId="0" borderId="0" xfId="863" applyNumberFormat="1" applyFont="1" applyFill="1" applyAlignment="1">
      <alignment horizontal="center" vertical="distributed"/>
    </xf>
    <xf numFmtId="10" fontId="29" fillId="0" borderId="0" xfId="847" applyNumberFormat="1" applyFont="1" applyFill="1" applyAlignment="1">
      <alignment horizontal="center" vertical="distributed"/>
    </xf>
    <xf numFmtId="4" fontId="29" fillId="0" borderId="0" xfId="0" applyNumberFormat="1" applyFont="1" applyAlignment="1">
      <alignment vertical="center"/>
    </xf>
    <xf numFmtId="49" fontId="29" fillId="0" borderId="0" xfId="0" applyNumberFormat="1" applyFont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0" fontId="317" fillId="128" borderId="208" xfId="0" applyFont="1" applyFill="1" applyBorder="1"/>
    <xf numFmtId="0" fontId="317" fillId="128" borderId="209" xfId="0" applyFont="1" applyFill="1" applyBorder="1"/>
    <xf numFmtId="0" fontId="317" fillId="128" borderId="0" xfId="0" applyFont="1" applyFill="1"/>
    <xf numFmtId="168" fontId="211" fillId="43" borderId="189" xfId="0" applyNumberFormat="1" applyFont="1" applyFill="1" applyBorder="1" applyAlignment="1">
      <alignment horizontal="center" vertical="center" wrapText="1"/>
    </xf>
    <xf numFmtId="0" fontId="249" fillId="0" borderId="0" xfId="0" applyFont="1" applyAlignment="1">
      <alignment horizontal="left" vertical="center"/>
    </xf>
    <xf numFmtId="0" fontId="249" fillId="0" borderId="0" xfId="0" applyFont="1" applyAlignment="1">
      <alignment horizontal="right" vertical="center"/>
    </xf>
    <xf numFmtId="168" fontId="249" fillId="118" borderId="0" xfId="863" applyFont="1" applyFill="1" applyBorder="1" applyAlignment="1">
      <alignment vertical="center"/>
    </xf>
    <xf numFmtId="168" fontId="204" fillId="129" borderId="0" xfId="863" applyFont="1" applyFill="1"/>
    <xf numFmtId="0" fontId="204" fillId="129" borderId="0" xfId="0" applyFont="1" applyFill="1" applyAlignment="1">
      <alignment horizontal="left"/>
    </xf>
    <xf numFmtId="0" fontId="0" fillId="0" borderId="0" xfId="863" applyNumberFormat="1" applyFont="1" applyFill="1"/>
    <xf numFmtId="0" fontId="211" fillId="43" borderId="144" xfId="0" applyFont="1" applyFill="1" applyBorder="1" applyAlignment="1">
      <alignment horizontal="center" vertical="center" wrapText="1"/>
    </xf>
    <xf numFmtId="167" fontId="204" fillId="0" borderId="166" xfId="815" applyFont="1" applyFill="1" applyBorder="1"/>
    <xf numFmtId="205" fontId="115" fillId="0" borderId="0" xfId="0" applyNumberFormat="1" applyFont="1"/>
    <xf numFmtId="10" fontId="282" fillId="0" borderId="0" xfId="2578" applyNumberFormat="1" applyFont="1" applyFill="1" applyBorder="1" applyAlignment="1">
      <alignment horizontal="center"/>
    </xf>
    <xf numFmtId="167" fontId="281" fillId="114" borderId="0" xfId="5583" applyNumberFormat="1" applyFont="1" applyFill="1" applyBorder="1" applyAlignment="1">
      <alignment vertical="center"/>
    </xf>
    <xf numFmtId="0" fontId="249" fillId="42" borderId="210" xfId="0" applyFont="1" applyFill="1" applyBorder="1" applyAlignment="1">
      <alignment vertical="center"/>
    </xf>
    <xf numFmtId="0" fontId="259" fillId="39" borderId="149" xfId="831" applyFont="1" applyFill="1" applyBorder="1" applyAlignment="1">
      <alignment horizontal="left" vertical="center"/>
    </xf>
    <xf numFmtId="0" fontId="259" fillId="39" borderId="186" xfId="831" applyFont="1" applyFill="1" applyBorder="1" applyAlignment="1">
      <alignment horizontal="left" vertical="center"/>
    </xf>
    <xf numFmtId="168" fontId="259" fillId="39" borderId="186" xfId="863" applyFont="1" applyFill="1" applyBorder="1" applyAlignment="1">
      <alignment horizontal="left" vertical="center"/>
    </xf>
    <xf numFmtId="0" fontId="259" fillId="39" borderId="148" xfId="831" applyFont="1" applyFill="1" applyBorder="1" applyAlignment="1">
      <alignment horizontal="left" vertical="center"/>
    </xf>
    <xf numFmtId="14" fontId="249" fillId="0" borderId="152" xfId="831" applyNumberFormat="1" applyFont="1" applyBorder="1" applyAlignment="1">
      <alignment horizontal="center" vertical="center"/>
    </xf>
    <xf numFmtId="0" fontId="249" fillId="0" borderId="152" xfId="831" applyFont="1" applyBorder="1" applyAlignment="1">
      <alignment vertical="center"/>
    </xf>
    <xf numFmtId="168" fontId="249" fillId="0" borderId="152" xfId="863" applyFont="1" applyBorder="1" applyAlignment="1">
      <alignment vertical="center"/>
    </xf>
    <xf numFmtId="272" fontId="249" fillId="0" borderId="152" xfId="863" applyNumberFormat="1" applyFont="1" applyBorder="1" applyAlignment="1">
      <alignment vertical="center"/>
    </xf>
    <xf numFmtId="0" fontId="249" fillId="0" borderId="0" xfId="831" applyFont="1"/>
    <xf numFmtId="0" fontId="318" fillId="0" borderId="0" xfId="0" applyFont="1"/>
    <xf numFmtId="0" fontId="316" fillId="0" borderId="0" xfId="43418" applyFont="1" applyAlignment="1">
      <alignment horizontal="center" vertical="center" wrapText="1"/>
    </xf>
    <xf numFmtId="214" fontId="249" fillId="0" borderId="0" xfId="0" applyNumberFormat="1" applyFont="1" applyAlignment="1">
      <alignment horizontal="center"/>
    </xf>
    <xf numFmtId="214" fontId="250" fillId="0" borderId="0" xfId="0" applyNumberFormat="1" applyFont="1" applyAlignment="1">
      <alignment horizontal="center"/>
    </xf>
    <xf numFmtId="43" fontId="204" fillId="108" borderId="0" xfId="863" applyNumberFormat="1" applyFont="1" applyFill="1" applyBorder="1"/>
    <xf numFmtId="43" fontId="204" fillId="108" borderId="178" xfId="863" applyNumberFormat="1" applyFont="1" applyFill="1" applyBorder="1"/>
    <xf numFmtId="0" fontId="316" fillId="132" borderId="144" xfId="0" applyFont="1" applyFill="1" applyBorder="1"/>
    <xf numFmtId="0" fontId="316" fillId="101" borderId="144" xfId="0" applyFont="1" applyFill="1" applyBorder="1" applyAlignment="1">
      <alignment horizontal="center"/>
    </xf>
    <xf numFmtId="0" fontId="316" fillId="101" borderId="178" xfId="0" applyFont="1" applyFill="1" applyBorder="1" applyAlignment="1">
      <alignment horizontal="center"/>
    </xf>
    <xf numFmtId="0" fontId="250" fillId="131" borderId="144" xfId="0" applyFont="1" applyFill="1" applyBorder="1"/>
    <xf numFmtId="17" fontId="314" fillId="130" borderId="144" xfId="0" applyNumberFormat="1" applyFont="1" applyFill="1" applyBorder="1" applyAlignment="1">
      <alignment horizontal="center"/>
    </xf>
    <xf numFmtId="214" fontId="250" fillId="134" borderId="178" xfId="0" applyNumberFormat="1" applyFont="1" applyFill="1" applyBorder="1" applyAlignment="1">
      <alignment horizontal="center"/>
    </xf>
    <xf numFmtId="214" fontId="261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1" fillId="0" borderId="0" xfId="0" applyFont="1"/>
    <xf numFmtId="167" fontId="249" fillId="0" borderId="0" xfId="815" applyFont="1"/>
    <xf numFmtId="167" fontId="249" fillId="59" borderId="144" xfId="815" applyFont="1" applyFill="1" applyBorder="1"/>
    <xf numFmtId="0" fontId="250" fillId="0" borderId="149" xfId="0" applyFont="1" applyBorder="1"/>
    <xf numFmtId="214" fontId="320" fillId="133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9" fillId="0" borderId="0" xfId="43418" applyNumberFormat="1" applyFont="1" applyAlignment="1">
      <alignment horizontal="center"/>
    </xf>
    <xf numFmtId="0" fontId="319" fillId="0" borderId="0" xfId="43418" applyFont="1" applyAlignment="1">
      <alignment horizontal="center"/>
    </xf>
    <xf numFmtId="0" fontId="319" fillId="0" borderId="0" xfId="43418" applyFont="1" applyAlignment="1">
      <alignment horizontal="center" vertical="center"/>
    </xf>
    <xf numFmtId="214" fontId="319" fillId="0" borderId="0" xfId="43418" applyNumberFormat="1" applyFont="1" applyAlignment="1">
      <alignment horizontal="center"/>
    </xf>
    <xf numFmtId="17" fontId="256" fillId="0" borderId="0" xfId="43418" applyNumberFormat="1" applyFont="1" applyAlignment="1">
      <alignment horizontal="center"/>
    </xf>
    <xf numFmtId="0" fontId="256" fillId="0" borderId="0" xfId="43418" applyFont="1" applyAlignment="1">
      <alignment horizontal="center"/>
    </xf>
    <xf numFmtId="0" fontId="250" fillId="0" borderId="0" xfId="0" applyFont="1" applyAlignment="1">
      <alignment horizontal="center"/>
    </xf>
    <xf numFmtId="167" fontId="281" fillId="42" borderId="0" xfId="5583" applyNumberFormat="1" applyFont="1" applyFill="1" applyBorder="1"/>
    <xf numFmtId="4" fontId="218" fillId="0" borderId="0" xfId="0" applyNumberFormat="1" applyFont="1"/>
    <xf numFmtId="170" fontId="249" fillId="0" borderId="0" xfId="43408" applyNumberFormat="1" applyFont="1" applyAlignment="1">
      <alignment vertical="center"/>
    </xf>
    <xf numFmtId="0" fontId="250" fillId="0" borderId="0" xfId="907" applyFont="1" applyAlignment="1">
      <alignment vertical="center"/>
    </xf>
    <xf numFmtId="0" fontId="249" fillId="0" borderId="0" xfId="907" applyFont="1" applyAlignment="1">
      <alignment vertical="center"/>
    </xf>
    <xf numFmtId="0" fontId="313" fillId="43" borderId="190" xfId="907" applyFont="1" applyFill="1" applyBorder="1" applyAlignment="1">
      <alignment vertical="center"/>
    </xf>
    <xf numFmtId="10" fontId="249" fillId="0" borderId="190" xfId="847" applyNumberFormat="1" applyFont="1" applyBorder="1" applyAlignment="1">
      <alignment vertical="center"/>
    </xf>
    <xf numFmtId="0" fontId="204" fillId="0" borderId="0" xfId="0" pivotButton="1" applyFont="1"/>
    <xf numFmtId="205" fontId="204" fillId="0" borderId="0" xfId="0" applyNumberFormat="1" applyFont="1" applyAlignment="1">
      <alignment horizontal="left"/>
    </xf>
    <xf numFmtId="0" fontId="207" fillId="44" borderId="146" xfId="0" applyFont="1" applyFill="1" applyBorder="1" applyAlignment="1">
      <alignment horizontal="center" vertical="center" textRotation="90"/>
    </xf>
    <xf numFmtId="0" fontId="207" fillId="44" borderId="10" xfId="0" applyFont="1" applyFill="1" applyBorder="1" applyAlignment="1">
      <alignment horizontal="center" vertical="center" textRotation="90"/>
    </xf>
    <xf numFmtId="0" fontId="207" fillId="44" borderId="154" xfId="0" applyFont="1" applyFill="1" applyBorder="1" applyAlignment="1">
      <alignment horizontal="center" vertical="center" textRotation="90"/>
    </xf>
    <xf numFmtId="0" fontId="29" fillId="0" borderId="20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78" fillId="96" borderId="20" xfId="0" applyFont="1" applyFill="1" applyBorder="1" applyAlignment="1">
      <alignment horizontal="center" vertical="center"/>
    </xf>
    <xf numFmtId="0" fontId="278" fillId="96" borderId="0" xfId="0" applyFont="1" applyFill="1" applyAlignment="1">
      <alignment horizontal="center" vertical="center"/>
    </xf>
    <xf numFmtId="0" fontId="35" fillId="0" borderId="178" xfId="0" applyFont="1" applyBorder="1" applyAlignment="1">
      <alignment horizontal="left"/>
    </xf>
    <xf numFmtId="0" fontId="29" fillId="59" borderId="178" xfId="907" applyFill="1" applyBorder="1" applyAlignment="1">
      <alignment horizontal="left"/>
    </xf>
    <xf numFmtId="167" fontId="29" fillId="59" borderId="167" xfId="815" applyFont="1" applyFill="1" applyBorder="1" applyAlignment="1">
      <alignment horizontal="center" vertical="center"/>
    </xf>
    <xf numFmtId="167" fontId="29" fillId="59" borderId="176" xfId="815" applyFont="1" applyFill="1" applyBorder="1" applyAlignment="1">
      <alignment horizontal="center" vertical="center"/>
    </xf>
    <xf numFmtId="0" fontId="29" fillId="59" borderId="166" xfId="907" applyFill="1" applyBorder="1" applyAlignment="1">
      <alignment horizontal="left"/>
    </xf>
    <xf numFmtId="0" fontId="29" fillId="59" borderId="0" xfId="907" applyFill="1" applyAlignment="1">
      <alignment horizontal="left"/>
    </xf>
    <xf numFmtId="167" fontId="29" fillId="44" borderId="167" xfId="815" applyFont="1" applyFill="1" applyBorder="1" applyAlignment="1">
      <alignment horizontal="center" vertical="center"/>
    </xf>
    <xf numFmtId="167" fontId="29" fillId="44" borderId="176" xfId="815" applyFont="1" applyFill="1" applyBorder="1" applyAlignment="1">
      <alignment horizontal="center" vertical="center"/>
    </xf>
    <xf numFmtId="167" fontId="29" fillId="44" borderId="170" xfId="815" applyFont="1" applyFill="1" applyBorder="1" applyAlignment="1">
      <alignment horizontal="center" vertical="center"/>
    </xf>
    <xf numFmtId="167" fontId="29" fillId="44" borderId="175" xfId="815" applyFont="1" applyFill="1" applyBorder="1" applyAlignment="1">
      <alignment horizontal="center" vertical="center"/>
    </xf>
    <xf numFmtId="167" fontId="29" fillId="44" borderId="172" xfId="815" applyFont="1" applyFill="1" applyBorder="1" applyAlignment="1">
      <alignment horizontal="center" vertical="center"/>
    </xf>
    <xf numFmtId="167" fontId="29" fillId="44" borderId="177" xfId="815" applyFont="1" applyFill="1" applyBorder="1" applyAlignment="1">
      <alignment horizontal="center" vertical="center"/>
    </xf>
    <xf numFmtId="0" fontId="234" fillId="0" borderId="166" xfId="907" applyFont="1" applyBorder="1" applyAlignment="1">
      <alignment horizontal="left"/>
    </xf>
    <xf numFmtId="0" fontId="35" fillId="0" borderId="166" xfId="907" applyFont="1" applyBorder="1" applyAlignment="1">
      <alignment horizontal="left"/>
    </xf>
    <xf numFmtId="167" fontId="29" fillId="59" borderId="172" xfId="815" applyFont="1" applyFill="1" applyBorder="1" applyAlignment="1">
      <alignment horizontal="center" vertical="center"/>
    </xf>
    <xf numFmtId="167" fontId="29" fillId="59" borderId="177" xfId="815" applyFont="1" applyFill="1" applyBorder="1" applyAlignment="1">
      <alignment horizontal="center" vertical="center"/>
    </xf>
    <xf numFmtId="167" fontId="29" fillId="59" borderId="170" xfId="815" applyFont="1" applyFill="1" applyBorder="1" applyAlignment="1">
      <alignment horizontal="center" vertical="center"/>
    </xf>
    <xf numFmtId="167" fontId="29" fillId="59" borderId="175" xfId="815" applyFont="1" applyFill="1" applyBorder="1" applyAlignment="1">
      <alignment horizontal="center" vertical="center"/>
    </xf>
    <xf numFmtId="168" fontId="115" fillId="103" borderId="144" xfId="863" applyFont="1" applyFill="1" applyBorder="1" applyAlignment="1">
      <alignment horizontal="center" vertical="top" wrapText="1"/>
    </xf>
    <xf numFmtId="167" fontId="29" fillId="42" borderId="144" xfId="815" applyFont="1" applyFill="1" applyBorder="1" applyAlignment="1">
      <alignment horizontal="center"/>
    </xf>
    <xf numFmtId="0" fontId="271" fillId="43" borderId="168" xfId="0" applyFont="1" applyFill="1" applyBorder="1" applyAlignment="1">
      <alignment horizontal="center" vertical="center" wrapText="1"/>
    </xf>
    <xf numFmtId="0" fontId="271" fillId="43" borderId="160" xfId="0" applyFont="1" applyFill="1" applyBorder="1" applyAlignment="1">
      <alignment horizontal="center" vertical="center" wrapText="1"/>
    </xf>
    <xf numFmtId="0" fontId="271" fillId="0" borderId="144" xfId="0" applyFont="1" applyBorder="1" applyAlignment="1">
      <alignment horizontal="center" vertical="center" wrapText="1"/>
    </xf>
    <xf numFmtId="0" fontId="109" fillId="41" borderId="0" xfId="2697" applyFont="1" applyFill="1" applyAlignment="1">
      <alignment horizontal="center" vertical="center"/>
    </xf>
    <xf numFmtId="9" fontId="37" fillId="0" borderId="0" xfId="1823" applyFont="1" applyFill="1" applyBorder="1" applyAlignment="1">
      <alignment horizontal="left" vertical="center" wrapText="1"/>
    </xf>
    <xf numFmtId="9" fontId="42" fillId="0" borderId="0" xfId="1823" applyFont="1" applyFill="1" applyBorder="1" applyAlignment="1">
      <alignment horizontal="left" vertical="center" wrapText="1"/>
    </xf>
    <xf numFmtId="0" fontId="42" fillId="41" borderId="0" xfId="907" applyFont="1" applyFill="1" applyAlignment="1">
      <alignment horizontal="left" indent="1"/>
    </xf>
    <xf numFmtId="0" fontId="116" fillId="41" borderId="0" xfId="907" applyFont="1" applyFill="1" applyAlignment="1">
      <alignment horizontal="left"/>
    </xf>
    <xf numFmtId="167" fontId="109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6" fillId="55" borderId="144" xfId="954" applyFont="1" applyFill="1" applyBorder="1" applyAlignment="1">
      <alignment horizontal="center" vertical="center"/>
    </xf>
    <xf numFmtId="9" fontId="37" fillId="0" borderId="0" xfId="1823" applyFont="1" applyFill="1" applyBorder="1" applyAlignment="1">
      <alignment horizontal="center" vertical="center" wrapText="1"/>
    </xf>
    <xf numFmtId="9" fontId="37" fillId="38" borderId="0" xfId="1823" applyFont="1" applyFill="1" applyBorder="1" applyAlignment="1">
      <alignment horizontal="center" vertical="center" wrapText="1"/>
    </xf>
    <xf numFmtId="0" fontId="142" fillId="41" borderId="0" xfId="907" applyFont="1" applyFill="1" applyAlignment="1">
      <alignment horizontal="center"/>
    </xf>
    <xf numFmtId="0" fontId="295" fillId="0" borderId="0" xfId="0" applyFont="1" applyAlignment="1">
      <alignment horizontal="center"/>
    </xf>
    <xf numFmtId="0" fontId="295" fillId="0" borderId="194" xfId="0" applyFont="1" applyBorder="1" applyAlignment="1">
      <alignment horizontal="center"/>
    </xf>
    <xf numFmtId="0" fontId="116" fillId="55" borderId="131" xfId="2697" applyFont="1" applyFill="1" applyBorder="1" applyAlignment="1">
      <alignment horizontal="center" vertical="center"/>
    </xf>
    <xf numFmtId="0" fontId="116" fillId="55" borderId="0" xfId="2697" applyFont="1" applyFill="1" applyAlignment="1">
      <alignment horizontal="center" vertical="center"/>
    </xf>
    <xf numFmtId="0" fontId="116" fillId="55" borderId="136" xfId="2697" applyFont="1" applyFill="1" applyBorder="1" applyAlignment="1">
      <alignment horizontal="center" vertical="center"/>
    </xf>
    <xf numFmtId="0" fontId="116" fillId="55" borderId="125" xfId="2697" applyFont="1" applyFill="1" applyBorder="1" applyAlignment="1">
      <alignment horizontal="center" vertical="center"/>
    </xf>
    <xf numFmtId="170" fontId="116" fillId="55" borderId="132" xfId="863" applyNumberFormat="1" applyFont="1" applyFill="1" applyBorder="1" applyAlignment="1">
      <alignment horizontal="center" vertical="center" wrapText="1"/>
    </xf>
    <xf numFmtId="170" fontId="116" fillId="55" borderId="133" xfId="863" applyNumberFormat="1" applyFont="1" applyFill="1" applyBorder="1" applyAlignment="1">
      <alignment horizontal="center" vertical="center" wrapText="1"/>
    </xf>
    <xf numFmtId="170" fontId="116" fillId="55" borderId="134" xfId="863" applyNumberFormat="1" applyFont="1" applyFill="1" applyBorder="1" applyAlignment="1">
      <alignment horizontal="center" vertical="center" wrapText="1"/>
    </xf>
    <xf numFmtId="0" fontId="116" fillId="55" borderId="135" xfId="2697" applyFont="1" applyFill="1" applyBorder="1" applyAlignment="1">
      <alignment horizontal="center" vertical="center" wrapText="1"/>
    </xf>
    <xf numFmtId="0" fontId="116" fillId="55" borderId="133" xfId="2697" applyFont="1" applyFill="1" applyBorder="1" applyAlignment="1">
      <alignment horizontal="center" vertical="center" wrapText="1"/>
    </xf>
    <xf numFmtId="0" fontId="116" fillId="55" borderId="134" xfId="2697" applyFont="1" applyFill="1" applyBorder="1" applyAlignment="1">
      <alignment horizontal="center" vertical="center" wrapText="1"/>
    </xf>
    <xf numFmtId="17" fontId="37" fillId="55" borderId="126" xfId="905" applyNumberFormat="1" applyFont="1" applyFill="1" applyBorder="1" applyAlignment="1">
      <alignment horizontal="center" vertical="center" wrapText="1"/>
    </xf>
    <xf numFmtId="254" fontId="37" fillId="55" borderId="198" xfId="863" applyNumberFormat="1" applyFont="1" applyFill="1" applyBorder="1" applyAlignment="1">
      <alignment horizontal="center" vertical="center" wrapText="1"/>
    </xf>
    <xf numFmtId="17" fontId="37" fillId="55" borderId="127" xfId="905" applyNumberFormat="1" applyFont="1" applyFill="1" applyBorder="1" applyAlignment="1">
      <alignment horizontal="center" vertical="center" wrapText="1"/>
    </xf>
    <xf numFmtId="170" fontId="37" fillId="55" borderId="128" xfId="863" applyNumberFormat="1" applyFont="1" applyFill="1" applyBorder="1" applyAlignment="1">
      <alignment horizontal="center" vertical="center"/>
    </xf>
    <xf numFmtId="170" fontId="37" fillId="55" borderId="129" xfId="863" applyNumberFormat="1" applyFont="1" applyFill="1" applyBorder="1" applyAlignment="1">
      <alignment horizontal="center" vertical="center"/>
    </xf>
    <xf numFmtId="0" fontId="37" fillId="55" borderId="130" xfId="905" applyFont="1" applyFill="1" applyBorder="1" applyAlignment="1">
      <alignment horizontal="center" vertical="center"/>
    </xf>
    <xf numFmtId="0" fontId="37" fillId="55" borderId="0" xfId="905" applyFont="1" applyFill="1" applyAlignment="1">
      <alignment horizontal="center" vertical="center"/>
    </xf>
    <xf numFmtId="0" fontId="35" fillId="0" borderId="192" xfId="907" applyFont="1" applyBorder="1" applyAlignment="1">
      <alignment horizontal="center"/>
    </xf>
    <xf numFmtId="0" fontId="35" fillId="0" borderId="194" xfId="907" applyFont="1" applyBorder="1" applyAlignment="1">
      <alignment horizontal="center"/>
    </xf>
    <xf numFmtId="0" fontId="35" fillId="0" borderId="190" xfId="907" applyFont="1" applyBorder="1" applyAlignment="1">
      <alignment horizontal="center"/>
    </xf>
    <xf numFmtId="0" fontId="204" fillId="33" borderId="191" xfId="831" applyFont="1" applyFill="1" applyBorder="1" applyAlignment="1">
      <alignment horizontal="center" vertical="center"/>
    </xf>
    <xf numFmtId="0" fontId="204" fillId="33" borderId="195" xfId="831" applyFont="1" applyFill="1" applyBorder="1" applyAlignment="1">
      <alignment horizontal="center" vertical="center"/>
    </xf>
    <xf numFmtId="0" fontId="211" fillId="43" borderId="189" xfId="0" applyFont="1" applyFill="1" applyBorder="1" applyAlignment="1">
      <alignment horizontal="center" vertical="center" wrapText="1"/>
    </xf>
    <xf numFmtId="0" fontId="207" fillId="97" borderId="189" xfId="0" applyFont="1" applyFill="1" applyBorder="1" applyAlignment="1">
      <alignment horizontal="center" vertical="center" wrapText="1"/>
    </xf>
    <xf numFmtId="0" fontId="271" fillId="101" borderId="190" xfId="2697" applyFont="1" applyFill="1" applyBorder="1" applyAlignment="1">
      <alignment horizontal="center"/>
    </xf>
    <xf numFmtId="0" fontId="116" fillId="55" borderId="126" xfId="2697" applyFont="1" applyFill="1" applyBorder="1" applyAlignment="1">
      <alignment horizontal="left" vertical="center" wrapText="1"/>
    </xf>
    <xf numFmtId="0" fontId="116" fillId="55" borderId="165" xfId="2697" applyFont="1" applyFill="1" applyBorder="1" applyAlignment="1">
      <alignment horizontal="left" vertical="center" wrapText="1"/>
    </xf>
    <xf numFmtId="0" fontId="116" fillId="55" borderId="131" xfId="2697" applyFont="1" applyFill="1" applyBorder="1" applyAlignment="1">
      <alignment horizontal="left" vertical="center" wrapText="1"/>
    </xf>
    <xf numFmtId="0" fontId="207" fillId="0" borderId="0" xfId="0" applyFont="1" applyAlignment="1">
      <alignment horizontal="center"/>
    </xf>
    <xf numFmtId="0" fontId="214" fillId="0" borderId="0" xfId="836" applyFont="1" applyFill="1" applyBorder="1" applyAlignment="1">
      <alignment horizontal="left" vertical="center" wrapText="1"/>
    </xf>
    <xf numFmtId="0" fontId="204" fillId="0" borderId="0" xfId="0" applyFont="1" applyAlignment="1">
      <alignment horizontal="left" vertical="center" wrapText="1"/>
    </xf>
    <xf numFmtId="0" fontId="206" fillId="0" borderId="189" xfId="833" applyFont="1" applyBorder="1" applyAlignment="1">
      <alignment horizontal="left" vertical="center" wrapText="1"/>
    </xf>
    <xf numFmtId="0" fontId="204" fillId="0" borderId="189" xfId="0" applyFont="1" applyBorder="1" applyAlignment="1">
      <alignment horizontal="left" vertical="center" wrapText="1"/>
    </xf>
    <xf numFmtId="0" fontId="207" fillId="0" borderId="191" xfId="0" applyFont="1" applyBorder="1" applyAlignment="1">
      <alignment horizontal="left" vertical="center"/>
    </xf>
    <xf numFmtId="0" fontId="207" fillId="0" borderId="195" xfId="0" applyFont="1" applyBorder="1" applyAlignment="1">
      <alignment horizontal="left" vertical="center"/>
    </xf>
    <xf numFmtId="0" fontId="214" fillId="0" borderId="178" xfId="836" applyFont="1" applyFill="1" applyBorder="1" applyAlignment="1">
      <alignment horizontal="left" vertical="center" wrapText="1"/>
    </xf>
    <xf numFmtId="0" fontId="204" fillId="0" borderId="178" xfId="0" applyFont="1" applyBorder="1" applyAlignment="1">
      <alignment horizontal="left" vertical="center" wrapText="1"/>
    </xf>
    <xf numFmtId="0" fontId="214" fillId="0" borderId="189" xfId="836" applyFont="1" applyFill="1" applyBorder="1" applyAlignment="1">
      <alignment horizontal="left" vertical="center" wrapText="1"/>
    </xf>
    <xf numFmtId="0" fontId="214" fillId="0" borderId="194" xfId="836" applyFont="1" applyFill="1" applyBorder="1" applyAlignment="1">
      <alignment horizontal="left" vertical="center" wrapText="1"/>
    </xf>
    <xf numFmtId="0" fontId="204" fillId="0" borderId="194" xfId="0" applyFont="1" applyBorder="1" applyAlignment="1">
      <alignment horizontal="left" vertical="center" wrapText="1"/>
    </xf>
    <xf numFmtId="0" fontId="207" fillId="0" borderId="192" xfId="0" applyFont="1" applyBorder="1" applyAlignment="1">
      <alignment horizontal="center" vertical="center" wrapText="1"/>
    </xf>
    <xf numFmtId="0" fontId="207" fillId="0" borderId="193" xfId="0" applyFont="1" applyBorder="1" applyAlignment="1">
      <alignment horizontal="center" vertical="center" wrapText="1"/>
    </xf>
    <xf numFmtId="0" fontId="207" fillId="105" borderId="191" xfId="0" applyFont="1" applyFill="1" applyBorder="1" applyAlignment="1">
      <alignment horizontal="center" vertical="center"/>
    </xf>
    <xf numFmtId="0" fontId="207" fillId="105" borderId="195" xfId="0" applyFont="1" applyFill="1" applyBorder="1" applyAlignment="1">
      <alignment horizontal="center" vertical="center"/>
    </xf>
    <xf numFmtId="0" fontId="207" fillId="41" borderId="192" xfId="832" applyFont="1" applyFill="1" applyBorder="1" applyAlignment="1">
      <alignment horizontal="center" vertical="center" wrapText="1"/>
    </xf>
    <xf numFmtId="0" fontId="207" fillId="41" borderId="193" xfId="0" applyFont="1" applyFill="1" applyBorder="1" applyAlignment="1">
      <alignment horizontal="center" vertical="center" wrapText="1"/>
    </xf>
    <xf numFmtId="0" fontId="207" fillId="0" borderId="192" xfId="0" applyFont="1" applyBorder="1" applyAlignment="1">
      <alignment horizontal="center" vertical="center"/>
    </xf>
    <xf numFmtId="0" fontId="207" fillId="0" borderId="193" xfId="0" applyFont="1" applyBorder="1" applyAlignment="1">
      <alignment horizontal="center" vertical="center"/>
    </xf>
    <xf numFmtId="0" fontId="207" fillId="41" borderId="192" xfId="0" applyFont="1" applyFill="1" applyBorder="1" applyAlignment="1">
      <alignment horizontal="center" vertical="center"/>
    </xf>
    <xf numFmtId="0" fontId="207" fillId="41" borderId="193" xfId="0" applyFont="1" applyFill="1" applyBorder="1" applyAlignment="1">
      <alignment horizontal="center" vertical="center"/>
    </xf>
    <xf numFmtId="0" fontId="207" fillId="0" borderId="191" xfId="0" applyFont="1" applyBorder="1" applyAlignment="1">
      <alignment horizontal="center" vertical="center"/>
    </xf>
    <xf numFmtId="0" fontId="207" fillId="0" borderId="195" xfId="0" applyFont="1" applyBorder="1" applyAlignment="1">
      <alignment horizontal="center" vertical="center"/>
    </xf>
    <xf numFmtId="10" fontId="249" fillId="0" borderId="191" xfId="7308" applyNumberFormat="1" applyFont="1" applyBorder="1" applyAlignment="1">
      <alignment horizontal="center"/>
    </xf>
    <xf numFmtId="0" fontId="249" fillId="0" borderId="189" xfId="7308" applyFont="1" applyBorder="1" applyAlignment="1">
      <alignment horizontal="center"/>
    </xf>
    <xf numFmtId="0" fontId="249" fillId="0" borderId="195" xfId="7308" applyFont="1" applyBorder="1" applyAlignment="1">
      <alignment horizontal="center"/>
    </xf>
    <xf numFmtId="214" fontId="249" fillId="0" borderId="191" xfId="43165" applyNumberFormat="1" applyFont="1" applyBorder="1" applyAlignment="1">
      <alignment horizontal="center"/>
    </xf>
    <xf numFmtId="214" fontId="249" fillId="0" borderId="189" xfId="43165" applyNumberFormat="1" applyFont="1" applyBorder="1" applyAlignment="1">
      <alignment horizontal="center"/>
    </xf>
    <xf numFmtId="214" fontId="249" fillId="0" borderId="195" xfId="43165" applyNumberFormat="1" applyFont="1" applyBorder="1" applyAlignment="1">
      <alignment horizontal="center"/>
    </xf>
    <xf numFmtId="214" fontId="249" fillId="0" borderId="191" xfId="7308" applyNumberFormat="1" applyFont="1" applyBorder="1" applyAlignment="1">
      <alignment horizontal="center"/>
    </xf>
    <xf numFmtId="214" fontId="249" fillId="0" borderId="189" xfId="7308" applyNumberFormat="1" applyFont="1" applyBorder="1" applyAlignment="1">
      <alignment horizontal="center"/>
    </xf>
    <xf numFmtId="214" fontId="249" fillId="0" borderId="195" xfId="7308" applyNumberFormat="1" applyFont="1" applyBorder="1" applyAlignment="1">
      <alignment horizontal="center"/>
    </xf>
  </cellXfs>
  <cellStyles count="43440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8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581"/>
    </tableStyle>
    <tableStyle name="Padrão" pivot="0" count="1" xr9:uid="{3101F1C1-6DA4-4166-994B-3EC22CFD8317}">
      <tableStyleElement type="headerRow" dxfId="580"/>
    </tableStyle>
    <tableStyle name="Padrão 2" pivot="0" count="2" xr9:uid="{85D0CDF3-BF56-48CA-93DE-51D2DBCCC9A6}">
      <tableStyleElement type="wholeTable" dxfId="579"/>
      <tableStyleElement type="headerRow" dxfId="57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FFDDDD"/>
      <color rgb="FFEE08CD"/>
      <color rgb="FFF9AD6F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42" Type="http://schemas.openxmlformats.org/officeDocument/2006/relationships/externalLink" Target="externalLinks/externalLink9.xml"/><Relationship Id="rId47" Type="http://schemas.openxmlformats.org/officeDocument/2006/relationships/externalLink" Target="externalLinks/externalLink14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4.xml"/><Relationship Id="rId40" Type="http://schemas.openxmlformats.org/officeDocument/2006/relationships/externalLink" Target="externalLinks/externalLink7.xml"/><Relationship Id="rId45" Type="http://schemas.openxmlformats.org/officeDocument/2006/relationships/externalLink" Target="externalLinks/externalLink12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0.xml"/><Relationship Id="rId48" Type="http://schemas.openxmlformats.org/officeDocument/2006/relationships/externalLink" Target="externalLinks/externalLink15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5.xml"/><Relationship Id="rId46" Type="http://schemas.openxmlformats.org/officeDocument/2006/relationships/externalLink" Target="externalLinks/externalLink13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8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1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4.1685245095104587E-2</c:v>
                </c:pt>
                <c:pt idx="1">
                  <c:v>1.9054605043345628E-2</c:v>
                </c:pt>
                <c:pt idx="2">
                  <c:v>-3.9437776076652171E-2</c:v>
                </c:pt>
                <c:pt idx="3">
                  <c:v>8.1138555228116485E-2</c:v>
                </c:pt>
                <c:pt idx="4">
                  <c:v>-0.34639999999999999</c:v>
                </c:pt>
                <c:pt idx="5">
                  <c:v>0.38319999999999999</c:v>
                </c:pt>
                <c:pt idx="6">
                  <c:v>0.13924834283945997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0.51265642915113918</c:v>
                </c:pt>
                <c:pt idx="1">
                  <c:v>0.2333493586252389</c:v>
                </c:pt>
                <c:pt idx="2">
                  <c:v>0.14732155519437365</c:v>
                </c:pt>
                <c:pt idx="3">
                  <c:v>0</c:v>
                </c:pt>
                <c:pt idx="4">
                  <c:v>0</c:v>
                </c:pt>
                <c:pt idx="5">
                  <c:v>1.3782728329159787E-2</c:v>
                </c:pt>
                <c:pt idx="6">
                  <c:v>8.5058545240590214E-2</c:v>
                </c:pt>
                <c:pt idx="7">
                  <c:v>2.3019140568711731E-3</c:v>
                </c:pt>
                <c:pt idx="8">
                  <c:v>5.5294694026271421E-3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29118822.85816966</c:v>
                </c:pt>
                <c:pt idx="1">
                  <c:v>34000000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17848533.31991924</c:v>
                </c:pt>
                <c:pt idx="1">
                  <c:v>15476014.231197888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8624248.0756572969</c:v>
                </c:pt>
                <c:pt idx="1">
                  <c:v>9770545.3238976002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4566937.2448938135</c:v>
                </c:pt>
                <c:pt idx="1">
                  <c:v>7074660.7918286426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0.41801397118921274</c:v>
                </c:pt>
                <c:pt idx="1">
                  <c:v>0.19027029902834705</c:v>
                </c:pt>
                <c:pt idx="2">
                  <c:v>0.1201242485743126</c:v>
                </c:pt>
                <c:pt idx="3">
                  <c:v>8.6979619188497379E-2</c:v>
                </c:pt>
                <c:pt idx="4">
                  <c:v>0.17733302397334957</c:v>
                </c:pt>
                <c:pt idx="5" formatCode="0.00%">
                  <c:v>7.2788380462807068E-3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Cerfox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527.59</c:v>
                </c:pt>
                <c:pt idx="1">
                  <c:v>562.08000000000004</c:v>
                </c:pt>
                <c:pt idx="2">
                  <c:v>611.43999999999994</c:v>
                </c:pt>
                <c:pt idx="3">
                  <c:v>660.43</c:v>
                </c:pt>
                <c:pt idx="4">
                  <c:v>726.6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527.58999999999992</c:v>
                </c:pt>
                <c:pt idx="1">
                  <c:v>560.27</c:v>
                </c:pt>
                <c:pt idx="2">
                  <c:v>589.57000000000005</c:v>
                </c:pt>
                <c:pt idx="3">
                  <c:v>643.09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527.59</c:v>
                </c:pt>
                <c:pt idx="1">
                  <c:v>561.93688240223742</c:v>
                </c:pt>
                <c:pt idx="2">
                  <c:v>603.03686079502415</c:v>
                </c:pt>
                <c:pt idx="3">
                  <c:v>818.63062984016699</c:v>
                </c:pt>
                <c:pt idx="4">
                  <c:v>906.25878514958447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527.59</c:v>
                </c:pt>
                <c:pt idx="1">
                  <c:v>545.35008886977016</c:v>
                </c:pt>
                <c:pt idx="2">
                  <c:v>556.97922897594594</c:v>
                </c:pt>
                <c:pt idx="3">
                  <c:v>603.47068827981593</c:v>
                </c:pt>
                <c:pt idx="4">
                  <c:v>675.20446222192288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Cerfox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_(* #,##0.00_);_(* \(#,##0.00\);_(* &quot;-&quot;??_);_(@_)">
                  <c:v>0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527.59</c:v>
                </c:pt>
                <c:pt idx="6" formatCode="_(* #,##0.00_);_(* \(#,##0.00\);_(* &quot;-&quot;??_);_(@_)">
                  <c:v>562.08000000000004</c:v>
                </c:pt>
                <c:pt idx="7" formatCode="_(* #,##0.00_);_(* \(#,##0.00\);_(* &quot;-&quot;??_);_(@_)">
                  <c:v>611.43999999999994</c:v>
                </c:pt>
                <c:pt idx="8" formatCode="_(* #,##0.00_);_(* \(#,##0.00\);_(* &quot;-&quot;??_);_(@_)">
                  <c:v>660.43</c:v>
                </c:pt>
                <c:pt idx="9" formatCode="_(* #,##0.00_);_(* \(#,##0.00\);_(* &quot;-&quot;??_);_(@_)">
                  <c:v>726.6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284.77999999999997</c:v>
                </c:pt>
                <c:pt idx="1">
                  <c:v>350.69</c:v>
                </c:pt>
                <c:pt idx="2">
                  <c:v>446.79999999999995</c:v>
                </c:pt>
                <c:pt idx="3">
                  <c:v>415.49</c:v>
                </c:pt>
                <c:pt idx="4">
                  <c:v>433.86</c:v>
                </c:pt>
                <c:pt idx="5">
                  <c:v>527.58999999999992</c:v>
                </c:pt>
                <c:pt idx="6">
                  <c:v>560.27</c:v>
                </c:pt>
                <c:pt idx="7">
                  <c:v>589.57000000000005</c:v>
                </c:pt>
                <c:pt idx="8">
                  <c:v>643.09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527.59</c:v>
                </c:pt>
                <c:pt idx="6">
                  <c:v>561.93688240223742</c:v>
                </c:pt>
                <c:pt idx="7">
                  <c:v>603.03686079502415</c:v>
                </c:pt>
                <c:pt idx="8">
                  <c:v>818.63062984016699</c:v>
                </c:pt>
                <c:pt idx="9">
                  <c:v>906.25878514958447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527.59</c:v>
                </c:pt>
                <c:pt idx="6">
                  <c:v>545.35008886977016</c:v>
                </c:pt>
                <c:pt idx="7">
                  <c:v>556.97922897594594</c:v>
                </c:pt>
                <c:pt idx="8">
                  <c:v>603.47068827981593</c:v>
                </c:pt>
                <c:pt idx="9">
                  <c:v>675.20446222192288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[Persas_RTA_2022_CERFOX.xlsx]Calc_Mercado!Tabela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5042.2000000000007</c:v>
                </c:pt>
                <c:pt idx="1">
                  <c:v>4937.3329999999996</c:v>
                </c:pt>
                <c:pt idx="2">
                  <c:v>4935.8160000000016</c:v>
                </c:pt>
                <c:pt idx="3">
                  <c:v>5156.9850000000006</c:v>
                </c:pt>
                <c:pt idx="4">
                  <c:v>5101.13</c:v>
                </c:pt>
                <c:pt idx="5">
                  <c:v>5190.2499999999991</c:v>
                </c:pt>
                <c:pt idx="6">
                  <c:v>5860.722999999999</c:v>
                </c:pt>
                <c:pt idx="7">
                  <c:v>6257.8519999999999</c:v>
                </c:pt>
                <c:pt idx="8">
                  <c:v>6125.3340000000007</c:v>
                </c:pt>
                <c:pt idx="9">
                  <c:v>5524.5910000000003</c:v>
                </c:pt>
                <c:pt idx="10">
                  <c:v>5186.0649999999987</c:v>
                </c:pt>
                <c:pt idx="11">
                  <c:v>5627.0520000000024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Gest&#227;o%20da%20Informa&#231;&#227;o\Sistemas\SPARTA\Matrix\dev\modelo2021\SPARTAmatrixNC-SEM%20AJUSTE%20CV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121">
          <cell r="S121">
            <v>56</v>
          </cell>
          <cell r="T121">
            <v>44375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7.583425810182" createdVersion="4" refreshedVersion="8" minRefreshableVersion="3" recordCount="515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515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6-02T00:00:00" count="59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1904"/>
    </cacheField>
    <cacheField name="Daj" numFmtId="4">
      <sharedItems containsSemiMixedTypes="0" containsString="0" containsNumber="1" minValue="0" maxValue="1904"/>
    </cacheField>
    <cacheField name="TUSD_E" numFmtId="4">
      <sharedItems containsSemiMixedTypes="0" containsString="0" containsNumber="1" minValue="-36.871000000000002" maxValue="3572.7930000000001"/>
    </cacheField>
    <cacheField name="TUSD_Eaj" numFmtId="4">
      <sharedItems containsSemiMixedTypes="0" containsString="0" containsNumber="1" minValue="-36.871000000000002" maxValue="3572.7930000000001"/>
    </cacheField>
    <cacheField name="TE_E" numFmtId="4">
      <sharedItems containsSemiMixedTypes="0" containsString="0" containsNumber="1" minValue="-36.871000000000002" maxValue="3572.7930000000001"/>
    </cacheField>
    <cacheField name="TE_Eaj" numFmtId="4">
      <sharedItems containsSemiMixedTypes="0" containsString="0" containsNumber="1" minValue="-36.871000000000002" maxValue="3572.7930000000001"/>
    </cacheField>
    <cacheField name="TUSD/KW" numFmtId="4">
      <sharedItems containsString="0" containsBlank="1" containsNumber="1" minValue="15.78" maxValue="47.39"/>
    </cacheField>
    <cacheField name="TUSD/MWh" numFmtId="4">
      <sharedItems containsString="0" containsBlank="1" containsNumber="1" minValue="82.26" maxValue="3130.62"/>
    </cacheField>
    <cacheField name="TE" numFmtId="4">
      <sharedItems containsString="0" containsBlank="1" containsNumber="1" minValue="141.1" maxValue="256.55"/>
    </cacheField>
    <cacheField name="ReceitaD" numFmtId="4">
      <sharedItems containsString="0" containsBlank="1" containsNumber="1" minValue="2132.5500000000002" maxValue="90230.56"/>
    </cacheField>
    <cacheField name="ReceitaE" numFmtId="4">
      <sharedItems containsString="0" containsBlank="1" containsNumber="1" minValue="-27151.764899999998" maxValue="3456534.3157799998"/>
    </cacheField>
    <cacheField name="Total" numFmtId="4">
      <sharedItems containsString="0" containsBlank="1" containsNumber="1" minValue="-27151.764899999998" maxValue="3456534.3157799998"/>
    </cacheField>
    <cacheField name="Total com Tar de aplicação" numFmtId="4">
      <sharedItems containsString="0" containsBlank="1" containsNumber="1" minValue="-18534.967950000002" maxValue="2359579.6809900003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1971.970690707187" maxValue="219636.31137587814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3454.3184958316351" maxValue="439749.32982995885"/>
    </cacheField>
    <cacheField name="DISTRIBUICAO" numFmtId="4">
      <sharedItems containsString="0" containsBlank="1" containsNumber="1" minValue="-13384.480881197918" maxValue="1703900.9300188045"/>
    </cacheField>
    <cacheField name="EnergiaRevenda" numFmtId="4">
      <sharedItems containsString="0" containsBlank="1" containsNumber="1" minValue="-9459.3480287824896" maxValue="916609.05377662333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350.4317089261653" maxValue="33956.767015525504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61.625257398918883" maxValue="7845.155469732962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minValue="-45.426001783611277" maxValue="5324.6060431943833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1017.4517348435306" maxValue="129525.90187375101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142.97" maxValue="16896.93"/>
    </cacheField>
    <cacheField name="Cofins" numFmtId="4">
      <sharedItems containsSemiMixedTypes="0" containsString="0" containsNumber="1" minValue="-234.61" maxValue="25000.080000000002"/>
    </cacheField>
    <cacheField name="ICMS" numFmtId="4">
      <sharedItems containsSemiMixedTypes="0" containsString="0" containsNumber="1" minValue="-3913.78" maxValue="246148.37"/>
    </cacheField>
    <cacheField name="UC" numFmtId="4">
      <sharedItems containsSemiMixedTypes="0" containsString="0" containsNumber="1" containsInteger="1" minValue="0" maxValue="10245"/>
    </cacheField>
    <cacheField name="total_dummy" numFmtId="4">
      <sharedItems containsNonDate="0" containsString="0" containsBlank="1"/>
    </cacheField>
    <cacheField name="Subs_CarFI" numFmtId="4">
      <sharedItems containsString="0" containsBlank="1" containsNumber="1" minValue="7130.0577600000006" maxValue="19557.54"/>
    </cacheField>
    <cacheField name="Subs_GerFI" numFmtId="4">
      <sharedItems containsString="0" containsBlank="1" containsNumber="1" containsInteger="1" minValue="2054" maxValue="2600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97.438555800000074" maxValue="1953.9878238000013"/>
    </cacheField>
    <cacheField name="Subs_Rural" numFmtId="4">
      <sharedItems containsString="0" containsBlank="1" containsNumber="1" minValue="-2224.1512499999994" maxValue="283143.8452499999"/>
    </cacheField>
    <cacheField name="Subs_Irrigante" numFmtId="4">
      <sharedItems containsNonDate="0" containsString="0" containsBlank="1"/>
    </cacheField>
    <cacheField name="Subs_BaixaRenda" numFmtId="4">
      <sharedItems containsString="0" containsBlank="1" containsNumber="1" minValue="257.39626000000004" maxValue="2737.8930399999999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10120.124775699638" maxValue="1051459.5616935687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6313.722600000001" maxValue="2076434.0922000001"/>
    </cacheField>
    <cacheField name="FinAj" numFmtId="4">
      <sharedItems containsSemiMixedTypes="0" containsString="0" containsNumber="1" minValue="-965334.71420999966" maxValue="7579.9464500000031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1154083.5948600001" maxValue="9065.5563000000002"/>
    </cacheField>
    <cacheField name="FinPostTE" numFmtId="4">
      <sharedItems containsSemiMixedTypes="0" containsString="0" containsNumber="1" minValue="-589.56729000000041" maxValue="57128.960070000037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828.41577156142739" maxValue="47494.159661936341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1987.6946289787302" maxValue="15.613736861409961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589.30290151676854" maxValue="57103.340875452152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minValue="-2.8299703715240767" maxValue="331.71480541160327"/>
    </cacheField>
    <cacheField name="FinCT_perdastec" numFmtId="4">
      <sharedItems containsString="0" containsBlank="1" containsNumber="1" minValue="-63.385685532678053" maxValue="8069.2654042883805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13657.832214984199" maxValue="122.6247365830759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1863.2991773229405" maxValue="19.229130813644701"/>
    </cacheField>
    <cacheField name="finCT_TFSEE" numFmtId="4">
      <sharedItems containsString="0" containsBlank="1" containsNumber="1" minValue="-501.33540192967303" maxValue="3.9380893477893295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1008.8940260578274" maxValue="42687.427235868963"/>
    </cacheField>
    <cacheField name="DIST_E" numFmtId="4">
      <sharedItems containsString="0" containsBlank="1" containsNumber="1" minValue="-13384.480881197918" maxValue="1703900.9300188045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1154083.5948599998" maxValue="9065.5562999999984"/>
    </cacheField>
    <cacheField name="Fin_TE" numFmtId="4">
      <sharedItems containsString="0" containsBlank="1" containsNumber="1" minValue="-589.56728999999905" maxValue="57128.96007000003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1144467.0923379771" maxValue="8990.0167590076817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57" maxValue="257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5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617.82500000000005"/>
    <n v="617.82500000000005"/>
    <n v="617.82500000000005"/>
    <n v="617.82500000000005"/>
    <m/>
    <n v="710.91"/>
    <n v="256.55"/>
    <m/>
    <n v="597720.97450000001"/>
    <n v="597720.97450000001"/>
    <n v="408030.16475"/>
    <n v="0"/>
    <n v="37980.595034697486"/>
    <n v="0"/>
    <n v="0"/>
    <n v="0"/>
    <n v="76043.624610268307"/>
    <n v="294646.95886071987"/>
    <n v="158504.56173910506"/>
    <n v="0"/>
    <n v="0"/>
    <n v="0"/>
    <n v="0"/>
    <n v="0"/>
    <n v="5871.9717546936099"/>
    <m/>
    <n v="1356.6230056115112"/>
    <n v="0"/>
    <n v="0"/>
    <n v="0"/>
    <n v="0"/>
    <n v="0"/>
    <n v="0"/>
    <n v="0"/>
    <n v="0"/>
    <n v="0"/>
    <n v="0"/>
    <n v="0"/>
    <n v="0"/>
    <m/>
    <n v="0"/>
    <n v="0"/>
    <n v="920.75715795361498"/>
    <n v="0"/>
    <n v="0"/>
    <n v="22398.258260456238"/>
    <n v="0"/>
    <n v="628.79999999999995"/>
    <n v="230.97"/>
    <n v="169407.33"/>
    <n v="4097"/>
    <m/>
    <m/>
    <m/>
    <m/>
    <m/>
    <m/>
    <m/>
    <m/>
    <m/>
    <n v="181823.5771575149"/>
    <m/>
    <m/>
    <m/>
    <m/>
    <m/>
    <m/>
    <m/>
    <m/>
    <m/>
    <m/>
    <m/>
    <m/>
    <n v="408033.4669"/>
    <n v="-189687.53760000004"/>
    <m/>
    <m/>
    <m/>
    <m/>
    <n v="-199569.8315"/>
    <n v="9879.0217500000072"/>
    <n v="31"/>
    <n v="8212.9245083988644"/>
    <n v="0"/>
    <n v="0"/>
    <n v="0"/>
    <n v="0"/>
    <n v="0"/>
    <n v="0"/>
    <n v="0"/>
    <n v="-343.721966021767"/>
    <n v="0"/>
    <n v="0"/>
    <n v="9874.5915524286393"/>
    <n v="0"/>
    <n v="0"/>
    <n v="57.36176141562737"/>
    <n v="1395.3772016471339"/>
    <n v="0"/>
    <n v="-2361.7797583634529"/>
    <m/>
    <n v="0"/>
    <n v="0"/>
    <n v="0"/>
    <n v="0"/>
    <n v="-322.21089053565265"/>
    <n v="-86.693392171670894"/>
    <n v="0"/>
    <n v="0"/>
    <m/>
    <m/>
    <m/>
    <n v="294646.95886071987"/>
    <n v="0"/>
    <n v="0"/>
    <n v="-199569.83150000003"/>
    <n v="9879.0217499999853"/>
    <n v="0"/>
    <n v="0"/>
    <n v="-197906.89841916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8.0679999999999996"/>
    <n v="-8.0679999999999996"/>
    <n v="-8.0679999999999996"/>
    <n v="-8.0679999999999996"/>
    <m/>
    <n v="710.91"/>
    <n v="256.55"/>
    <m/>
    <n v="-7805.4672799999998"/>
    <n v="-7805.4672799999998"/>
    <n v="-5328.3492399999996"/>
    <n v="0"/>
    <n v="-495.9777295187784"/>
    <n v="0"/>
    <n v="0"/>
    <n v="0"/>
    <n v="-993.03194813360517"/>
    <n v="-3847.7103776769923"/>
    <n v="-2069.8657453341957"/>
    <n v="0"/>
    <n v="0"/>
    <n v="0"/>
    <n v="0"/>
    <n v="0"/>
    <n v="-76.680399978744859"/>
    <m/>
    <n v="-17.715751886494832"/>
    <n v="0"/>
    <n v="0"/>
    <n v="0"/>
    <n v="0"/>
    <n v="0"/>
    <n v="0"/>
    <n v="0"/>
    <n v="0"/>
    <n v="0"/>
    <n v="0"/>
    <n v="0"/>
    <n v="0"/>
    <m/>
    <n v="0"/>
    <n v="0"/>
    <n v="-12.023904423371933"/>
    <n v="0"/>
    <n v="0"/>
    <n v="-292.49244955345108"/>
    <n v="0"/>
    <n v="-0.85"/>
    <n v="-2.96"/>
    <n v="-2270.12"/>
    <n v="0"/>
    <m/>
    <m/>
    <m/>
    <m/>
    <m/>
    <m/>
    <m/>
    <m/>
    <m/>
    <n v="-2374.3820993110185"/>
    <m/>
    <m/>
    <m/>
    <m/>
    <m/>
    <m/>
    <m/>
    <m/>
    <m/>
    <m/>
    <m/>
    <m/>
    <n v="-5329.6701000000003"/>
    <n v="2475.7671799999989"/>
    <m/>
    <m/>
    <m/>
    <m/>
    <n v="2606.1253599999995"/>
    <n v="-129.00732000000008"/>
    <n v="31"/>
    <n v="-107.25023256385293"/>
    <n v="0"/>
    <n v="0"/>
    <n v="0"/>
    <n v="0"/>
    <n v="0"/>
    <n v="0"/>
    <n v="0"/>
    <n v="4.488566862563971"/>
    <n v="0"/>
    <n v="0"/>
    <n v="-128.94946731678783"/>
    <n v="0"/>
    <n v="0"/>
    <n v="-0.74907083899369908"/>
    <n v="-18.221831850263527"/>
    <n v="0"/>
    <n v="30.841806483189146"/>
    <m/>
    <n v="0"/>
    <n v="0"/>
    <n v="0"/>
    <n v="0"/>
    <n v="4.2076598791593938"/>
    <n v="1.1321042172800375"/>
    <n v="0"/>
    <n v="0"/>
    <m/>
    <m/>
    <m/>
    <n v="-3847.7103776769923"/>
    <n v="0"/>
    <n v="0"/>
    <n v="2606.12536"/>
    <n v="-129.00731999999971"/>
    <n v="0"/>
    <n v="0"/>
    <n v="2584.4095924344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9.9169999999999998"/>
    <n v="9.9169999999999998"/>
    <n v="9.9169999999999998"/>
    <n v="9.9169999999999998"/>
    <m/>
    <n v="710.91"/>
    <n v="256.55"/>
    <m/>
    <n v="9594.3008200000004"/>
    <n v="9594.3008200000004"/>
    <n v="6549.4843099999998"/>
    <n v="0"/>
    <n v="609.64441542361499"/>
    <n v="0"/>
    <n v="0"/>
    <n v="0"/>
    <n v="1220.61202648004"/>
    <n v="4729.51708173311"/>
    <n v="2544.2313580167597"/>
    <n v="0"/>
    <n v="0"/>
    <n v="0"/>
    <n v="0"/>
    <n v="0"/>
    <n v="94.253783662520163"/>
    <m/>
    <n v="21.775794677537093"/>
    <n v="0"/>
    <n v="0"/>
    <n v="0"/>
    <n v="0"/>
    <n v="0"/>
    <n v="0"/>
    <n v="0"/>
    <n v="0"/>
    <n v="0"/>
    <n v="0"/>
    <n v="0"/>
    <n v="0"/>
    <m/>
    <n v="0"/>
    <n v="0"/>
    <n v="14.779506713755511"/>
    <n v="0"/>
    <n v="0"/>
    <n v="359.52499035963984"/>
    <n v="0"/>
    <n v="10.38"/>
    <n v="3.77"/>
    <n v="2837.89"/>
    <n v="55"/>
    <m/>
    <m/>
    <m/>
    <m/>
    <m/>
    <m/>
    <m/>
    <m/>
    <m/>
    <n v="2918.5358550901551"/>
    <m/>
    <m/>
    <m/>
    <m/>
    <m/>
    <m/>
    <m/>
    <m/>
    <m/>
    <m/>
    <m/>
    <m/>
    <n v="6551.4655999999995"/>
    <n v="-3042.8652200000015"/>
    <m/>
    <m/>
    <m/>
    <m/>
    <n v="-3203.3893399999997"/>
    <n v="158.5728300000001"/>
    <n v="31"/>
    <n v="131.82951863358085"/>
    <n v="0"/>
    <n v="0"/>
    <n v="0"/>
    <n v="0"/>
    <n v="0"/>
    <n v="0"/>
    <n v="0"/>
    <n v="-5.5172431303974463"/>
    <n v="0"/>
    <n v="0"/>
    <n v="158.50171881266533"/>
    <n v="0"/>
    <n v="0"/>
    <n v="0.92074064331935013"/>
    <n v="22.397856526904263"/>
    <n v="0"/>
    <n v="-37.91003902996863"/>
    <m/>
    <n v="0"/>
    <n v="0"/>
    <n v="0"/>
    <n v="0"/>
    <n v="-5.171958728510603"/>
    <n v="-1.3915564604320956"/>
    <n v="0"/>
    <n v="0"/>
    <m/>
    <m/>
    <m/>
    <n v="4729.51708173311"/>
    <n v="0"/>
    <n v="0"/>
    <n v="-3203.3893400000002"/>
    <n v="158.57283000000007"/>
    <n v="0"/>
    <n v="0"/>
    <n v="-3176.6968180680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3.45"/>
    <n v="3.45"/>
    <n v="3.45"/>
    <n v="3.45"/>
    <m/>
    <n v="639.92999999999995"/>
    <n v="256.55"/>
    <m/>
    <n v="3092.8559999999998"/>
    <n v="3092.8559999999998"/>
    <n v="2048.61"/>
    <n v="0"/>
    <n v="0"/>
    <n v="0"/>
    <n v="0"/>
    <n v="0"/>
    <n v="424.63562482163343"/>
    <n v="1645.3397128142817"/>
    <n v="885.10619997557944"/>
    <n v="0"/>
    <n v="0"/>
    <n v="0"/>
    <n v="0"/>
    <n v="0"/>
    <n v="0"/>
    <m/>
    <n v="7.5755260297976177"/>
    <n v="0"/>
    <n v="0"/>
    <n v="0"/>
    <n v="0"/>
    <n v="0"/>
    <n v="0"/>
    <n v="0"/>
    <n v="0"/>
    <n v="0"/>
    <n v="0"/>
    <n v="0"/>
    <n v="0"/>
    <m/>
    <n v="0"/>
    <n v="0"/>
    <n v="5.1416051388985098"/>
    <n v="0"/>
    <n v="0"/>
    <n v="125.07423784821594"/>
    <n v="0"/>
    <n v="1.07"/>
    <n v="0.05"/>
    <n v="268.68"/>
    <n v="5"/>
    <m/>
    <m/>
    <m/>
    <m/>
    <m/>
    <m/>
    <m/>
    <n v="1331.5965000000001"/>
    <m/>
    <n v="1015.3220429626939"/>
    <m/>
    <m/>
    <m/>
    <m/>
    <m/>
    <m/>
    <m/>
    <m/>
    <m/>
    <m/>
    <m/>
    <m/>
    <n v="717.01350000000002"/>
    <n v="-365.52299999999991"/>
    <m/>
    <m/>
    <m/>
    <m/>
    <n v="-1099.4114999999999"/>
    <n v="55.165500000000037"/>
    <n v="31"/>
    <n v="60.849524206171509"/>
    <n v="0"/>
    <n v="0"/>
    <n v="0"/>
    <n v="0"/>
    <n v="0"/>
    <n v="0"/>
    <n v="0"/>
    <n v="-1.9193797317607846"/>
    <n v="0"/>
    <n v="0"/>
    <n v="55.140761309236268"/>
    <n v="0"/>
    <n v="0"/>
    <n v="0.32031412921768165"/>
    <n v="7.7919335502490412"/>
    <n v="0"/>
    <n v="0"/>
    <m/>
    <n v="0"/>
    <n v="0"/>
    <n v="0"/>
    <n v="0"/>
    <n v="0"/>
    <n v="-0.48410505077046739"/>
    <n v="0"/>
    <n v="0"/>
    <m/>
    <m/>
    <m/>
    <n v="1645.3397128142817"/>
    <n v="0"/>
    <n v="0"/>
    <n v="-1099.4114999999999"/>
    <n v="55.165500000000065"/>
    <n v="0"/>
    <n v="0"/>
    <n v="-1105.1330061848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6.8170000000000002"/>
    <n v="6.8170000000000002"/>
    <n v="6.8170000000000002"/>
    <n v="6.8170000000000002"/>
    <m/>
    <n v="639.92999999999995"/>
    <n v="256.55"/>
    <m/>
    <n v="6111.3041599999997"/>
    <n v="6111.3041599999997"/>
    <n v="4047.9346"/>
    <n v="0"/>
    <n v="0"/>
    <n v="0"/>
    <n v="0"/>
    <n v="0"/>
    <n v="839.05537808958695"/>
    <n v="3251.0958905086836"/>
    <n v="1748.9185406473987"/>
    <n v="0"/>
    <n v="0"/>
    <n v="0"/>
    <n v="0"/>
    <n v="0"/>
    <n v="0"/>
    <m/>
    <n v="14.968800273950828"/>
    <n v="0"/>
    <n v="0"/>
    <n v="0"/>
    <n v="0"/>
    <n v="0"/>
    <n v="0"/>
    <n v="0"/>
    <n v="0"/>
    <n v="0"/>
    <n v="0"/>
    <n v="0"/>
    <n v="0"/>
    <m/>
    <n v="0"/>
    <n v="0"/>
    <n v="10.159513690397432"/>
    <n v="0"/>
    <n v="0"/>
    <n v="247.13944330761973"/>
    <n v="0"/>
    <n v="3.63"/>
    <n v="1.35"/>
    <n v="976.66"/>
    <n v="33"/>
    <m/>
    <m/>
    <m/>
    <m/>
    <m/>
    <m/>
    <m/>
    <n v="1619.1738400000002"/>
    <m/>
    <n v="2006.217497645416"/>
    <m/>
    <m/>
    <m/>
    <m/>
    <m/>
    <m/>
    <m/>
    <m/>
    <m/>
    <m/>
    <m/>
    <m/>
    <n v="2429.8296"/>
    <n v="-1236.9965300000008"/>
    <m/>
    <m/>
    <m/>
    <m/>
    <n v="-2172.3733899999997"/>
    <n v="109.00383000000006"/>
    <n v="31"/>
    <n v="120.23513232274536"/>
    <n v="0"/>
    <n v="0"/>
    <n v="0"/>
    <n v="0"/>
    <n v="0"/>
    <n v="0"/>
    <n v="0"/>
    <n v="-3.7925830815689778"/>
    <n v="0"/>
    <n v="0"/>
    <n v="108.95494778117768"/>
    <n v="0"/>
    <n v="0"/>
    <n v="0.63292215039911248"/>
    <n v="15.396408988999326"/>
    <n v="0"/>
    <n v="0"/>
    <m/>
    <n v="0"/>
    <n v="0"/>
    <n v="0"/>
    <n v="0"/>
    <n v="0"/>
    <n v="-0.95656351626152869"/>
    <n v="0"/>
    <n v="0"/>
    <m/>
    <m/>
    <m/>
    <n v="3251.0958905086836"/>
    <n v="0"/>
    <n v="0"/>
    <n v="-2172.3733899999997"/>
    <n v="109.00383000000011"/>
    <n v="0"/>
    <n v="0"/>
    <n v="-2183.6787545396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4.8109999999999999"/>
    <n v="4.8109999999999999"/>
    <n v="4.8109999999999999"/>
    <n v="4.8109999999999999"/>
    <m/>
    <n v="639.92999999999995"/>
    <n v="256.55"/>
    <m/>
    <n v="4312.9652799999994"/>
    <n v="4312.9652799999994"/>
    <n v="2856.7718"/>
    <n v="0"/>
    <n v="0"/>
    <n v="0"/>
    <n v="0"/>
    <n v="0"/>
    <n v="592.1513017440227"/>
    <n v="2294.4143067679734"/>
    <n v="1234.2741820529022"/>
    <n v="0"/>
    <n v="0"/>
    <n v="0"/>
    <n v="0"/>
    <n v="0"/>
    <n v="0"/>
    <m/>
    <n v="10.564016153436619"/>
    <n v="0"/>
    <n v="0"/>
    <n v="0"/>
    <n v="0"/>
    <n v="0"/>
    <n v="0"/>
    <n v="0"/>
    <n v="0"/>
    <n v="0"/>
    <n v="0"/>
    <n v="0"/>
    <n v="0"/>
    <m/>
    <n v="0"/>
    <n v="0"/>
    <n v="7.1699311081857182"/>
    <n v="0"/>
    <n v="0"/>
    <n v="174.41511834428024"/>
    <n v="0"/>
    <n v="3.71"/>
    <n v="1.74"/>
    <n v="1125.6400000000001"/>
    <n v="60"/>
    <m/>
    <m/>
    <m/>
    <m/>
    <m/>
    <m/>
    <m/>
    <n v="285.72529000000009"/>
    <m/>
    <n v="1415.8592315053681"/>
    <m/>
    <m/>
    <m/>
    <m/>
    <m/>
    <m/>
    <m/>
    <m/>
    <m/>
    <m/>
    <m/>
    <m/>
    <n v="2570.5120999999999"/>
    <n v="-1311.2251400000009"/>
    <m/>
    <m/>
    <m/>
    <m/>
    <n v="-1533.1213699999998"/>
    <n v="76.927890000000048"/>
    <n v="31"/>
    <n v="84.854220566925051"/>
    <n v="0"/>
    <n v="0"/>
    <n v="0"/>
    <n v="0"/>
    <n v="0"/>
    <n v="0"/>
    <n v="0"/>
    <n v="-2.6765611273916647"/>
    <n v="0"/>
    <n v="0"/>
    <n v="76.893392074995745"/>
    <n v="0"/>
    <n v="0"/>
    <n v="0.44667573207717925"/>
    <n v="10.865794872535702"/>
    <n v="0"/>
    <n v="0"/>
    <m/>
    <n v="0"/>
    <n v="0"/>
    <n v="0"/>
    <n v="0"/>
    <n v="0"/>
    <n v="-0.67508098529180138"/>
    <n v="0"/>
    <n v="0"/>
    <m/>
    <m/>
    <m/>
    <n v="2294.4143067679734"/>
    <n v="0"/>
    <n v="0"/>
    <n v="-1533.1213699999996"/>
    <n v="76.927889999999934"/>
    <n v="0"/>
    <n v="0"/>
    <n v="-1541.0999689145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1.456"/>
    <n v="1.456"/>
    <n v="1.456"/>
    <n v="1.456"/>
    <m/>
    <n v="639.92999999999995"/>
    <n v="256.55"/>
    <m/>
    <n v="1305.2748799999999"/>
    <n v="1305.2748799999999"/>
    <n v="864.57279999999992"/>
    <n v="0"/>
    <n v="0"/>
    <n v="0"/>
    <n v="0"/>
    <n v="0"/>
    <n v="179.20854195370961"/>
    <n v="694.38104981379536"/>
    <n v="373.54047164186773"/>
    <n v="0"/>
    <n v="0"/>
    <n v="0"/>
    <n v="0"/>
    <n v="0"/>
    <n v="0"/>
    <m/>
    <n v="3.1970915650392264"/>
    <n v="0"/>
    <n v="0"/>
    <n v="0"/>
    <n v="0"/>
    <n v="0"/>
    <n v="0"/>
    <n v="0"/>
    <n v="0"/>
    <n v="0"/>
    <n v="0"/>
    <n v="0"/>
    <n v="0"/>
    <m/>
    <n v="0"/>
    <n v="0"/>
    <n v="2.1699064006481823"/>
    <n v="0"/>
    <n v="0"/>
    <n v="52.784953712174612"/>
    <n v="0"/>
    <n v="1.49"/>
    <n v="0.72"/>
    <n v="424.81"/>
    <n v="17"/>
    <m/>
    <m/>
    <m/>
    <m/>
    <m/>
    <m/>
    <m/>
    <m/>
    <m/>
    <n v="428.49533175469054"/>
    <m/>
    <m/>
    <m/>
    <m/>
    <m/>
    <m/>
    <m/>
    <m/>
    <m/>
    <m/>
    <m/>
    <m/>
    <n v="866.94799999999998"/>
    <n v="-438.35687999999993"/>
    <m/>
    <m/>
    <m/>
    <m/>
    <n v="-463.98351999999994"/>
    <n v="23.281440000000014"/>
    <n v="31"/>
    <n v="25.680262969329192"/>
    <n v="0"/>
    <n v="0"/>
    <n v="0"/>
    <n v="0"/>
    <n v="0"/>
    <n v="0"/>
    <n v="0"/>
    <n v="-0.8100338809981622"/>
    <n v="0"/>
    <n v="0"/>
    <n v="23.270999555434173"/>
    <n v="0"/>
    <n v="0"/>
    <n v="0.13518184699737557"/>
    <n v="3.2884218113514763"/>
    <n v="0"/>
    <n v="0"/>
    <m/>
    <n v="0"/>
    <n v="0"/>
    <n v="0"/>
    <n v="0"/>
    <n v="0"/>
    <n v="-0.20430636345559483"/>
    <n v="0"/>
    <n v="0"/>
    <m/>
    <m/>
    <m/>
    <n v="694.38104981379536"/>
    <n v="0"/>
    <n v="0"/>
    <n v="-463.98351999999988"/>
    <n v="23.281439999999975"/>
    <n v="0"/>
    <n v="0"/>
    <n v="-466.39816145074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8"/>
    <s v="Regular"/>
    <s v="Convencional"/>
    <s v="B3"/>
    <s v="Industrial"/>
    <s v="Não se aplica"/>
    <s v="Não se aplica"/>
    <s v="Não se aplica"/>
    <s v="Não se aplica"/>
    <s v="CATIVO"/>
    <x v="0"/>
    <n v="0"/>
    <n v="0"/>
    <n v="65.828999999999994"/>
    <n v="65.828999999999994"/>
    <n v="65.828999999999994"/>
    <n v="65.828999999999994"/>
    <m/>
    <n v="710.91"/>
    <n v="256.55"/>
    <m/>
    <n v="63686.92433999999"/>
    <n v="63686.92433999999"/>
    <n v="43475.446469999995"/>
    <n v="0"/>
    <n v="4046.8168017466114"/>
    <n v="0"/>
    <n v="0"/>
    <n v="0"/>
    <n v="8102.4169699661743"/>
    <n v="31394.512450681545"/>
    <n v="16888.595953099251"/>
    <n v="0"/>
    <n v="0"/>
    <n v="0"/>
    <n v="0"/>
    <n v="0"/>
    <n v="625.65617875567614"/>
    <m/>
    <n v="144.54762406247747"/>
    <n v="0"/>
    <n v="0"/>
    <n v="0"/>
    <n v="0"/>
    <n v="0"/>
    <n v="0"/>
    <n v="0"/>
    <n v="0"/>
    <n v="0"/>
    <n v="0"/>
    <n v="0"/>
    <n v="0"/>
    <m/>
    <n v="0"/>
    <n v="0"/>
    <n v="98.106297011173893"/>
    <n v="0"/>
    <n v="0"/>
    <n v="2386.5252183507846"/>
    <n v="0"/>
    <n v="60.55"/>
    <n v="21.37"/>
    <n v="9785.0499999999993"/>
    <n v="45"/>
    <m/>
    <m/>
    <m/>
    <m/>
    <m/>
    <m/>
    <m/>
    <m/>
    <m/>
    <n v="19373.227468461209"/>
    <m/>
    <m/>
    <m/>
    <m/>
    <m/>
    <m/>
    <m/>
    <m/>
    <m/>
    <m/>
    <m/>
    <m/>
    <n v="43476.106899999999"/>
    <n v="-20210.847439999998"/>
    <m/>
    <m/>
    <m/>
    <m/>
    <n v="-21264.083579999995"/>
    <n v="1052.6057100000005"/>
    <n v="31"/>
    <n v="875.08373319854218"/>
    <n v="0"/>
    <n v="0"/>
    <n v="0"/>
    <n v="0"/>
    <n v="0"/>
    <n v="0"/>
    <n v="0"/>
    <n v="-36.623434307848584"/>
    <n v="0"/>
    <n v="0"/>
    <n v="1052.1336742683197"/>
    <n v="0"/>
    <n v="0"/>
    <n v="6.1118721194987842"/>
    <n v="148.6768677331429"/>
    <n v="0"/>
    <n v="-251.64666323523261"/>
    <m/>
    <n v="0"/>
    <n v="0"/>
    <n v="0"/>
    <n v="0"/>
    <n v="-34.331438049725307"/>
    <n v="-9.2371453296142363"/>
    <n v="0"/>
    <n v="0"/>
    <m/>
    <m/>
    <m/>
    <n v="31394.512450681545"/>
    <n v="0"/>
    <n v="0"/>
    <n v="-21264.083579999995"/>
    <n v="1052.6057100000035"/>
    <n v="0"/>
    <n v="0"/>
    <n v="-21086.898743228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9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4.9480000000000004"/>
    <n v="4.9480000000000004"/>
    <n v="4.9480000000000004"/>
    <n v="4.9480000000000004"/>
    <m/>
    <n v="710.91"/>
    <n v="256.55"/>
    <m/>
    <n v="4786.99208"/>
    <n v="4786.99208"/>
    <n v="3267.80764"/>
    <n v="0"/>
    <n v="304.17672355712887"/>
    <n v="0"/>
    <n v="0"/>
    <n v="0"/>
    <n v="609.01364394708469"/>
    <n v="2359.7509852188596"/>
    <n v="1269.4218775301936"/>
    <n v="0"/>
    <n v="0"/>
    <n v="0"/>
    <n v="0"/>
    <n v="0"/>
    <n v="47.027097061828158"/>
    <m/>
    <n v="10.864841389982207"/>
    <n v="0"/>
    <n v="0"/>
    <n v="0"/>
    <n v="0"/>
    <n v="0"/>
    <n v="0"/>
    <n v="0"/>
    <n v="0"/>
    <n v="0"/>
    <n v="0"/>
    <n v="0"/>
    <n v="0"/>
    <m/>
    <n v="0"/>
    <n v="0"/>
    <n v="7.3741049934115432"/>
    <n v="0"/>
    <n v="0"/>
    <n v="179.38183445593407"/>
    <n v="0"/>
    <n v="5.74"/>
    <n v="2.02"/>
    <n v="896.89"/>
    <n v="3"/>
    <m/>
    <m/>
    <m/>
    <m/>
    <m/>
    <m/>
    <m/>
    <m/>
    <m/>
    <n v="1456.1778169795391"/>
    <m/>
    <m/>
    <m/>
    <m/>
    <m/>
    <m/>
    <m/>
    <m/>
    <m/>
    <m/>
    <m/>
    <m/>
    <n v="3269.1284999999998"/>
    <n v="-1517.8935800000008"/>
    <m/>
    <m/>
    <m/>
    <m/>
    <n v="-1598.30296"/>
    <n v="79.118520000000046"/>
    <n v="31"/>
    <n v="65.775179812338138"/>
    <n v="0"/>
    <n v="0"/>
    <n v="0"/>
    <n v="0"/>
    <n v="0"/>
    <n v="0"/>
    <n v="0"/>
    <n v="-2.7527799747107338"/>
    <n v="0"/>
    <n v="0"/>
    <n v="79.083039698000221"/>
    <n v="0"/>
    <n v="0"/>
    <n v="0.45939545257075132"/>
    <n v="11.175213683081807"/>
    <n v="0"/>
    <n v="-18.914880822858152"/>
    <m/>
    <n v="0"/>
    <n v="0"/>
    <n v="0"/>
    <n v="0"/>
    <n v="-2.5805033567278954"/>
    <n v="-0.69430486701805094"/>
    <n v="0"/>
    <n v="0"/>
    <m/>
    <m/>
    <m/>
    <n v="2359.7509852188596"/>
    <n v="0"/>
    <n v="0"/>
    <n v="-1598.30296"/>
    <n v="79.11851999999999"/>
    <n v="0"/>
    <n v="0"/>
    <n v="-1584.9849607543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0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14000000000000001"/>
    <n v="-0.47"/>
    <n v="-211.6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"/>
    <m/>
    <m/>
    <m/>
    <m/>
    <n v="0"/>
    <m/>
    <m/>
    <m/>
    <m/>
    <n v="0"/>
    <n v="0"/>
    <n v="0"/>
    <n v="0"/>
  </r>
  <r>
    <n v="11"/>
    <s v="Regular"/>
    <s v="Verde"/>
    <s v="A4"/>
    <s v="Industrial"/>
    <s v="Não se aplica"/>
    <s v="Não se aplica"/>
    <s v="Não se aplica"/>
    <s v="Ponta"/>
    <s v="CATIVO"/>
    <x v="0"/>
    <n v="0"/>
    <n v="0"/>
    <n v="6.1310000000000002"/>
    <n v="6.1310000000000002"/>
    <n v="6.1310000000000002"/>
    <n v="6.1310000000000002"/>
    <m/>
    <n v="3130.62"/>
    <n v="256.55"/>
    <m/>
    <n v="20766.739270000002"/>
    <n v="20766.739270000002"/>
    <n v="10929.304529999999"/>
    <n v="0"/>
    <n v="327.90410633630125"/>
    <n v="0"/>
    <n v="0"/>
    <n v="0"/>
    <n v="3949.6748523898063"/>
    <n v="14739.835452966976"/>
    <n v="1572.923510739211"/>
    <n v="0"/>
    <n v="0"/>
    <n v="0"/>
    <n v="0"/>
    <n v="0"/>
    <n v="58.270641084492404"/>
    <m/>
    <n v="8.271056173209109"/>
    <n v="0"/>
    <n v="0"/>
    <n v="0"/>
    <n v="0"/>
    <n v="0"/>
    <n v="0"/>
    <n v="0"/>
    <n v="0"/>
    <n v="0"/>
    <n v="0"/>
    <n v="0"/>
    <n v="0"/>
    <m/>
    <n v="0"/>
    <n v="0"/>
    <n v="7.5535466066914578"/>
    <n v="0"/>
    <n v="0"/>
    <n v="102.32202593945678"/>
    <n v="0"/>
    <n v="0"/>
    <n v="0"/>
    <n v="0"/>
    <n v="0"/>
    <m/>
    <m/>
    <m/>
    <m/>
    <m/>
    <m/>
    <m/>
    <m/>
    <m/>
    <n v="1682.7990832853593"/>
    <m/>
    <m/>
    <m/>
    <m/>
    <m/>
    <m/>
    <m/>
    <m/>
    <m/>
    <m/>
    <m/>
    <m/>
    <n v="10927.5219"/>
    <n v="-9839.2473699999973"/>
    <m/>
    <m/>
    <m/>
    <m/>
    <n v="-9935.469430000001"/>
    <n v="98.034690000000055"/>
    <n v="31"/>
    <n v="62.866668183372894"/>
    <n v="0"/>
    <n v="0"/>
    <n v="0"/>
    <n v="0"/>
    <n v="0"/>
    <n v="0"/>
    <n v="0"/>
    <n v="-17.852778748620949"/>
    <n v="0"/>
    <n v="0"/>
    <n v="97.990726836790373"/>
    <n v="0"/>
    <n v="0"/>
    <n v="0.47057439038306814"/>
    <n v="6.3745055781563451"/>
    <n v="0"/>
    <n v="-20.390340918088384"/>
    <m/>
    <n v="0"/>
    <n v="0"/>
    <n v="0"/>
    <n v="0"/>
    <n v="-3.1974668714831651"/>
    <n v="-0.52855208376386287"/>
    <n v="0"/>
    <n v="0"/>
    <m/>
    <m/>
    <m/>
    <n v="14739.835452966976"/>
    <n v="0"/>
    <n v="0"/>
    <n v="-9935.469430000001"/>
    <n v="98.034689999999955"/>
    <n v="0"/>
    <n v="0"/>
    <n v="-9900.3740917091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2"/>
    <s v="Sistema de Compensação"/>
    <s v="Verde"/>
    <s v="A4"/>
    <s v="Industrial"/>
    <s v="Não se aplica"/>
    <s v="Não se aplica"/>
    <s v="Não se aplica"/>
    <s v="Ponta"/>
    <s v="CATIVO"/>
    <x v="0"/>
    <n v="0"/>
    <n v="0"/>
    <n v="0.21"/>
    <n v="0.21"/>
    <n v="0.21"/>
    <n v="0.21"/>
    <m/>
    <n v="3130.62"/>
    <n v="256.55"/>
    <m/>
    <n v="711.30569999999989"/>
    <n v="711.30569999999989"/>
    <n v="374.35230000000001"/>
    <n v="0"/>
    <n v="11.231424291408132"/>
    <n v="0"/>
    <n v="0"/>
    <n v="0"/>
    <n v="135.28489952729723"/>
    <n v="504.8712192339039"/>
    <n v="53.876029563730924"/>
    <n v="0"/>
    <n v="0"/>
    <n v="0"/>
    <n v="0"/>
    <n v="0"/>
    <n v="1.9958953886386241"/>
    <m/>
    <n v="0.28330154891109327"/>
    <n v="0"/>
    <n v="0"/>
    <n v="0"/>
    <n v="0"/>
    <n v="0"/>
    <n v="0"/>
    <n v="0"/>
    <n v="0"/>
    <n v="0"/>
    <n v="0"/>
    <n v="0"/>
    <n v="0"/>
    <m/>
    <n v="0"/>
    <n v="0"/>
    <n v="0.25872529561331042"/>
    <n v="0"/>
    <n v="0"/>
    <n v="3.504750521495013"/>
    <n v="0"/>
    <n v="0"/>
    <n v="0"/>
    <n v="0"/>
    <n v="0"/>
    <m/>
    <m/>
    <m/>
    <m/>
    <m/>
    <m/>
    <m/>
    <m/>
    <m/>
    <n v="57.639505380839246"/>
    <m/>
    <m/>
    <m/>
    <m/>
    <m/>
    <m/>
    <m/>
    <m/>
    <m/>
    <m/>
    <m/>
    <m/>
    <n v="374.35230000000001"/>
    <n v="-336.98339999999985"/>
    <m/>
    <m/>
    <m/>
    <m/>
    <n v="-340.31129999999996"/>
    <n v="3.3579000000000017"/>
    <n v="31"/>
    <n v="2.1533192494713091"/>
    <n v="0"/>
    <n v="0"/>
    <n v="0"/>
    <n v="0"/>
    <n v="0"/>
    <n v="0"/>
    <n v="0"/>
    <n v="-0.6114962546420486"/>
    <n v="0"/>
    <n v="0"/>
    <n v="3.3563941666491601"/>
    <n v="0"/>
    <n v="0"/>
    <n v="1.611818985164637E-2"/>
    <n v="0.21834059230351155"/>
    <n v="0"/>
    <n v="-0.69841324299438412"/>
    <m/>
    <n v="0"/>
    <n v="0"/>
    <n v="0"/>
    <n v="0"/>
    <n v="-0.10952015054827369"/>
    <n v="-1.8104051148330025E-2"/>
    <n v="0"/>
    <n v="0"/>
    <m/>
    <m/>
    <m/>
    <n v="504.8712192339039"/>
    <n v="0"/>
    <n v="0"/>
    <n v="-340.3112999999999"/>
    <n v="3.3579000000000008"/>
    <n v="0"/>
    <n v="0"/>
    <n v="-339.10920881730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3"/>
    <s v="Regular"/>
    <s v="Verde"/>
    <s v="A4"/>
    <s v="Industrial"/>
    <s v="Não se aplica"/>
    <s v="Não se aplica"/>
    <s v="Não se aplica"/>
    <s v="Fora ponta"/>
    <s v="CATIVO"/>
    <x v="0"/>
    <n v="0"/>
    <n v="0"/>
    <n v="247.78700000000001"/>
    <n v="247.78700000000001"/>
    <n v="247.78700000000001"/>
    <n v="247.78700000000001"/>
    <m/>
    <n v="82.26"/>
    <n v="256.55"/>
    <m/>
    <n v="83952.713470000002"/>
    <n v="83952.713470000002"/>
    <n v="87216.068260000015"/>
    <n v="0"/>
    <n v="13252.385385214986"/>
    <n v="0"/>
    <n v="0"/>
    <n v="0"/>
    <n v="0"/>
    <n v="0"/>
    <n v="63570.379702419974"/>
    <n v="0"/>
    <n v="0"/>
    <n v="0"/>
    <n v="0"/>
    <n v="0"/>
    <n v="2355.0330031647563"/>
    <m/>
    <n v="334.27829000015748"/>
    <n v="0"/>
    <n v="0"/>
    <n v="0"/>
    <n v="0"/>
    <n v="0"/>
    <n v="0"/>
    <n v="0"/>
    <n v="0"/>
    <n v="0"/>
    <n v="0"/>
    <n v="0"/>
    <n v="0"/>
    <m/>
    <n v="0"/>
    <n v="0"/>
    <n v="305.2798324958826"/>
    <n v="0"/>
    <n v="0"/>
    <n v="4135.3886546175463"/>
    <n v="0"/>
    <n v="0"/>
    <n v="0"/>
    <n v="0"/>
    <n v="0"/>
    <m/>
    <m/>
    <m/>
    <m/>
    <m/>
    <m/>
    <m/>
    <m/>
    <m/>
    <n v="68011.048189533409"/>
    <m/>
    <m/>
    <m/>
    <m/>
    <m/>
    <m/>
    <m/>
    <m/>
    <m/>
    <m/>
    <m/>
    <m/>
    <n v="87217.124199999991"/>
    <n v="3264.3807299999899"/>
    <m/>
    <m/>
    <m/>
    <m/>
    <n v="-698.75934000000188"/>
    <n v="3962.1141300000022"/>
    <n v="31"/>
    <n v="3262.311139608224"/>
    <n v="0"/>
    <n v="0"/>
    <n v="0"/>
    <n v="0"/>
    <n v="0"/>
    <n v="0"/>
    <n v="0"/>
    <n v="0"/>
    <n v="0"/>
    <n v="0"/>
    <n v="3960.3373398642725"/>
    <n v="0"/>
    <n v="0"/>
    <n v="19.018466232237699"/>
    <n v="257.62838259576347"/>
    <n v="0"/>
    <n v="-824.08439162785362"/>
    <m/>
    <n v="0"/>
    <n v="0"/>
    <n v="0"/>
    <n v="0"/>
    <n v="-129.22699782811969"/>
    <n v="-21.36165962805353"/>
    <n v="0"/>
    <n v="0"/>
    <m/>
    <m/>
    <m/>
    <n v="0"/>
    <n v="0"/>
    <n v="0"/>
    <n v="-698.75934000000052"/>
    <n v="3962.11413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4"/>
    <s v="Sistema de Compensação"/>
    <s v="Verde"/>
    <s v="A4"/>
    <s v="Industrial"/>
    <s v="Não se aplica"/>
    <s v="Não se aplica"/>
    <s v="Não se aplica"/>
    <s v="Fora ponta"/>
    <s v="CATIVO"/>
    <x v="0"/>
    <n v="0"/>
    <n v="0"/>
    <n v="6.1520000000000001"/>
    <n v="6.1520000000000001"/>
    <n v="6.1520000000000001"/>
    <n v="6.1520000000000001"/>
    <m/>
    <n v="82.26"/>
    <n v="256.55"/>
    <m/>
    <n v="2084.3591200000001"/>
    <n v="2084.3591200000001"/>
    <n v="2165.3809600000004"/>
    <n v="0"/>
    <n v="329.02724876544204"/>
    <n v="0"/>
    <n v="0"/>
    <n v="0"/>
    <n v="0"/>
    <n v="0"/>
    <n v="1578.311113695584"/>
    <n v="0"/>
    <n v="0"/>
    <n v="0"/>
    <n v="0"/>
    <n v="0"/>
    <n v="58.470230623356265"/>
    <m/>
    <n v="8.2993863281002191"/>
    <n v="0"/>
    <n v="0"/>
    <n v="0"/>
    <n v="0"/>
    <n v="0"/>
    <n v="0"/>
    <n v="0"/>
    <n v="0"/>
    <n v="0"/>
    <n v="0"/>
    <n v="0"/>
    <n v="0"/>
    <m/>
    <n v="0"/>
    <n v="0"/>
    <n v="7.5794191362527892"/>
    <n v="0"/>
    <n v="0"/>
    <n v="102.67250099160628"/>
    <n v="0"/>
    <n v="0"/>
    <n v="0"/>
    <n v="0"/>
    <n v="0"/>
    <m/>
    <m/>
    <m/>
    <m/>
    <m/>
    <m/>
    <m/>
    <m/>
    <m/>
    <n v="1688.563033823443"/>
    <m/>
    <m/>
    <m/>
    <m/>
    <m/>
    <m/>
    <m/>
    <m/>
    <m/>
    <m/>
    <m/>
    <m/>
    <n v="2164.6770000000006"/>
    <n v="80.287880000000314"/>
    <m/>
    <m/>
    <m/>
    <m/>
    <n v="-17.348640000000046"/>
    <n v="98.370480000000057"/>
    <n v="31"/>
    <n v="80.995928482405816"/>
    <n v="0"/>
    <n v="0"/>
    <n v="0"/>
    <n v="0"/>
    <n v="0"/>
    <n v="0"/>
    <n v="0"/>
    <n v="0"/>
    <n v="0"/>
    <n v="0"/>
    <n v="98.32636625345549"/>
    <n v="0"/>
    <n v="0"/>
    <n v="0.47218620936823097"/>
    <n v="6.3963396373866885"/>
    <n v="0"/>
    <n v="-20.460182242387816"/>
    <m/>
    <n v="0"/>
    <n v="0"/>
    <n v="0"/>
    <n v="0"/>
    <n v="-3.2084188865379915"/>
    <n v="-0.53036248887869686"/>
    <n v="0"/>
    <n v="0"/>
    <m/>
    <m/>
    <m/>
    <n v="0"/>
    <n v="0"/>
    <n v="0"/>
    <n v="-17.348640000000046"/>
    <n v="98.370480000000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5"/>
    <s v="Regular"/>
    <s v="Verde"/>
    <s v="A4"/>
    <s v="Industrial"/>
    <s v="Não se aplica"/>
    <s v="Não se aplica"/>
    <s v="Não se aplica"/>
    <s v="Não se aplica"/>
    <s v="CATIVO"/>
    <x v="0"/>
    <n v="1700"/>
    <n v="1700"/>
    <n v="0"/>
    <n v="0"/>
    <n v="0"/>
    <n v="0"/>
    <n v="47.39"/>
    <m/>
    <m/>
    <n v="80563"/>
    <m/>
    <n v="80563"/>
    <n v="54774"/>
    <n v="0"/>
    <n v="0"/>
    <n v="0"/>
    <n v="0"/>
    <n v="0"/>
    <n v="42449.170305091691"/>
    <n v="38113.7743177401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3.26"/>
    <n v="78.48"/>
    <n v="34435.440000000002"/>
    <n v="13"/>
    <m/>
    <m/>
    <m/>
    <m/>
    <m/>
    <m/>
    <m/>
    <m/>
    <m/>
    <n v="0"/>
    <m/>
    <m/>
    <m/>
    <m/>
    <m/>
    <m/>
    <m/>
    <m/>
    <m/>
    <m/>
    <m/>
    <m/>
    <n v="54774"/>
    <n v="-25789.029999999984"/>
    <m/>
    <m/>
    <m/>
    <m/>
    <n v="-25789.000000000004"/>
    <n v="0"/>
    <n v="31"/>
    <n v="-191.87291963057214"/>
    <n v="0"/>
    <n v="0"/>
    <n v="0"/>
    <n v="0"/>
    <m/>
    <m/>
    <m/>
    <n v="-191.872919630572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113.77431774015"/>
    <m/>
    <n v="0"/>
    <n v="0"/>
    <n v="-25789"/>
    <m/>
    <n v="0"/>
    <m/>
    <n v="-25600.056730392498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6"/>
    <s v="Sistema de Compensação"/>
    <s v="Verde"/>
    <s v="A4"/>
    <s v="Industrial"/>
    <s v="Não se aplica"/>
    <s v="Não se aplica"/>
    <s v="Não se aplica"/>
    <s v="Não se aplica"/>
    <s v="CATIVO"/>
    <x v="0"/>
    <n v="465"/>
    <n v="465"/>
    <n v="0"/>
    <n v="0"/>
    <n v="0"/>
    <n v="0"/>
    <n v="47.39"/>
    <m/>
    <m/>
    <n v="22036.35"/>
    <m/>
    <n v="22036.35"/>
    <n v="14982.3"/>
    <n v="0"/>
    <n v="0"/>
    <n v="0"/>
    <n v="0"/>
    <n v="0"/>
    <n v="11611.09658345155"/>
    <n v="10425.23826926421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.6"/>
    <n v="8.65"/>
    <n v="3759.67"/>
    <n v="2"/>
    <m/>
    <m/>
    <m/>
    <m/>
    <m/>
    <m/>
    <m/>
    <m/>
    <m/>
    <n v="0"/>
    <m/>
    <m/>
    <m/>
    <m/>
    <m/>
    <m/>
    <m/>
    <m/>
    <m/>
    <m/>
    <m/>
    <m/>
    <n v="14982.3"/>
    <n v="-7054.0799999999945"/>
    <m/>
    <m/>
    <m/>
    <m/>
    <n v="-7054.0500000000011"/>
    <n v="0"/>
    <n v="31"/>
    <n v="-52.482886840125502"/>
    <n v="0"/>
    <n v="0"/>
    <n v="0"/>
    <n v="0"/>
    <m/>
    <m/>
    <m/>
    <n v="-52.4828868401255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425.238269264217"/>
    <m/>
    <n v="0"/>
    <n v="0"/>
    <n v="-7054.0499999999993"/>
    <m/>
    <n v="0"/>
    <m/>
    <n v="-7002.3684586073578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7"/>
    <s v="Regular"/>
    <s v="Convencional"/>
    <s v="B3"/>
    <s v="Comercial"/>
    <s v="Não se aplica"/>
    <s v="Não se aplica"/>
    <s v="Não se aplica"/>
    <s v="Não se aplica"/>
    <s v="CATIVO"/>
    <x v="0"/>
    <n v="0"/>
    <n v="0"/>
    <n v="287.10399999999998"/>
    <n v="287.10399999999998"/>
    <n v="287.10399999999998"/>
    <n v="287.10399999999998"/>
    <m/>
    <n v="710.91"/>
    <n v="256.55"/>
    <m/>
    <n v="277761.63584"/>
    <n v="277761.63584"/>
    <n v="189612.09471999999"/>
    <n v="0"/>
    <n v="17649.626928081227"/>
    <n v="0"/>
    <n v="0"/>
    <n v="0"/>
    <n v="35337.561283707313"/>
    <n v="136922.78635009608"/>
    <n v="73657.25519935906"/>
    <n v="0"/>
    <n v="0"/>
    <n v="0"/>
    <n v="0"/>
    <n v="0"/>
    <n v="2728.7121412366837"/>
    <m/>
    <n v="630.42429717652612"/>
    <n v="0"/>
    <n v="0"/>
    <n v="0"/>
    <n v="0"/>
    <n v="0"/>
    <n v="0"/>
    <n v="0"/>
    <n v="0"/>
    <n v="0"/>
    <n v="0"/>
    <n v="0"/>
    <n v="0"/>
    <m/>
    <n v="0"/>
    <n v="0"/>
    <n v="427.87692805748333"/>
    <n v="0"/>
    <n v="0"/>
    <n v="10408.496806717156"/>
    <n v="0"/>
    <n v="301.73"/>
    <n v="107.57"/>
    <n v="81643.45"/>
    <n v="883"/>
    <m/>
    <m/>
    <m/>
    <m/>
    <m/>
    <m/>
    <m/>
    <m/>
    <m/>
    <n v="84493.628934133696"/>
    <m/>
    <m/>
    <m/>
    <m/>
    <m/>
    <m/>
    <m/>
    <m/>
    <m/>
    <m/>
    <m/>
    <m/>
    <n v="189609.45300000004"/>
    <n v="-88152.212839999993"/>
    <m/>
    <m/>
    <m/>
    <m/>
    <n v="-92740.334079999986"/>
    <n v="4590.7929600000025"/>
    <n v="31"/>
    <n v="3816.5556234522082"/>
    <n v="0"/>
    <n v="0"/>
    <n v="0"/>
    <n v="0"/>
    <n v="0"/>
    <n v="0"/>
    <n v="0"/>
    <n v="-159.72799956737435"/>
    <n v="0"/>
    <n v="0"/>
    <n v="4588.7342420078057"/>
    <n v="0"/>
    <n v="0"/>
    <n v="26.656077610119837"/>
    <n v="648.43341739440439"/>
    <n v="0"/>
    <n v="-1097.5218156357842"/>
    <m/>
    <n v="0"/>
    <n v="0"/>
    <n v="0"/>
    <n v="0"/>
    <n v="-149.73177763338845"/>
    <n v="-40.286520723595459"/>
    <n v="0"/>
    <n v="0"/>
    <m/>
    <m/>
    <m/>
    <n v="136922.78635009608"/>
    <n v="0"/>
    <n v="0"/>
    <n v="-92740.334079999986"/>
    <n v="4590.7929600000061"/>
    <n v="0"/>
    <n v="0"/>
    <n v="-91967.567132661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8"/>
    <s v="Refaturamento - Regular"/>
    <s v="Convencional"/>
    <s v="B3"/>
    <s v="Comercial"/>
    <s v="Não se aplica"/>
    <s v="Não se aplica"/>
    <s v="Não se aplica"/>
    <s v="Não se aplica"/>
    <s v="CATIVO"/>
    <x v="0"/>
    <n v="0"/>
    <n v="0"/>
    <n v="-1.381"/>
    <n v="-1.381"/>
    <n v="-1.381"/>
    <n v="-1.381"/>
    <m/>
    <n v="710.91"/>
    <n v="256.55"/>
    <m/>
    <n v="-1336.0622599999999"/>
    <n v="-1336.0622599999999"/>
    <n v="-912.05382999999995"/>
    <n v="0"/>
    <n v="-84.896535010589119"/>
    <n v="0"/>
    <n v="0"/>
    <n v="0"/>
    <n v="-169.97733271845672"/>
    <n v="-658.61279518739798"/>
    <n v="-354.29903251196384"/>
    <n v="0"/>
    <n v="0"/>
    <n v="0"/>
    <n v="0"/>
    <n v="0"/>
    <n v="-13.12538824623781"/>
    <m/>
    <n v="-3.0324062165653651"/>
    <n v="0"/>
    <n v="0"/>
    <n v="0"/>
    <n v="0"/>
    <n v="0"/>
    <n v="0"/>
    <n v="0"/>
    <n v="0"/>
    <n v="0"/>
    <n v="0"/>
    <n v="0"/>
    <n v="0"/>
    <m/>
    <n v="0"/>
    <n v="0"/>
    <n v="-2.0581323758895191"/>
    <n v="0"/>
    <n v="0"/>
    <n v="-50.06594854156122"/>
    <n v="0"/>
    <n v="-0.14000000000000001"/>
    <n v="-0.51"/>
    <n v="-386.54"/>
    <n v="0"/>
    <m/>
    <m/>
    <m/>
    <m/>
    <m/>
    <m/>
    <m/>
    <m/>
    <m/>
    <n v="-406.42311342941457"/>
    <m/>
    <m/>
    <m/>
    <m/>
    <m/>
    <m/>
    <m/>
    <m/>
    <m/>
    <m/>
    <m/>
    <m/>
    <n v="-911.39339999999993"/>
    <n v="424.63886000000002"/>
    <m/>
    <m/>
    <m/>
    <m/>
    <n v="446.09062"/>
    <n v="-22.082190000000011"/>
    <n v="31"/>
    <n v="-18.358028157000604"/>
    <n v="0"/>
    <n v="0"/>
    <n v="0"/>
    <n v="0"/>
    <n v="0"/>
    <n v="0"/>
    <n v="0"/>
    <n v="0.76830823465553522"/>
    <n v="0"/>
    <n v="0"/>
    <n v="-22.072287353059494"/>
    <n v="0"/>
    <n v="0"/>
    <n v="-0.12821849636220861"/>
    <n v="-3.119031951563457"/>
    <n v="0"/>
    <n v="5.2791936977298235"/>
    <m/>
    <n v="0"/>
    <n v="0"/>
    <n v="0"/>
    <n v="0"/>
    <n v="0.72022537098650474"/>
    <n v="0.19378234061275812"/>
    <n v="0"/>
    <n v="0"/>
    <m/>
    <m/>
    <m/>
    <n v="-658.61279518739798"/>
    <n v="0"/>
    <n v="0"/>
    <n v="446.09062000000006"/>
    <n v="-22.082190000000026"/>
    <n v="0"/>
    <n v="0"/>
    <n v="442.3735308815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9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16.911999999999999"/>
    <n v="16.911999999999999"/>
    <n v="16.911999999999999"/>
    <n v="16.911999999999999"/>
    <m/>
    <n v="710.91"/>
    <n v="256.55"/>
    <m/>
    <n v="16361.683519999999"/>
    <n v="16361.683519999999"/>
    <n v="11169.192159999999"/>
    <n v="0"/>
    <n v="1039.6598118023774"/>
    <n v="0"/>
    <n v="0"/>
    <n v="0"/>
    <n v="2081.5761411546268"/>
    <n v="8065.5029632217766"/>
    <n v="4338.8162475324634"/>
    <n v="0"/>
    <n v="0"/>
    <n v="0"/>
    <n v="0"/>
    <n v="0"/>
    <n v="160.73610863169719"/>
    <m/>
    <n v="37.135448178532549"/>
    <n v="0"/>
    <n v="0"/>
    <n v="0"/>
    <n v="0"/>
    <n v="0"/>
    <n v="0"/>
    <n v="0"/>
    <n v="0"/>
    <n v="0"/>
    <n v="0"/>
    <n v="0"/>
    <n v="0"/>
    <m/>
    <n v="0"/>
    <n v="0"/>
    <n v="25.204297422913502"/>
    <n v="0"/>
    <n v="0"/>
    <n v="613.11753927218194"/>
    <n v="0"/>
    <n v="17.989999999999998"/>
    <n v="6.39"/>
    <n v="4849.6099999999997"/>
    <n v="27"/>
    <m/>
    <m/>
    <m/>
    <m/>
    <m/>
    <m/>
    <m/>
    <m/>
    <m/>
    <n v="4977.1380842275585"/>
    <m/>
    <m/>
    <m/>
    <m/>
    <m/>
    <m/>
    <m/>
    <m/>
    <m/>
    <m/>
    <m/>
    <m/>
    <n v="11167.871300000001"/>
    <n v="-5193.8422199999986"/>
    <m/>
    <m/>
    <m/>
    <m/>
    <n v="-5462.9142399999992"/>
    <n v="270.42288000000013"/>
    <n v="31"/>
    <n v="224.81605517102798"/>
    <n v="0"/>
    <n v="0"/>
    <n v="0"/>
    <n v="0"/>
    <n v="0"/>
    <n v="0"/>
    <n v="0"/>
    <n v="-9.4088550792862407"/>
    <n v="0"/>
    <n v="0"/>
    <n v="270.30161022081211"/>
    <n v="0"/>
    <n v="0"/>
    <n v="1.5701891458925914"/>
    <n v="38.196284116467154"/>
    <n v="0"/>
    <n v="-64.650053451127292"/>
    <m/>
    <n v="0"/>
    <n v="0"/>
    <n v="0"/>
    <n v="0"/>
    <n v="-8.820022790820957"/>
    <n v="-2.3730969909072854"/>
    <n v="0"/>
    <n v="0"/>
    <m/>
    <m/>
    <m/>
    <n v="8065.5029632217766"/>
    <n v="0"/>
    <n v="0"/>
    <n v="-5462.9142399999992"/>
    <n v="270.42288000000099"/>
    <n v="0"/>
    <n v="0"/>
    <n v="-5417.3940291586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0"/>
    <s v="Regular"/>
    <s v="Verde"/>
    <s v="A4"/>
    <s v="Comercial"/>
    <s v="Não se aplica"/>
    <s v="Não se aplica"/>
    <s v="Não se aplica"/>
    <s v="Ponta"/>
    <s v="CATIVO"/>
    <x v="0"/>
    <n v="0"/>
    <n v="0"/>
    <n v="14.521000000000001"/>
    <n v="14.521000000000001"/>
    <n v="14.521000000000001"/>
    <n v="14.521000000000001"/>
    <m/>
    <n v="3130.62"/>
    <n v="256.55"/>
    <m/>
    <n v="49185.095569999998"/>
    <n v="49185.095569999998"/>
    <n v="25885.570229999998"/>
    <n v="0"/>
    <n v="776.62624826446427"/>
    <n v="0"/>
    <n v="0"/>
    <n v="0"/>
    <n v="9354.6286954089683"/>
    <n v="34910.642735692949"/>
    <n v="3725.3991680711274"/>
    <n v="0"/>
    <n v="0"/>
    <n v="0"/>
    <n v="0"/>
    <n v="0"/>
    <n v="138.01141399248317"/>
    <m/>
    <n v="19.589627579704693"/>
    <n v="0"/>
    <n v="0"/>
    <n v="0"/>
    <n v="0"/>
    <n v="0"/>
    <n v="0"/>
    <n v="0"/>
    <n v="0"/>
    <n v="0"/>
    <n v="0"/>
    <n v="0"/>
    <n v="0"/>
    <m/>
    <n v="0"/>
    <n v="0"/>
    <n v="17.890238179051813"/>
    <n v="0"/>
    <n v="0"/>
    <n v="242.34515391728135"/>
    <n v="0"/>
    <n v="0"/>
    <n v="0"/>
    <n v="0"/>
    <n v="0"/>
    <m/>
    <m/>
    <m/>
    <m/>
    <m/>
    <m/>
    <m/>
    <m/>
    <m/>
    <n v="3985.6345601674607"/>
    <m/>
    <m/>
    <m/>
    <m/>
    <m/>
    <m/>
    <m/>
    <m/>
    <m/>
    <m/>
    <m/>
    <m/>
    <n v="25883.7876"/>
    <n v="-23301.337970000004"/>
    <m/>
    <m/>
    <m/>
    <m/>
    <n v="-23531.716130000001"/>
    <n v="232.19079000000013"/>
    <n v="31"/>
    <n v="148.89689915034614"/>
    <n v="0"/>
    <n v="0"/>
    <n v="0"/>
    <n v="0"/>
    <n v="0"/>
    <n v="0"/>
    <n v="0"/>
    <n v="-42.283510065035443"/>
    <n v="0"/>
    <n v="0"/>
    <n v="232.0866652091072"/>
    <n v="0"/>
    <n v="0"/>
    <n v="1.1145344515988462"/>
    <n v="15.097732099234719"/>
    <n v="0"/>
    <n v="-48.293612864387796"/>
    <m/>
    <n v="0"/>
    <n v="0"/>
    <n v="0"/>
    <n v="0"/>
    <n v="-7.573057648149927"/>
    <n v="-1.2518520320233328"/>
    <n v="0"/>
    <n v="0"/>
    <m/>
    <m/>
    <m/>
    <n v="34910.642735692949"/>
    <n v="0"/>
    <n v="0"/>
    <n v="-23531.716130000001"/>
    <n v="232.19079000000011"/>
    <n v="0"/>
    <n v="0"/>
    <n v="-23448.594386838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1"/>
    <s v="Regular"/>
    <s v="Verde"/>
    <s v="A4"/>
    <s v="Comercial"/>
    <s v="Não se aplica"/>
    <s v="Não se aplica"/>
    <s v="Não se aplica"/>
    <s v="Fora ponta"/>
    <s v="CATIVO"/>
    <x v="0"/>
    <n v="0"/>
    <n v="0"/>
    <n v="111.569"/>
    <n v="111.569"/>
    <n v="111.569"/>
    <n v="111.569"/>
    <m/>
    <n v="82.26"/>
    <n v="256.55"/>
    <m/>
    <n v="37800.692890000006"/>
    <n v="37800.692890000006"/>
    <n v="39270.056620000003"/>
    <n v="0"/>
    <n v="5967.0417941338756"/>
    <n v="0"/>
    <n v="0"/>
    <n v="0"/>
    <n v="0"/>
    <n v="0"/>
    <n v="28623.308297123313"/>
    <n v="0"/>
    <n v="0"/>
    <n v="0"/>
    <n v="0"/>
    <n v="0"/>
    <n v="1060.3812029286794"/>
    <m/>
    <n v="150.51271671648459"/>
    <n v="0"/>
    <n v="0"/>
    <n v="0"/>
    <n v="0"/>
    <n v="0"/>
    <n v="0"/>
    <n v="0"/>
    <n v="0"/>
    <n v="0"/>
    <n v="0"/>
    <n v="0"/>
    <n v="0"/>
    <m/>
    <n v="0"/>
    <n v="0"/>
    <n v="137.455821458483"/>
    <n v="0"/>
    <n v="0"/>
    <n v="1862.0071949175101"/>
    <n v="0"/>
    <n v="0"/>
    <n v="0"/>
    <n v="0"/>
    <n v="0"/>
    <m/>
    <m/>
    <m/>
    <m/>
    <m/>
    <m/>
    <m/>
    <m/>
    <m/>
    <n v="30622.771313499306"/>
    <m/>
    <m/>
    <m/>
    <m/>
    <m/>
    <m/>
    <m/>
    <m/>
    <m/>
    <m/>
    <m/>
    <m/>
    <n v="39270.408600000002"/>
    <n v="1469.6857099999979"/>
    <m/>
    <m/>
    <m/>
    <m/>
    <n v="-314.62458000000083"/>
    <n v="1783.9883100000011"/>
    <n v="31"/>
    <n v="1468.893814182964"/>
    <n v="0"/>
    <n v="0"/>
    <n v="0"/>
    <n v="0"/>
    <n v="0"/>
    <n v="0"/>
    <n v="0"/>
    <n v="0"/>
    <n v="0"/>
    <n v="0"/>
    <n v="1783.1882894232403"/>
    <n v="0"/>
    <n v="0"/>
    <n v="8.563287255039711"/>
    <n v="116.00019782243089"/>
    <n v="0"/>
    <n v="-371.0536528935254"/>
    <m/>
    <n v="0"/>
    <n v="0"/>
    <n v="0"/>
    <n v="0"/>
    <n v="-58.185969888192062"/>
    <n v="-9.6183375360382115"/>
    <n v="0"/>
    <n v="0"/>
    <m/>
    <m/>
    <m/>
    <n v="0"/>
    <n v="0"/>
    <n v="0"/>
    <n v="-314.62458000000152"/>
    <n v="1783.9883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2"/>
    <s v="Regular"/>
    <s v="Verde"/>
    <s v="A4"/>
    <s v="Comercial"/>
    <s v="Não se aplica"/>
    <s v="Não se aplica"/>
    <s v="Não se aplica"/>
    <s v="Não se aplica"/>
    <s v="CATIVO"/>
    <x v="0"/>
    <n v="849"/>
    <n v="849"/>
    <n v="0"/>
    <n v="0"/>
    <n v="0"/>
    <n v="0"/>
    <n v="47.39"/>
    <m/>
    <m/>
    <n v="40234.11"/>
    <m/>
    <n v="40234.11"/>
    <n v="27354.78"/>
    <n v="0"/>
    <n v="0"/>
    <n v="0"/>
    <n v="0"/>
    <n v="0"/>
    <n v="21199.615052366378"/>
    <n v="19034.467291624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1.47999999999999"/>
    <n v="56.74"/>
    <n v="41998.94"/>
    <n v="11"/>
    <m/>
    <m/>
    <m/>
    <m/>
    <m/>
    <m/>
    <m/>
    <m/>
    <m/>
    <n v="0"/>
    <m/>
    <m/>
    <m/>
    <m/>
    <m/>
    <m/>
    <m/>
    <m/>
    <m/>
    <m/>
    <m/>
    <m/>
    <n v="27354.78"/>
    <n v="-12879.360000000008"/>
    <m/>
    <m/>
    <m/>
    <m/>
    <n v="-12879.330000000002"/>
    <n v="0"/>
    <n v="31"/>
    <n v="-95.823593391971372"/>
    <n v="0"/>
    <n v="0"/>
    <n v="0"/>
    <n v="0"/>
    <m/>
    <m/>
    <m/>
    <n v="-95.82359339197137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034.467291624343"/>
    <m/>
    <n v="0"/>
    <n v="0"/>
    <n v="-12879.330000000002"/>
    <m/>
    <n v="0"/>
    <m/>
    <n v="-12784.96950829601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3"/>
    <s v="Sistema de Compensação"/>
    <s v="Verde"/>
    <s v="A4"/>
    <s v="Comercial"/>
    <s v="Não se aplica"/>
    <s v="Não se aplica"/>
    <s v="Não se aplica"/>
    <s v="Não se aplica"/>
    <s v="CATIVO"/>
    <x v="0"/>
    <n v="95"/>
    <n v="95"/>
    <n v="0"/>
    <n v="0"/>
    <n v="0"/>
    <n v="0"/>
    <n v="47.39"/>
    <m/>
    <m/>
    <n v="4502.05"/>
    <m/>
    <n v="4502.05"/>
    <n v="3060.9"/>
    <n v="0"/>
    <n v="0"/>
    <n v="0"/>
    <n v="0"/>
    <n v="0"/>
    <n v="2372.1595170492415"/>
    <n v="2129.887388344302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.52"/>
    <n v="2.64"/>
    <n v="2011.38"/>
    <n v="1"/>
    <m/>
    <m/>
    <m/>
    <m/>
    <m/>
    <m/>
    <m/>
    <m/>
    <m/>
    <n v="0"/>
    <m/>
    <m/>
    <m/>
    <m/>
    <m/>
    <m/>
    <m/>
    <m/>
    <m/>
    <m/>
    <m/>
    <m/>
    <n v="3060.9"/>
    <n v="-1441.1800000000007"/>
    <m/>
    <m/>
    <m/>
    <m/>
    <n v="-1441.15"/>
    <n v="0"/>
    <n v="31"/>
    <n v="-10.722310214649497"/>
    <n v="0"/>
    <n v="0"/>
    <n v="0"/>
    <n v="0"/>
    <m/>
    <m/>
    <m/>
    <n v="-10.7223102146494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29.8873883443025"/>
    <m/>
    <n v="0"/>
    <n v="0"/>
    <n v="-1441.15"/>
    <m/>
    <n v="0"/>
    <m/>
    <n v="-1430.5914055219337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4"/>
    <s v="Regular"/>
    <s v="Convencional"/>
    <s v="B2"/>
    <s v="Rural"/>
    <s v="Não se aplica"/>
    <s v="Não se aplica"/>
    <s v="Não se aplica"/>
    <s v="Não se aplica"/>
    <s v="CATIVO"/>
    <x v="0"/>
    <n v="0"/>
    <n v="0"/>
    <n v="2763.3310000000001"/>
    <n v="2763.3310000000001"/>
    <n v="2763.3310000000001"/>
    <n v="2763.3310000000001"/>
    <m/>
    <n v="710.91"/>
    <n v="256.55"/>
    <m/>
    <n v="2673412.2092599999"/>
    <n v="2673412.2092599999"/>
    <n v="1824986.69233"/>
    <n v="0"/>
    <n v="169874.89282211894"/>
    <n v="0"/>
    <n v="0"/>
    <n v="0"/>
    <n v="340118.48863014177"/>
    <n v="1317860.357666899"/>
    <n v="708939.53643035307"/>
    <n v="0"/>
    <n v="0"/>
    <n v="0"/>
    <n v="0"/>
    <n v="0"/>
    <n v="26263.426667534088"/>
    <m/>
    <n v="6067.73504911498"/>
    <n v="0"/>
    <n v="0"/>
    <n v="0"/>
    <n v="0"/>
    <n v="0"/>
    <n v="0"/>
    <n v="0"/>
    <n v="0"/>
    <n v="0"/>
    <n v="0"/>
    <n v="0"/>
    <n v="0"/>
    <m/>
    <n v="0"/>
    <n v="0"/>
    <n v="4118.2483681384219"/>
    <n v="0"/>
    <n v="0"/>
    <n v="100180.15036155027"/>
    <n v="0"/>
    <n v="1909.62"/>
    <n v="697.01"/>
    <n v="198352.64000000001"/>
    <n v="10245"/>
    <m/>
    <m/>
    <m/>
    <m/>
    <m/>
    <n v="218993.98174999992"/>
    <m/>
    <m/>
    <m/>
    <n v="813237.93516004179"/>
    <m/>
    <m/>
    <m/>
    <m/>
    <m/>
    <m/>
    <m/>
    <m/>
    <m/>
    <m/>
    <m/>
    <m/>
    <n v="1605992.1294"/>
    <n v="-746625.01407000003"/>
    <m/>
    <m/>
    <m/>
    <m/>
    <n v="-892611.17961999995"/>
    <n v="44185.662690000026"/>
    <n v="31"/>
    <n v="36733.749677850865"/>
    <n v="0"/>
    <n v="0"/>
    <n v="0"/>
    <n v="0"/>
    <n v="0"/>
    <n v="0"/>
    <n v="0"/>
    <n v="-1537.3569604482036"/>
    <n v="0"/>
    <n v="0"/>
    <n v="44165.847852003761"/>
    <n v="0"/>
    <n v="0"/>
    <n v="256.56056898702263"/>
    <n v="6241.0700085052667"/>
    <n v="0"/>
    <n v="-10563.47545252819"/>
    <m/>
    <n v="0"/>
    <n v="0"/>
    <n v="0"/>
    <n v="0"/>
    <n v="-1441.144891117674"/>
    <n v="-387.75144755090059"/>
    <n v="0"/>
    <n v="0"/>
    <m/>
    <m/>
    <m/>
    <n v="1317860.357666899"/>
    <n v="0"/>
    <n v="0"/>
    <n v="-892611.17962000007"/>
    <n v="44185.662690000026"/>
    <n v="0"/>
    <n v="0"/>
    <n v="-885173.41887352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5"/>
    <s v="Refaturamento - Regular"/>
    <s v="Convencional"/>
    <s v="B2"/>
    <s v="Rural"/>
    <s v="Não se aplica"/>
    <s v="Não se aplica"/>
    <s v="Não se aplica"/>
    <s v="Não se aplica"/>
    <s v="CATIVO"/>
    <x v="0"/>
    <n v="0"/>
    <n v="0"/>
    <n v="-14.597"/>
    <n v="-14.597"/>
    <n v="-14.597"/>
    <n v="-14.597"/>
    <m/>
    <n v="710.91"/>
    <n v="256.55"/>
    <m/>
    <n v="-14122.013619999998"/>
    <n v="-14122.013619999998"/>
    <n v="-9640.2967099999987"/>
    <n v="0"/>
    <n v="-897.34592436608932"/>
    <n v="0"/>
    <n v="0"/>
    <n v="0"/>
    <n v="-1796.639482759821"/>
    <n v="-6961.4561704203097"/>
    <n v="-3744.8971597227633"/>
    <n v="0"/>
    <n v="0"/>
    <n v="0"/>
    <n v="0"/>
    <n v="0"/>
    <n v="-138.73373803789522"/>
    <m/>
    <n v="-32.052160422306031"/>
    <n v="0"/>
    <n v="0"/>
    <n v="0"/>
    <n v="0"/>
    <n v="0"/>
    <n v="0"/>
    <n v="0"/>
    <n v="0"/>
    <n v="0"/>
    <n v="0"/>
    <n v="0"/>
    <n v="0"/>
    <m/>
    <n v="0"/>
    <n v="0"/>
    <n v="-21.754205858696096"/>
    <n v="0"/>
    <n v="0"/>
    <n v="-529.19091300591538"/>
    <n v="0"/>
    <n v="-0.8"/>
    <n v="-2.95"/>
    <n v="519.64"/>
    <n v="0"/>
    <m/>
    <m/>
    <m/>
    <m/>
    <m/>
    <n v="-1156.8122499999995"/>
    <m/>
    <m/>
    <m/>
    <n v="-4295.8422785873745"/>
    <m/>
    <m/>
    <m/>
    <m/>
    <m/>
    <m/>
    <m/>
    <m/>
    <m/>
    <m/>
    <m/>
    <m/>
    <n v="-8485.2279999999992"/>
    <n v="3942.1898899999997"/>
    <m/>
    <m/>
    <m/>
    <m/>
    <n v="4715.1229399999993"/>
    <n v="-233.40603000000013"/>
    <n v="31"/>
    <n v="-194.0420977608519"/>
    <n v="0"/>
    <n v="0"/>
    <n v="0"/>
    <n v="0"/>
    <n v="0"/>
    <n v="0"/>
    <n v="0"/>
    <n v="8.1209234621774158"/>
    <n v="0"/>
    <n v="0"/>
    <n v="-233.30136024084641"/>
    <n v="0"/>
    <n v="0"/>
    <n v="-1.3552537229537727"/>
    <n v="-32.9677837776768"/>
    <n v="0"/>
    <n v="55.800427520465064"/>
    <m/>
    <n v="0"/>
    <n v="0"/>
    <n v="0"/>
    <n v="0"/>
    <n v="7.612693512157847"/>
    <n v="2.0482554858250737"/>
    <n v="0"/>
    <n v="0"/>
    <m/>
    <m/>
    <m/>
    <n v="-6961.4561704203097"/>
    <n v="0"/>
    <n v="0"/>
    <n v="4715.1229399999993"/>
    <n v="-233.4060300000001"/>
    <n v="0"/>
    <n v="0"/>
    <n v="4675.8337655882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6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102.232"/>
    <n v="102.232"/>
    <n v="102.232"/>
    <n v="102.232"/>
    <m/>
    <n v="710.91"/>
    <n v="256.55"/>
    <m/>
    <n v="98905.370720000006"/>
    <n v="98905.370720000006"/>
    <n v="67517.079759999993"/>
    <n v="0"/>
    <n v="6284.6796286767176"/>
    <n v="0"/>
    <n v="0"/>
    <n v="0"/>
    <n v="12582.999767178326"/>
    <n v="48755.469426211486"/>
    <n v="26227.877401711143"/>
    <n v="0"/>
    <n v="0"/>
    <n v="0"/>
    <n v="0"/>
    <n v="0"/>
    <n v="971.63989224430395"/>
    <m/>
    <n v="224.48150060239712"/>
    <n v="0"/>
    <n v="0"/>
    <n v="0"/>
    <n v="0"/>
    <n v="0"/>
    <n v="0"/>
    <n v="0"/>
    <n v="0"/>
    <n v="0"/>
    <n v="0"/>
    <n v="0"/>
    <n v="0"/>
    <m/>
    <n v="0"/>
    <n v="0"/>
    <n v="152.35842798836882"/>
    <n v="0"/>
    <n v="0"/>
    <n v="3706.2578213619745"/>
    <n v="0"/>
    <n v="67.55"/>
    <n v="23.74"/>
    <n v="1671.23"/>
    <n v="131"/>
    <m/>
    <m/>
    <m/>
    <m/>
    <m/>
    <n v="8101.8859999999968"/>
    <m/>
    <m/>
    <m/>
    <n v="30086.493651061486"/>
    <m/>
    <m/>
    <m/>
    <m/>
    <m/>
    <m/>
    <m/>
    <m/>
    <m/>
    <m/>
    <m/>
    <m/>
    <n v="59414.031400000007"/>
    <n v="-27623.256439999997"/>
    <m/>
    <m/>
    <m/>
    <m/>
    <n v="-33022.980639999994"/>
    <n v="1634.6896800000009"/>
    <n v="31"/>
    <n v="1358.9992284912951"/>
    <n v="0"/>
    <n v="0"/>
    <n v="0"/>
    <n v="0"/>
    <n v="0"/>
    <n v="0"/>
    <n v="0"/>
    <n v="-56.875950358657064"/>
    <n v="0"/>
    <n v="0"/>
    <n v="1633.956611642272"/>
    <n v="0"/>
    <n v="0"/>
    <n v="9.4916968284585721"/>
    <n v="230.89418861132162"/>
    <n v="0"/>
    <n v="-390.80559747017742"/>
    <m/>
    <n v="0"/>
    <n v="0"/>
    <n v="0"/>
    <n v="0"/>
    <n v="-53.316495385005283"/>
    <n v="-14.345225376917824"/>
    <n v="0"/>
    <n v="0"/>
    <m/>
    <m/>
    <m/>
    <n v="48755.469426211486"/>
    <n v="0"/>
    <n v="0"/>
    <n v="-33022.980640000002"/>
    <n v="1634.6896799999995"/>
    <n v="0"/>
    <n v="0"/>
    <n v="-32747.813764720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7"/>
    <s v="Regular"/>
    <s v="Verde"/>
    <s v="A4"/>
    <s v="Rural"/>
    <s v="Não se aplica"/>
    <s v="Não se aplica"/>
    <s v="Não se aplica"/>
    <s v="Ponta"/>
    <s v="CATIVO"/>
    <x v="0"/>
    <n v="0"/>
    <n v="0"/>
    <n v="10.884"/>
    <n v="10.448639999999999"/>
    <n v="10.884"/>
    <n v="10.448639999999999"/>
    <m/>
    <n v="3130.62"/>
    <n v="256.55"/>
    <m/>
    <n v="36865.958280000006"/>
    <n v="36865.958280000006"/>
    <n v="19402.144919999999"/>
    <n v="0"/>
    <n v="582.10867613183859"/>
    <n v="0"/>
    <n v="0"/>
    <n v="0"/>
    <n v="7011.6230783576339"/>
    <n v="26166.754048294333"/>
    <n v="2792.3176465316542"/>
    <n v="0"/>
    <n v="0"/>
    <n v="0"/>
    <n v="0"/>
    <n v="0"/>
    <n v="103.44440671401327"/>
    <m/>
    <n v="14.683114563563521"/>
    <n v="0"/>
    <n v="0"/>
    <n v="0"/>
    <n v="0"/>
    <n v="0"/>
    <n v="0"/>
    <n v="0"/>
    <n v="0"/>
    <n v="0"/>
    <n v="0"/>
    <n v="0"/>
    <n v="0"/>
    <m/>
    <n v="0"/>
    <n v="0"/>
    <n v="13.409362464072716"/>
    <n v="0"/>
    <n v="0"/>
    <n v="181.64621274262726"/>
    <n v="0"/>
    <n v="0"/>
    <n v="0"/>
    <n v="0"/>
    <n v="0"/>
    <m/>
    <m/>
    <m/>
    <m/>
    <m/>
    <n v="776.08579680000184"/>
    <m/>
    <m/>
    <m/>
    <n v="2987.373221738354"/>
    <m/>
    <m/>
    <m/>
    <m/>
    <m/>
    <m/>
    <m/>
    <m/>
    <m/>
    <m/>
    <m/>
    <m/>
    <n v="18628.483499999998"/>
    <n v="-16762.866448799996"/>
    <m/>
    <m/>
    <m/>
    <m/>
    <n v="-17637.84852"/>
    <n v="174.0351600000001"/>
    <n v="31"/>
    <n v="111.60346052973728"/>
    <n v="0"/>
    <n v="0"/>
    <n v="0"/>
    <n v="0"/>
    <n v="0"/>
    <n v="0"/>
    <n v="0"/>
    <n v="-31.692977312020048"/>
    <n v="0"/>
    <n v="0"/>
    <n v="173.95711480861655"/>
    <n v="0"/>
    <n v="0"/>
    <n v="0.83538275402533202"/>
    <n v="11.316280983959132"/>
    <n v="0"/>
    <n v="-36.197760651194585"/>
    <m/>
    <n v="0"/>
    <n v="0"/>
    <n v="0"/>
    <n v="0"/>
    <n v="-5.6762729455590915"/>
    <n v="-0.93830710808773254"/>
    <n v="0"/>
    <n v="0"/>
    <m/>
    <m/>
    <m/>
    <n v="26166.754048294333"/>
    <n v="0"/>
    <n v="0"/>
    <n v="-17637.848520000003"/>
    <n v="174.03515999999991"/>
    <n v="0"/>
    <n v="0"/>
    <n v="-17575.545851274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8"/>
    <s v="Regular"/>
    <s v="Verde"/>
    <s v="A4"/>
    <s v="Rural"/>
    <s v="Não se aplica"/>
    <s v="Não se aplica"/>
    <s v="Não se aplica"/>
    <s v="Fora ponta"/>
    <s v="CATIVO"/>
    <x v="0"/>
    <n v="0"/>
    <n v="0"/>
    <n v="125.26"/>
    <n v="120.2496"/>
    <n v="125.26"/>
    <n v="120.2496"/>
    <m/>
    <n v="82.26"/>
    <n v="256.55"/>
    <m/>
    <n v="42439.340600000003"/>
    <n v="42439.340600000003"/>
    <n v="44089.014800000004"/>
    <n v="0"/>
    <n v="6699.2771749608701"/>
    <n v="0"/>
    <n v="0"/>
    <n v="0"/>
    <n v="0"/>
    <n v="0"/>
    <n v="32135.768872156837"/>
    <n v="0"/>
    <n v="0"/>
    <n v="0"/>
    <n v="0"/>
    <n v="0"/>
    <n v="1190.5040780041622"/>
    <m/>
    <n v="168.98262865049307"/>
    <n v="0"/>
    <n v="0"/>
    <n v="0"/>
    <n v="0"/>
    <n v="0"/>
    <n v="0"/>
    <n v="0"/>
    <n v="0"/>
    <n v="0"/>
    <n v="0"/>
    <n v="0"/>
    <n v="0"/>
    <m/>
    <n v="0"/>
    <n v="0"/>
    <n v="154.32347870725363"/>
    <n v="0"/>
    <n v="0"/>
    <n v="2090.5002396307873"/>
    <n v="0"/>
    <n v="0"/>
    <n v="0"/>
    <n v="0"/>
    <n v="0"/>
    <m/>
    <m/>
    <m/>
    <m/>
    <m/>
    <n v="1763.5605920000016"/>
    <m/>
    <m/>
    <m/>
    <n v="34380.592590494882"/>
    <m/>
    <m/>
    <m/>
    <m/>
    <m/>
    <m/>
    <m/>
    <m/>
    <m/>
    <m/>
    <m/>
    <m/>
    <n v="42325.595000000001"/>
    <n v="1583.7980239999961"/>
    <m/>
    <m/>
    <m/>
    <m/>
    <n v="-353.23320000000092"/>
    <n v="2002.9074000000012"/>
    <n v="31"/>
    <n v="1649.1466192630323"/>
    <n v="0"/>
    <n v="0"/>
    <n v="0"/>
    <n v="0"/>
    <n v="0"/>
    <n v="0"/>
    <n v="0"/>
    <n v="0"/>
    <n v="0"/>
    <n v="0"/>
    <n v="2002.0092062594013"/>
    <n v="0"/>
    <n v="0"/>
    <n v="9.6141164800820604"/>
    <n v="130.23496472351371"/>
    <n v="0"/>
    <n v="-416.58687055941209"/>
    <m/>
    <n v="0"/>
    <n v="0"/>
    <n v="0"/>
    <n v="0"/>
    <n v="-65.326162179413132"/>
    <n v="-10.79863546114197"/>
    <n v="0"/>
    <n v="0"/>
    <m/>
    <m/>
    <m/>
    <n v="0"/>
    <n v="0"/>
    <n v="0"/>
    <n v="-353.2332000000024"/>
    <n v="2002.9074000000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9"/>
    <s v="Regular"/>
    <s v="Verde"/>
    <s v="A4"/>
    <s v="Rural"/>
    <s v="Não se aplica"/>
    <s v="Não se aplica"/>
    <s v="Não se aplica"/>
    <s v="Não se aplica"/>
    <s v="CATIVO"/>
    <x v="0"/>
    <n v="804"/>
    <n v="771.83999999999992"/>
    <n v="0"/>
    <n v="0"/>
    <n v="0"/>
    <n v="0"/>
    <n v="47.39"/>
    <m/>
    <m/>
    <n v="38101.56"/>
    <m/>
    <n v="38101.56"/>
    <n v="25904.879999999997"/>
    <n v="0"/>
    <n v="0"/>
    <n v="0"/>
    <n v="0"/>
    <n v="0"/>
    <n v="20075.960544290421"/>
    <n v="18025.5732655665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9.12"/>
    <n v="38.32"/>
    <n v="6827.41"/>
    <n v="7"/>
    <m/>
    <m/>
    <m/>
    <m/>
    <m/>
    <n v="1036.1952000000026"/>
    <m/>
    <m/>
    <m/>
    <n v="0"/>
    <m/>
    <m/>
    <m/>
    <m/>
    <m/>
    <m/>
    <m/>
    <m/>
    <m/>
    <m/>
    <m/>
    <m/>
    <n v="24868.684799999999"/>
    <n v="-11708.842800000002"/>
    <m/>
    <m/>
    <m/>
    <m/>
    <n v="-12196.680000000002"/>
    <n v="0"/>
    <n v="31"/>
    <n v="-90.744604342926323"/>
    <n v="0"/>
    <n v="0"/>
    <n v="0"/>
    <n v="0"/>
    <m/>
    <m/>
    <m/>
    <n v="-90.7446043429263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025.573265566516"/>
    <m/>
    <n v="0"/>
    <n v="0"/>
    <n v="-12196.68"/>
    <m/>
    <n v="0"/>
    <m/>
    <n v="-12107.32094778562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0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160.87700000000001"/>
    <n v="160.87700000000001"/>
    <n v="160.87700000000001"/>
    <n v="160.87700000000001"/>
    <m/>
    <n v="710.91"/>
    <n v="256.55"/>
    <m/>
    <n v="155642.06242"/>
    <n v="155642.06242"/>
    <n v="106247.99711000001"/>
    <n v="0"/>
    <n v="9889.8623192603518"/>
    <n v="0"/>
    <n v="0"/>
    <n v="0"/>
    <n v="19801.189975197078"/>
    <n v="76723.859993745849"/>
    <n v="41273.400038687338"/>
    <n v="0"/>
    <n v="0"/>
    <n v="0"/>
    <n v="0"/>
    <n v="0"/>
    <n v="1529.0174401810284"/>
    <m/>
    <n v="353.25446408572503"/>
    <n v="0"/>
    <n v="0"/>
    <n v="0"/>
    <n v="0"/>
    <n v="0"/>
    <n v="0"/>
    <n v="0"/>
    <n v="0"/>
    <n v="0"/>
    <n v="0"/>
    <n v="0"/>
    <n v="0"/>
    <m/>
    <n v="0"/>
    <n v="0"/>
    <n v="239.75826374799291"/>
    <n v="0"/>
    <n v="0"/>
    <n v="5832.3385977702719"/>
    <n v="0"/>
    <n v="167.93"/>
    <n v="59.24"/>
    <n v="42979.61"/>
    <n v="269"/>
    <m/>
    <m/>
    <m/>
    <m/>
    <m/>
    <m/>
    <m/>
    <m/>
    <m/>
    <n v="47345.496900205602"/>
    <m/>
    <m/>
    <m/>
    <m/>
    <m/>
    <m/>
    <m/>
    <m/>
    <m/>
    <m/>
    <m/>
    <m/>
    <n v="106249.97839999999"/>
    <n v="-49392.114020000008"/>
    <m/>
    <m/>
    <m/>
    <m/>
    <n v="-51966.488539999998"/>
    <n v="2572.4232300000017"/>
    <n v="31"/>
    <n v="2138.5839940722362"/>
    <n v="0"/>
    <n v="0"/>
    <n v="0"/>
    <n v="0"/>
    <n v="0"/>
    <n v="0"/>
    <n v="0"/>
    <n v="-89.502624088832818"/>
    <n v="0"/>
    <n v="0"/>
    <n v="2571.269639752456"/>
    <n v="0"/>
    <n v="0"/>
    <n v="14.936572801783484"/>
    <n v="363.3457663082354"/>
    <n v="0"/>
    <n v="-614.98974982598156"/>
    <m/>
    <n v="0"/>
    <n v="0"/>
    <n v="0"/>
    <n v="0"/>
    <n v="-83.901301236926656"/>
    <n v="-22.574309638492934"/>
    <n v="0"/>
    <n v="0"/>
    <m/>
    <m/>
    <m/>
    <n v="76723.859993745849"/>
    <n v="0"/>
    <n v="0"/>
    <n v="-51966.488540000006"/>
    <n v="2572.4232300000076"/>
    <n v="0"/>
    <n v="0"/>
    <n v="-51533.473227823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1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219.31800000000001"/>
    <n v="219.31800000000001"/>
    <n v="219.31800000000001"/>
    <n v="219.31800000000001"/>
    <m/>
    <n v="391"/>
    <n v="141.1"/>
    <m/>
    <n v="116699.1078"/>
    <n v="116699.1078"/>
    <n v="79662.877139999997"/>
    <n v="0"/>
    <n v="7415.3772961613558"/>
    <n v="0"/>
    <n v="0"/>
    <n v="0"/>
    <n v="14846.849211752766"/>
    <n v="57527.228499782927"/>
    <n v="30946.622278676692"/>
    <n v="0"/>
    <n v="0"/>
    <n v="0"/>
    <n v="0"/>
    <n v="0"/>
    <n v="1146.4508650714056"/>
    <m/>
    <n v="264.86871588166389"/>
    <n v="0"/>
    <n v="0"/>
    <n v="0"/>
    <n v="0"/>
    <n v="0"/>
    <n v="0"/>
    <n v="0"/>
    <n v="0"/>
    <n v="0"/>
    <n v="0"/>
    <n v="0"/>
    <n v="0"/>
    <m/>
    <n v="0"/>
    <n v="0"/>
    <n v="179.7697407881505"/>
    <n v="0"/>
    <n v="0"/>
    <n v="4373.0630240629835"/>
    <n v="0"/>
    <n v="133.26"/>
    <n v="46.9"/>
    <n v="23778.41"/>
    <n v="26"/>
    <m/>
    <m/>
    <m/>
    <m/>
    <m/>
    <m/>
    <m/>
    <m/>
    <m/>
    <n v="35499.455043527822"/>
    <m/>
    <m/>
    <m/>
    <m/>
    <m/>
    <m/>
    <m/>
    <m/>
    <m/>
    <m/>
    <m/>
    <m/>
    <n v="79663.603600000002"/>
    <n v="-37035.53419999998"/>
    <m/>
    <m/>
    <m/>
    <m/>
    <n v="-38964.035880000003"/>
    <n v="1927.8052199999984"/>
    <n v="31"/>
    <n v="1603.5013111045628"/>
    <n v="0"/>
    <n v="0"/>
    <n v="0"/>
    <n v="0"/>
    <n v="0"/>
    <n v="0"/>
    <n v="0"/>
    <n v="-67.108692233536203"/>
    <n v="0"/>
    <n v="0"/>
    <n v="1927.9271938697457"/>
    <n v="0"/>
    <n v="0"/>
    <n v="11.199379653759195"/>
    <n v="272.43513197257562"/>
    <n v="0"/>
    <n v="-461.11673560412601"/>
    <m/>
    <n v="0"/>
    <n v="0"/>
    <n v="0"/>
    <n v="0"/>
    <n v="-62.908843847001663"/>
    <n v="-16.926122706866181"/>
    <n v="0"/>
    <n v="0"/>
    <m/>
    <m/>
    <m/>
    <n v="57527.228499782927"/>
    <n v="0"/>
    <n v="0"/>
    <n v="-38964.035880000003"/>
    <n v="1927.8052199999947"/>
    <n v="0"/>
    <n v="0"/>
    <n v="-38639.582132678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2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38.856999999999999"/>
    <n v="36.525579999999998"/>
    <n v="38.856999999999999"/>
    <n v="36.525579999999998"/>
    <m/>
    <n v="710.91"/>
    <n v="256.55"/>
    <m/>
    <n v="37592.593219999995"/>
    <n v="37592.593219999995"/>
    <n v="25662.328509999999"/>
    <n v="0"/>
    <n v="2388.7216950807106"/>
    <n v="0"/>
    <n v="0"/>
    <n v="0"/>
    <n v="4782.6279633896256"/>
    <n v="18531.294266905665"/>
    <n v="9968.8613369423456"/>
    <n v="0"/>
    <n v="0"/>
    <n v="0"/>
    <n v="0"/>
    <n v="0"/>
    <n v="369.30717674443343"/>
    <m/>
    <n v="85.322381141984351"/>
    <n v="0"/>
    <n v="0"/>
    <n v="0"/>
    <n v="0"/>
    <n v="0"/>
    <n v="0"/>
    <n v="0"/>
    <n v="0"/>
    <n v="0"/>
    <n v="0"/>
    <n v="0"/>
    <n v="0"/>
    <m/>
    <n v="0"/>
    <n v="0"/>
    <n v="57.909377067298365"/>
    <n v="0"/>
    <n v="0"/>
    <n v="1408.6984521936599"/>
    <n v="0"/>
    <n v="38.78"/>
    <n v="13.67"/>
    <n v="11027.21"/>
    <n v="9"/>
    <m/>
    <m/>
    <m/>
    <m/>
    <n v="1539.7397106000008"/>
    <m/>
    <m/>
    <m/>
    <m/>
    <n v="11435.469166203304"/>
    <m/>
    <m/>
    <m/>
    <m/>
    <m/>
    <m/>
    <m/>
    <m/>
    <m/>
    <m/>
    <m/>
    <m/>
    <n v="24125.507900000001"/>
    <n v="-11211.559726799995"/>
    <m/>
    <m/>
    <m/>
    <m/>
    <n v="-12551.58814"/>
    <n v="621.32343000000037"/>
    <n v="31"/>
    <n v="516.53721947615486"/>
    <n v="0"/>
    <n v="0"/>
    <n v="0"/>
    <n v="0"/>
    <n v="0"/>
    <n v="0"/>
    <n v="0"/>
    <n v="-21.617779199138567"/>
    <n v="0"/>
    <n v="0"/>
    <n v="621.04480063564915"/>
    <n v="0"/>
    <n v="0"/>
    <n v="3.6076655417424561"/>
    <n v="87.759757090442463"/>
    <n v="0"/>
    <n v="-148.53991999470509"/>
    <m/>
    <n v="0"/>
    <n v="0"/>
    <n v="0"/>
    <n v="0"/>
    <n v="-20.264878523115556"/>
    <n v="-5.4524260747211741"/>
    <n v="0"/>
    <n v="0"/>
    <m/>
    <m/>
    <m/>
    <n v="18531.294266905665"/>
    <n v="0"/>
    <n v="0"/>
    <n v="-12551.588139999998"/>
    <n v="621.32343000000037"/>
    <n v="0"/>
    <n v="0"/>
    <n v="-12447.000933716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3"/>
    <s v="Regular"/>
    <s v="Verde"/>
    <s v="A4"/>
    <s v="Serviço público"/>
    <s v="Água, esgoto e saneamento"/>
    <s v="Não se aplica"/>
    <s v="Não se aplica"/>
    <s v="Ponta"/>
    <s v="CATIVO"/>
    <x v="0"/>
    <n v="0"/>
    <n v="0"/>
    <n v="1.5549999999999999"/>
    <n v="1.4616999999999998"/>
    <n v="1.5549999999999999"/>
    <n v="1.4616999999999998"/>
    <m/>
    <n v="3130.62"/>
    <n v="256.55"/>
    <m/>
    <n v="5267.0493499999993"/>
    <n v="5267.0493499999993"/>
    <n v="2771.98965"/>
    <n v="0"/>
    <n v="83.166022729236403"/>
    <n v="0"/>
    <n v="0"/>
    <n v="0"/>
    <n v="1001.7524703092723"/>
    <n v="3738.4511709939075"/>
    <n v="398.93917129334085"/>
    <n v="0"/>
    <n v="0"/>
    <n v="0"/>
    <n v="0"/>
    <n v="0"/>
    <n v="14.779130139681241"/>
    <m/>
    <n v="2.097780516936905"/>
    <n v="0"/>
    <n v="0"/>
    <n v="0"/>
    <n v="0"/>
    <n v="0"/>
    <n v="0"/>
    <n v="0"/>
    <n v="0"/>
    <n v="0"/>
    <n v="0"/>
    <n v="0"/>
    <n v="0"/>
    <m/>
    <n v="0"/>
    <n v="0"/>
    <n v="1.9157992127557031"/>
    <n v="0"/>
    <n v="0"/>
    <n v="25.951843147260689"/>
    <n v="0"/>
    <n v="0"/>
    <n v="0"/>
    <n v="0"/>
    <n v="0"/>
    <m/>
    <m/>
    <m/>
    <m/>
    <n v="166.31937900000028"/>
    <m/>
    <m/>
    <m/>
    <m/>
    <n v="426.80681365335727"/>
    <m/>
    <m/>
    <m/>
    <m/>
    <m/>
    <m/>
    <m/>
    <m/>
    <m/>
    <m/>
    <m/>
    <m/>
    <n v="2602.6397999999999"/>
    <n v="-2348.4165889999995"/>
    <m/>
    <m/>
    <m/>
    <m/>
    <n v="-2519.9241499999998"/>
    <n v="24.864450000000012"/>
    <n v="31"/>
    <n v="15.944816347275264"/>
    <n v="0"/>
    <n v="0"/>
    <n v="0"/>
    <n v="0"/>
    <n v="0"/>
    <n v="0"/>
    <n v="0"/>
    <n v="-4.527984171278149"/>
    <n v="0"/>
    <n v="0"/>
    <n v="24.853299662568816"/>
    <n v="0"/>
    <n v="0"/>
    <n v="0.11935135818719145"/>
    <n v="1.6167601001521952"/>
    <n v="0"/>
    <n v="-5.1715837755060221"/>
    <m/>
    <n v="0"/>
    <n v="0"/>
    <n v="0"/>
    <n v="0"/>
    <n v="-0.81097063858364571"/>
    <n v="-0.13405618826501509"/>
    <n v="0"/>
    <n v="0"/>
    <m/>
    <m/>
    <m/>
    <n v="3738.4511709939075"/>
    <n v="0"/>
    <n v="0"/>
    <n v="-2519.9241499999998"/>
    <n v="24.864450000000033"/>
    <n v="0"/>
    <n v="0"/>
    <n v="-2511.0229510043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4"/>
    <s v="Regular"/>
    <s v="Verde"/>
    <s v="A4"/>
    <s v="Serviço público"/>
    <s v="Água, esgoto e saneamento"/>
    <s v="Não se aplica"/>
    <s v="Não se aplica"/>
    <s v="Fora ponta"/>
    <s v="CATIVO"/>
    <x v="0"/>
    <n v="0"/>
    <n v="0"/>
    <n v="14.303000000000001"/>
    <n v="13.44482"/>
    <n v="14.303000000000001"/>
    <n v="13.44482"/>
    <m/>
    <n v="82.26"/>
    <n v="256.55"/>
    <m/>
    <n v="4845.9994299999998"/>
    <n v="4845.9994299999998"/>
    <n v="5034.3699400000005"/>
    <n v="0"/>
    <n v="764.96696019052627"/>
    <n v="0"/>
    <n v="0"/>
    <n v="0"/>
    <n v="0"/>
    <n v="0"/>
    <n v="3669.4707183335404"/>
    <n v="0"/>
    <n v="0"/>
    <n v="0"/>
    <n v="0"/>
    <n v="0"/>
    <n v="135.93948449380116"/>
    <m/>
    <n v="19.295533590835081"/>
    <n v="0"/>
    <n v="0"/>
    <n v="0"/>
    <n v="0"/>
    <n v="0"/>
    <n v="0"/>
    <n v="0"/>
    <n v="0"/>
    <n v="0"/>
    <n v="0"/>
    <n v="0"/>
    <n v="0"/>
    <m/>
    <n v="0"/>
    <n v="0"/>
    <n v="17.621656681700852"/>
    <n v="0"/>
    <n v="0"/>
    <n v="238.70688909020558"/>
    <n v="0"/>
    <n v="0"/>
    <n v="0"/>
    <n v="0"/>
    <n v="0"/>
    <m/>
    <m/>
    <m/>
    <m/>
    <n v="302.06219640000029"/>
    <m/>
    <m/>
    <m/>
    <m/>
    <n v="3925.7992641054466"/>
    <m/>
    <m/>
    <m/>
    <m/>
    <m/>
    <m/>
    <m/>
    <m/>
    <m/>
    <m/>
    <m/>
    <m/>
    <n v="4730.6112000000003"/>
    <n v="175.3417357999997"/>
    <m/>
    <m/>
    <m/>
    <m/>
    <n v="-40.334460000000107"/>
    <n v="228.70497000000015"/>
    <n v="31"/>
    <n v="188.3102674063457"/>
    <n v="0"/>
    <n v="0"/>
    <n v="0"/>
    <n v="0"/>
    <n v="0"/>
    <n v="0"/>
    <n v="0"/>
    <n v="0"/>
    <n v="0"/>
    <n v="0"/>
    <n v="228.6024084075375"/>
    <n v="0"/>
    <n v="0"/>
    <n v="1.0978022354671353"/>
    <n v="14.87107377008158"/>
    <n v="0"/>
    <n v="-47.568593402612692"/>
    <m/>
    <n v="0"/>
    <n v="0"/>
    <n v="0"/>
    <n v="0"/>
    <n v="-7.4593653013902781"/>
    <n v="-1.2330583027360191"/>
    <n v="0"/>
    <n v="0"/>
    <m/>
    <m/>
    <m/>
    <n v="0"/>
    <n v="0"/>
    <n v="0"/>
    <n v="-40.334460000000036"/>
    <n v="228.70497000000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5"/>
    <s v="Regular"/>
    <s v="Verde"/>
    <s v="A4"/>
    <s v="Serviço público"/>
    <s v="Água, esgoto e saneamento"/>
    <s v="Não se aplica"/>
    <s v="Não se aplica"/>
    <s v="Não se aplica"/>
    <s v="CATIVO"/>
    <x v="0"/>
    <n v="79"/>
    <n v="74.259999999999991"/>
    <n v="0"/>
    <n v="0"/>
    <n v="0"/>
    <n v="0"/>
    <n v="47.39"/>
    <m/>
    <m/>
    <n v="3743.81"/>
    <m/>
    <n v="3743.81"/>
    <n v="2545.38"/>
    <n v="0"/>
    <n v="0"/>
    <n v="0"/>
    <n v="0"/>
    <n v="0"/>
    <n v="1972.6379141777902"/>
    <n v="1771.16951241263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.559999999999999"/>
    <n v="5.82"/>
    <n v="4586.5"/>
    <n v="1"/>
    <m/>
    <m/>
    <m/>
    <m/>
    <n v="152.72280000000029"/>
    <m/>
    <m/>
    <m/>
    <m/>
    <n v="0"/>
    <m/>
    <m/>
    <m/>
    <m/>
    <m/>
    <m/>
    <m/>
    <m/>
    <m/>
    <m/>
    <m/>
    <m/>
    <n v="2392.6572000000001"/>
    <n v="-1126.5542"/>
    <m/>
    <m/>
    <m/>
    <m/>
    <n v="-1198.43"/>
    <n v="0"/>
    <n v="31"/>
    <n v="-8.9164474416556914"/>
    <n v="0"/>
    <n v="0"/>
    <n v="0"/>
    <n v="0"/>
    <m/>
    <m/>
    <m/>
    <n v="-8.91644744165569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71.1695124126304"/>
    <m/>
    <n v="0"/>
    <n v="0"/>
    <n v="-1198.4299999999998"/>
    <m/>
    <n v="0"/>
    <m/>
    <n v="-1189.6496951182394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6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0.50600000000000001"/>
    <n v="0.50600000000000001"/>
    <n v="0.50600000000000001"/>
    <n v="0.50600000000000001"/>
    <m/>
    <n v="710.91"/>
    <n v="256.55"/>
    <m/>
    <n v="489.53476000000001"/>
    <n v="489.53476000000001"/>
    <n v="334.17758000000003"/>
    <n v="0"/>
    <n v="31.10618878737009"/>
    <n v="0"/>
    <n v="0"/>
    <n v="0"/>
    <n v="62.279891640506229"/>
    <n v="241.31649121276129"/>
    <n v="129.81557599641832"/>
    <n v="0"/>
    <n v="0"/>
    <n v="0"/>
    <n v="0"/>
    <n v="0"/>
    <n v="4.8091574602435418"/>
    <m/>
    <n v="1.1110771510369839"/>
    <n v="0"/>
    <n v="0"/>
    <n v="0"/>
    <n v="0"/>
    <n v="0"/>
    <n v="0"/>
    <n v="0"/>
    <n v="0"/>
    <n v="0"/>
    <n v="0"/>
    <n v="0"/>
    <n v="0"/>
    <m/>
    <n v="0"/>
    <n v="0"/>
    <n v="0.75410208703844805"/>
    <n v="0"/>
    <n v="0"/>
    <n v="18.344221551071673"/>
    <n v="0"/>
    <n v="0.52"/>
    <n v="0.19"/>
    <n v="144.77000000000001"/>
    <n v="4"/>
    <m/>
    <m/>
    <m/>
    <m/>
    <m/>
    <m/>
    <m/>
    <m/>
    <m/>
    <n v="148.91389963452846"/>
    <m/>
    <m/>
    <m/>
    <m/>
    <m/>
    <m/>
    <m/>
    <m/>
    <m/>
    <m/>
    <m/>
    <m/>
    <n v="336.8193"/>
    <n v="-152.74545999999998"/>
    <m/>
    <m/>
    <m/>
    <m/>
    <n v="-163.44811999999999"/>
    <n v="8.0909400000000051"/>
    <n v="31"/>
    <n v="6.7264027859827706"/>
    <n v="0"/>
    <n v="0"/>
    <n v="0"/>
    <n v="0"/>
    <n v="0"/>
    <n v="0"/>
    <n v="0"/>
    <n v="-0.28150902732490835"/>
    <n v="0"/>
    <n v="0"/>
    <n v="8.0873116586879803"/>
    <n v="0"/>
    <n v="0"/>
    <n v="4.6979405618593373E-2"/>
    <n v="1.14281692070319"/>
    <n v="0"/>
    <n v="-1.9343026872203382"/>
    <m/>
    <n v="0"/>
    <n v="0"/>
    <n v="0"/>
    <n v="0"/>
    <n v="-0.26389141036869734"/>
    <n v="-7.1002074113001967E-2"/>
    <n v="0"/>
    <n v="0"/>
    <m/>
    <m/>
    <m/>
    <n v="241.31649121276129"/>
    <n v="0"/>
    <n v="0"/>
    <n v="-163.44812000000002"/>
    <n v="8.0909400000000176"/>
    <n v="0"/>
    <n v="0"/>
    <n v="-162.0861742404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7"/>
    <s v="Regular"/>
    <s v="Convencional"/>
    <s v="B1"/>
    <s v="Residencial"/>
    <s v="Residencial"/>
    <s v="Não se aplica"/>
    <s v="Não se aplica"/>
    <s v="Não se aplica"/>
    <s v="CATIVO"/>
    <x v="1"/>
    <n v="0"/>
    <n v="0"/>
    <n v="599.39800000000002"/>
    <n v="599.39800000000002"/>
    <n v="599.39800000000002"/>
    <n v="599.39800000000002"/>
    <m/>
    <n v="710.91"/>
    <n v="256.55"/>
    <m/>
    <n v="579893.58908000006"/>
    <n v="579893.58908000006"/>
    <n v="395860.42113999999"/>
    <n v="0"/>
    <n v="36847.801080577185"/>
    <n v="0"/>
    <n v="0"/>
    <n v="0"/>
    <n v="73775.578042561567"/>
    <n v="285858.93715404486"/>
    <n v="153777.06842114852"/>
    <n v="0"/>
    <n v="0"/>
    <n v="0"/>
    <n v="0"/>
    <n v="0"/>
    <n v="5696.8366864724485"/>
    <m/>
    <n v="1316.1609133938066"/>
    <n v="0"/>
    <n v="0"/>
    <n v="0"/>
    <n v="0"/>
    <n v="0"/>
    <n v="0"/>
    <n v="0"/>
    <n v="0"/>
    <n v="0"/>
    <n v="0"/>
    <n v="0"/>
    <n v="0"/>
    <m/>
    <n v="0"/>
    <n v="0"/>
    <n v="893.29502523057647"/>
    <n v="0"/>
    <n v="0"/>
    <n v="21730.216816737666"/>
    <n v="0"/>
    <n v="660.26"/>
    <n v="240.95"/>
    <n v="177791.92"/>
    <n v="4113"/>
    <m/>
    <m/>
    <m/>
    <m/>
    <m/>
    <m/>
    <m/>
    <m/>
    <m/>
    <n v="176400.58026311678"/>
    <m/>
    <m/>
    <m/>
    <m/>
    <m/>
    <m/>
    <m/>
    <m/>
    <m/>
    <m/>
    <m/>
    <m/>
    <n v="395861.74199999997"/>
    <n v="-184031.87708000012"/>
    <m/>
    <m/>
    <m/>
    <m/>
    <n v="-193617.54196"/>
    <n v="9584.3740200000066"/>
    <n v="31"/>
    <n v="7967.9691247283481"/>
    <n v="0"/>
    <n v="0"/>
    <n v="0"/>
    <n v="0"/>
    <n v="0"/>
    <n v="0"/>
    <n v="0"/>
    <n v="-333.47025288635632"/>
    <n v="0"/>
    <n v="0"/>
    <n v="9580.0759557198908"/>
    <n v="0"/>
    <n v="0"/>
    <n v="55.650912586904383"/>
    <n v="1353.7592423629467"/>
    <n v="0"/>
    <n v="-2291.3382650484054"/>
    <m/>
    <n v="0"/>
    <n v="0"/>
    <n v="0"/>
    <n v="0"/>
    <n v="-312.60075808730562"/>
    <n v="-84.107709919338276"/>
    <n v="0"/>
    <n v="0"/>
    <m/>
    <m/>
    <m/>
    <n v="285858.93715404486"/>
    <n v="0"/>
    <n v="0"/>
    <n v="-193617.54195999997"/>
    <n v="9584.3740199999884"/>
    <n v="0"/>
    <n v="0"/>
    <n v="-192004.20685250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8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3.33"/>
    <n v="-3.33"/>
    <n v="-3.33"/>
    <n v="-3.33"/>
    <m/>
    <n v="710.91"/>
    <n v="256.55"/>
    <m/>
    <n v="-3221.6418000000003"/>
    <n v="-3221.6418000000003"/>
    <n v="-2199.2319000000002"/>
    <n v="0"/>
    <n v="-204.71068905522213"/>
    <n v="0"/>
    <n v="0"/>
    <n v="0"/>
    <n v="-409.86569004522875"/>
    <n v="-1588.1105054120458"/>
    <n v="-854.31989736773323"/>
    <n v="0"/>
    <n v="0"/>
    <n v="0"/>
    <n v="0"/>
    <n v="0"/>
    <n v="-31.649198305555327"/>
    <m/>
    <n v="-7.3120294722394394"/>
    <n v="0"/>
    <n v="0"/>
    <n v="0"/>
    <n v="0"/>
    <n v="0"/>
    <n v="0"/>
    <n v="0"/>
    <n v="0"/>
    <n v="0"/>
    <n v="0"/>
    <n v="0"/>
    <n v="0"/>
    <m/>
    <n v="0"/>
    <n v="0"/>
    <n v="-4.9627666992846482"/>
    <n v="0"/>
    <n v="0"/>
    <n v="-120.72382957523452"/>
    <n v="0"/>
    <n v="-3.55"/>
    <n v="-1.24"/>
    <n v="-952.2"/>
    <n v="0"/>
    <m/>
    <m/>
    <m/>
    <m/>
    <m/>
    <m/>
    <m/>
    <m/>
    <m/>
    <n v="-980.00649364225239"/>
    <m/>
    <m/>
    <m/>
    <m/>
    <m/>
    <m/>
    <m/>
    <m/>
    <m/>
    <m/>
    <m/>
    <m/>
    <n v="-2199.2319000000002"/>
    <n v="1022.3798999999995"/>
    <m/>
    <m/>
    <m/>
    <m/>
    <n v="1075.6566"/>
    <n v="-53.246700000000033"/>
    <n v="31"/>
    <n v="-44.266642840559143"/>
    <n v="0"/>
    <n v="0"/>
    <n v="0"/>
    <n v="0"/>
    <n v="0"/>
    <n v="0"/>
    <n v="0"/>
    <n v="1.8526186976125132"/>
    <n v="0"/>
    <n v="0"/>
    <n v="-53.222821785436736"/>
    <n v="0"/>
    <n v="0"/>
    <n v="-0.3091727682014147"/>
    <n v="-7.5209097745881905"/>
    <n v="0"/>
    <n v="12.729699502853208"/>
    <m/>
    <n v="0"/>
    <n v="0"/>
    <n v="0"/>
    <n v="0"/>
    <n v="1.7366766729797654"/>
    <n v="0.46726661422192972"/>
    <n v="0"/>
    <n v="0"/>
    <m/>
    <m/>
    <m/>
    <n v="-1588.1105054120458"/>
    <n v="0"/>
    <n v="0"/>
    <n v="1075.6566"/>
    <n v="-53.246700000000033"/>
    <n v="0"/>
    <n v="0"/>
    <n v="1066.6935972740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9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3.39"/>
    <n v="3.39"/>
    <n v="3.39"/>
    <n v="3.39"/>
    <m/>
    <n v="639.92999999999995"/>
    <n v="256.55"/>
    <m/>
    <n v="3039.0672000000004"/>
    <n v="3039.0672000000004"/>
    <n v="2012.9820000000002"/>
    <n v="0"/>
    <n v="0"/>
    <n v="0"/>
    <n v="0"/>
    <n v="0"/>
    <n v="417.25065743343106"/>
    <n v="1616.7251091131636"/>
    <n v="869.71304867165634"/>
    <n v="0"/>
    <n v="0"/>
    <n v="0"/>
    <n v="0"/>
    <n v="0"/>
    <n v="0"/>
    <m/>
    <n v="7.443777751018529"/>
    <n v="0"/>
    <n v="0"/>
    <n v="0"/>
    <n v="0"/>
    <n v="0"/>
    <n v="0"/>
    <n v="0"/>
    <n v="0"/>
    <n v="0"/>
    <n v="0"/>
    <n v="0"/>
    <n v="0"/>
    <m/>
    <n v="0"/>
    <n v="0"/>
    <n v="5.0521859190915785"/>
    <n v="0"/>
    <n v="0"/>
    <n v="122.89903371172524"/>
    <n v="0"/>
    <n v="1.03"/>
    <n v="0.06"/>
    <n v="261.2"/>
    <n v="5"/>
    <m/>
    <m/>
    <m/>
    <m/>
    <m/>
    <m/>
    <m/>
    <n v="1308.4383000000003"/>
    <m/>
    <n v="997.66426830247315"/>
    <m/>
    <m/>
    <m/>
    <m/>
    <m/>
    <m/>
    <m/>
    <m/>
    <m/>
    <m/>
    <m/>
    <m/>
    <n v="704.54369999999994"/>
    <n v="-359.16660000000002"/>
    <m/>
    <m/>
    <m/>
    <m/>
    <n v="-1080.2912999999999"/>
    <n v="54.206100000000035"/>
    <n v="31"/>
    <n v="59.791271611281672"/>
    <n v="0"/>
    <n v="0"/>
    <n v="0"/>
    <n v="0"/>
    <n v="0"/>
    <n v="0"/>
    <n v="0"/>
    <n v="-1.8859992146866489"/>
    <n v="0"/>
    <n v="0"/>
    <n v="54.181791547336502"/>
    <n v="0"/>
    <n v="0"/>
    <n v="0.31474344870954862"/>
    <n v="7.656421662418623"/>
    <n v="0"/>
    <n v="0"/>
    <m/>
    <n v="0"/>
    <n v="0"/>
    <n v="0"/>
    <n v="0"/>
    <n v="0"/>
    <n v="-0.47568583249619945"/>
    <n v="0"/>
    <n v="0"/>
    <m/>
    <m/>
    <m/>
    <n v="1616.7251091131636"/>
    <n v="0"/>
    <n v="0"/>
    <n v="-1080.2913000000001"/>
    <n v="54.206100000000106"/>
    <n v="0"/>
    <n v="0"/>
    <n v="-1085.9133017294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0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6.5170000000000003"/>
    <n v="6.5170000000000003"/>
    <n v="6.5170000000000003"/>
    <n v="6.5170000000000003"/>
    <m/>
    <n v="639.92999999999995"/>
    <n v="256.55"/>
    <m/>
    <n v="5842.3601600000002"/>
    <n v="5842.3601600000002"/>
    <n v="3869.7946000000002"/>
    <n v="0"/>
    <n v="0"/>
    <n v="0"/>
    <n v="0"/>
    <n v="0"/>
    <n v="802.13054114857528"/>
    <n v="3108.0228720030937"/>
    <n v="1671.9527841277832"/>
    <n v="0"/>
    <n v="0"/>
    <n v="0"/>
    <n v="0"/>
    <n v="0"/>
    <n v="0"/>
    <m/>
    <n v="14.310058880055385"/>
    <n v="0"/>
    <n v="0"/>
    <n v="0"/>
    <n v="0"/>
    <n v="0"/>
    <n v="0"/>
    <n v="0"/>
    <n v="0"/>
    <n v="0"/>
    <n v="0"/>
    <n v="0"/>
    <n v="0"/>
    <m/>
    <n v="0"/>
    <n v="0"/>
    <n v="9.7124175913627777"/>
    <n v="0"/>
    <n v="0"/>
    <n v="236.26342262516619"/>
    <n v="0"/>
    <n v="3.68"/>
    <n v="1.25"/>
    <n v="975.34"/>
    <n v="36"/>
    <m/>
    <m/>
    <m/>
    <m/>
    <m/>
    <m/>
    <m/>
    <n v="1547.9178400000001"/>
    <m/>
    <n v="1917.9286243443121"/>
    <m/>
    <m/>
    <m/>
    <m/>
    <m/>
    <m/>
    <m/>
    <m/>
    <m/>
    <m/>
    <m/>
    <m/>
    <n v="2322.9456"/>
    <n v="-1182.5135300000006"/>
    <m/>
    <m/>
    <m/>
    <m/>
    <n v="-2076.7723899999996"/>
    <n v="104.20683000000007"/>
    <n v="31"/>
    <n v="114.94386934829572"/>
    <n v="0"/>
    <n v="0"/>
    <n v="0"/>
    <n v="0"/>
    <n v="0"/>
    <n v="0"/>
    <n v="0"/>
    <n v="-3.6256804961984699"/>
    <n v="0"/>
    <n v="0"/>
    <n v="104.16009897167896"/>
    <n v="0"/>
    <n v="0"/>
    <n v="0.60506874785844644"/>
    <n v="14.718849549847221"/>
    <n v="0"/>
    <n v="0"/>
    <m/>
    <n v="0"/>
    <n v="0"/>
    <n v="0"/>
    <n v="0"/>
    <n v="0"/>
    <n v="-0.9144674248901854"/>
    <n v="0"/>
    <n v="0"/>
    <m/>
    <m/>
    <m/>
    <n v="3108.0228720030937"/>
    <n v="0"/>
    <n v="0"/>
    <n v="-2076.7723900000001"/>
    <n v="104.20683000000008"/>
    <n v="0"/>
    <n v="0"/>
    <n v="-2087.5802322627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1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4.8369999999999997"/>
    <n v="4.8369999999999997"/>
    <n v="4.8369999999999997"/>
    <n v="4.8369999999999997"/>
    <m/>
    <n v="639.92999999999995"/>
    <n v="256.55"/>
    <m/>
    <n v="4336.27376"/>
    <n v="4336.27376"/>
    <n v="2872.2105999999999"/>
    <n v="0"/>
    <n v="0"/>
    <n v="0"/>
    <n v="0"/>
    <n v="0"/>
    <n v="595.3514542789103"/>
    <n v="2306.8139683717914"/>
    <n v="1240.9445476179355"/>
    <n v="0"/>
    <n v="0"/>
    <n v="0"/>
    <n v="0"/>
    <n v="0"/>
    <n v="0"/>
    <m/>
    <n v="10.621107074240891"/>
    <n v="0"/>
    <n v="0"/>
    <n v="0"/>
    <n v="0"/>
    <n v="0"/>
    <n v="0"/>
    <n v="0"/>
    <n v="0"/>
    <n v="0"/>
    <n v="0"/>
    <n v="0"/>
    <n v="0"/>
    <m/>
    <n v="0"/>
    <n v="0"/>
    <n v="7.2086794367687208"/>
    <n v="0"/>
    <n v="0"/>
    <n v="175.35770680342623"/>
    <n v="0"/>
    <n v="4.3600000000000003"/>
    <n v="1.98"/>
    <n v="1275.95"/>
    <n v="56"/>
    <m/>
    <m/>
    <m/>
    <m/>
    <m/>
    <m/>
    <m/>
    <n v="287.26943000000006"/>
    <m/>
    <n v="1423.5109338581306"/>
    <m/>
    <m/>
    <m/>
    <m/>
    <m/>
    <m/>
    <m/>
    <m/>
    <m/>
    <m/>
    <m/>
    <m/>
    <n v="2586.5443999999998"/>
    <n v="-1316.1706800000011"/>
    <m/>
    <m/>
    <m/>
    <m/>
    <n v="-1541.4067899999998"/>
    <n v="77.343630000000033"/>
    <n v="31"/>
    <n v="85.312796691377798"/>
    <n v="0"/>
    <n v="0"/>
    <n v="0"/>
    <n v="0"/>
    <n v="0"/>
    <n v="0"/>
    <n v="0"/>
    <n v="-2.6910260181236936"/>
    <n v="0"/>
    <n v="0"/>
    <n v="77.308945638485739"/>
    <n v="0"/>
    <n v="0"/>
    <n v="0.44908969363070383"/>
    <n v="10.924516690595539"/>
    <n v="0"/>
    <n v="0"/>
    <m/>
    <n v="0"/>
    <n v="0"/>
    <n v="0"/>
    <n v="0"/>
    <n v="0"/>
    <n v="-0.67872931321065266"/>
    <n v="0"/>
    <n v="0"/>
    <m/>
    <m/>
    <m/>
    <n v="2306.8139683717914"/>
    <n v="0"/>
    <n v="0"/>
    <n v="-1541.4067899999998"/>
    <n v="77.343630000000076"/>
    <n v="0"/>
    <n v="0"/>
    <n v="-1549.4285075118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2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1.163"/>
    <n v="1.163"/>
    <n v="1.163"/>
    <n v="1.163"/>
    <m/>
    <n v="639.92999999999995"/>
    <n v="256.55"/>
    <m/>
    <n v="1042.6062400000001"/>
    <n v="1042.6062400000001"/>
    <n v="690.58940000000007"/>
    <n v="0"/>
    <n v="0"/>
    <n v="0"/>
    <n v="0"/>
    <n v="0"/>
    <n v="143.14528454132164"/>
    <n v="554.64640174000272"/>
    <n v="298.37058277437649"/>
    <n v="0"/>
    <n v="0"/>
    <n v="0"/>
    <n v="0"/>
    <n v="0"/>
    <n v="0"/>
    <m/>
    <n v="2.5537208036680084"/>
    <n v="0"/>
    <n v="0"/>
    <n v="0"/>
    <n v="0"/>
    <n v="0"/>
    <n v="0"/>
    <n v="0"/>
    <n v="0"/>
    <n v="0"/>
    <n v="0"/>
    <n v="0"/>
    <n v="0"/>
    <m/>
    <n v="0"/>
    <n v="0"/>
    <n v="1.733242543924338"/>
    <n v="0"/>
    <n v="0"/>
    <n v="42.162706845644969"/>
    <n v="0"/>
    <n v="1.47"/>
    <n v="0.69"/>
    <n v="432.25"/>
    <n v="16"/>
    <m/>
    <m/>
    <m/>
    <m/>
    <m/>
    <m/>
    <m/>
    <m/>
    <m/>
    <n v="342.26653216394578"/>
    <m/>
    <m/>
    <m/>
    <m/>
    <m/>
    <m/>
    <m/>
    <m/>
    <m/>
    <m/>
    <m/>
    <m/>
    <n v="688.80799999999999"/>
    <n v="-353.82824000000005"/>
    <m/>
    <m/>
    <m/>
    <m/>
    <n v="-370.61320999999998"/>
    <n v="18.596370000000011"/>
    <n v="31"/>
    <n v="20.51246279761682"/>
    <n v="0"/>
    <n v="0"/>
    <n v="0"/>
    <n v="0"/>
    <n v="0"/>
    <n v="0"/>
    <n v="0"/>
    <n v="-0.64702568928632331"/>
    <n v="0"/>
    <n v="0"/>
    <n v="18.588030551490363"/>
    <n v="0"/>
    <n v="0"/>
    <n v="0.10797835718265647"/>
    <n v="2.6266720924462703"/>
    <n v="0"/>
    <n v="0"/>
    <m/>
    <n v="0"/>
    <n v="0"/>
    <n v="0"/>
    <n v="0"/>
    <n v="0"/>
    <n v="-0.16319251421624736"/>
    <n v="0"/>
    <n v="0"/>
    <m/>
    <m/>
    <m/>
    <n v="554.64640174000272"/>
    <n v="0"/>
    <n v="0"/>
    <n v="-370.61320999999992"/>
    <n v="18.596369999999979"/>
    <n v="0"/>
    <n v="0"/>
    <n v="-372.54193802693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3"/>
    <s v="Regular"/>
    <s v="Convencional"/>
    <s v="B3"/>
    <s v="Industrial"/>
    <s v="Não se aplica"/>
    <s v="Não se aplica"/>
    <s v="Não se aplica"/>
    <s v="Não se aplica"/>
    <s v="CATIVO"/>
    <x v="1"/>
    <n v="0"/>
    <n v="0"/>
    <n v="65.528999999999996"/>
    <n v="65.528999999999996"/>
    <n v="65.528999999999996"/>
    <n v="65.528999999999996"/>
    <m/>
    <n v="710.91"/>
    <n v="256.55"/>
    <m/>
    <n v="63396.68634"/>
    <n v="63396.68634"/>
    <n v="43277.317469999995"/>
    <n v="0"/>
    <n v="4028.3743973272221"/>
    <n v="0"/>
    <n v="0"/>
    <n v="0"/>
    <n v="8065.4921330251627"/>
    <n v="31251.439432175957"/>
    <n v="16811.630196579634"/>
    <n v="0"/>
    <n v="0"/>
    <n v="0"/>
    <n v="0"/>
    <n v="0"/>
    <n v="622.80489962904949"/>
    <m/>
    <n v="143.88888266858203"/>
    <n v="0"/>
    <n v="0"/>
    <n v="0"/>
    <n v="0"/>
    <n v="0"/>
    <n v="0"/>
    <n v="0"/>
    <n v="0"/>
    <n v="0"/>
    <n v="0"/>
    <n v="0"/>
    <n v="0"/>
    <m/>
    <n v="0"/>
    <n v="0"/>
    <n v="97.659200912139241"/>
    <n v="0"/>
    <n v="0"/>
    <n v="2375.649197668331"/>
    <n v="0"/>
    <n v="64.77"/>
    <n v="22.87"/>
    <n v="10368.48"/>
    <n v="45"/>
    <m/>
    <m/>
    <m/>
    <m/>
    <m/>
    <m/>
    <m/>
    <m/>
    <m/>
    <n v="19284.938595160103"/>
    <m/>
    <m/>
    <m/>
    <m/>
    <m/>
    <m/>
    <m/>
    <m/>
    <m/>
    <m/>
    <m/>
    <m/>
    <n v="43277.977899999998"/>
    <n v="-20118.738440000008"/>
    <m/>
    <m/>
    <m/>
    <m/>
    <n v="-21167.177579999996"/>
    <n v="1047.8087100000005"/>
    <n v="31"/>
    <n v="871.09574735705974"/>
    <n v="0"/>
    <n v="0"/>
    <n v="0"/>
    <n v="0"/>
    <n v="0"/>
    <n v="0"/>
    <n v="0"/>
    <n v="-36.456531722477848"/>
    <n v="0"/>
    <n v="0"/>
    <n v="1047.3388254588244"/>
    <n v="0"/>
    <n v="0"/>
    <n v="6.0840187169581128"/>
    <n v="147.99930829399091"/>
    <n v="0"/>
    <n v="-250.49984346020074"/>
    <m/>
    <n v="0"/>
    <n v="0"/>
    <n v="0"/>
    <n v="0"/>
    <n v="-34.174980691799078"/>
    <n v="-9.1950492382428877"/>
    <n v="0"/>
    <n v="0"/>
    <m/>
    <m/>
    <m/>
    <n v="31251.439432175957"/>
    <n v="0"/>
    <n v="0"/>
    <n v="-21167.17758"/>
    <n v="1047.8087099999975"/>
    <n v="0"/>
    <n v="0"/>
    <n v="-20990.800220951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4"/>
    <s v="Regular"/>
    <s v="Verde"/>
    <s v="A4"/>
    <s v="Industrial"/>
    <s v="Não se aplica"/>
    <s v="Não se aplica"/>
    <s v="Não se aplica"/>
    <s v="Ponta"/>
    <s v="CATIVO"/>
    <x v="1"/>
    <n v="0"/>
    <n v="0"/>
    <n v="5.4210000000000003"/>
    <n v="5.4210000000000003"/>
    <n v="5.4210000000000003"/>
    <n v="5.4210000000000003"/>
    <m/>
    <n v="3130.62"/>
    <n v="256.55"/>
    <m/>
    <n v="18361.848569999998"/>
    <n v="18361.848569999998"/>
    <n v="9663.6372300000003"/>
    <n v="0"/>
    <n v="289.93119563677851"/>
    <n v="0"/>
    <n v="0"/>
    <n v="0"/>
    <n v="3492.2830492260873"/>
    <n v="13032.889902223777"/>
    <n v="1390.7712203094541"/>
    <n v="0"/>
    <n v="0"/>
    <n v="0"/>
    <n v="0"/>
    <n v="0"/>
    <n v="51.522613818142773"/>
    <m/>
    <n v="7.3132271268906512"/>
    <n v="0"/>
    <n v="0"/>
    <n v="0"/>
    <n v="0"/>
    <n v="0"/>
    <n v="0"/>
    <n v="0"/>
    <n v="0"/>
    <n v="0"/>
    <n v="0"/>
    <n v="0"/>
    <n v="0"/>
    <m/>
    <n v="0"/>
    <n v="0"/>
    <n v="6.6788087024750276"/>
    <n v="0"/>
    <n v="0"/>
    <n v="90.472631319164122"/>
    <n v="0"/>
    <n v="0"/>
    <n v="0"/>
    <n v="0"/>
    <n v="0"/>
    <m/>
    <m/>
    <m/>
    <m/>
    <m/>
    <m/>
    <m/>
    <m/>
    <m/>
    <n v="1487.9226603310931"/>
    <m/>
    <m/>
    <m/>
    <m/>
    <m/>
    <m/>
    <m/>
    <m/>
    <m/>
    <m/>
    <m/>
    <m/>
    <n v="9661.8546000000006"/>
    <n v="-8700.0239699999929"/>
    <m/>
    <m/>
    <m/>
    <m/>
    <n v="-8784.8931300000004"/>
    <n v="86.681790000000049"/>
    <n v="31"/>
    <n v="55.586398339922198"/>
    <n v="0"/>
    <n v="0"/>
    <n v="0"/>
    <n v="0"/>
    <n v="0"/>
    <n v="0"/>
    <n v="0"/>
    <n v="-15.785339030545856"/>
    <n v="0"/>
    <n v="0"/>
    <n v="86.642917987643386"/>
    <n v="0"/>
    <n v="0"/>
    <n v="0.41607955802750141"/>
    <n v="5.6363064327492225"/>
    <n v="0"/>
    <n v="-18.029039001297861"/>
    <m/>
    <n v="0"/>
    <n v="0"/>
    <n v="0"/>
    <n v="0"/>
    <n v="-2.8271844577247194"/>
    <n v="-0.46734314892903317"/>
    <n v="0"/>
    <n v="0"/>
    <m/>
    <m/>
    <m/>
    <n v="13032.889902223777"/>
    <n v="0"/>
    <n v="0"/>
    <n v="-8784.8931300000004"/>
    <n v="86.681790000000092"/>
    <n v="0"/>
    <n v="0"/>
    <n v="-8753.862004755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5"/>
    <s v="Sistema de Compensação"/>
    <s v="Verde"/>
    <s v="A4"/>
    <s v="Industrial"/>
    <s v="Não se aplica"/>
    <s v="Não se aplica"/>
    <s v="Não se aplica"/>
    <s v="Ponta"/>
    <s v="CATIVO"/>
    <x v="1"/>
    <n v="0"/>
    <n v="0"/>
    <n v="0.18099999999999999"/>
    <n v="0.18099999999999999"/>
    <n v="0.18099999999999999"/>
    <n v="0.18099999999999999"/>
    <m/>
    <n v="3130.62"/>
    <n v="256.55"/>
    <m/>
    <n v="613.07776999999999"/>
    <n v="613.07776999999999"/>
    <n v="322.65602999999999"/>
    <n v="0"/>
    <n v="9.6804180797374855"/>
    <n v="0"/>
    <n v="0"/>
    <n v="0"/>
    <n v="116.60269911638476"/>
    <n v="435.15090800636477"/>
    <n v="46.436006433501412"/>
    <n v="0"/>
    <n v="0"/>
    <n v="0"/>
    <n v="0"/>
    <n v="0"/>
    <n v="1.7202717397313856"/>
    <m/>
    <n v="0.24417895406146611"/>
    <n v="0"/>
    <n v="0"/>
    <n v="0"/>
    <n v="0"/>
    <n v="0"/>
    <n v="0"/>
    <n v="0"/>
    <n v="0"/>
    <n v="0"/>
    <n v="0"/>
    <n v="0"/>
    <n v="0"/>
    <m/>
    <n v="0"/>
    <n v="0"/>
    <n v="0.22299656431432943"/>
    <n v="0"/>
    <n v="0"/>
    <n v="3.0207611637647491"/>
    <n v="0"/>
    <n v="0"/>
    <n v="0"/>
    <n v="0"/>
    <n v="0"/>
    <m/>
    <m/>
    <m/>
    <m/>
    <m/>
    <m/>
    <m/>
    <m/>
    <m/>
    <n v="49.679764161580486"/>
    <m/>
    <m/>
    <m/>
    <m/>
    <m/>
    <m/>
    <m/>
    <m/>
    <m/>
    <m/>
    <m/>
    <m/>
    <n v="320.8734"/>
    <n v="-292.23436999999996"/>
    <m/>
    <m/>
    <m/>
    <m/>
    <n v="-293.31592999999998"/>
    <n v="2.8941900000000014"/>
    <n v="31"/>
    <n v="1.8559561150205184"/>
    <n v="0"/>
    <n v="0"/>
    <n v="0"/>
    <n v="0"/>
    <n v="0"/>
    <n v="0"/>
    <n v="0"/>
    <n v="-0.52705153376291491"/>
    <n v="0"/>
    <n v="0"/>
    <n v="2.8928921150642779"/>
    <n v="0"/>
    <n v="0"/>
    <n v="1.3892344586419053E-2"/>
    <n v="0.18818879622350293"/>
    <n v="0"/>
    <n v="-0.60196569991420645"/>
    <m/>
    <n v="0"/>
    <n v="0"/>
    <n v="0"/>
    <n v="0"/>
    <n v="-9.4395939282083452E-2"/>
    <n v="-1.5603967894513016E-2"/>
    <n v="0"/>
    <n v="0"/>
    <m/>
    <m/>
    <m/>
    <n v="435.15090800636477"/>
    <n v="0"/>
    <n v="0"/>
    <n v="-293.31592999999998"/>
    <n v="2.8941900000000018"/>
    <n v="0"/>
    <n v="0"/>
    <n v="-292.2798418853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6"/>
    <s v="Regular"/>
    <s v="Verde"/>
    <s v="A4"/>
    <s v="Industrial"/>
    <s v="Não se aplica"/>
    <s v="Não se aplica"/>
    <s v="Não se aplica"/>
    <s v="Fora ponta"/>
    <s v="CATIVO"/>
    <x v="1"/>
    <n v="0"/>
    <n v="0"/>
    <n v="215.226"/>
    <n v="215.226"/>
    <n v="215.226"/>
    <n v="215.226"/>
    <m/>
    <n v="82.26"/>
    <n v="256.55"/>
    <m/>
    <n v="72920.721060000011"/>
    <n v="72920.721060000011"/>
    <n v="75755.247480000005"/>
    <n v="0"/>
    <n v="11510.926307345746"/>
    <n v="0"/>
    <n v="0"/>
    <n v="0"/>
    <n v="0"/>
    <n v="0"/>
    <n v="55216.77304230263"/>
    <n v="0"/>
    <n v="0"/>
    <n v="0"/>
    <n v="0"/>
    <n v="0"/>
    <n v="2045.5646710244596"/>
    <m/>
    <n v="290.35171031399506"/>
    <n v="0"/>
    <n v="0"/>
    <n v="0"/>
    <n v="0"/>
    <n v="0"/>
    <n v="0"/>
    <n v="0"/>
    <n v="0"/>
    <n v="0"/>
    <n v="0"/>
    <n v="0"/>
    <n v="0"/>
    <m/>
    <n v="0"/>
    <n v="0"/>
    <n v="265.16385939843019"/>
    <n v="0"/>
    <n v="0"/>
    <n v="3591.9687416156457"/>
    <n v="0"/>
    <n v="0"/>
    <n v="0"/>
    <n v="0"/>
    <n v="0"/>
    <m/>
    <m/>
    <m/>
    <m/>
    <m/>
    <m/>
    <m/>
    <m/>
    <m/>
    <n v="59073.905643316706"/>
    <m/>
    <m/>
    <m/>
    <m/>
    <m/>
    <m/>
    <m/>
    <m/>
    <m/>
    <m/>
    <m/>
    <m/>
    <n v="75756.655400000003"/>
    <n v="2835.9043400000082"/>
    <m/>
    <m/>
    <m/>
    <m/>
    <n v="-606.93732000000159"/>
    <n v="3441.463740000002"/>
    <n v="31"/>
    <n v="2833.6199128014123"/>
    <n v="0"/>
    <n v="0"/>
    <n v="0"/>
    <n v="0"/>
    <n v="0"/>
    <n v="0"/>
    <n v="0"/>
    <n v="0"/>
    <n v="0"/>
    <n v="0"/>
    <n v="3439.9204329106287"/>
    <n v="0"/>
    <n v="0"/>
    <n v="16.519302519097437"/>
    <n v="223.77415390055103"/>
    <n v="0"/>
    <n v="-715.79375541290028"/>
    <m/>
    <n v="0"/>
    <n v="0"/>
    <n v="0"/>
    <n v="0"/>
    <n v="-112.24563772334614"/>
    <n v="-18.554583392621282"/>
    <n v="0"/>
    <n v="0"/>
    <m/>
    <m/>
    <m/>
    <n v="0"/>
    <n v="0"/>
    <n v="0"/>
    <n v="-606.93732000000091"/>
    <n v="3441.46373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7"/>
    <s v="Sistema de Compensação"/>
    <s v="Verde"/>
    <s v="A4"/>
    <s v="Industrial"/>
    <s v="Não se aplica"/>
    <s v="Não se aplica"/>
    <s v="Não se aplica"/>
    <s v="Fora ponta"/>
    <s v="CATIVO"/>
    <x v="1"/>
    <n v="0"/>
    <n v="0"/>
    <n v="16.091999999999999"/>
    <n v="16.091999999999999"/>
    <n v="16.091999999999999"/>
    <n v="16.091999999999999"/>
    <m/>
    <n v="82.26"/>
    <n v="256.55"/>
    <m/>
    <n v="5452.1305199999997"/>
    <n v="5452.1305199999997"/>
    <n v="5664.0621599999995"/>
    <n v="0"/>
    <n v="860.64799855876026"/>
    <n v="0"/>
    <n v="0"/>
    <n v="0"/>
    <n v="0"/>
    <n v="0"/>
    <n v="4128.4431797121806"/>
    <n v="0"/>
    <n v="0"/>
    <n v="0"/>
    <n v="0"/>
    <n v="0"/>
    <n v="152.94261235225113"/>
    <m/>
    <n v="21.708992976558633"/>
    <n v="0"/>
    <n v="0"/>
    <n v="0"/>
    <n v="0"/>
    <n v="0"/>
    <n v="0"/>
    <n v="0"/>
    <n v="0"/>
    <n v="0"/>
    <n v="0"/>
    <n v="0"/>
    <n v="0"/>
    <m/>
    <n v="0"/>
    <n v="0"/>
    <n v="19.825749795282814"/>
    <n v="0"/>
    <n v="0"/>
    <n v="268.56402567570353"/>
    <n v="0"/>
    <n v="0"/>
    <n v="0"/>
    <n v="0"/>
    <n v="0"/>
    <m/>
    <m/>
    <m/>
    <m/>
    <m/>
    <m/>
    <m/>
    <m/>
    <m/>
    <n v="4416.8329551831666"/>
    <m/>
    <m/>
    <m/>
    <m/>
    <m/>
    <m/>
    <m/>
    <m/>
    <m/>
    <m/>
    <m/>
    <m/>
    <n v="5663.3581999999997"/>
    <n v="211.19768000000022"/>
    <m/>
    <m/>
    <m/>
    <m/>
    <n v="-45.379440000000116"/>
    <n v="257.31108000000012"/>
    <n v="31"/>
    <n v="211.86386234377005"/>
    <n v="0"/>
    <n v="0"/>
    <n v="0"/>
    <n v="0"/>
    <n v="0"/>
    <n v="0"/>
    <n v="0"/>
    <n v="0"/>
    <n v="0"/>
    <n v="0"/>
    <n v="257.19569014151602"/>
    <n v="0"/>
    <n v="0"/>
    <n v="1.2351138623461608"/>
    <n v="16.731127673086235"/>
    <n v="0"/>
    <n v="-53.518409077455317"/>
    <m/>
    <n v="0"/>
    <n v="0"/>
    <n v="0"/>
    <n v="0"/>
    <n v="-8.3923726791562672"/>
    <n v="-1.3872875765663188"/>
    <n v="0"/>
    <n v="0"/>
    <m/>
    <m/>
    <m/>
    <n v="0"/>
    <n v="0"/>
    <n v="0"/>
    <n v="-45.379440000000159"/>
    <n v="257.3110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8"/>
    <s v="Regular"/>
    <s v="Verde"/>
    <s v="A4"/>
    <s v="Industrial"/>
    <s v="Não se aplica"/>
    <s v="Não se aplica"/>
    <s v="Não se aplica"/>
    <s v="Não se aplica"/>
    <s v="CATIVO"/>
    <x v="1"/>
    <n v="1577"/>
    <n v="1577"/>
    <n v="0"/>
    <n v="0"/>
    <n v="0"/>
    <n v="0"/>
    <n v="47.39"/>
    <m/>
    <m/>
    <n v="74734.03"/>
    <m/>
    <n v="74734.03"/>
    <n v="50810.939999999995"/>
    <n v="0"/>
    <n v="0"/>
    <n v="0"/>
    <n v="0"/>
    <n v="0"/>
    <n v="39377.847983017411"/>
    <n v="35356.13064651541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7.94"/>
    <n v="69.53"/>
    <n v="30297.09"/>
    <n v="12"/>
    <m/>
    <m/>
    <m/>
    <m/>
    <m/>
    <m/>
    <m/>
    <m/>
    <m/>
    <n v="0"/>
    <m/>
    <m/>
    <m/>
    <m/>
    <m/>
    <m/>
    <m/>
    <m/>
    <m/>
    <m/>
    <m/>
    <m/>
    <n v="50810.939999999995"/>
    <n v="-23923.119999999988"/>
    <m/>
    <m/>
    <m/>
    <m/>
    <n v="-23923.090000000004"/>
    <n v="0"/>
    <n v="31"/>
    <n v="-177.99034956318064"/>
    <n v="0"/>
    <n v="0"/>
    <n v="0"/>
    <n v="0"/>
    <m/>
    <m/>
    <m/>
    <n v="-177.9903495631806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356.130646515419"/>
    <m/>
    <n v="0"/>
    <n v="0"/>
    <n v="-23923.090000000004"/>
    <m/>
    <n v="0"/>
    <m/>
    <n v="-23747.817331664097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9"/>
    <s v="Sistema de Compensação"/>
    <s v="Verde"/>
    <s v="A4"/>
    <s v="Industrial"/>
    <s v="Não se aplica"/>
    <s v="Não se aplica"/>
    <s v="Não se aplica"/>
    <s v="Não se aplica"/>
    <s v="CATIVO"/>
    <x v="1"/>
    <n v="576"/>
    <n v="576"/>
    <n v="0"/>
    <n v="0"/>
    <n v="0"/>
    <n v="0"/>
    <n v="47.39"/>
    <m/>
    <m/>
    <n v="27296.639999999999"/>
    <m/>
    <n v="27296.639999999999"/>
    <n v="18558.72"/>
    <n v="0"/>
    <n v="0"/>
    <n v="0"/>
    <n v="0"/>
    <n v="0"/>
    <n v="14382.777703372243"/>
    <n v="12913.8435335401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.869999999999997"/>
    <n v="12.62"/>
    <n v="6023.65"/>
    <n v="3"/>
    <m/>
    <m/>
    <m/>
    <m/>
    <m/>
    <m/>
    <m/>
    <m/>
    <m/>
    <n v="0"/>
    <m/>
    <m/>
    <m/>
    <m/>
    <m/>
    <m/>
    <m/>
    <m/>
    <m/>
    <m/>
    <m/>
    <m/>
    <n v="18558.72"/>
    <n v="-8737.9499999999935"/>
    <m/>
    <m/>
    <m/>
    <m/>
    <n v="-8737.9200000000019"/>
    <n v="0"/>
    <n v="31"/>
    <n v="-65.011059827769714"/>
    <n v="0"/>
    <n v="0"/>
    <n v="0"/>
    <n v="0"/>
    <m/>
    <m/>
    <m/>
    <n v="-65.0110598277697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913.843533540192"/>
    <m/>
    <n v="0"/>
    <n v="0"/>
    <n v="-8737.9199999999983"/>
    <m/>
    <n v="0"/>
    <m/>
    <n v="-8673.9015745329871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0"/>
    <s v="Regular"/>
    <s v="Convencional"/>
    <s v="B3"/>
    <s v="Comercial"/>
    <s v="Não se aplica"/>
    <s v="Não se aplica"/>
    <s v="Não se aplica"/>
    <s v="Não se aplica"/>
    <s v="CATIVO"/>
    <x v="1"/>
    <n v="0"/>
    <n v="0"/>
    <n v="289.86799999999999"/>
    <n v="289.86799999999999"/>
    <n v="289.86799999999999"/>
    <n v="289.86799999999999"/>
    <m/>
    <n v="710.91"/>
    <n v="256.55"/>
    <m/>
    <n v="280435.69527999999"/>
    <n v="280435.69527999999"/>
    <n v="191437.52324000001"/>
    <n v="0"/>
    <n v="17819.542947465205"/>
    <n v="0"/>
    <n v="0"/>
    <n v="0"/>
    <n v="35677.762114723831"/>
    <n v="138240.96576059426"/>
    <n v="74366.366369426454"/>
    <n v="0"/>
    <n v="0"/>
    <n v="0"/>
    <n v="0"/>
    <n v="0"/>
    <n v="2754.9819262566702"/>
    <m/>
    <n v="636.49350121894952"/>
    <n v="0"/>
    <n v="0"/>
    <n v="0"/>
    <n v="0"/>
    <n v="0"/>
    <n v="0"/>
    <n v="0"/>
    <n v="0"/>
    <n v="0"/>
    <n v="0"/>
    <n v="0"/>
    <n v="0"/>
    <m/>
    <n v="0"/>
    <n v="0"/>
    <n v="431.99617344992259"/>
    <n v="0"/>
    <n v="0"/>
    <n v="10508.701210604828"/>
    <n v="0"/>
    <n v="329.69"/>
    <n v="117.82"/>
    <n v="89268.15"/>
    <n v="880"/>
    <m/>
    <m/>
    <m/>
    <m/>
    <m/>
    <m/>
    <m/>
    <m/>
    <m/>
    <n v="85307.063753481198"/>
    <m/>
    <m/>
    <m/>
    <m/>
    <m/>
    <m/>
    <m/>
    <m/>
    <m/>
    <m/>
    <m/>
    <m/>
    <n v="191438.84409999999"/>
    <n v="-88996.881180000026"/>
    <m/>
    <m/>
    <m/>
    <m/>
    <n v="-93633.161359999998"/>
    <n v="4634.9893200000024"/>
    <n v="31"/>
    <n v="3853.2982663384755"/>
    <n v="0"/>
    <n v="0"/>
    <n v="0"/>
    <n v="0"/>
    <n v="0"/>
    <n v="0"/>
    <n v="0"/>
    <n v="-161.2657287205875"/>
    <n v="0"/>
    <n v="0"/>
    <n v="4632.9107823726663"/>
    <n v="0"/>
    <n v="0"/>
    <n v="26.912700292194529"/>
    <n v="654.67599836046065"/>
    <n v="0"/>
    <n v="-1108.087848496416"/>
    <m/>
    <n v="0"/>
    <n v="0"/>
    <n v="0"/>
    <n v="0"/>
    <n v="-151.17327142441445"/>
    <n v="-40.674366045430133"/>
    <n v="0"/>
    <n v="0"/>
    <m/>
    <m/>
    <m/>
    <n v="138240.96576059426"/>
    <n v="0"/>
    <n v="0"/>
    <n v="-93633.161359999998"/>
    <n v="4634.9893200000079"/>
    <n v="0"/>
    <n v="0"/>
    <n v="-92852.954851239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51"/>
    <s v="Refaturamento - Regular"/>
    <s v="Convencional"/>
    <s v="B3"/>
    <s v="Comercial"/>
    <s v="Não se aplica"/>
    <s v="Não se aplica"/>
    <s v="Não se aplica"/>
    <s v="Não se aplica"/>
    <s v="CATIVO"/>
    <x v="1"/>
    <n v="0"/>
    <n v="0"/>
    <n v="-1.032"/>
    <n v="-1.032"/>
    <n v="-1.032"/>
    <n v="-1.032"/>
    <m/>
    <n v="710.91"/>
    <n v="256.55"/>
    <m/>
    <n v="-998.41872000000012"/>
    <n v="-998.41872000000012"/>
    <n v="-681.56376"/>
    <n v="0"/>
    <n v="-63.441871202699474"/>
    <n v="0"/>
    <n v="0"/>
    <n v="0"/>
    <n v="-127.0214390770799"/>
    <n v="-492.17118365922857"/>
    <n v="-264.76220242747769"/>
    <n v="0"/>
    <n v="0"/>
    <n v="0"/>
    <n v="0"/>
    <n v="0"/>
    <n v="-9.8084001955955245"/>
    <m/>
    <n v="-2.2660703950003307"/>
    <n v="0"/>
    <n v="0"/>
    <n v="0"/>
    <n v="0"/>
    <n v="0"/>
    <n v="0"/>
    <n v="0"/>
    <n v="0"/>
    <n v="0"/>
    <n v="0"/>
    <n v="0"/>
    <n v="0"/>
    <m/>
    <n v="0"/>
    <n v="0"/>
    <n v="-1.5380105806792064"/>
    <n v="0"/>
    <n v="0"/>
    <n v="-37.41351114764025"/>
    <n v="0"/>
    <n v="-1"/>
    <n v="-0.4"/>
    <n v="-294.05"/>
    <n v="0"/>
    <m/>
    <m/>
    <m/>
    <m/>
    <m/>
    <m/>
    <m/>
    <m/>
    <m/>
    <n v="-303.71372415579714"/>
    <m/>
    <m/>
    <m/>
    <m/>
    <m/>
    <m/>
    <m/>
    <m/>
    <m/>
    <m/>
    <m/>
    <m/>
    <n v="-680.24289999999996"/>
    <n v="318.14582000000019"/>
    <m/>
    <m/>
    <m/>
    <m/>
    <n v="333.35663999999997"/>
    <n v="-16.501680000000011"/>
    <n v="31"/>
    <n v="-13.718671294731735"/>
    <n v="0"/>
    <n v="0"/>
    <n v="0"/>
    <n v="0"/>
    <n v="0"/>
    <n v="0"/>
    <n v="0"/>
    <n v="0.57414489367451438"/>
    <n v="0"/>
    <n v="0"/>
    <n v="-16.494279904675864"/>
    <n v="0"/>
    <n v="0"/>
    <n v="-9.5815704739897756E-2"/>
    <n v="-2.3308044706831836"/>
    <n v="0"/>
    <n v="3.9450600261094664"/>
    <m/>
    <n v="0"/>
    <n v="0"/>
    <n v="0"/>
    <n v="0"/>
    <n v="0.53821331126580141"/>
    <n v="0.14481055431742673"/>
    <n v="0"/>
    <n v="0"/>
    <m/>
    <m/>
    <m/>
    <n v="-492.17118365922857"/>
    <n v="0"/>
    <n v="0"/>
    <n v="333.35664000000003"/>
    <n v="-16.501680000000022"/>
    <n v="0"/>
    <n v="0"/>
    <n v="330.57891663267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52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14.67"/>
    <n v="14.67"/>
    <n v="14.67"/>
    <n v="14.67"/>
    <m/>
    <n v="710.91"/>
    <n v="256.55"/>
    <m/>
    <n v="14192.638199999999"/>
    <n v="14192.638199999999"/>
    <n v="9688.5081000000009"/>
    <n v="0"/>
    <n v="901.83357610814073"/>
    <n v="0"/>
    <n v="0"/>
    <n v="0"/>
    <n v="1805.6245264154672"/>
    <n v="6996.2706049233366"/>
    <n v="3763.6254938092029"/>
    <n v="0"/>
    <n v="0"/>
    <n v="0"/>
    <n v="0"/>
    <n v="0"/>
    <n v="139.42754929204102"/>
    <m/>
    <n v="32.212454161487258"/>
    <n v="0"/>
    <n v="0"/>
    <n v="0"/>
    <n v="0"/>
    <n v="0"/>
    <n v="0"/>
    <n v="0"/>
    <n v="0"/>
    <n v="0"/>
    <n v="0"/>
    <n v="0"/>
    <n v="0"/>
    <m/>
    <n v="0"/>
    <n v="0"/>
    <n v="21.86299924279453"/>
    <n v="0"/>
    <n v="0"/>
    <n v="531.8374113719791"/>
    <n v="0"/>
    <n v="16.920000000000002"/>
    <n v="5.99"/>
    <n v="8645.99"/>
    <n v="31"/>
    <m/>
    <m/>
    <m/>
    <m/>
    <m/>
    <m/>
    <m/>
    <m/>
    <m/>
    <n v="4317.3259044239767"/>
    <m/>
    <m/>
    <m/>
    <m/>
    <m/>
    <m/>
    <m/>
    <m/>
    <m/>
    <m/>
    <m/>
    <m/>
    <n v="9688.5081000000009"/>
    <n v="-4504.1600999999991"/>
    <m/>
    <m/>
    <m/>
    <m/>
    <n v="-4738.7033999999994"/>
    <n v="234.57330000000013"/>
    <n v="31"/>
    <n v="195.01250764894849"/>
    <n v="0"/>
    <n v="0"/>
    <n v="0"/>
    <n v="0"/>
    <n v="0"/>
    <n v="0"/>
    <n v="0"/>
    <n v="-8.1615364246174522"/>
    <n v="0"/>
    <n v="0"/>
    <n v="234.46810678449174"/>
    <n v="0"/>
    <n v="0"/>
    <n v="1.3620313842386658"/>
    <n v="33.132656574537123"/>
    <n v="0"/>
    <n v="-56.07948699905603"/>
    <m/>
    <n v="0"/>
    <n v="0"/>
    <n v="0"/>
    <n v="0"/>
    <n v="-7.6507648025865365"/>
    <n v="-2.0584988680587699"/>
    <n v="0"/>
    <n v="0"/>
    <m/>
    <m/>
    <m/>
    <n v="6996.2706049233366"/>
    <n v="0"/>
    <n v="0"/>
    <n v="-4738.7033999999994"/>
    <n v="234.57330000000002"/>
    <n v="0"/>
    <n v="0"/>
    <n v="-4699.2177393423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53"/>
    <s v="Regular"/>
    <s v="Verde"/>
    <s v="A4"/>
    <s v="Comercial"/>
    <s v="Não se aplica"/>
    <s v="Não se aplica"/>
    <s v="Não se aplica"/>
    <s v="Ponta"/>
    <s v="CATIVO"/>
    <x v="1"/>
    <n v="0"/>
    <n v="0"/>
    <n v="14.191000000000001"/>
    <n v="14.191000000000001"/>
    <n v="14.191000000000001"/>
    <n v="14.191000000000001"/>
    <m/>
    <n v="3130.62"/>
    <n v="256.55"/>
    <m/>
    <n v="48067.329470000004"/>
    <n v="48067.329470000004"/>
    <n v="25297.302330000002"/>
    <n v="0"/>
    <n v="758.97686723510867"/>
    <n v="0"/>
    <n v="0"/>
    <n v="0"/>
    <n v="9142.0381390089296"/>
    <n v="34117.27367689681"/>
    <n v="3640.7368358995504"/>
    <n v="0"/>
    <n v="0"/>
    <n v="0"/>
    <n v="0"/>
    <n v="0"/>
    <n v="134.87500695319389"/>
    <m/>
    <n v="19.144439431415833"/>
    <n v="0"/>
    <n v="0"/>
    <n v="0"/>
    <n v="0"/>
    <n v="0"/>
    <n v="0"/>
    <n v="0"/>
    <n v="0"/>
    <n v="0"/>
    <n v="0"/>
    <n v="0"/>
    <n v="0"/>
    <m/>
    <n v="0"/>
    <n v="0"/>
    <n v="17.483669857373751"/>
    <n v="0"/>
    <n v="0"/>
    <n v="236.8376888120749"/>
    <n v="0"/>
    <n v="0"/>
    <n v="0"/>
    <n v="0"/>
    <n v="0"/>
    <m/>
    <m/>
    <m/>
    <m/>
    <m/>
    <m/>
    <m/>
    <m/>
    <m/>
    <n v="3895.0581945689987"/>
    <m/>
    <m/>
    <m/>
    <m/>
    <m/>
    <m/>
    <m/>
    <m/>
    <m/>
    <m/>
    <m/>
    <m/>
    <n v="25295.519699999997"/>
    <n v="-22771.839770000013"/>
    <m/>
    <m/>
    <m/>
    <m/>
    <n v="-22996.94123"/>
    <n v="226.91409000000013"/>
    <n v="31"/>
    <n v="145.51311175831688"/>
    <n v="0"/>
    <n v="0"/>
    <n v="0"/>
    <n v="0"/>
    <n v="0"/>
    <n v="0"/>
    <n v="0"/>
    <n v="-41.322587379168908"/>
    <n v="0"/>
    <n v="0"/>
    <n v="226.81233151865808"/>
    <n v="0"/>
    <n v="0"/>
    <n v="1.0892058675462586"/>
    <n v="14.754625454186368"/>
    <n v="0"/>
    <n v="-47.196106339682387"/>
    <m/>
    <n v="0"/>
    <n v="0"/>
    <n v="0"/>
    <n v="0"/>
    <n v="-7.4009545544311948"/>
    <n v="-1.2234028087902438"/>
    <n v="0"/>
    <n v="0"/>
    <m/>
    <m/>
    <m/>
    <n v="34117.27367689681"/>
    <n v="0"/>
    <n v="0"/>
    <n v="-22996.94123"/>
    <n v="226.91409000000021"/>
    <n v="0"/>
    <n v="0"/>
    <n v="-22915.708487268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54"/>
    <s v="Regular"/>
    <s v="Verde"/>
    <s v="A4"/>
    <s v="Comercial"/>
    <s v="Não se aplica"/>
    <s v="Não se aplica"/>
    <s v="Não se aplica"/>
    <s v="Fora ponta"/>
    <s v="CATIVO"/>
    <x v="1"/>
    <n v="0"/>
    <n v="0"/>
    <n v="109.307"/>
    <n v="109.307"/>
    <n v="109.307"/>
    <n v="109.307"/>
    <m/>
    <n v="82.26"/>
    <n v="256.55"/>
    <m/>
    <n v="37034.304670000005"/>
    <n v="37034.304670000005"/>
    <n v="38473.877860000008"/>
    <n v="0"/>
    <n v="5846.0633096235651"/>
    <n v="0"/>
    <n v="0"/>
    <n v="0"/>
    <n v="0"/>
    <n v="0"/>
    <n v="28042.98649296541"/>
    <n v="0"/>
    <n v="0"/>
    <n v="0"/>
    <n v="0"/>
    <n v="0"/>
    <n v="1038.8825583139148"/>
    <m/>
    <n v="147.46115431821369"/>
    <n v="0"/>
    <n v="0"/>
    <n v="0"/>
    <n v="0"/>
    <n v="0"/>
    <n v="0"/>
    <n v="0"/>
    <n v="0"/>
    <n v="0"/>
    <n v="0"/>
    <n v="0"/>
    <n v="0"/>
    <m/>
    <n v="0"/>
    <n v="0"/>
    <n v="134.66898041716249"/>
    <n v="0"/>
    <n v="0"/>
    <n v="1824.2560250145496"/>
    <n v="0"/>
    <n v="0"/>
    <n v="0"/>
    <n v="0"/>
    <n v="0"/>
    <m/>
    <m/>
    <m/>
    <m/>
    <m/>
    <m/>
    <m/>
    <m/>
    <m/>
    <n v="30001.911498397123"/>
    <m/>
    <m/>
    <m/>
    <m/>
    <m/>
    <m/>
    <m/>
    <m/>
    <m/>
    <m/>
    <m/>
    <m/>
    <n v="38474.933799999999"/>
    <n v="1440.5991299999951"/>
    <m/>
    <m/>
    <m/>
    <m/>
    <n v="-308.24574000000081"/>
    <n v="1747.818930000001"/>
    <n v="31"/>
    <n v="1439.1128014672286"/>
    <n v="0"/>
    <n v="0"/>
    <n v="0"/>
    <n v="0"/>
    <n v="0"/>
    <n v="0"/>
    <n v="0"/>
    <n v="0"/>
    <n v="0"/>
    <n v="0"/>
    <n v="1747.0351293996173"/>
    <n v="0"/>
    <n v="0"/>
    <n v="8.3896713243519798"/>
    <n v="113.64835772819015"/>
    <n v="0"/>
    <n v="-363.53074453327099"/>
    <m/>
    <n v="0"/>
    <n v="0"/>
    <n v="0"/>
    <n v="0"/>
    <n v="-57.006281409429334"/>
    <n v="-9.4233310422405054"/>
    <n v="0"/>
    <n v="0"/>
    <m/>
    <m/>
    <m/>
    <n v="0"/>
    <n v="0"/>
    <n v="0"/>
    <n v="-308.2457400000003"/>
    <n v="1747.81893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55"/>
    <s v="Regular"/>
    <s v="Verde"/>
    <s v="A4"/>
    <s v="Comercial"/>
    <s v="Não se aplica"/>
    <s v="Não se aplica"/>
    <s v="Não se aplica"/>
    <s v="Não se aplica"/>
    <s v="CATIVO"/>
    <x v="1"/>
    <n v="816"/>
    <n v="816"/>
    <n v="0"/>
    <n v="0"/>
    <n v="0"/>
    <n v="0"/>
    <n v="47.39"/>
    <m/>
    <m/>
    <n v="38670.239999999998"/>
    <m/>
    <n v="38670.239999999998"/>
    <n v="26291.52"/>
    <n v="0"/>
    <n v="0"/>
    <n v="0"/>
    <n v="0"/>
    <n v="0"/>
    <n v="20375.601746444012"/>
    <n v="18294.61167251527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1.57"/>
    <n v="53.29"/>
    <n v="39197.379999999997"/>
    <n v="11"/>
    <m/>
    <m/>
    <m/>
    <m/>
    <m/>
    <m/>
    <m/>
    <m/>
    <m/>
    <n v="0"/>
    <m/>
    <m/>
    <m/>
    <m/>
    <m/>
    <m/>
    <m/>
    <m/>
    <m/>
    <m/>
    <m/>
    <m/>
    <n v="26291.52"/>
    <n v="-12378.750000000004"/>
    <m/>
    <m/>
    <m/>
    <m/>
    <n v="-12378.720000000001"/>
    <n v="0"/>
    <n v="31"/>
    <n v="-92.099001422673609"/>
    <n v="0"/>
    <n v="0"/>
    <n v="0"/>
    <n v="0"/>
    <m/>
    <m/>
    <m/>
    <n v="-92.09900142267360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294.611672515271"/>
    <m/>
    <n v="0"/>
    <n v="0"/>
    <n v="-12378.719999999998"/>
    <m/>
    <n v="0"/>
    <m/>
    <n v="-12288.027230588397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6"/>
    <s v="Sistema de Compensação"/>
    <s v="Verde"/>
    <s v="A4"/>
    <s v="Comercial"/>
    <s v="Não se aplica"/>
    <s v="Não se aplica"/>
    <s v="Não se aplica"/>
    <s v="Não se aplica"/>
    <s v="CATIVO"/>
    <x v="1"/>
    <n v="60"/>
    <n v="60"/>
    <n v="0"/>
    <n v="0"/>
    <n v="0"/>
    <n v="0"/>
    <n v="47.39"/>
    <m/>
    <m/>
    <n v="2843.4"/>
    <m/>
    <n v="2843.4"/>
    <n v="1933.1999999999998"/>
    <n v="0"/>
    <n v="0"/>
    <n v="0"/>
    <n v="0"/>
    <n v="0"/>
    <n v="1498.206010767942"/>
    <n v="1345.19203474376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.92"/>
    <n v="1.03"/>
    <n v="752.13"/>
    <n v="1"/>
    <m/>
    <m/>
    <m/>
    <m/>
    <m/>
    <m/>
    <m/>
    <m/>
    <m/>
    <n v="0"/>
    <m/>
    <m/>
    <m/>
    <m/>
    <m/>
    <m/>
    <m/>
    <m/>
    <m/>
    <m/>
    <m/>
    <m/>
    <n v="1933.1999999999998"/>
    <n v="-910.23000000000093"/>
    <m/>
    <m/>
    <m/>
    <m/>
    <n v="-910.2"/>
    <n v="0"/>
    <n v="31"/>
    <n v="-6.7719853987259739"/>
    <n v="0"/>
    <n v="0"/>
    <n v="0"/>
    <n v="0"/>
    <m/>
    <m/>
    <m/>
    <n v="-6.77198539872597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45.1920347437699"/>
    <m/>
    <n v="0"/>
    <n v="0"/>
    <n v="-910.20000000000027"/>
    <m/>
    <n v="0"/>
    <m/>
    <n v="-903.53141401385267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7"/>
    <s v="Regular"/>
    <s v="Convencional"/>
    <s v="B2"/>
    <s v="Rural"/>
    <s v="Não se aplica"/>
    <s v="Não se aplica"/>
    <s v="Não se aplica"/>
    <s v="Não se aplica"/>
    <s v="CATIVO"/>
    <x v="1"/>
    <n v="0"/>
    <n v="0"/>
    <n v="2742.808"/>
    <n v="2742.808"/>
    <n v="2742.808"/>
    <n v="2742.808"/>
    <m/>
    <n v="710.91"/>
    <n v="256.55"/>
    <m/>
    <n v="2653557.0276799998"/>
    <n v="2653557.0276799998"/>
    <n v="1811432.68744"/>
    <n v="0"/>
    <n v="168613.2479357885"/>
    <n v="0"/>
    <n v="0"/>
    <n v="0"/>
    <n v="337592.46053500712"/>
    <n v="1308072.7324709317"/>
    <n v="703674.30902684608"/>
    <n v="0"/>
    <n v="0"/>
    <n v="0"/>
    <n v="0"/>
    <n v="0"/>
    <n v="26068.37066248156"/>
    <m/>
    <n v="6022.6705503585927"/>
    <n v="0"/>
    <n v="0"/>
    <n v="0"/>
    <n v="0"/>
    <n v="0"/>
    <n v="0"/>
    <n v="0"/>
    <n v="0"/>
    <n v="0"/>
    <n v="0"/>
    <n v="0"/>
    <n v="0"/>
    <m/>
    <n v="0"/>
    <n v="0"/>
    <n v="4087.6625240034614"/>
    <n v="0"/>
    <n v="0"/>
    <n v="99436.121786663614"/>
    <n v="0"/>
    <n v="2107.38"/>
    <n v="768.48"/>
    <n v="209851.39"/>
    <n v="10238"/>
    <m/>
    <m/>
    <m/>
    <m/>
    <m/>
    <n v="217367.53399999993"/>
    <m/>
    <m/>
    <m/>
    <n v="807198.09333751316"/>
    <m/>
    <m/>
    <m/>
    <m/>
    <m/>
    <m/>
    <m/>
    <m/>
    <m/>
    <m/>
    <m/>
    <m/>
    <n v="1594066.3158"/>
    <n v="-741078.16116000013"/>
    <m/>
    <m/>
    <m/>
    <m/>
    <n v="-885981.84015999991"/>
    <n v="43857.499920000024"/>
    <n v="31"/>
    <n v="36460.931566434912"/>
    <n v="0"/>
    <n v="0"/>
    <n v="0"/>
    <n v="0"/>
    <n v="0"/>
    <n v="0"/>
    <n v="0"/>
    <n v="-1525.9391545829712"/>
    <n v="0"/>
    <n v="0"/>
    <n v="43837.832244946039"/>
    <n v="0"/>
    <n v="0"/>
    <n v="254.65511771921547"/>
    <n v="6194.7181672728766"/>
    <n v="0"/>
    <n v="-10485.021511718282"/>
    <m/>
    <n v="0"/>
    <n v="0"/>
    <n v="0"/>
    <n v="0"/>
    <n v="-1430.4416432619473"/>
    <n v="-384.87165394018757"/>
    <n v="0"/>
    <n v="0"/>
    <m/>
    <m/>
    <m/>
    <n v="1308072.7324709317"/>
    <n v="0"/>
    <n v="0"/>
    <n v="-885981.84015999991"/>
    <n v="43857.499920000089"/>
    <n v="0"/>
    <n v="0"/>
    <n v="-878599.31896455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58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3.4239999999999999"/>
    <n v="-3.4239999999999999"/>
    <n v="-3.4239999999999999"/>
    <n v="-3.4239999999999999"/>
    <m/>
    <n v="710.91"/>
    <n v="256.55"/>
    <m/>
    <n v="-3312.58304"/>
    <n v="-3312.58304"/>
    <n v="-2261.31232"/>
    <n v="0"/>
    <n v="-210.4893091066308"/>
    <n v="0"/>
    <n v="0"/>
    <n v="0"/>
    <n v="-421.43547228674572"/>
    <n v="-1632.9400512104637"/>
    <n v="-878.43583441054614"/>
    <n v="0"/>
    <n v="0"/>
    <n v="0"/>
    <n v="0"/>
    <n v="0"/>
    <n v="-32.542599098564999"/>
    <m/>
    <n v="-7.5184351089933452"/>
    <n v="0"/>
    <n v="0"/>
    <n v="0"/>
    <n v="0"/>
    <n v="0"/>
    <n v="0"/>
    <n v="0"/>
    <n v="0"/>
    <n v="0"/>
    <n v="0"/>
    <n v="0"/>
    <n v="0"/>
    <m/>
    <n v="0"/>
    <n v="0"/>
    <n v="-5.1028568103155054"/>
    <n v="0"/>
    <n v="0"/>
    <n v="-124.13164938906996"/>
    <n v="0"/>
    <n v="-2.69"/>
    <n v="-1.1499999999999999"/>
    <n v="-997.04"/>
    <n v="0"/>
    <m/>
    <m/>
    <m/>
    <m/>
    <m/>
    <n v="-271.35199999999992"/>
    <m/>
    <m/>
    <m/>
    <n v="-1007.6703406099316"/>
    <m/>
    <m/>
    <m/>
    <m/>
    <m/>
    <m/>
    <m/>
    <m/>
    <m/>
    <m/>
    <m/>
    <m/>
    <n v="-1987.6356000000001"/>
    <n v="927.42527999999902"/>
    <m/>
    <m/>
    <m/>
    <m/>
    <n v="1106.0204799999999"/>
    <n v="-54.74976000000003"/>
    <n v="31"/>
    <n v="-45.516211737559388"/>
    <n v="0"/>
    <n v="0"/>
    <n v="0"/>
    <n v="0"/>
    <n v="0"/>
    <n v="0"/>
    <n v="0"/>
    <n v="1.9049148410286421"/>
    <n v="0"/>
    <n v="0"/>
    <n v="-54.725207745746275"/>
    <n v="0"/>
    <n v="0"/>
    <n v="-0.31790016766415796"/>
    <n v="-7.7332117321891758"/>
    <n v="0"/>
    <n v="13.089036365696529"/>
    <m/>
    <n v="0"/>
    <n v="0"/>
    <n v="0"/>
    <n v="0"/>
    <n v="1.7856999784632812"/>
    <n v="0.48045672285161789"/>
    <n v="0"/>
    <n v="0"/>
    <m/>
    <m/>
    <m/>
    <n v="-1632.9400512104637"/>
    <n v="0"/>
    <n v="0"/>
    <n v="1106.0204799999999"/>
    <n v="-54.749760000000038"/>
    <n v="0"/>
    <n v="0"/>
    <n v="1096.8044675874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59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86.129000000000005"/>
    <n v="86.129000000000005"/>
    <n v="86.129000000000005"/>
    <n v="86.129000000000005"/>
    <m/>
    <n v="710.91"/>
    <n v="256.55"/>
    <m/>
    <n v="83326.362339999992"/>
    <n v="83326.362339999992"/>
    <n v="56882.175470000002"/>
    <n v="0"/>
    <n v="5294.7528341252937"/>
    <n v="0"/>
    <n v="0"/>
    <n v="0"/>
    <n v="10600.997602974627"/>
    <n v="41075.786702893121"/>
    <n v="22096.612144259911"/>
    <n v="0"/>
    <n v="0"/>
    <n v="0"/>
    <n v="0"/>
    <n v="0"/>
    <n v="818.59273299074323"/>
    <m/>
    <n v="189.12245838273594"/>
    <n v="0"/>
    <n v="0"/>
    <n v="0"/>
    <n v="0"/>
    <n v="0"/>
    <n v="0"/>
    <n v="0"/>
    <n v="0"/>
    <n v="0"/>
    <n v="0"/>
    <n v="0"/>
    <n v="0"/>
    <m/>
    <n v="0"/>
    <n v="0"/>
    <n v="128.35979971251876"/>
    <n v="0"/>
    <n v="0"/>
    <n v="3122.4692845301424"/>
    <n v="0"/>
    <n v="66.44"/>
    <n v="23.69"/>
    <n v="3115.34"/>
    <n v="136"/>
    <m/>
    <m/>
    <m/>
    <m/>
    <m/>
    <n v="6825.7232499999982"/>
    <m/>
    <m/>
    <m/>
    <n v="25347.441228502572"/>
    <m/>
    <m/>
    <m/>
    <m/>
    <m/>
    <m/>
    <m/>
    <m/>
    <m/>
    <m/>
    <m/>
    <m/>
    <n v="50057.0334"/>
    <n v="-23270.643330000006"/>
    <m/>
    <m/>
    <m/>
    <m/>
    <n v="-27821.389579999999"/>
    <n v="1377.2027100000009"/>
    <n v="31"/>
    <n v="1144.9374418061489"/>
    <n v="0"/>
    <n v="0"/>
    <n v="0"/>
    <n v="0"/>
    <n v="0"/>
    <n v="0"/>
    <n v="0"/>
    <n v="-47.917175917918939"/>
    <n v="0"/>
    <n v="0"/>
    <n v="1376.5851103777386"/>
    <n v="0"/>
    <n v="0"/>
    <n v="7.9966190247506574"/>
    <n v="194.52505644910116"/>
    <n v="0"/>
    <n v="-329.24813467905278"/>
    <m/>
    <n v="0"/>
    <n v="0"/>
    <n v="0"/>
    <n v="0"/>
    <n v="-44.918385936058371"/>
    <n v="-12.08564751240857"/>
    <n v="0"/>
    <n v="0"/>
    <m/>
    <m/>
    <m/>
    <n v="41075.786702893121"/>
    <n v="0"/>
    <n v="0"/>
    <n v="-27821.389579999995"/>
    <n v="1377.2027100000014"/>
    <n v="0"/>
    <n v="0"/>
    <n v="-27589.565417301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60"/>
    <s v="Regular"/>
    <s v="Verde"/>
    <s v="A4"/>
    <s v="Rural"/>
    <s v="Não se aplica"/>
    <s v="Não se aplica"/>
    <s v="Não se aplica"/>
    <s v="Ponta"/>
    <s v="CATIVO"/>
    <x v="1"/>
    <n v="0"/>
    <n v="0"/>
    <n v="10.691000000000001"/>
    <n v="10.26336"/>
    <n v="10.691000000000001"/>
    <n v="10.26336"/>
    <m/>
    <n v="3130.62"/>
    <n v="256.55"/>
    <m/>
    <n v="36212.234470000003"/>
    <n v="36212.234470000003"/>
    <n v="19058.097330000001"/>
    <n v="0"/>
    <n v="571.7864623783064"/>
    <n v="0"/>
    <n v="0"/>
    <n v="0"/>
    <n v="6887.2898135539754"/>
    <n v="25702.753356331748"/>
    <n v="2742.8030098373683"/>
    <n v="0"/>
    <n v="0"/>
    <n v="0"/>
    <n v="0"/>
    <n v="0"/>
    <n v="101.61008380921682"/>
    <m/>
    <n v="14.422746949564278"/>
    <n v="0"/>
    <n v="0"/>
    <n v="0"/>
    <n v="0"/>
    <n v="0"/>
    <n v="0"/>
    <n v="0"/>
    <n v="0"/>
    <n v="0"/>
    <n v="0"/>
    <n v="0"/>
    <n v="0"/>
    <m/>
    <n v="0"/>
    <n v="0"/>
    <n v="13.171581597151913"/>
    <n v="0"/>
    <n v="0"/>
    <n v="178.42518012049135"/>
    <n v="0"/>
    <n v="0"/>
    <n v="0"/>
    <n v="0"/>
    <n v="0"/>
    <m/>
    <m/>
    <m/>
    <m/>
    <m/>
    <n v="762.32389320000038"/>
    <m/>
    <m/>
    <m/>
    <n v="2934.3997715550117"/>
    <m/>
    <m/>
    <m/>
    <m/>
    <m/>
    <m/>
    <m/>
    <m/>
    <m/>
    <m/>
    <m/>
    <m/>
    <n v="18289.783799999997"/>
    <n v="-16473.9912912"/>
    <m/>
    <m/>
    <m/>
    <m/>
    <n v="-17325.086230000001"/>
    <n v="170.9490900000001"/>
    <n v="31"/>
    <n v="109.62445760046285"/>
    <n v="0"/>
    <n v="0"/>
    <n v="0"/>
    <n v="0"/>
    <n v="0"/>
    <n v="0"/>
    <n v="0"/>
    <n v="-31.130983135134557"/>
    <n v="0"/>
    <n v="0"/>
    <n v="170.87242874117237"/>
    <n v="0"/>
    <n v="0"/>
    <n v="0.82056937001881813"/>
    <n v="11.115615582461174"/>
    <n v="0"/>
    <n v="-35.555885623109248"/>
    <m/>
    <n v="0"/>
    <n v="0"/>
    <n v="0"/>
    <n v="0"/>
    <n v="-5.5756187119599616"/>
    <n v="-0.92166862298474328"/>
    <n v="0"/>
    <n v="0"/>
    <m/>
    <m/>
    <m/>
    <n v="25702.753356331748"/>
    <n v="0"/>
    <n v="0"/>
    <n v="-17325.086230000001"/>
    <n v="170.94909000000007"/>
    <n v="0"/>
    <n v="0"/>
    <n v="-17263.888340313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61"/>
    <s v="Regular"/>
    <s v="Verde"/>
    <s v="A4"/>
    <s v="Rural"/>
    <s v="Não se aplica"/>
    <s v="Não se aplica"/>
    <s v="Não se aplica"/>
    <s v="Fora ponta"/>
    <s v="CATIVO"/>
    <x v="1"/>
    <n v="0"/>
    <n v="0"/>
    <n v="113.09099999999999"/>
    <n v="108.56735999999999"/>
    <n v="113.09099999999999"/>
    <n v="108.56735999999999"/>
    <m/>
    <n v="82.26"/>
    <n v="256.55"/>
    <m/>
    <n v="38316.361709999997"/>
    <n v="38316.361709999997"/>
    <n v="39805.77018"/>
    <n v="0"/>
    <n v="6048.4428787601764"/>
    <n v="0"/>
    <n v="0"/>
    <n v="0"/>
    <n v="0"/>
    <n v="0"/>
    <n v="29013.781235199494"/>
    <n v="0"/>
    <n v="0"/>
    <n v="0"/>
    <n v="0"/>
    <n v="0"/>
    <n v="1074.8466923644316"/>
    <m/>
    <n v="152.56597841859261"/>
    <n v="0"/>
    <n v="0"/>
    <n v="0"/>
    <n v="0"/>
    <n v="0"/>
    <n v="0"/>
    <n v="0"/>
    <n v="0"/>
    <n v="0"/>
    <n v="0"/>
    <n v="0"/>
    <n v="0"/>
    <m/>
    <n v="0"/>
    <n v="0"/>
    <n v="139.33096383907088"/>
    <n v="0"/>
    <n v="0"/>
    <n v="1887.4082915542499"/>
    <n v="0"/>
    <n v="0"/>
    <n v="0"/>
    <n v="0"/>
    <n v="0"/>
    <m/>
    <m/>
    <m/>
    <m/>
    <m/>
    <n v="1592.2308072000001"/>
    <m/>
    <m/>
    <m/>
    <n v="31040.520490592815"/>
    <m/>
    <m/>
    <m/>
    <m/>
    <m/>
    <m/>
    <m/>
    <m/>
    <m/>
    <m/>
    <m/>
    <m/>
    <n v="38214.4686"/>
    <n v="1430.7313584000003"/>
    <m/>
    <m/>
    <m/>
    <m/>
    <n v="-318.91662000000082"/>
    <n v="1808.325090000001"/>
    <n v="31"/>
    <n v="1488.9321436937098"/>
    <n v="0"/>
    <n v="0"/>
    <n v="0"/>
    <n v="0"/>
    <n v="0"/>
    <n v="0"/>
    <n v="0"/>
    <n v="0"/>
    <n v="0"/>
    <n v="0"/>
    <n v="1807.5141557167626"/>
    <n v="0"/>
    <n v="0"/>
    <n v="8.6801057548216534"/>
    <n v="117.5826472580784"/>
    <n v="0"/>
    <n v="-376.11548601656068"/>
    <m/>
    <n v="0"/>
    <n v="0"/>
    <n v="0"/>
    <n v="0"/>
    <n v="-58.979730217403926"/>
    <n v="-9.7495488019799268"/>
    <n v="0"/>
    <n v="0"/>
    <m/>
    <m/>
    <m/>
    <n v="0"/>
    <n v="0"/>
    <n v="0"/>
    <n v="-318.91661999999997"/>
    <n v="1808.3250900000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62"/>
    <s v="Regular"/>
    <s v="Verde"/>
    <s v="A4"/>
    <s v="Rural"/>
    <s v="Não se aplica"/>
    <s v="Não se aplica"/>
    <s v="Não se aplica"/>
    <s v="Não se aplica"/>
    <s v="CATIVO"/>
    <x v="1"/>
    <n v="862"/>
    <n v="827.52"/>
    <n v="0"/>
    <n v="0"/>
    <n v="0"/>
    <n v="0"/>
    <n v="47.39"/>
    <m/>
    <m/>
    <n v="40850.18"/>
    <m/>
    <n v="40850.18"/>
    <n v="27773.64"/>
    <n v="0"/>
    <n v="0"/>
    <n v="0"/>
    <n v="0"/>
    <n v="0"/>
    <n v="21524.226354699433"/>
    <n v="19325.9255658188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1.85"/>
    <n v="39.299999999999997"/>
    <n v="6796.97"/>
    <n v="7"/>
    <m/>
    <m/>
    <m/>
    <m/>
    <m/>
    <n v="1110.9456000000005"/>
    <m/>
    <m/>
    <m/>
    <n v="0"/>
    <m/>
    <m/>
    <m/>
    <m/>
    <m/>
    <m/>
    <m/>
    <m/>
    <m/>
    <m/>
    <m/>
    <m/>
    <n v="26662.694399999997"/>
    <n v="-12553.50840000001"/>
    <m/>
    <m/>
    <m/>
    <m/>
    <n v="-13076.54"/>
    <n v="0"/>
    <n v="31"/>
    <n v="-97.290856895029719"/>
    <n v="0"/>
    <n v="0"/>
    <n v="0"/>
    <n v="0"/>
    <m/>
    <m/>
    <m/>
    <n v="-97.2908568950297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325.925565818827"/>
    <m/>
    <n v="0"/>
    <n v="0"/>
    <n v="-13076.54"/>
    <m/>
    <n v="0"/>
    <m/>
    <n v="-12980.734647999016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63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154.49799999999999"/>
    <n v="154.49799999999999"/>
    <n v="154.49799999999999"/>
    <n v="154.49799999999999"/>
    <m/>
    <n v="710.91"/>
    <n v="256.55"/>
    <m/>
    <n v="149470.63507999998"/>
    <n v="149470.63507999998"/>
    <n v="102035.11413999999"/>
    <n v="0"/>
    <n v="9497.7153266227342"/>
    <n v="0"/>
    <n v="0"/>
    <n v="0"/>
    <n v="19016.044859041365"/>
    <n v="73681.650710255315"/>
    <n v="39636.851502558573"/>
    <n v="0"/>
    <n v="0"/>
    <n v="0"/>
    <n v="0"/>
    <n v="0"/>
    <n v="1468.3897416851912"/>
    <m/>
    <n v="339.24742624686149"/>
    <n v="0"/>
    <n v="0"/>
    <n v="0"/>
    <n v="0"/>
    <n v="0"/>
    <n v="0"/>
    <n v="0"/>
    <n v="0"/>
    <n v="0"/>
    <n v="0"/>
    <n v="0"/>
    <n v="0"/>
    <m/>
    <n v="0"/>
    <n v="0"/>
    <n v="230.25151036218602"/>
    <n v="0"/>
    <n v="0"/>
    <n v="5601.0781446590336"/>
    <n v="0"/>
    <n v="174.77"/>
    <n v="61.94"/>
    <n v="45143.88"/>
    <n v="266"/>
    <m/>
    <m/>
    <m/>
    <m/>
    <m/>
    <m/>
    <m/>
    <m/>
    <m/>
    <n v="45468.181157579791"/>
    <m/>
    <m/>
    <m/>
    <m/>
    <m/>
    <m/>
    <m/>
    <m/>
    <m/>
    <m/>
    <m/>
    <m/>
    <n v="102036.435"/>
    <n v="-47434.230079999979"/>
    <m/>
    <m/>
    <m/>
    <m/>
    <n v="-49905.943959999997"/>
    <n v="2470.4230200000011"/>
    <n v="31"/>
    <n v="2053.7861217959871"/>
    <n v="0"/>
    <n v="0"/>
    <n v="0"/>
    <n v="0"/>
    <n v="0"/>
    <n v="0"/>
    <n v="0"/>
    <n v="-85.953718781904172"/>
    <n v="0"/>
    <n v="0"/>
    <n v="2469.3151712331528"/>
    <n v="0"/>
    <n v="0"/>
    <n v="14.344316619093775"/>
    <n v="348.9385941003984"/>
    <n v="0"/>
    <n v="-590.60453867621982"/>
    <m/>
    <n v="0"/>
    <n v="0"/>
    <n v="0"/>
    <n v="0"/>
    <n v="-80.574496282891232"/>
    <n v="-21.67920641563353"/>
    <n v="0"/>
    <n v="0"/>
    <m/>
    <m/>
    <m/>
    <n v="73681.650710255315"/>
    <n v="0"/>
    <n v="0"/>
    <n v="-49905.94395999999"/>
    <n v="2470.423020000002"/>
    <n v="0"/>
    <n v="0"/>
    <n v="-49490.098315808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64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204.00299999999999"/>
    <n v="204.00299999999999"/>
    <n v="204.00299999999999"/>
    <n v="204.00299999999999"/>
    <m/>
    <n v="391"/>
    <n v="141.1"/>
    <m/>
    <n v="108549.9963"/>
    <n v="108549.9963"/>
    <n v="74100.009689999992"/>
    <n v="0"/>
    <n v="6897.560686075949"/>
    <n v="0"/>
    <n v="0"/>
    <n v="0"/>
    <n v="13810.092102541512"/>
    <n v="53510.09582269223"/>
    <n v="28785.616249997172"/>
    <n v="0"/>
    <n v="0"/>
    <n v="0"/>
    <n v="0"/>
    <n v="0"/>
    <n v="1066.3940753935469"/>
    <m/>
    <n v="246.37290439456436"/>
    <n v="0"/>
    <n v="0"/>
    <n v="0"/>
    <n v="0"/>
    <n v="0"/>
    <n v="0"/>
    <n v="0"/>
    <n v="0"/>
    <n v="0"/>
    <n v="0"/>
    <n v="0"/>
    <n v="0"/>
    <m/>
    <n v="0"/>
    <n v="0"/>
    <n v="167.21640006750499"/>
    <n v="0"/>
    <n v="0"/>
    <n v="4067.6915533513929"/>
    <n v="0"/>
    <n v="131.19"/>
    <n v="46.12"/>
    <n v="23407.75"/>
    <n v="26"/>
    <m/>
    <m/>
    <m/>
    <m/>
    <m/>
    <m/>
    <m/>
    <m/>
    <m/>
    <n v="33020.524203416069"/>
    <m/>
    <m/>
    <m/>
    <m/>
    <m/>
    <m/>
    <m/>
    <m/>
    <m/>
    <m/>
    <m/>
    <m/>
    <n v="74098.92"/>
    <n v="-34451.106299999985"/>
    <m/>
    <m/>
    <m/>
    <m/>
    <n v="-36243.172979999996"/>
    <n v="1793.1863699999983"/>
    <n v="31"/>
    <n v="1491.5286386400694"/>
    <n v="0"/>
    <n v="0"/>
    <n v="0"/>
    <n v="0"/>
    <n v="0"/>
    <n v="0"/>
    <n v="0"/>
    <n v="-62.422484892795183"/>
    <n v="0"/>
    <n v="0"/>
    <n v="1793.2998264210437"/>
    <n v="0"/>
    <n v="0"/>
    <n v="10.417325743923612"/>
    <n v="253.41095681978368"/>
    <n v="0"/>
    <n v="-428.9169033706703"/>
    <m/>
    <n v="0"/>
    <n v="0"/>
    <n v="0"/>
    <n v="0"/>
    <n v="-58.515912379831434"/>
    <n v="-15.744169701387108"/>
    <n v="0"/>
    <n v="0"/>
    <m/>
    <m/>
    <m/>
    <n v="53510.09582269223"/>
    <n v="0"/>
    <n v="0"/>
    <n v="-36243.172979999996"/>
    <n v="1793.1863699999994"/>
    <n v="0"/>
    <n v="0"/>
    <n v="-35941.375873447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65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35.487000000000002"/>
    <n v="33.357779999999998"/>
    <n v="35.487000000000002"/>
    <n v="33.357779999999998"/>
    <m/>
    <n v="710.91"/>
    <n v="256.55"/>
    <m/>
    <n v="34332.253020000004"/>
    <n v="34332.253020000004"/>
    <n v="23436.679410000001"/>
    <n v="0"/>
    <n v="2181.5520187695702"/>
    <n v="0"/>
    <n v="0"/>
    <n v="0"/>
    <n v="4367.8389617522625"/>
    <n v="16924.107359026206"/>
    <n v="9104.2793387053298"/>
    <n v="0"/>
    <n v="0"/>
    <n v="0"/>
    <n v="0"/>
    <n v="0"/>
    <n v="337.27780788866124"/>
    <m/>
    <n v="77.922519483892188"/>
    <n v="0"/>
    <n v="0"/>
    <n v="0"/>
    <n v="0"/>
    <n v="0"/>
    <n v="0"/>
    <n v="0"/>
    <n v="0"/>
    <n v="0"/>
    <n v="0"/>
    <n v="0"/>
    <n v="0"/>
    <m/>
    <n v="0"/>
    <n v="0"/>
    <n v="52.886997554809106"/>
    <n v="0"/>
    <n v="0"/>
    <n v="1286.5244865274317"/>
    <n v="0"/>
    <n v="38.590000000000003"/>
    <n v="13.56"/>
    <n v="10891.1"/>
    <n v="9"/>
    <m/>
    <m/>
    <m/>
    <m/>
    <n v="1406.2007646000025"/>
    <m/>
    <m/>
    <m/>
    <m/>
    <n v="10443.690822787572"/>
    <m/>
    <m/>
    <m/>
    <m/>
    <m/>
    <m/>
    <m/>
    <m/>
    <m/>
    <m/>
    <m/>
    <m/>
    <n v="22031.944799999997"/>
    <n v="-10240.403038799992"/>
    <m/>
    <m/>
    <m/>
    <m/>
    <n v="-11463.01074"/>
    <n v="567.43713000000037"/>
    <n v="31"/>
    <n v="471.73884519006242"/>
    <n v="0"/>
    <n v="0"/>
    <n v="0"/>
    <n v="0"/>
    <n v="0"/>
    <n v="0"/>
    <n v="0"/>
    <n v="-19.742906823476915"/>
    <n v="0"/>
    <n v="0"/>
    <n v="567.18266567561295"/>
    <n v="0"/>
    <n v="0"/>
    <n v="3.2947789865356185"/>
    <n v="80.148506057300665"/>
    <n v="0"/>
    <n v="-135.65731118851431"/>
    <m/>
    <n v="0"/>
    <n v="0"/>
    <n v="0"/>
    <n v="0"/>
    <n v="-18.507340869078973"/>
    <n v="-4.9795466483164006"/>
    <n v="0"/>
    <n v="0"/>
    <m/>
    <m/>
    <m/>
    <n v="16924.107359026206"/>
    <n v="0"/>
    <n v="0"/>
    <n v="-11463.010740000002"/>
    <n v="567.43713000000025"/>
    <n v="0"/>
    <n v="0"/>
    <n v="-11367.494200139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66"/>
    <s v="Regular"/>
    <s v="Verde"/>
    <s v="A4"/>
    <s v="Serviço público"/>
    <s v="Água, esgoto e saneamento"/>
    <s v="Não se aplica"/>
    <s v="Não se aplica"/>
    <s v="Ponta"/>
    <s v="CATIVO"/>
    <x v="1"/>
    <n v="0"/>
    <n v="0"/>
    <n v="1.825"/>
    <n v="1.7155"/>
    <n v="1.825"/>
    <n v="1.7155"/>
    <m/>
    <n v="3130.62"/>
    <n v="256.55"/>
    <m/>
    <n v="6181.5852499999992"/>
    <n v="6181.5852499999992"/>
    <n v="3253.2997499999997"/>
    <n v="0"/>
    <n v="97.606425389618281"/>
    <n v="0"/>
    <n v="0"/>
    <n v="0"/>
    <n v="1175.6901982729403"/>
    <n v="4387.571310008927"/>
    <n v="468.20835216099493"/>
    <n v="0"/>
    <n v="0"/>
    <n v="0"/>
    <n v="0"/>
    <n v="0"/>
    <n v="17.345281353645188"/>
    <m/>
    <n v="2.4620253655368822"/>
    <n v="0"/>
    <n v="0"/>
    <n v="0"/>
    <n v="0"/>
    <n v="0"/>
    <n v="0"/>
    <n v="0"/>
    <n v="0"/>
    <n v="0"/>
    <n v="0"/>
    <n v="0"/>
    <n v="0"/>
    <m/>
    <n v="0"/>
    <n v="0"/>
    <n v="2.2484460214013882"/>
    <n v="0"/>
    <n v="0"/>
    <n v="30.45795096061142"/>
    <n v="0"/>
    <n v="0"/>
    <n v="0"/>
    <n v="0"/>
    <n v="0"/>
    <m/>
    <m/>
    <m/>
    <m/>
    <n v="195.19798499999985"/>
    <m/>
    <m/>
    <m/>
    <m/>
    <n v="500.91474914300773"/>
    <m/>
    <m/>
    <m/>
    <m/>
    <m/>
    <m/>
    <m/>
    <m/>
    <m/>
    <m/>
    <m/>
    <m/>
    <n v="3066.1235999999999"/>
    <n v="-2744.5965350000006"/>
    <m/>
    <m/>
    <m/>
    <m/>
    <n v="-2957.4672499999997"/>
    <n v="29.181750000000015"/>
    <n v="31"/>
    <n v="18.713369668024143"/>
    <n v="0"/>
    <n v="0"/>
    <n v="0"/>
    <n v="0"/>
    <n v="0"/>
    <n v="0"/>
    <n v="0"/>
    <n v="-5.3141936415322562"/>
    <n v="0"/>
    <n v="0"/>
    <n v="29.168663591117706"/>
    <n v="0"/>
    <n v="0"/>
    <n v="0.14007474513930784"/>
    <n v="1.8974837188281413"/>
    <n v="0"/>
    <n v="-6.0695436593559435"/>
    <m/>
    <n v="0"/>
    <n v="0"/>
    <n v="0"/>
    <n v="0"/>
    <n v="-0.95178226071714178"/>
    <n v="-0.15733282545572536"/>
    <n v="0"/>
    <n v="0"/>
    <m/>
    <m/>
    <m/>
    <n v="4387.571310008927"/>
    <n v="0"/>
    <n v="0"/>
    <n v="-2957.4672499999997"/>
    <n v="29.181750000000022"/>
    <n v="0"/>
    <n v="0"/>
    <n v="-2947.0205051980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67"/>
    <s v="Regular"/>
    <s v="Verde"/>
    <s v="A4"/>
    <s v="Serviço público"/>
    <s v="Água, esgoto e saneamento"/>
    <s v="Não se aplica"/>
    <s v="Não se aplica"/>
    <s v="Fora ponta"/>
    <s v="CATIVO"/>
    <x v="1"/>
    <n v="0"/>
    <n v="0"/>
    <n v="15.7"/>
    <n v="14.757999999999999"/>
    <n v="15.7"/>
    <n v="14.757999999999999"/>
    <m/>
    <n v="82.26"/>
    <n v="256.55"/>
    <m/>
    <n v="5319.317"/>
    <n v="5319.317"/>
    <n v="5526.0859999999993"/>
    <n v="0"/>
    <n v="839.68267321479846"/>
    <n v="0"/>
    <n v="0"/>
    <n v="0"/>
    <n v="0"/>
    <n v="0"/>
    <n v="4027.8745911932165"/>
    <n v="0"/>
    <n v="0"/>
    <n v="0"/>
    <n v="0"/>
    <n v="0"/>
    <n v="149.2169409601257"/>
    <m/>
    <n v="21.18016341859126"/>
    <n v="0"/>
    <n v="0"/>
    <n v="0"/>
    <n v="0"/>
    <n v="0"/>
    <n v="0"/>
    <n v="0"/>
    <n v="0"/>
    <n v="0"/>
    <n v="0"/>
    <n v="0"/>
    <n v="0"/>
    <m/>
    <n v="0"/>
    <n v="0"/>
    <n v="19.342795910137969"/>
    <n v="0"/>
    <n v="0"/>
    <n v="262.02182470224619"/>
    <n v="0"/>
    <n v="0"/>
    <n v="0"/>
    <n v="0"/>
    <n v="0"/>
    <m/>
    <m/>
    <m/>
    <m/>
    <n v="331.56516000000011"/>
    <m/>
    <m/>
    <m/>
    <m/>
    <n v="4309.2392118056005"/>
    <m/>
    <m/>
    <m/>
    <m/>
    <m/>
    <m/>
    <m/>
    <m/>
    <m/>
    <m/>
    <m/>
    <m/>
    <n v="5195.2248"/>
    <n v="195.03682000000026"/>
    <m/>
    <m/>
    <m/>
    <m/>
    <n v="-44.274000000000115"/>
    <n v="251.04300000000012"/>
    <n v="31"/>
    <n v="206.702873402759"/>
    <n v="0"/>
    <n v="0"/>
    <n v="0"/>
    <n v="0"/>
    <n v="0"/>
    <n v="0"/>
    <n v="0"/>
    <n v="0"/>
    <n v="0"/>
    <n v="0"/>
    <n v="250.93042103043717"/>
    <n v="0"/>
    <n v="0"/>
    <n v="1.205026574623087"/>
    <n v="16.323558567453006"/>
    <n v="0"/>
    <n v="-52.214704357199139"/>
    <m/>
    <n v="0"/>
    <n v="0"/>
    <n v="0"/>
    <n v="0"/>
    <n v="-8.1879350647994897"/>
    <n v="-1.3534933477560998"/>
    <n v="0"/>
    <n v="0"/>
    <m/>
    <m/>
    <m/>
    <n v="0"/>
    <n v="0"/>
    <n v="0"/>
    <n v="-44.274000000000115"/>
    <n v="251.0429999999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68"/>
    <s v="Regular"/>
    <s v="Verde"/>
    <s v="A4"/>
    <s v="Serviço público"/>
    <s v="Água, esgoto e saneamento"/>
    <s v="Não se aplica"/>
    <s v="Não se aplica"/>
    <s v="Não se aplica"/>
    <s v="CATIVO"/>
    <x v="1"/>
    <n v="79"/>
    <n v="74.260000000000005"/>
    <n v="0"/>
    <n v="0"/>
    <n v="0"/>
    <n v="0"/>
    <n v="47.39"/>
    <m/>
    <m/>
    <n v="3743.81"/>
    <m/>
    <n v="3743.81"/>
    <n v="2545.38"/>
    <n v="0"/>
    <n v="0"/>
    <n v="0"/>
    <n v="0"/>
    <n v="0"/>
    <n v="1972.6379141777902"/>
    <n v="1771.16951241263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.690000000000001"/>
    <n v="6.56"/>
    <n v="5136.42"/>
    <n v="1"/>
    <m/>
    <m/>
    <m/>
    <m/>
    <n v="152.72279999999984"/>
    <m/>
    <m/>
    <m/>
    <m/>
    <n v="0"/>
    <m/>
    <m/>
    <m/>
    <m/>
    <m/>
    <m/>
    <m/>
    <m/>
    <m/>
    <m/>
    <m/>
    <m/>
    <n v="2392.6572000000001"/>
    <n v="-1126.5542000000009"/>
    <m/>
    <m/>
    <m/>
    <m/>
    <n v="-1198.43"/>
    <n v="0"/>
    <n v="31"/>
    <n v="-8.9164474416556914"/>
    <n v="0"/>
    <n v="0"/>
    <n v="0"/>
    <n v="0"/>
    <m/>
    <m/>
    <m/>
    <n v="-8.91644744165569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71.1695124126304"/>
    <m/>
    <n v="0"/>
    <n v="0"/>
    <n v="-1198.4299999999998"/>
    <m/>
    <n v="0"/>
    <m/>
    <n v="-1189.6496951182394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69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0.53400000000000003"/>
    <n v="0.53400000000000003"/>
    <n v="0.53400000000000003"/>
    <n v="0.53400000000000003"/>
    <m/>
    <n v="710.91"/>
    <n v="256.55"/>
    <m/>
    <n v="516.62364000000002"/>
    <n v="516.62364000000002"/>
    <n v="352.66962000000001"/>
    <n v="0"/>
    <n v="32.827479866513102"/>
    <n v="0"/>
    <n v="0"/>
    <n v="0"/>
    <n v="65.726209755000653"/>
    <n v="254.66997293994967"/>
    <n v="136.99904660491578"/>
    <n v="0"/>
    <n v="0"/>
    <n v="0"/>
    <n v="0"/>
    <n v="0"/>
    <n v="5.0752768453953587"/>
    <m/>
    <n v="1.1725596811338921"/>
    <n v="0"/>
    <n v="0"/>
    <n v="0"/>
    <n v="0"/>
    <n v="0"/>
    <n v="0"/>
    <n v="0"/>
    <n v="0"/>
    <n v="0"/>
    <n v="0"/>
    <n v="0"/>
    <n v="0"/>
    <m/>
    <n v="0"/>
    <n v="0"/>
    <n v="0.79583105628168238"/>
    <n v="0"/>
    <n v="0"/>
    <n v="19.35931681476734"/>
    <n v="0"/>
    <n v="0.6"/>
    <n v="0.21"/>
    <n v="165.14"/>
    <n v="4"/>
    <m/>
    <m/>
    <m/>
    <m/>
    <m/>
    <m/>
    <m/>
    <m/>
    <m/>
    <n v="157.1541944759648"/>
    <m/>
    <m/>
    <m/>
    <m/>
    <m/>
    <m/>
    <m/>
    <m/>
    <m/>
    <m/>
    <m/>
    <m/>
    <n v="350.02790000000005"/>
    <n v="-166.62573999999995"/>
    <m/>
    <m/>
    <m/>
    <m/>
    <n v="-172.49268000000001"/>
    <n v="8.5386600000000055"/>
    <n v="31"/>
    <n v="7.0986147978553618"/>
    <n v="0"/>
    <n v="0"/>
    <n v="0"/>
    <n v="0"/>
    <n v="0"/>
    <n v="0"/>
    <n v="0"/>
    <n v="-0.29708660195949221"/>
    <n v="0"/>
    <n v="0"/>
    <n v="8.5348308809078617"/>
    <n v="0"/>
    <n v="0"/>
    <n v="4.9579056522389031E-2"/>
    <n v="1.2060558016907166"/>
    <n v="0"/>
    <n v="-2.0413391995566457"/>
    <m/>
    <n v="0"/>
    <n v="0"/>
    <n v="0"/>
    <n v="0"/>
    <n v="-0.27849409710846729"/>
    <n v="-7.493104264099415E-2"/>
    <n v="0"/>
    <n v="0"/>
    <m/>
    <m/>
    <m/>
    <n v="254.66997293994967"/>
    <n v="0"/>
    <n v="0"/>
    <n v="-172.49268000000001"/>
    <n v="8.5386600000000215"/>
    <n v="0"/>
    <n v="0"/>
    <n v="-171.05536965295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70"/>
    <s v="Regular"/>
    <s v="Convencional"/>
    <s v="B1"/>
    <s v="Residencial"/>
    <s v="Residencial"/>
    <s v="Não se aplica"/>
    <s v="Não se aplica"/>
    <s v="Não se aplica"/>
    <s v="CATIVO"/>
    <x v="2"/>
    <n v="0"/>
    <n v="0"/>
    <n v="572.06899999999996"/>
    <n v="572.06899999999996"/>
    <n v="572.06899999999996"/>
    <n v="572.06899999999996"/>
    <m/>
    <n v="710.91"/>
    <n v="256.55"/>
    <m/>
    <n v="553453.87473999988"/>
    <n v="553453.87473999988"/>
    <n v="377811.52966999996"/>
    <n v="0"/>
    <n v="35167.759512652206"/>
    <n v="0"/>
    <n v="0"/>
    <n v="0"/>
    <n v="70411.848480025204"/>
    <n v="272825.46207824728"/>
    <n v="146765.74455473325"/>
    <n v="0"/>
    <n v="0"/>
    <n v="0"/>
    <n v="0"/>
    <n v="0"/>
    <n v="5437.0946623005193"/>
    <m/>
    <n v="1256.1517682145777"/>
    <n v="0"/>
    <n v="0"/>
    <n v="0"/>
    <n v="0"/>
    <n v="0"/>
    <n v="0"/>
    <n v="0"/>
    <n v="0"/>
    <n v="0"/>
    <n v="0"/>
    <n v="0"/>
    <n v="0"/>
    <m/>
    <n v="0"/>
    <n v="0"/>
    <n v="852.56606092884954"/>
    <n v="0"/>
    <n v="0"/>
    <n v="20739.447585968417"/>
    <n v="0"/>
    <n v="668.57"/>
    <n v="242.98"/>
    <n v="180046"/>
    <n v="4133"/>
    <m/>
    <m/>
    <m/>
    <m/>
    <m/>
    <m/>
    <m/>
    <m/>
    <m/>
    <n v="168357.75820163052"/>
    <m/>
    <m/>
    <m/>
    <m/>
    <m/>
    <m/>
    <m/>
    <m/>
    <m/>
    <m/>
    <m/>
    <m/>
    <n v="377812.19010000001"/>
    <n v="-175641.7146399999"/>
    <m/>
    <m/>
    <m/>
    <m/>
    <n v="-184789.72837999999"/>
    <n v="9147.3833100000047"/>
    <n v="30"/>
    <n v="7604.6769078545622"/>
    <n v="0"/>
    <n v="0"/>
    <n v="0"/>
    <n v="0"/>
    <n v="0"/>
    <n v="0"/>
    <n v="0"/>
    <n v="-318.2659837010433"/>
    <n v="0"/>
    <n v="0"/>
    <n v="9143.2812120039016"/>
    <n v="0"/>
    <n v="0"/>
    <n v="53.113560460124745"/>
    <n v="1292.0358359876554"/>
    <n v="0"/>
    <n v="-2186.8668062755896"/>
    <m/>
    <n v="0"/>
    <n v="0"/>
    <n v="0"/>
    <n v="0"/>
    <n v="-298.34801430476364"/>
    <n v="-80.272896315713297"/>
    <n v="0"/>
    <n v="0"/>
    <m/>
    <m/>
    <m/>
    <n v="272825.46207824728"/>
    <n v="0"/>
    <n v="0"/>
    <n v="-184789.72837999996"/>
    <n v="9147.3833100000047"/>
    <n v="0"/>
    <n v="0"/>
    <n v="-183249.95180148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71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0.48899999999999999"/>
    <n v="-0.48899999999999999"/>
    <n v="-0.48899999999999999"/>
    <n v="-0.48899999999999999"/>
    <m/>
    <n v="710.91"/>
    <n v="256.55"/>
    <m/>
    <n v="-473.08793999999995"/>
    <n v="-473.08793999999995"/>
    <n v="-322.95026999999999"/>
    <n v="0"/>
    <n v="-30.06111920360469"/>
    <n v="0"/>
    <n v="0"/>
    <n v="0"/>
    <n v="-60.187484213848904"/>
    <n v="-233.20902016411122"/>
    <n v="-125.45418312697343"/>
    <n v="0"/>
    <n v="0"/>
    <n v="0"/>
    <n v="0"/>
    <n v="0"/>
    <n v="-4.6475849764013679"/>
    <m/>
    <n v="-1.0737484720495754"/>
    <n v="0"/>
    <n v="0"/>
    <n v="0"/>
    <n v="0"/>
    <n v="0"/>
    <n v="0"/>
    <n v="0"/>
    <n v="0"/>
    <n v="0"/>
    <n v="0"/>
    <n v="0"/>
    <n v="0"/>
    <m/>
    <n v="0"/>
    <n v="0"/>
    <n v="-0.72876664142648429"/>
    <n v="0"/>
    <n v="0"/>
    <n v="-17.727913712399303"/>
    <n v="0"/>
    <n v="-0.56000000000000005"/>
    <n v="-0.2"/>
    <n v="-155.22"/>
    <n v="0"/>
    <m/>
    <m/>
    <m/>
    <m/>
    <m/>
    <m/>
    <m/>
    <m/>
    <m/>
    <n v="-143.91086348079924"/>
    <m/>
    <m/>
    <m/>
    <m/>
    <m/>
    <m/>
    <m/>
    <m/>
    <m/>
    <m/>
    <m/>
    <m/>
    <n v="-323.61069999999995"/>
    <n v="149.44724000000002"/>
    <m/>
    <m/>
    <m/>
    <m/>
    <n v="157.95677999999998"/>
    <n v="-7.8191100000000047"/>
    <n v="30"/>
    <n v="-6.5004169216316257"/>
    <n v="0"/>
    <n v="0"/>
    <n v="0"/>
    <n v="0"/>
    <n v="0"/>
    <n v="0"/>
    <n v="0"/>
    <n v="0.27205121415391176"/>
    <n v="0"/>
    <n v="0"/>
    <n v="-7.8156035594830513"/>
    <n v="0"/>
    <n v="0"/>
    <n v="-4.5401046141288925E-2"/>
    <n v="-1.1044218858179065"/>
    <n v="0"/>
    <n v="1.8693162333018698"/>
    <m/>
    <n v="0"/>
    <n v="0"/>
    <n v="0"/>
    <n v="0"/>
    <n v="0.25502549341955127"/>
    <n v="6.8616628935292523E-2"/>
    <n v="0"/>
    <n v="0"/>
    <m/>
    <m/>
    <m/>
    <n v="-233.20902016411122"/>
    <n v="0"/>
    <n v="0"/>
    <n v="157.95677999999998"/>
    <n v="-7.8191100000000091"/>
    <n v="0"/>
    <n v="0"/>
    <n v="156.64059131141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72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6.524"/>
    <n v="6.524"/>
    <n v="6.524"/>
    <n v="6.524"/>
    <m/>
    <n v="710.91"/>
    <n v="256.55"/>
    <m/>
    <n v="6311.7090399999997"/>
    <n v="6311.7090399999997"/>
    <n v="4308.6453199999996"/>
    <n v="0"/>
    <n v="401.06082144032109"/>
    <n v="0"/>
    <n v="0"/>
    <n v="0"/>
    <n v="802.99212067719884"/>
    <n v="3111.3612424348908"/>
    <n v="1673.7486517799073"/>
    <n v="0"/>
    <n v="0"/>
    <n v="0"/>
    <n v="0"/>
    <n v="0"/>
    <n v="62.005816740373255"/>
    <m/>
    <n v="14.325429512579611"/>
    <n v="0"/>
    <n v="0"/>
    <n v="0"/>
    <n v="0"/>
    <n v="0"/>
    <n v="0"/>
    <n v="0"/>
    <n v="0"/>
    <n v="0"/>
    <n v="0"/>
    <n v="0"/>
    <n v="0"/>
    <m/>
    <n v="0"/>
    <n v="0"/>
    <n v="9.7228498336735871"/>
    <n v="0"/>
    <n v="0"/>
    <n v="236.51719644109008"/>
    <n v="0"/>
    <n v="7.61"/>
    <n v="2.7"/>
    <n v="4756.18"/>
    <n v="76"/>
    <m/>
    <m/>
    <m/>
    <m/>
    <m/>
    <m/>
    <m/>
    <m/>
    <m/>
    <n v="1919.988698054671"/>
    <m/>
    <m/>
    <m/>
    <m/>
    <m/>
    <m/>
    <m/>
    <m/>
    <m/>
    <m/>
    <m/>
    <m/>
    <n v="4306.0036"/>
    <n v="-2005.7354400000004"/>
    <m/>
    <m/>
    <m/>
    <m/>
    <n v="-2107.3824799999998"/>
    <n v="104.31876000000005"/>
    <n v="30"/>
    <n v="86.72539876630799"/>
    <n v="0"/>
    <n v="0"/>
    <n v="0"/>
    <n v="0"/>
    <n v="0"/>
    <n v="0"/>
    <n v="0"/>
    <n v="-3.6295748898570537"/>
    <n v="0"/>
    <n v="0"/>
    <n v="104.27197877723393"/>
    <n v="0"/>
    <n v="0"/>
    <n v="0.60571866058439383"/>
    <n v="14.734659270094113"/>
    <n v="0"/>
    <n v="-24.939507374358698"/>
    <m/>
    <n v="0"/>
    <n v="0"/>
    <n v="0"/>
    <n v="0"/>
    <n v="-3.4024260103663622"/>
    <n v="-0.91544966702218389"/>
    <n v="0"/>
    <n v="0"/>
    <m/>
    <m/>
    <m/>
    <n v="3111.3612424348908"/>
    <n v="0"/>
    <n v="0"/>
    <n v="-2107.3824799999993"/>
    <n v="104.31875999999988"/>
    <n v="0"/>
    <n v="0"/>
    <n v="-2089.8225311158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73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3.42"/>
    <n v="3.42"/>
    <n v="3.42"/>
    <n v="3.42"/>
    <m/>
    <n v="639.92999999999995"/>
    <n v="256.55"/>
    <m/>
    <n v="3065.9615999999996"/>
    <n v="3065.9615999999996"/>
    <n v="2030.796"/>
    <n v="0"/>
    <n v="0"/>
    <n v="0"/>
    <n v="0"/>
    <n v="0"/>
    <n v="420.94314112753221"/>
    <n v="1631.0324109637227"/>
    <n v="877.40962432361789"/>
    <n v="0"/>
    <n v="0"/>
    <n v="0"/>
    <n v="0"/>
    <n v="0"/>
    <n v="0"/>
    <m/>
    <n v="7.5096518904080725"/>
    <n v="0"/>
    <n v="0"/>
    <n v="0"/>
    <n v="0"/>
    <n v="0"/>
    <n v="0"/>
    <n v="0"/>
    <n v="0"/>
    <n v="0"/>
    <n v="0"/>
    <n v="0"/>
    <n v="0"/>
    <m/>
    <n v="0"/>
    <n v="0"/>
    <n v="5.0968955289950442"/>
    <n v="0"/>
    <n v="0"/>
    <n v="123.98663577997058"/>
    <n v="0"/>
    <n v="1.1100000000000001"/>
    <n v="7.0000000000000007E-2"/>
    <n v="291.33999999999997"/>
    <n v="4"/>
    <m/>
    <m/>
    <m/>
    <m/>
    <m/>
    <m/>
    <m/>
    <n v="1320.0174000000002"/>
    <m/>
    <n v="1006.4931556325835"/>
    <m/>
    <m/>
    <m/>
    <m/>
    <m/>
    <m/>
    <m/>
    <m/>
    <m/>
    <m/>
    <m/>
    <m/>
    <n v="710.77859999999998"/>
    <n v="-362.34479999999996"/>
    <m/>
    <m/>
    <m/>
    <m/>
    <n v="-1089.8513999999998"/>
    <n v="54.685800000000029"/>
    <n v="30"/>
    <n v="60.320397908726818"/>
    <n v="0"/>
    <n v="0"/>
    <n v="0"/>
    <n v="0"/>
    <n v="0"/>
    <n v="0"/>
    <n v="0"/>
    <n v="-1.9026894732236883"/>
    <n v="0"/>
    <n v="0"/>
    <n v="54.661276428286328"/>
    <n v="0"/>
    <n v="0"/>
    <n v="0.31752878896361469"/>
    <n v="7.724177606333825"/>
    <n v="0"/>
    <n v="0"/>
    <m/>
    <n v="0"/>
    <n v="0"/>
    <n v="0"/>
    <n v="0"/>
    <n v="0"/>
    <n v="-0.47989544163333253"/>
    <n v="0"/>
    <n v="0"/>
    <m/>
    <m/>
    <m/>
    <n v="1631.0324109637227"/>
    <n v="0"/>
    <n v="0"/>
    <n v="-1089.8513999999998"/>
    <n v="54.685799999999972"/>
    <n v="0"/>
    <n v="0"/>
    <n v="-1095.5231539571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74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6.726"/>
    <n v="6.726"/>
    <n v="6.726"/>
    <n v="6.726"/>
    <m/>
    <n v="639.92999999999995"/>
    <n v="256.55"/>
    <m/>
    <n v="6029.7244799999999"/>
    <n v="6029.7244799999999"/>
    <n v="3993.8987999999999"/>
    <n v="0"/>
    <n v="0"/>
    <n v="0"/>
    <n v="0"/>
    <n v="0"/>
    <n v="827.85484421748004"/>
    <n v="3207.6970748953213"/>
    <n v="1725.5722611697818"/>
    <n v="0"/>
    <n v="0"/>
    <n v="0"/>
    <n v="0"/>
    <n v="0"/>
    <n v="0"/>
    <m/>
    <n v="14.768982051135877"/>
    <n v="0"/>
    <n v="0"/>
    <n v="0"/>
    <n v="0"/>
    <n v="0"/>
    <n v="0"/>
    <n v="0"/>
    <n v="0"/>
    <n v="0"/>
    <n v="0"/>
    <n v="0"/>
    <n v="0"/>
    <m/>
    <n v="0"/>
    <n v="0"/>
    <n v="10.02389454035692"/>
    <n v="0"/>
    <n v="0"/>
    <n v="243.84038370060881"/>
    <n v="0"/>
    <n v="4.04"/>
    <n v="1.41"/>
    <n v="1139.81"/>
    <n v="39"/>
    <m/>
    <m/>
    <m/>
    <m/>
    <m/>
    <m/>
    <m/>
    <n v="1597.5595200000002"/>
    <m/>
    <n v="1979.4365394107474"/>
    <m/>
    <m/>
    <m/>
    <m/>
    <m/>
    <m/>
    <m/>
    <m/>
    <m/>
    <m/>
    <m/>
    <m/>
    <n v="2397.7644"/>
    <n v="-1220.1137400000007"/>
    <m/>
    <m/>
    <m/>
    <m/>
    <n v="-2143.3744199999996"/>
    <n v="107.54874000000007"/>
    <n v="30"/>
    <n v="118.6301158871629"/>
    <n v="0"/>
    <n v="0"/>
    <n v="0"/>
    <n v="0"/>
    <n v="0"/>
    <n v="0"/>
    <n v="0"/>
    <n v="-3.7419559640065927"/>
    <n v="0"/>
    <n v="0"/>
    <n v="107.50051030896316"/>
    <n v="0"/>
    <n v="0"/>
    <n v="0.6244732849617769"/>
    <n v="15.190882625789868"/>
    <n v="0"/>
    <n v="0"/>
    <m/>
    <n v="0"/>
    <n v="0"/>
    <n v="0"/>
    <n v="0"/>
    <n v="0"/>
    <n v="-0.94379436854555543"/>
    <n v="0"/>
    <n v="0"/>
    <m/>
    <m/>
    <m/>
    <n v="3207.6970748953213"/>
    <n v="0"/>
    <n v="0"/>
    <n v="-2143.3744200000001"/>
    <n v="107.54874000000018"/>
    <n v="0"/>
    <n v="0"/>
    <n v="-2154.5288694489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75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4.3339999999999996"/>
    <n v="4.3339999999999996"/>
    <n v="4.3339999999999996"/>
    <n v="4.3339999999999996"/>
    <m/>
    <n v="639.92999999999995"/>
    <n v="256.55"/>
    <m/>
    <n v="3885.3443199999992"/>
    <n v="3885.3443199999992"/>
    <n v="2573.5291999999999"/>
    <n v="0"/>
    <n v="0"/>
    <n v="0"/>
    <n v="0"/>
    <n v="0"/>
    <n v="533.4408110078142"/>
    <n v="2066.9282073440859"/>
    <n v="1111.8986291867134"/>
    <n v="0"/>
    <n v="0"/>
    <n v="0"/>
    <n v="0"/>
    <n v="0"/>
    <n v="0"/>
    <m/>
    <n v="9.5166173371428613"/>
    <n v="0"/>
    <n v="0"/>
    <n v="0"/>
    <n v="0"/>
    <n v="0"/>
    <n v="0"/>
    <n v="0"/>
    <n v="0"/>
    <n v="0"/>
    <n v="0"/>
    <n v="0"/>
    <n v="0"/>
    <m/>
    <n v="0"/>
    <n v="0"/>
    <n v="6.4590483107206191"/>
    <n v="0"/>
    <n v="0"/>
    <n v="157.12224545917908"/>
    <n v="0"/>
    <n v="4.7699999999999996"/>
    <n v="2.1800000000000002"/>
    <n v="1334.22"/>
    <n v="57"/>
    <m/>
    <m/>
    <m/>
    <m/>
    <m/>
    <m/>
    <m/>
    <n v="257.39626000000004"/>
    <m/>
    <n v="1275.4799229566131"/>
    <m/>
    <m/>
    <m/>
    <m/>
    <m/>
    <m/>
    <m/>
    <m/>
    <m/>
    <m/>
    <m/>
    <m/>
    <n v="2313.9953"/>
    <n v="-1182.8792600000006"/>
    <m/>
    <m/>
    <m/>
    <m/>
    <n v="-1381.1157799999996"/>
    <n v="69.300660000000036"/>
    <n v="30"/>
    <n v="76.441112437550146"/>
    <n v="0"/>
    <n v="0"/>
    <n v="0"/>
    <n v="0"/>
    <n v="0"/>
    <n v="0"/>
    <n v="0"/>
    <n v="-2.4111860166525503"/>
    <n v="0"/>
    <n v="0"/>
    <n v="69.269582467892633"/>
    <n v="0"/>
    <n v="0"/>
    <n v="0.40238882203751736"/>
    <n v="9.7884753642838689"/>
    <n v="0"/>
    <n v="0"/>
    <m/>
    <n v="0"/>
    <n v="0"/>
    <n v="0"/>
    <n v="0"/>
    <n v="0"/>
    <n v="-0.60814820001136383"/>
    <n v="0"/>
    <n v="0"/>
    <m/>
    <m/>
    <m/>
    <n v="2066.9282073440859"/>
    <n v="0"/>
    <n v="0"/>
    <n v="-1381.1157799999996"/>
    <n v="69.30065999999988"/>
    <n v="0"/>
    <n v="0"/>
    <n v="-1388.3033184941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76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0.98899999999999999"/>
    <n v="0.98899999999999999"/>
    <n v="0.98899999999999999"/>
    <n v="0.98899999999999999"/>
    <m/>
    <n v="639.92999999999995"/>
    <n v="256.55"/>
    <m/>
    <n v="886.61871999999994"/>
    <n v="886.61871999999994"/>
    <n v="587.26819999999998"/>
    <n v="0"/>
    <n v="0"/>
    <n v="0"/>
    <n v="0"/>
    <n v="0"/>
    <n v="121.72887911553489"/>
    <n v="471.6640510067607"/>
    <n v="253.73044399299943"/>
    <n v="0"/>
    <n v="0"/>
    <n v="0"/>
    <n v="0"/>
    <n v="0"/>
    <n v="0"/>
    <m/>
    <n v="2.1716507952086501"/>
    <n v="0"/>
    <n v="0"/>
    <n v="0"/>
    <n v="0"/>
    <n v="0"/>
    <n v="0"/>
    <n v="0"/>
    <n v="0"/>
    <n v="0"/>
    <n v="0"/>
    <n v="0"/>
    <n v="0"/>
    <m/>
    <n v="0"/>
    <n v="0"/>
    <n v="1.4739268064842392"/>
    <n v="0"/>
    <n v="0"/>
    <n v="35.8546148498219"/>
    <n v="0"/>
    <n v="1.51"/>
    <n v="0.63"/>
    <n v="417.86"/>
    <n v="14"/>
    <m/>
    <m/>
    <m/>
    <m/>
    <m/>
    <m/>
    <m/>
    <m/>
    <m/>
    <n v="291.05898564930555"/>
    <m/>
    <m/>
    <m/>
    <m/>
    <m/>
    <m/>
    <m/>
    <m/>
    <m/>
    <m/>
    <m/>
    <m/>
    <n v="587.86200000000008"/>
    <n v="-298.78671999999983"/>
    <m/>
    <m/>
    <m/>
    <m/>
    <n v="-315.16462999999993"/>
    <n v="15.814110000000008"/>
    <n v="30"/>
    <n v="17.443530272435908"/>
    <n v="0"/>
    <n v="0"/>
    <n v="0"/>
    <n v="0"/>
    <n v="0"/>
    <n v="0"/>
    <n v="0"/>
    <n v="-0.55022218977140369"/>
    <n v="0"/>
    <n v="0"/>
    <n v="15.807018241981041"/>
    <n v="0"/>
    <n v="0"/>
    <n v="9.1823383709068951E-2"/>
    <n v="2.233687617738056"/>
    <n v="0"/>
    <n v="0"/>
    <m/>
    <n v="0"/>
    <n v="0"/>
    <n v="0"/>
    <n v="0"/>
    <n v="0"/>
    <n v="-0.13877678122086712"/>
    <n v="0"/>
    <n v="0"/>
    <m/>
    <m/>
    <m/>
    <n v="471.6640510067607"/>
    <n v="0"/>
    <n v="0"/>
    <n v="-315.16462999999999"/>
    <n v="15.814109999999971"/>
    <n v="0"/>
    <n v="0"/>
    <n v="-316.80479510631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77"/>
    <s v="Regular"/>
    <s v="Convencional"/>
    <s v="B3"/>
    <s v="Industrial"/>
    <s v="Não se aplica"/>
    <s v="Não se aplica"/>
    <s v="Não se aplica"/>
    <s v="Não se aplica"/>
    <s v="CATIVO"/>
    <x v="2"/>
    <n v="0"/>
    <n v="0"/>
    <n v="63.686"/>
    <n v="63.686"/>
    <n v="63.686"/>
    <n v="63.686"/>
    <m/>
    <n v="710.91"/>
    <n v="256.55"/>
    <m/>
    <n v="61613.65756"/>
    <n v="61613.65756"/>
    <n v="42060.144979999997"/>
    <n v="0"/>
    <n v="3915.0765595107737"/>
    <n v="0"/>
    <n v="0"/>
    <n v="0"/>
    <n v="7838.6505514175487"/>
    <n v="30372.494188489953"/>
    <n v="16338.803899027465"/>
    <n v="0"/>
    <n v="0"/>
    <n v="0"/>
    <n v="0"/>
    <n v="0"/>
    <n v="605.28854152780673"/>
    <m/>
    <n v="139.84201470541771"/>
    <n v="0"/>
    <n v="0"/>
    <n v="0"/>
    <n v="0"/>
    <n v="0"/>
    <n v="0"/>
    <n v="0"/>
    <n v="0"/>
    <n v="0"/>
    <n v="0"/>
    <n v="0"/>
    <n v="0"/>
    <m/>
    <n v="0"/>
    <n v="0"/>
    <n v="94.91254054373637"/>
    <n v="0"/>
    <n v="0"/>
    <n v="2308.8341772757913"/>
    <n v="0"/>
    <n v="66.98"/>
    <n v="23.6"/>
    <n v="10836.3"/>
    <n v="47"/>
    <m/>
    <m/>
    <m/>
    <m/>
    <m/>
    <m/>
    <m/>
    <m/>
    <m/>
    <n v="18742.550616846995"/>
    <m/>
    <m/>
    <m/>
    <m/>
    <m/>
    <m/>
    <m/>
    <m/>
    <m/>
    <m/>
    <m/>
    <m/>
    <n v="42062.786699999997"/>
    <n v="-19550.900860000009"/>
    <m/>
    <m/>
    <m/>
    <m/>
    <n v="-20571.851719999999"/>
    <n v="1018.3391400000006"/>
    <n v="30"/>
    <n v="846.59622100415436"/>
    <n v="0"/>
    <n v="0"/>
    <n v="0"/>
    <n v="0"/>
    <n v="0"/>
    <n v="0"/>
    <n v="0"/>
    <n v="-35.431193506352429"/>
    <n v="0"/>
    <n v="0"/>
    <n v="1017.8824709391338"/>
    <n v="0"/>
    <n v="0"/>
    <n v="5.9129059806832771"/>
    <n v="143.83683480613354"/>
    <n v="0"/>
    <n v="-243.45454730892197"/>
    <m/>
    <n v="0"/>
    <n v="0"/>
    <n v="0"/>
    <n v="0"/>
    <n v="-33.213810989606372"/>
    <n v="-8.936438916918263"/>
    <n v="0"/>
    <n v="0"/>
    <m/>
    <m/>
    <m/>
    <n v="30372.494188489953"/>
    <n v="0"/>
    <n v="0"/>
    <n v="-20571.851719999999"/>
    <n v="1018.3391399999982"/>
    <n v="0"/>
    <n v="0"/>
    <n v="-20400.434965763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78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4.9619999999999997"/>
    <n v="4.9619999999999997"/>
    <n v="4.9619999999999997"/>
    <n v="4.9619999999999997"/>
    <m/>
    <n v="710.91"/>
    <n v="256.55"/>
    <m/>
    <n v="4800.5365199999997"/>
    <n v="4800.5365199999997"/>
    <n v="3277.0536599999996"/>
    <n v="0"/>
    <n v="305.03736909670033"/>
    <n v="0"/>
    <n v="0"/>
    <n v="0"/>
    <n v="610.73680300433182"/>
    <n v="2366.4277260824538"/>
    <n v="1273.013612834442"/>
    <n v="0"/>
    <n v="0"/>
    <n v="0"/>
    <n v="0"/>
    <n v="0"/>
    <n v="47.160156754404063"/>
    <m/>
    <n v="10.89558265503066"/>
    <n v="0"/>
    <n v="0"/>
    <n v="0"/>
    <n v="0"/>
    <n v="0"/>
    <n v="0"/>
    <n v="0"/>
    <n v="0"/>
    <n v="0"/>
    <n v="0"/>
    <n v="0"/>
    <n v="0"/>
    <m/>
    <n v="0"/>
    <n v="0"/>
    <n v="7.3949694780331594"/>
    <n v="0"/>
    <n v="0"/>
    <n v="179.88938208778188"/>
    <n v="0"/>
    <n v="6.62"/>
    <n v="2.33"/>
    <n v="1416.95"/>
    <n v="3"/>
    <m/>
    <m/>
    <m/>
    <m/>
    <m/>
    <m/>
    <m/>
    <m/>
    <m/>
    <n v="1460.2979644002571"/>
    <m/>
    <m/>
    <m/>
    <m/>
    <m/>
    <m/>
    <m/>
    <m/>
    <m/>
    <m/>
    <m/>
    <m/>
    <n v="3275.7327999999998"/>
    <n v="-1524.8337200000005"/>
    <m/>
    <m/>
    <m/>
    <m/>
    <n v="-1602.8252399999999"/>
    <n v="79.342380000000034"/>
    <n v="30"/>
    <n v="65.961285818274519"/>
    <n v="0"/>
    <n v="0"/>
    <n v="0"/>
    <n v="0"/>
    <n v="0"/>
    <n v="0"/>
    <n v="0"/>
    <n v="-2.7605687620281287"/>
    <n v="0"/>
    <n v="0"/>
    <n v="79.306799309110147"/>
    <n v="0"/>
    <n v="0"/>
    <n v="0.46069527802264965"/>
    <n v="11.206833123575564"/>
    <n v="0"/>
    <n v="-18.968399079026312"/>
    <m/>
    <n v="0"/>
    <n v="0"/>
    <n v="0"/>
    <n v="0"/>
    <n v="-2.5878047000977844"/>
    <n v="-0.69626935128204792"/>
    <n v="0"/>
    <n v="0"/>
    <m/>
    <m/>
    <m/>
    <n v="2366.4277260824538"/>
    <n v="0"/>
    <n v="0"/>
    <n v="-1602.8252399999999"/>
    <n v="79.342380000000048"/>
    <n v="0"/>
    <n v="0"/>
    <n v="-1589.4695584605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79"/>
    <s v="Regular"/>
    <s v="Verde"/>
    <s v="A4"/>
    <s v="Industrial"/>
    <s v="Não se aplica"/>
    <s v="Não se aplica"/>
    <s v="Não se aplica"/>
    <s v="Ponta"/>
    <s v="CATIVO"/>
    <x v="2"/>
    <n v="0"/>
    <n v="0"/>
    <n v="5.7"/>
    <n v="5.7"/>
    <n v="5.7"/>
    <n v="5.7"/>
    <m/>
    <n v="3130.62"/>
    <n v="256.55"/>
    <m/>
    <n v="19306.868999999999"/>
    <n v="19306.868999999999"/>
    <n v="10160.990999999998"/>
    <n v="0"/>
    <n v="304.85294505250647"/>
    <n v="0"/>
    <n v="0"/>
    <n v="0"/>
    <n v="3672.0187014552107"/>
    <n v="13703.647379205964"/>
    <n v="1462.3493738726966"/>
    <n v="0"/>
    <n v="0"/>
    <n v="0"/>
    <n v="0"/>
    <n v="0"/>
    <n v="54.174303405905512"/>
    <m/>
    <n v="7.6896134704439607"/>
    <n v="0"/>
    <n v="0"/>
    <n v="0"/>
    <n v="0"/>
    <n v="0"/>
    <n v="0"/>
    <n v="0"/>
    <n v="0"/>
    <n v="0"/>
    <n v="0"/>
    <n v="0"/>
    <n v="0"/>
    <m/>
    <n v="0"/>
    <n v="0"/>
    <n v="7.0225437380755684"/>
    <n v="0"/>
    <n v="0"/>
    <n v="95.128942726293204"/>
    <n v="0"/>
    <n v="0"/>
    <n v="0"/>
    <n v="0"/>
    <n v="0"/>
    <m/>
    <m/>
    <m/>
    <m/>
    <m/>
    <m/>
    <m/>
    <m/>
    <m/>
    <n v="1564.5008603370652"/>
    <m/>
    <m/>
    <m/>
    <m/>
    <m/>
    <m/>
    <m/>
    <m/>
    <m/>
    <m/>
    <m/>
    <m/>
    <n v="10160.990999999998"/>
    <n v="-9145.9079999999958"/>
    <m/>
    <m/>
    <m/>
    <m/>
    <n v="-9237.0210000000006"/>
    <n v="91.143000000000058"/>
    <n v="30"/>
    <n v="58.44723677136426"/>
    <n v="0"/>
    <n v="0"/>
    <n v="0"/>
    <n v="0"/>
    <n v="0"/>
    <n v="0"/>
    <n v="0"/>
    <n v="-16.597755483141555"/>
    <n v="0"/>
    <n v="0"/>
    <n v="91.102127380477214"/>
    <n v="0"/>
    <n v="0"/>
    <n v="0.43749372454468816"/>
    <n v="5.9263875053810438"/>
    <n v="0"/>
    <n v="-18.956930881276151"/>
    <m/>
    <n v="0"/>
    <n v="0"/>
    <n v="0"/>
    <n v="0"/>
    <n v="-2.9726898005959939"/>
    <n v="-0.49139567402610052"/>
    <n v="0"/>
    <n v="0"/>
    <m/>
    <m/>
    <m/>
    <n v="13703.647379205964"/>
    <n v="0"/>
    <n v="0"/>
    <n v="-9237.0210000000006"/>
    <n v="91.143000000000029"/>
    <n v="0"/>
    <n v="0"/>
    <n v="-9204.3928107555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80"/>
    <s v="Sistema de Compensação"/>
    <s v="Verde"/>
    <s v="A4"/>
    <s v="Industrial"/>
    <s v="Não se aplica"/>
    <s v="Não se aplica"/>
    <s v="Não se aplica"/>
    <s v="Ponta"/>
    <s v="CATIVO"/>
    <x v="2"/>
    <n v="0"/>
    <n v="0"/>
    <n v="0.156"/>
    <n v="0.156"/>
    <n v="0.156"/>
    <n v="0.156"/>
    <m/>
    <n v="3130.62"/>
    <n v="256.55"/>
    <m/>
    <n v="528.39851999999996"/>
    <n v="528.39851999999996"/>
    <n v="278.09028000000001"/>
    <n v="0"/>
    <n v="8.3433437593317556"/>
    <n v="0"/>
    <n v="0"/>
    <n v="0"/>
    <n v="100.49735393456366"/>
    <n v="375.04719143090006"/>
    <n v="40.022193390200115"/>
    <n v="0"/>
    <n v="0"/>
    <n v="0"/>
    <n v="0"/>
    <n v="0"/>
    <n v="1.4826651458458351"/>
    <m/>
    <n v="0.21045257919109786"/>
    <n v="0"/>
    <n v="0"/>
    <n v="0"/>
    <n v="0"/>
    <n v="0"/>
    <n v="0"/>
    <n v="0"/>
    <n v="0"/>
    <n v="0"/>
    <n v="0"/>
    <n v="0"/>
    <n v="0"/>
    <m/>
    <n v="0"/>
    <n v="0"/>
    <n v="0.19219593388417344"/>
    <n v="0"/>
    <n v="0"/>
    <n v="2.6035289588248669"/>
    <n v="0"/>
    <n v="0"/>
    <n v="0"/>
    <n v="0"/>
    <n v="0"/>
    <m/>
    <m/>
    <m/>
    <m/>
    <m/>
    <m/>
    <m/>
    <m/>
    <m/>
    <n v="42.817918282909154"/>
    <m/>
    <m/>
    <m/>
    <m/>
    <m/>
    <m/>
    <m/>
    <m/>
    <m/>
    <m/>
    <m/>
    <m/>
    <n v="285.2208"/>
    <n v="-243.20771999999994"/>
    <m/>
    <m/>
    <m/>
    <m/>
    <n v="-252.80268000000001"/>
    <n v="2.4944400000000013"/>
    <n v="30"/>
    <n v="1.599608585321505"/>
    <n v="0"/>
    <n v="0"/>
    <n v="0"/>
    <n v="0"/>
    <n v="0"/>
    <n v="0"/>
    <n v="0"/>
    <n v="-0.45425436059124991"/>
    <n v="0"/>
    <n v="0"/>
    <n v="2.4933213809393777"/>
    <n v="0"/>
    <n v="0"/>
    <n v="1.1973512461223051E-2"/>
    <n v="0.16219586856832269"/>
    <n v="0"/>
    <n v="-0.51882126622439895"/>
    <m/>
    <n v="0"/>
    <n v="0"/>
    <n v="0"/>
    <n v="0"/>
    <n v="-8.1357826121574606E-2"/>
    <n v="-1.3448723710187988E-2"/>
    <n v="0"/>
    <n v="0"/>
    <m/>
    <m/>
    <m/>
    <n v="375.04719143090006"/>
    <n v="0"/>
    <n v="0"/>
    <n v="-252.80267999999998"/>
    <n v="2.4944400000000044"/>
    <n v="0"/>
    <n v="0"/>
    <n v="-251.90969797857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81"/>
    <s v="Regular"/>
    <s v="Verde"/>
    <s v="A4"/>
    <s v="Industrial"/>
    <s v="Não se aplica"/>
    <s v="Não se aplica"/>
    <s v="Não se aplica"/>
    <s v="Fora ponta"/>
    <s v="CATIVO"/>
    <x v="2"/>
    <n v="0"/>
    <n v="0"/>
    <n v="182.98599999999999"/>
    <n v="182.98599999999999"/>
    <n v="182.98599999999999"/>
    <n v="182.98599999999999"/>
    <m/>
    <n v="82.26"/>
    <n v="256.55"/>
    <m/>
    <n v="61997.486659999995"/>
    <n v="61997.486659999995"/>
    <n v="64407.412280000004"/>
    <n v="0"/>
    <n v="9786.6352637505152"/>
    <n v="0"/>
    <n v="0"/>
    <n v="0"/>
    <n v="0"/>
    <n v="0"/>
    <n v="46945.519741661265"/>
    <n v="0"/>
    <n v="0"/>
    <n v="0"/>
    <n v="0"/>
    <n v="0"/>
    <n v="1739.1472075496536"/>
    <m/>
    <n v="246.85817728116814"/>
    <n v="0"/>
    <n v="0"/>
    <n v="0"/>
    <n v="0"/>
    <n v="0"/>
    <n v="0"/>
    <n v="0"/>
    <n v="0"/>
    <n v="0"/>
    <n v="0"/>
    <n v="0"/>
    <n v="0"/>
    <m/>
    <n v="0"/>
    <n v="0"/>
    <n v="225.44336639570102"/>
    <n v="0"/>
    <n v="0"/>
    <n v="3053.9060901251733"/>
    <n v="0"/>
    <n v="0"/>
    <n v="0"/>
    <n v="0"/>
    <n v="0"/>
    <m/>
    <m/>
    <m/>
    <m/>
    <m/>
    <m/>
    <m/>
    <m/>
    <m/>
    <n v="50224.869198182139"/>
    <m/>
    <m/>
    <m/>
    <m/>
    <m/>
    <m/>
    <m/>
    <m/>
    <m/>
    <m/>
    <m/>
    <m/>
    <n v="64408.820200000002"/>
    <n v="2411.3035400000008"/>
    <m/>
    <m/>
    <m/>
    <m/>
    <n v="-516.02052000000128"/>
    <n v="2925.9461400000014"/>
    <n v="30"/>
    <n v="2409.1549039794336"/>
    <n v="0"/>
    <n v="0"/>
    <n v="0"/>
    <n v="0"/>
    <n v="0"/>
    <n v="0"/>
    <n v="0"/>
    <n v="0"/>
    <n v="0"/>
    <n v="0"/>
    <n v="2924.6340141831606"/>
    <n v="0"/>
    <n v="0"/>
    <n v="14.044776610444615"/>
    <n v="190.2536743964306"/>
    <n v="0"/>
    <n v="-608.57069372652404"/>
    <m/>
    <n v="0"/>
    <n v="0"/>
    <n v="0"/>
    <n v="0"/>
    <n v="-95.431686991554216"/>
    <n v="-15.775180492515773"/>
    <n v="0"/>
    <n v="0"/>
    <m/>
    <m/>
    <m/>
    <n v="0"/>
    <n v="0"/>
    <n v="0"/>
    <n v="-516.02052000000185"/>
    <n v="2925.9461400000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82"/>
    <s v="Sistema de Compensação"/>
    <s v="Verde"/>
    <s v="A4"/>
    <s v="Industrial"/>
    <s v="Não se aplica"/>
    <s v="Não se aplica"/>
    <s v="Não se aplica"/>
    <s v="Fora ponta"/>
    <s v="CATIVO"/>
    <x v="2"/>
    <n v="0"/>
    <n v="0"/>
    <n v="11.323"/>
    <n v="11.323"/>
    <n v="11.323"/>
    <n v="11.323"/>
    <m/>
    <n v="82.26"/>
    <n v="256.55"/>
    <m/>
    <n v="3836.3456300000007"/>
    <n v="3836.3456300000007"/>
    <n v="3985.4695400000005"/>
    <n v="0"/>
    <n v="605.58770119816324"/>
    <n v="0"/>
    <n v="0"/>
    <n v="0"/>
    <n v="0"/>
    <n v="0"/>
    <n v="2904.9442035720249"/>
    <n v="0"/>
    <n v="0"/>
    <n v="0"/>
    <n v="0"/>
    <n v="0"/>
    <n v="107.61677850264354"/>
    <m/>
    <n v="15.275349706287187"/>
    <n v="0"/>
    <n v="0"/>
    <n v="0"/>
    <n v="0"/>
    <n v="0"/>
    <n v="0"/>
    <n v="0"/>
    <n v="0"/>
    <n v="0"/>
    <n v="0"/>
    <n v="0"/>
    <n v="0"/>
    <m/>
    <n v="0"/>
    <n v="0"/>
    <n v="13.950221534426257"/>
    <n v="0"/>
    <n v="0"/>
    <n v="188.97281026137159"/>
    <n v="0"/>
    <n v="0"/>
    <n v="0"/>
    <n v="0"/>
    <n v="0"/>
    <m/>
    <m/>
    <m/>
    <m/>
    <m/>
    <m/>
    <m/>
    <m/>
    <m/>
    <n v="3107.867235367823"/>
    <m/>
    <m/>
    <m/>
    <m/>
    <m/>
    <m/>
    <m/>
    <m/>
    <m/>
    <m/>
    <m/>
    <m/>
    <n v="3984.4136000000003"/>
    <n v="148.03796999999986"/>
    <m/>
    <m/>
    <m/>
    <m/>
    <n v="-31.930860000000084"/>
    <n v="181.0547700000001"/>
    <n v="30"/>
    <n v="149.07621882416788"/>
    <n v="0"/>
    <n v="0"/>
    <n v="0"/>
    <n v="0"/>
    <n v="0"/>
    <n v="0"/>
    <n v="0"/>
    <n v="0"/>
    <n v="0"/>
    <n v="0"/>
    <n v="180.97357689984983"/>
    <n v="0"/>
    <n v="0"/>
    <n v="0.86907744614377158"/>
    <n v="11.772716793584095"/>
    <n v="0"/>
    <n v="-37.657776906787603"/>
    <m/>
    <n v="0"/>
    <n v="0"/>
    <n v="0"/>
    <n v="0"/>
    <n v="-5.9052222126576339"/>
    <n v="-0.97615319596447847"/>
    <n v="0"/>
    <n v="0"/>
    <m/>
    <m/>
    <m/>
    <n v="0"/>
    <n v="0"/>
    <n v="0"/>
    <n v="-31.930860000000052"/>
    <n v="181.054770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83"/>
    <s v="Regular"/>
    <s v="Verde"/>
    <s v="A4"/>
    <s v="Industrial"/>
    <s v="Não se aplica"/>
    <s v="Não se aplica"/>
    <s v="Não se aplica"/>
    <s v="Não se aplica"/>
    <s v="CATIVO"/>
    <x v="2"/>
    <n v="1206"/>
    <n v="1206"/>
    <n v="0"/>
    <n v="0"/>
    <n v="0"/>
    <n v="0"/>
    <n v="47.39"/>
    <m/>
    <m/>
    <n v="57152.340000000004"/>
    <m/>
    <n v="57152.340000000004"/>
    <n v="38857.32"/>
    <n v="0"/>
    <n v="0"/>
    <n v="0"/>
    <n v="0"/>
    <n v="0"/>
    <n v="30113.940816435635"/>
    <n v="27038.3598983497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1.27"/>
    <n v="67.239999999999995"/>
    <n v="29366.69"/>
    <n v="11"/>
    <m/>
    <m/>
    <m/>
    <m/>
    <m/>
    <m/>
    <m/>
    <m/>
    <m/>
    <n v="0"/>
    <m/>
    <m/>
    <m/>
    <m/>
    <m/>
    <m/>
    <m/>
    <m/>
    <m/>
    <m/>
    <m/>
    <m/>
    <n v="38857.32"/>
    <n v="-18295.05000000001"/>
    <m/>
    <m/>
    <m/>
    <m/>
    <n v="-18295.02"/>
    <n v="0"/>
    <n v="30"/>
    <n v="-136.1169065143913"/>
    <n v="0"/>
    <n v="0"/>
    <n v="0"/>
    <n v="0"/>
    <m/>
    <m/>
    <m/>
    <n v="-136.11690651439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038.359898349776"/>
    <m/>
    <n v="0"/>
    <n v="0"/>
    <n v="-18295.020000000004"/>
    <m/>
    <n v="0"/>
    <m/>
    <n v="-18160.98142167844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84"/>
    <s v="Sistema de Compensação"/>
    <s v="Verde"/>
    <s v="A4"/>
    <s v="Industrial"/>
    <s v="Não se aplica"/>
    <s v="Não se aplica"/>
    <s v="Não se aplica"/>
    <s v="Não se aplica"/>
    <s v="CATIVO"/>
    <x v="2"/>
    <n v="576"/>
    <n v="576"/>
    <n v="0"/>
    <n v="0"/>
    <n v="0"/>
    <n v="0"/>
    <n v="47.39"/>
    <m/>
    <m/>
    <n v="27296.639999999999"/>
    <m/>
    <n v="27296.639999999999"/>
    <n v="18558.72"/>
    <n v="0"/>
    <n v="0"/>
    <n v="0"/>
    <n v="0"/>
    <n v="0"/>
    <n v="14382.777703372243"/>
    <n v="12913.8435335401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4.619999999999997"/>
    <n v="12.17"/>
    <n v="5785.55"/>
    <n v="3"/>
    <m/>
    <m/>
    <m/>
    <m/>
    <m/>
    <m/>
    <m/>
    <m/>
    <m/>
    <n v="0"/>
    <m/>
    <m/>
    <m/>
    <m/>
    <m/>
    <m/>
    <m/>
    <m/>
    <m/>
    <m/>
    <m/>
    <m/>
    <n v="18558.72"/>
    <n v="-8737.9499999999935"/>
    <m/>
    <m/>
    <m/>
    <m/>
    <n v="-8737.9200000000019"/>
    <n v="0"/>
    <n v="30"/>
    <n v="-65.011059827769714"/>
    <n v="0"/>
    <n v="0"/>
    <n v="0"/>
    <n v="0"/>
    <m/>
    <m/>
    <m/>
    <n v="-65.0110598277697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913.843533540192"/>
    <m/>
    <n v="0"/>
    <n v="0"/>
    <n v="-8737.9199999999983"/>
    <m/>
    <n v="0"/>
    <m/>
    <n v="-8673.9015745329871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85"/>
    <s v="Regular"/>
    <s v="Convencional"/>
    <s v="B3"/>
    <s v="Comercial"/>
    <s v="Não se aplica"/>
    <s v="Não se aplica"/>
    <s v="Não se aplica"/>
    <s v="Não se aplica"/>
    <s v="CATIVO"/>
    <x v="2"/>
    <n v="0"/>
    <n v="0"/>
    <n v="289.423"/>
    <n v="289.423"/>
    <n v="289.423"/>
    <n v="289.423"/>
    <m/>
    <n v="710.91"/>
    <n v="256.55"/>
    <m/>
    <n v="280005.17557999998"/>
    <n v="280005.17557999998"/>
    <n v="191143.63189000002"/>
    <n v="0"/>
    <n v="17792.186714243107"/>
    <n v="0"/>
    <n v="0"/>
    <n v="0"/>
    <n v="35622.990273261334"/>
    <n v="138028.74078314428"/>
    <n v="74252.20049725569"/>
    <n v="0"/>
    <n v="0"/>
    <n v="0"/>
    <n v="0"/>
    <n v="0"/>
    <n v="2750.7525288855072"/>
    <m/>
    <n v="635.51636815133793"/>
    <n v="0"/>
    <n v="0"/>
    <n v="0"/>
    <n v="0"/>
    <n v="0"/>
    <n v="0"/>
    <n v="0"/>
    <n v="0"/>
    <n v="0"/>
    <n v="0"/>
    <n v="0"/>
    <n v="0"/>
    <m/>
    <n v="0"/>
    <n v="0"/>
    <n v="431.33298090302122"/>
    <n v="0"/>
    <n v="0"/>
    <n v="10492.568446592522"/>
    <n v="0"/>
    <n v="349.99"/>
    <n v="123.71"/>
    <n v="94654.66"/>
    <n v="883"/>
    <m/>
    <m/>
    <m/>
    <m/>
    <m/>
    <m/>
    <m/>
    <m/>
    <m/>
    <n v="85176.101924751245"/>
    <m/>
    <m/>
    <m/>
    <m/>
    <m/>
    <m/>
    <m/>
    <m/>
    <m/>
    <m/>
    <m/>
    <m/>
    <n v="191141.65059999999"/>
    <n v="-88863.554980000015"/>
    <m/>
    <m/>
    <m/>
    <m/>
    <n v="-93489.417459999997"/>
    <n v="4627.8737700000029"/>
    <n v="30"/>
    <n v="3847.3827540069178"/>
    <n v="0"/>
    <n v="0"/>
    <n v="0"/>
    <n v="0"/>
    <n v="0"/>
    <n v="0"/>
    <n v="0"/>
    <n v="-161.01815655228711"/>
    <n v="0"/>
    <n v="0"/>
    <n v="4625.7984233052412"/>
    <n v="0"/>
    <n v="0"/>
    <n v="26.871384411759209"/>
    <n v="653.67095185905055"/>
    <n v="0"/>
    <n v="-1106.3867324967796"/>
    <m/>
    <n v="0"/>
    <n v="0"/>
    <n v="0"/>
    <n v="0"/>
    <n v="-150.94119301015689"/>
    <n v="-40.611923509895973"/>
    <n v="0"/>
    <n v="0"/>
    <m/>
    <m/>
    <m/>
    <n v="138028.74078314428"/>
    <n v="0"/>
    <n v="0"/>
    <n v="-93489.417459999982"/>
    <n v="4627.8737700000056"/>
    <n v="0"/>
    <n v="0"/>
    <n v="-92710.408709862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86"/>
    <s v="Refaturamento - Regular"/>
    <s v="Convencional"/>
    <s v="B3"/>
    <s v="Comercial"/>
    <s v="Não se aplica"/>
    <s v="Não se aplica"/>
    <s v="Não se aplica"/>
    <s v="Não se aplica"/>
    <s v="CATIVO"/>
    <x v="2"/>
    <n v="0"/>
    <n v="0"/>
    <n v="-1.6890000000000001"/>
    <n v="-1.6890000000000001"/>
    <n v="-1.6890000000000001"/>
    <n v="-1.6890000000000001"/>
    <m/>
    <n v="710.91"/>
    <n v="256.55"/>
    <m/>
    <n v="-1634.0399399999999"/>
    <n v="-1634.0399399999999"/>
    <n v="-1115.4662700000001"/>
    <n v="0"/>
    <n v="-103.83073688116221"/>
    <n v="0"/>
    <n v="0"/>
    <n v="0"/>
    <n v="-207.8868319778953"/>
    <n v="-805.50109418647003"/>
    <n v="-433.31720920543586"/>
    <n v="0"/>
    <n v="0"/>
    <n v="0"/>
    <n v="0"/>
    <n v="0"/>
    <n v="-16.052701482907793"/>
    <m/>
    <n v="-3.7087140476313554"/>
    <n v="0"/>
    <n v="0"/>
    <n v="0"/>
    <n v="0"/>
    <n v="0"/>
    <n v="0"/>
    <n v="0"/>
    <n v="0"/>
    <n v="0"/>
    <n v="0"/>
    <n v="0"/>
    <n v="0"/>
    <m/>
    <n v="0"/>
    <n v="0"/>
    <n v="-2.5171510375650965"/>
    <n v="0"/>
    <n v="0"/>
    <n v="-61.231996442213543"/>
    <n v="0"/>
    <n v="-1.97"/>
    <n v="-0.69"/>
    <n v="-525.79999999999995"/>
    <n v="0"/>
    <m/>
    <m/>
    <m/>
    <m/>
    <m/>
    <m/>
    <m/>
    <m/>
    <m/>
    <n v="-497.06635668521449"/>
    <m/>
    <m/>
    <m/>
    <m/>
    <m/>
    <m/>
    <m/>
    <m/>
    <m/>
    <m/>
    <m/>
    <m/>
    <n v="-1116.1267"/>
    <n v="517.88323999999989"/>
    <m/>
    <m/>
    <m/>
    <m/>
    <n v="545.58078"/>
    <n v="-27.007110000000015"/>
    <n v="30"/>
    <n v="-22.452360287598822"/>
    <n v="0"/>
    <n v="0"/>
    <n v="0"/>
    <n v="0"/>
    <n v="0"/>
    <n v="0"/>
    <n v="0"/>
    <n v="0.93966155563589382"/>
    <n v="0"/>
    <n v="0"/>
    <n v="-26.994998797478274"/>
    <n v="0"/>
    <n v="0"/>
    <n v="-0.15681465630396074"/>
    <n v="-3.814659642426264"/>
    <n v="0"/>
    <n v="6.4565953334291493"/>
    <m/>
    <n v="0"/>
    <n v="0"/>
    <n v="0"/>
    <n v="0"/>
    <n v="0.88085492512397146"/>
    <n v="0.23700099442067257"/>
    <n v="0"/>
    <n v="0"/>
    <m/>
    <m/>
    <m/>
    <n v="-805.50109418647003"/>
    <n v="0"/>
    <n v="0"/>
    <n v="545.58077999999989"/>
    <n v="-27.007110000000011"/>
    <n v="0"/>
    <n v="0"/>
    <n v="541.03468041916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87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10.644"/>
    <n v="10.644"/>
    <n v="10.644"/>
    <n v="10.644"/>
    <m/>
    <n v="710.91"/>
    <n v="256.55"/>
    <m/>
    <n v="10297.64424"/>
    <n v="10297.64424"/>
    <n v="7029.6169200000004"/>
    <n v="0"/>
    <n v="654.33650879993525"/>
    <n v="0"/>
    <n v="0"/>
    <n v="0"/>
    <n v="1310.0932146670916"/>
    <n v="5076.2306965783227"/>
    <n v="2730.7450413159618"/>
    <n v="0"/>
    <n v="0"/>
    <n v="0"/>
    <n v="0"/>
    <n v="0"/>
    <n v="101.16338341271198"/>
    <m/>
    <n v="23.372144655410388"/>
    <n v="0"/>
    <n v="0"/>
    <n v="0"/>
    <n v="0"/>
    <n v="0"/>
    <n v="0"/>
    <n v="0"/>
    <n v="0"/>
    <n v="0"/>
    <n v="0"/>
    <n v="0"/>
    <n v="0"/>
    <m/>
    <n v="0"/>
    <n v="0"/>
    <n v="15.862969593749488"/>
    <n v="0"/>
    <n v="0"/>
    <n v="385.88121381345229"/>
    <n v="0"/>
    <n v="12.97"/>
    <n v="4.57"/>
    <n v="8588.4500000000007"/>
    <n v="33"/>
    <m/>
    <m/>
    <m/>
    <m/>
    <m/>
    <m/>
    <m/>
    <m/>
    <m/>
    <n v="3132.4892247231633"/>
    <m/>
    <m/>
    <m/>
    <m/>
    <m/>
    <m/>
    <m/>
    <m/>
    <m/>
    <m/>
    <m/>
    <m/>
    <n v="7026.9752000000008"/>
    <n v="-3270.6990399999995"/>
    <m/>
    <m/>
    <m/>
    <m/>
    <n v="-3438.2248799999998"/>
    <n v="170.1975600000001"/>
    <n v="30"/>
    <n v="141.49373765612927"/>
    <n v="0"/>
    <n v="0"/>
    <n v="0"/>
    <n v="0"/>
    <n v="0"/>
    <n v="0"/>
    <n v="0"/>
    <n v="-5.9217037289454311"/>
    <n v="0"/>
    <n v="0"/>
    <n v="170.12123576101749"/>
    <n v="0"/>
    <n v="0"/>
    <n v="0.98823872214290098"/>
    <n v="24.039808901116146"/>
    <n v="0"/>
    <n v="-40.689165618128982"/>
    <m/>
    <n v="0"/>
    <n v="0"/>
    <n v="0"/>
    <n v="0"/>
    <n v="-5.5511070592182108"/>
    <n v="-1.4935693218553219"/>
    <n v="0"/>
    <n v="0"/>
    <m/>
    <m/>
    <m/>
    <n v="5076.2306965783227"/>
    <n v="0"/>
    <n v="0"/>
    <n v="-3438.2248799999998"/>
    <n v="170.19756000000007"/>
    <n v="0"/>
    <n v="0"/>
    <n v="-3409.5755703858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88"/>
    <s v="Regular"/>
    <s v="Verde"/>
    <s v="A4"/>
    <s v="Comercial"/>
    <s v="Não se aplica"/>
    <s v="Não se aplica"/>
    <s v="Não se aplica"/>
    <s v="Ponta"/>
    <s v="CATIVO"/>
    <x v="2"/>
    <n v="0"/>
    <n v="0"/>
    <n v="14.045999999999999"/>
    <n v="14.045999999999999"/>
    <n v="14.045999999999999"/>
    <n v="14.045999999999999"/>
    <m/>
    <n v="3130.62"/>
    <n v="256.55"/>
    <m/>
    <n v="47576.18982"/>
    <n v="47576.18982"/>
    <n v="25038.820979999997"/>
    <n v="0"/>
    <n v="751.22183617675535"/>
    <n v="0"/>
    <n v="0"/>
    <n v="0"/>
    <n v="9048.6271369543665"/>
    <n v="33768.672120759111"/>
    <n v="3603.5367202484026"/>
    <n v="0"/>
    <n v="0"/>
    <n v="0"/>
    <n v="0"/>
    <n v="0"/>
    <n v="133.49688870865768"/>
    <m/>
    <n v="18.948826457167694"/>
    <n v="0"/>
    <n v="0"/>
    <n v="0"/>
    <n v="0"/>
    <n v="0"/>
    <n v="0"/>
    <n v="0"/>
    <n v="0"/>
    <n v="0"/>
    <n v="0"/>
    <n v="0"/>
    <n v="0"/>
    <m/>
    <n v="0"/>
    <n v="0"/>
    <n v="17.305026200878846"/>
    <n v="0"/>
    <n v="0"/>
    <n v="234.41774202342356"/>
    <n v="0"/>
    <n v="0"/>
    <n v="0"/>
    <n v="0"/>
    <n v="0"/>
    <m/>
    <m/>
    <m/>
    <m/>
    <m/>
    <m/>
    <m/>
    <m/>
    <m/>
    <n v="3855.259488472705"/>
    <m/>
    <m/>
    <m/>
    <m/>
    <m/>
    <m/>
    <m/>
    <m/>
    <m/>
    <m/>
    <m/>
    <m/>
    <n v="25045.951500000003"/>
    <n v="-22530.268320000003"/>
    <m/>
    <m/>
    <m/>
    <m/>
    <n v="-22761.964379999998"/>
    <n v="224.59554000000011"/>
    <n v="30"/>
    <n v="144.02629608606185"/>
    <n v="0"/>
    <n v="0"/>
    <n v="0"/>
    <n v="0"/>
    <n v="0"/>
    <n v="0"/>
    <n v="0"/>
    <n v="-40.900363774773723"/>
    <n v="0"/>
    <n v="0"/>
    <n v="224.49482126073372"/>
    <n v="0"/>
    <n v="0"/>
    <n v="1.0780766412201217"/>
    <n v="14.603866473786326"/>
    <n v="0"/>
    <n v="-46.713868624281531"/>
    <m/>
    <n v="0"/>
    <n v="0"/>
    <n v="0"/>
    <n v="0"/>
    <n v="-7.3253334981002354"/>
    <n v="-1.2109023925211559"/>
    <n v="0"/>
    <n v="0"/>
    <m/>
    <m/>
    <m/>
    <n v="33768.672120759111"/>
    <n v="0"/>
    <n v="0"/>
    <n v="-22761.964379999998"/>
    <n v="224.59554000000026"/>
    <n v="0"/>
    <n v="0"/>
    <n v="-22681.561652609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89"/>
    <s v="Regular"/>
    <s v="Verde"/>
    <s v="A4"/>
    <s v="Comercial"/>
    <s v="Não se aplica"/>
    <s v="Não se aplica"/>
    <s v="Não se aplica"/>
    <s v="Fora ponta"/>
    <s v="CATIVO"/>
    <x v="2"/>
    <n v="0"/>
    <n v="0"/>
    <n v="108.3"/>
    <n v="108.3"/>
    <n v="108.3"/>
    <n v="108.3"/>
    <m/>
    <n v="82.26"/>
    <n v="256.55"/>
    <m/>
    <n v="36693.123"/>
    <n v="36693.123"/>
    <n v="38119.434000000001"/>
    <n v="0"/>
    <n v="5792.2059559976224"/>
    <n v="0"/>
    <n v="0"/>
    <n v="0"/>
    <n v="0"/>
    <n v="0"/>
    <n v="27784.638103581234"/>
    <n v="0"/>
    <n v="0"/>
    <n v="0"/>
    <n v="0"/>
    <n v="0"/>
    <n v="1029.3117647122046"/>
    <m/>
    <n v="146.10265593843525"/>
    <n v="0"/>
    <n v="0"/>
    <n v="0"/>
    <n v="0"/>
    <n v="0"/>
    <n v="0"/>
    <n v="0"/>
    <n v="0"/>
    <n v="0"/>
    <n v="0"/>
    <n v="0"/>
    <n v="0"/>
    <m/>
    <n v="0"/>
    <n v="0"/>
    <n v="133.42833102343579"/>
    <n v="0"/>
    <n v="0"/>
    <n v="1807.4499117995708"/>
    <n v="0"/>
    <n v="0"/>
    <n v="0"/>
    <n v="0"/>
    <n v="0"/>
    <m/>
    <m/>
    <m/>
    <m/>
    <m/>
    <m/>
    <m/>
    <m/>
    <m/>
    <n v="29725.516346404238"/>
    <m/>
    <m/>
    <m/>
    <m/>
    <m/>
    <m/>
    <m/>
    <m/>
    <m/>
    <m/>
    <m/>
    <m/>
    <n v="38119.434000000001"/>
    <n v="1426.2809999999954"/>
    <m/>
    <m/>
    <m/>
    <m/>
    <n v="-305.4060000000008"/>
    <n v="1731.717000000001"/>
    <n v="30"/>
    <n v="1425.8548528355896"/>
    <n v="0"/>
    <n v="0"/>
    <n v="0"/>
    <n v="0"/>
    <n v="0"/>
    <n v="0"/>
    <n v="0"/>
    <n v="0"/>
    <n v="0"/>
    <n v="0"/>
    <n v="1730.940420229068"/>
    <n v="0"/>
    <n v="0"/>
    <n v="8.3123807663490936"/>
    <n v="112.60136260223976"/>
    <n v="0"/>
    <n v="-360.18168674424669"/>
    <m/>
    <n v="0"/>
    <n v="0"/>
    <n v="0"/>
    <n v="0"/>
    <n v="-56.48110621132389"/>
    <n v="-9.3365178064958911"/>
    <n v="0"/>
    <n v="0"/>
    <m/>
    <m/>
    <m/>
    <n v="0"/>
    <n v="0"/>
    <n v="0"/>
    <n v="-305.40600000000086"/>
    <n v="1731.717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90"/>
    <s v="Regular"/>
    <s v="Verde"/>
    <s v="A4"/>
    <s v="Comercial"/>
    <s v="Não se aplica"/>
    <s v="Não se aplica"/>
    <s v="Não se aplica"/>
    <s v="Não se aplica"/>
    <s v="CATIVO"/>
    <x v="2"/>
    <n v="923"/>
    <n v="923"/>
    <n v="0"/>
    <n v="0"/>
    <n v="0"/>
    <n v="0"/>
    <n v="47.39"/>
    <m/>
    <m/>
    <n v="43740.97"/>
    <m/>
    <n v="43740.97"/>
    <n v="29739.059999999998"/>
    <n v="0"/>
    <n v="0"/>
    <n v="0"/>
    <n v="0"/>
    <n v="0"/>
    <n v="23047.402465646839"/>
    <n v="20693.5374678083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9.03"/>
    <n v="62.93"/>
    <n v="46641.55"/>
    <n v="11"/>
    <m/>
    <m/>
    <m/>
    <m/>
    <m/>
    <m/>
    <m/>
    <m/>
    <m/>
    <n v="0"/>
    <m/>
    <m/>
    <m/>
    <m/>
    <m/>
    <m/>
    <m/>
    <m/>
    <m/>
    <m/>
    <m/>
    <m/>
    <n v="29739.059999999998"/>
    <n v="-14001.94000000001"/>
    <m/>
    <m/>
    <m/>
    <m/>
    <n v="-14001.910000000002"/>
    <n v="0"/>
    <n v="30"/>
    <n v="-104.1757087170663"/>
    <n v="0"/>
    <n v="0"/>
    <n v="0"/>
    <n v="0"/>
    <m/>
    <m/>
    <m/>
    <n v="-104.175708717066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693.537467808328"/>
    <m/>
    <n v="0"/>
    <n v="0"/>
    <n v="-14001.910000000003"/>
    <m/>
    <n v="0"/>
    <m/>
    <n v="-13899.324918913102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91"/>
    <s v="Sistema de Compensação"/>
    <s v="Verde"/>
    <s v="A4"/>
    <s v="Comercial"/>
    <s v="Não se aplica"/>
    <s v="Não se aplica"/>
    <s v="Não se aplica"/>
    <s v="Não se aplica"/>
    <s v="CATIVO"/>
    <x v="2"/>
    <n v="60"/>
    <n v="60"/>
    <n v="0"/>
    <n v="0"/>
    <n v="0"/>
    <n v="0"/>
    <n v="47.39"/>
    <m/>
    <m/>
    <n v="2843.4"/>
    <m/>
    <n v="2843.4"/>
    <n v="1933.1999999999998"/>
    <n v="0"/>
    <n v="0"/>
    <n v="0"/>
    <n v="0"/>
    <n v="0"/>
    <n v="1498.206010767942"/>
    <n v="1345.19203474376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.68"/>
    <n v="0.95"/>
    <n v="532.77"/>
    <n v="1"/>
    <m/>
    <m/>
    <m/>
    <m/>
    <m/>
    <m/>
    <m/>
    <m/>
    <m/>
    <n v="0"/>
    <m/>
    <m/>
    <m/>
    <m/>
    <m/>
    <m/>
    <m/>
    <m/>
    <m/>
    <m/>
    <m/>
    <m/>
    <n v="1933.1999999999998"/>
    <n v="-910.23000000000093"/>
    <m/>
    <m/>
    <m/>
    <m/>
    <n v="-910.2"/>
    <n v="0"/>
    <n v="30"/>
    <n v="-6.7719853987259739"/>
    <n v="0"/>
    <n v="0"/>
    <n v="0"/>
    <n v="0"/>
    <m/>
    <m/>
    <m/>
    <n v="-6.77198539872597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45.1920347437699"/>
    <m/>
    <n v="0"/>
    <n v="0"/>
    <n v="-910.20000000000027"/>
    <m/>
    <n v="0"/>
    <m/>
    <n v="-903.53141401385267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92"/>
    <s v="Regular"/>
    <s v="Convencional"/>
    <s v="B2"/>
    <s v="Rural"/>
    <s v="Não se aplica"/>
    <s v="Não se aplica"/>
    <s v="Não se aplica"/>
    <s v="Não se aplica"/>
    <s v="CATIVO"/>
    <x v="2"/>
    <n v="0"/>
    <n v="0"/>
    <n v="2798.942"/>
    <n v="2798.942"/>
    <n v="2798.942"/>
    <n v="2798.942"/>
    <m/>
    <n v="710.91"/>
    <n v="256.55"/>
    <m/>
    <n v="2707864.4273199998"/>
    <n v="2707864.4273199998"/>
    <n v="1848505.2650600001"/>
    <n v="0"/>
    <n v="172064.06770138183"/>
    <n v="0"/>
    <n v="0"/>
    <n v="0"/>
    <n v="344501.58985782962"/>
    <n v="1334843.6018735741"/>
    <n v="718075.62828175316"/>
    <n v="0"/>
    <n v="0"/>
    <n v="0"/>
    <n v="0"/>
    <n v="0"/>
    <n v="26601.88300412842"/>
    <m/>
    <n v="6145.9298483750154"/>
    <n v="0"/>
    <n v="0"/>
    <n v="0"/>
    <n v="0"/>
    <n v="0"/>
    <n v="0"/>
    <n v="0"/>
    <n v="0"/>
    <n v="0"/>
    <n v="0"/>
    <n v="0"/>
    <n v="0"/>
    <m/>
    <n v="0"/>
    <n v="0"/>
    <n v="4171.3201654141658"/>
    <n v="0"/>
    <n v="0"/>
    <n v="101471.17026995978"/>
    <n v="0"/>
    <n v="2364.38"/>
    <n v="857.4"/>
    <n v="226487.29"/>
    <n v="10222"/>
    <m/>
    <m/>
    <m/>
    <m/>
    <m/>
    <n v="221816.15349999993"/>
    <m/>
    <m/>
    <m/>
    <n v="823718.11871712701"/>
    <m/>
    <m/>
    <m/>
    <m/>
    <m/>
    <m/>
    <m/>
    <m/>
    <m/>
    <m/>
    <m/>
    <m/>
    <n v="1626687.9492000001"/>
    <n v="-756247.33133999957"/>
    <m/>
    <m/>
    <m/>
    <m/>
    <n v="-904114.24483999994"/>
    <n v="44755.082580000024"/>
    <n v="30"/>
    <n v="37207.136890522437"/>
    <n v="0"/>
    <n v="0"/>
    <n v="0"/>
    <n v="0"/>
    <n v="0"/>
    <n v="0"/>
    <n v="0"/>
    <n v="-1557.1688536735601"/>
    <n v="0"/>
    <n v="0"/>
    <n v="44735.012388520641"/>
    <n v="0"/>
    <n v="0"/>
    <n v="259.86686071327404"/>
    <n v="6321.4985724640865"/>
    <n v="0"/>
    <n v="-10699.606782557035"/>
    <m/>
    <n v="0"/>
    <n v="0"/>
    <n v="0"/>
    <n v="0"/>
    <n v="-1459.7169010280304"/>
    <n v="-392.74839391698424"/>
    <n v="0"/>
    <n v="0"/>
    <m/>
    <m/>
    <m/>
    <n v="1334843.6018735741"/>
    <n v="0"/>
    <n v="0"/>
    <n v="-904114.24483999982"/>
    <n v="44755.082580000046"/>
    <n v="0"/>
    <n v="0"/>
    <n v="-896580.63379620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93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12.622999999999999"/>
    <n v="-12.622999999999999"/>
    <n v="-12.622999999999999"/>
    <n v="-12.622999999999999"/>
    <m/>
    <n v="710.91"/>
    <n v="256.55"/>
    <m/>
    <n v="-12212.247579999999"/>
    <n v="-12212.247579999999"/>
    <n v="-8336.6078899999993"/>
    <n v="0"/>
    <n v="-775.99490328650711"/>
    <n v="0"/>
    <n v="0"/>
    <n v="0"/>
    <n v="-1553.6740556879647"/>
    <n v="-6020.0357086535287"/>
    <n v="-3238.4624818236925"/>
    <n v="0"/>
    <n v="0"/>
    <n v="0"/>
    <n v="0"/>
    <n v="0"/>
    <n v="-119.97232138469215"/>
    <m/>
    <n v="-27.717642050474005"/>
    <n v="0"/>
    <n v="0"/>
    <n v="0"/>
    <n v="0"/>
    <n v="0"/>
    <n v="0"/>
    <n v="0"/>
    <n v="0"/>
    <n v="0"/>
    <n v="0"/>
    <n v="0"/>
    <n v="0"/>
    <m/>
    <n v="0"/>
    <n v="0"/>
    <n v="-18.812313527048079"/>
    <n v="0"/>
    <n v="0"/>
    <n v="-457.62669691537093"/>
    <n v="0"/>
    <n v="-8.81"/>
    <n v="-3.12"/>
    <n v="-47.05"/>
    <n v="0"/>
    <m/>
    <m/>
    <m/>
    <m/>
    <m/>
    <n v="-1000.3727499999997"/>
    <m/>
    <m/>
    <m/>
    <n v="-3714.9014922661113"/>
    <m/>
    <m/>
    <m/>
    <m/>
    <m/>
    <m/>
    <m/>
    <m/>
    <m/>
    <m/>
    <m/>
    <m/>
    <n v="-7334.4916000000003"/>
    <n v="3412.3219099999997"/>
    <m/>
    <m/>
    <m/>
    <m/>
    <n v="4077.4814599999995"/>
    <n v="-201.84177000000011"/>
    <n v="30"/>
    <n v="-167.80115092383585"/>
    <n v="0"/>
    <n v="0"/>
    <n v="0"/>
    <n v="0"/>
    <n v="0"/>
    <n v="0"/>
    <n v="0"/>
    <n v="7.0227044504395053"/>
    <n v="0"/>
    <n v="0"/>
    <n v="-201.7512550743445"/>
    <n v="0"/>
    <n v="0"/>
    <n v="-1.1719783342361758"/>
    <n v="-28.509442668056124"/>
    <n v="0"/>
    <n v="48.254353400755576"/>
    <m/>
    <n v="0"/>
    <n v="0"/>
    <n v="0"/>
    <n v="0"/>
    <n v="6.583204097004085"/>
    <n v="1.7712632046016275"/>
    <n v="0"/>
    <n v="0"/>
    <m/>
    <m/>
    <m/>
    <n v="-6020.0357086535287"/>
    <n v="0"/>
    <n v="0"/>
    <n v="4077.4814599999991"/>
    <n v="-201.84177000000045"/>
    <n v="0"/>
    <n v="0"/>
    <n v="4043.5054890060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94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95.204999999999998"/>
    <n v="95.204999999999998"/>
    <n v="95.204999999999998"/>
    <n v="95.204999999999998"/>
    <m/>
    <n v="710.91"/>
    <n v="256.55"/>
    <m/>
    <n v="92107.029299999995"/>
    <n v="92107.029299999995"/>
    <n v="62876.238149999997"/>
    <n v="0"/>
    <n v="5852.6970424932197"/>
    <n v="0"/>
    <n v="0"/>
    <n v="0"/>
    <n v="11718.09700323003"/>
    <n v="45404.222422748891"/>
    <n v="24425.082831500011"/>
    <n v="0"/>
    <n v="0"/>
    <n v="0"/>
    <n v="0"/>
    <n v="0"/>
    <n v="904.85343083495343"/>
    <m/>
    <n v="209.05158135271947"/>
    <n v="0"/>
    <n v="0"/>
    <n v="0"/>
    <n v="0"/>
    <n v="0"/>
    <n v="0"/>
    <n v="0"/>
    <n v="0"/>
    <n v="0"/>
    <n v="0"/>
    <n v="0"/>
    <n v="0"/>
    <m/>
    <n v="0"/>
    <n v="0"/>
    <n v="141.88594702864711"/>
    <n v="0"/>
    <n v="0"/>
    <n v="3451.5051635766372"/>
    <n v="0"/>
    <n v="77.150000000000006"/>
    <n v="27.49"/>
    <n v="3742.21"/>
    <n v="146"/>
    <m/>
    <m/>
    <m/>
    <m/>
    <m/>
    <n v="7544.9962499999965"/>
    <m/>
    <m/>
    <m/>
    <n v="28018.473942105295"/>
    <m/>
    <m/>
    <m/>
    <m/>
    <m/>
    <m/>
    <m/>
    <m/>
    <m/>
    <m/>
    <m/>
    <m/>
    <n v="55334.147799999999"/>
    <n v="-25720.563050000004"/>
    <m/>
    <m/>
    <m/>
    <m/>
    <n v="-30753.119099999996"/>
    <n v="1522.3279500000008"/>
    <n v="30"/>
    <n v="1265.5873067974244"/>
    <n v="0"/>
    <n v="0"/>
    <n v="0"/>
    <n v="0"/>
    <n v="0"/>
    <n v="0"/>
    <n v="0"/>
    <n v="-52.966535467327049"/>
    <n v="0"/>
    <n v="0"/>
    <n v="1521.6452696944471"/>
    <n v="0"/>
    <n v="0"/>
    <n v="8.8392772962810113"/>
    <n v="215.02348801491553"/>
    <n v="0"/>
    <n v="-363.94325560634843"/>
    <m/>
    <n v="0"/>
    <n v="0"/>
    <n v="0"/>
    <n v="0"/>
    <n v="-49.651742537849486"/>
    <n v="-13.359194596696341"/>
    <n v="0"/>
    <n v="0"/>
    <m/>
    <m/>
    <m/>
    <n v="45404.222422748891"/>
    <n v="0"/>
    <n v="0"/>
    <n v="-30753.119100000004"/>
    <n v="1522.3279500000026"/>
    <n v="0"/>
    <n v="0"/>
    <n v="-30496.866044586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95"/>
    <s v="Regular"/>
    <s v="Verde"/>
    <s v="A4"/>
    <s v="Rural"/>
    <s v="Não se aplica"/>
    <s v="Não se aplica"/>
    <s v="Não se aplica"/>
    <s v="Ponta"/>
    <s v="CATIVO"/>
    <x v="2"/>
    <n v="0"/>
    <n v="0"/>
    <n v="12.464"/>
    <n v="11.965439999999999"/>
    <n v="12.464"/>
    <n v="11.965439999999999"/>
    <m/>
    <n v="3130.62"/>
    <n v="256.55"/>
    <m/>
    <n v="42217.686880000001"/>
    <n v="42217.686880000001"/>
    <n v="22218.700320000004"/>
    <n v="0"/>
    <n v="666.61177318148077"/>
    <n v="0"/>
    <n v="0"/>
    <n v="0"/>
    <n v="8029.4808938487276"/>
    <n v="29965.308935863708"/>
    <n v="3197.6706308682965"/>
    <n v="0"/>
    <n v="0"/>
    <n v="0"/>
    <n v="0"/>
    <n v="0"/>
    <n v="118.46114344758006"/>
    <m/>
    <n v="16.814621455370794"/>
    <n v="0"/>
    <n v="0"/>
    <n v="0"/>
    <n v="0"/>
    <n v="0"/>
    <n v="0"/>
    <n v="0"/>
    <n v="0"/>
    <n v="0"/>
    <n v="0"/>
    <n v="0"/>
    <n v="0"/>
    <m/>
    <n v="0"/>
    <n v="0"/>
    <n v="15.355962307258576"/>
    <n v="0"/>
    <n v="0"/>
    <n v="208.01528809482781"/>
    <n v="0"/>
    <n v="0"/>
    <n v="0"/>
    <n v="0"/>
    <n v="0"/>
    <m/>
    <m/>
    <m/>
    <m/>
    <m/>
    <n v="888.74801280000224"/>
    <m/>
    <m/>
    <m/>
    <n v="3421.0418812703829"/>
    <m/>
    <m/>
    <m/>
    <m/>
    <m/>
    <m/>
    <m/>
    <m/>
    <m/>
    <m/>
    <m/>
    <m/>
    <n v="21338.081100000003"/>
    <n v="-19190.9283048"/>
    <m/>
    <m/>
    <m/>
    <m/>
    <n v="-20198.285920000002"/>
    <n v="199.29936000000012"/>
    <n v="30"/>
    <n v="127.80462440671181"/>
    <n v="0"/>
    <n v="0"/>
    <n v="0"/>
    <n v="0"/>
    <n v="0"/>
    <n v="0"/>
    <n v="0"/>
    <n v="-36.293758656470345"/>
    <n v="0"/>
    <n v="0"/>
    <n v="199.2099852053102"/>
    <n v="0"/>
    <n v="0"/>
    <n v="0.95665294433771919"/>
    <n v="12.959034011766533"/>
    <n v="0"/>
    <n v="-41.452488860390417"/>
    <m/>
    <n v="0"/>
    <n v="0"/>
    <n v="0"/>
    <n v="0"/>
    <n v="-6.5002816973032367"/>
    <n v="-1.0745185405370723"/>
    <n v="0"/>
    <n v="0"/>
    <m/>
    <m/>
    <m/>
    <n v="29965.308935863708"/>
    <n v="0"/>
    <n v="0"/>
    <n v="-20198.285920000002"/>
    <n v="199.29936000000043"/>
    <n v="0"/>
    <n v="0"/>
    <n v="-20126.938946185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96"/>
    <s v="Regular"/>
    <s v="Verde"/>
    <s v="A4"/>
    <s v="Rural"/>
    <s v="Não se aplica"/>
    <s v="Não se aplica"/>
    <s v="Não se aplica"/>
    <s v="Fora ponta"/>
    <s v="CATIVO"/>
    <x v="2"/>
    <n v="0"/>
    <n v="0"/>
    <n v="130.72"/>
    <n v="125.49120000000001"/>
    <n v="130.72"/>
    <n v="125.49120000000001"/>
    <m/>
    <n v="82.26"/>
    <n v="256.55"/>
    <m/>
    <n v="44289.243199999997"/>
    <n v="44289.243199999997"/>
    <n v="46010.825600000004"/>
    <n v="0"/>
    <n v="6991.2942065374809"/>
    <n v="0"/>
    <n v="0"/>
    <n v="0"/>
    <n v="0"/>
    <n v="0"/>
    <n v="33536.545640813842"/>
    <n v="0"/>
    <n v="0"/>
    <n v="0"/>
    <n v="0"/>
    <n v="0"/>
    <n v="1242.3973581087664"/>
    <m/>
    <n v="176.3484689221815"/>
    <n v="0"/>
    <n v="0"/>
    <n v="0"/>
    <n v="0"/>
    <n v="0"/>
    <n v="0"/>
    <n v="0"/>
    <n v="0"/>
    <n v="0"/>
    <n v="0"/>
    <n v="0"/>
    <n v="0"/>
    <m/>
    <n v="0"/>
    <n v="0"/>
    <n v="161.0503363931997"/>
    <n v="0"/>
    <n v="0"/>
    <n v="2181.6237531896577"/>
    <n v="0"/>
    <n v="0"/>
    <n v="0"/>
    <n v="0"/>
    <n v="0"/>
    <m/>
    <m/>
    <m/>
    <m/>
    <m/>
    <n v="1840.4330239999974"/>
    <m/>
    <m/>
    <m/>
    <n v="35879.219730396697"/>
    <m/>
    <m/>
    <m/>
    <m/>
    <m/>
    <m/>
    <m/>
    <m/>
    <m/>
    <m/>
    <m/>
    <m/>
    <n v="44169.970199999996"/>
    <n v="1652.2667279999951"/>
    <m/>
    <m/>
    <m/>
    <m/>
    <n v="-368.63040000000098"/>
    <n v="2090.2128000000012"/>
    <n v="30"/>
    <n v="1721.0318223699724"/>
    <n v="0"/>
    <n v="0"/>
    <n v="0"/>
    <n v="0"/>
    <n v="0"/>
    <n v="0"/>
    <n v="0"/>
    <n v="0"/>
    <n v="0"/>
    <n v="0"/>
    <n v="2089.2754545922726"/>
    <n v="0"/>
    <n v="0"/>
    <n v="10.033189416224843"/>
    <n v="135.91182012340505"/>
    <n v="0"/>
    <n v="-434.74561487726533"/>
    <m/>
    <n v="0"/>
    <n v="0"/>
    <n v="0"/>
    <n v="0"/>
    <n v="-68.173686093668266"/>
    <n v="-11.269340790998569"/>
    <n v="0"/>
    <n v="0"/>
    <m/>
    <m/>
    <m/>
    <n v="0"/>
    <n v="0"/>
    <n v="0"/>
    <n v="-368.63040000000001"/>
    <n v="2090.2128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97"/>
    <s v="Regular"/>
    <s v="Verde"/>
    <s v="A4"/>
    <s v="Rural"/>
    <s v="Não se aplica"/>
    <s v="Não se aplica"/>
    <s v="Não se aplica"/>
    <s v="Não se aplica"/>
    <s v="CATIVO"/>
    <x v="2"/>
    <n v="864"/>
    <n v="829.44"/>
    <n v="0"/>
    <n v="0"/>
    <n v="0"/>
    <n v="0"/>
    <n v="47.39"/>
    <m/>
    <m/>
    <n v="40944.959999999999"/>
    <m/>
    <n v="40944.959999999999"/>
    <n v="27838.079999999998"/>
    <n v="0"/>
    <n v="0"/>
    <n v="0"/>
    <n v="0"/>
    <n v="0"/>
    <n v="21574.166555058364"/>
    <n v="19370.7653003102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8.85"/>
    <n v="48.82"/>
    <n v="7319.18"/>
    <n v="7"/>
    <m/>
    <m/>
    <m/>
    <m/>
    <m/>
    <n v="1113.5231999999983"/>
    <m/>
    <m/>
    <m/>
    <n v="0"/>
    <m/>
    <m/>
    <m/>
    <m/>
    <m/>
    <m/>
    <m/>
    <m/>
    <m/>
    <m/>
    <m/>
    <m/>
    <n v="26724.556800000002"/>
    <n v="-12582.634800000003"/>
    <m/>
    <m/>
    <m/>
    <m/>
    <n v="-13106.880000000001"/>
    <n v="0"/>
    <n v="30"/>
    <n v="-97.516589741651842"/>
    <n v="0"/>
    <n v="0"/>
    <n v="0"/>
    <n v="0"/>
    <m/>
    <m/>
    <m/>
    <n v="-97.5165897416518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370.765300310286"/>
    <m/>
    <n v="0"/>
    <n v="0"/>
    <n v="-13106.880000000001"/>
    <m/>
    <n v="0"/>
    <m/>
    <n v="-13010.852361799478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98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138.65799999999999"/>
    <n v="138.65799999999999"/>
    <n v="138.65799999999999"/>
    <n v="138.65799999999999"/>
    <m/>
    <n v="710.91"/>
    <n v="256.55"/>
    <m/>
    <n v="134146.06867999997"/>
    <n v="134146.06867999997"/>
    <n v="91573.90294"/>
    <n v="0"/>
    <n v="8523.9563732789757"/>
    <n v="0"/>
    <n v="0"/>
    <n v="0"/>
    <n v="17066.413468555951"/>
    <n v="66127.395333160181"/>
    <n v="35573.059558322864"/>
    <n v="0"/>
    <n v="0"/>
    <n v="0"/>
    <n v="0"/>
    <n v="0"/>
    <n v="1317.8422037993064"/>
    <m/>
    <n v="304.465880649182"/>
    <n v="0"/>
    <n v="0"/>
    <n v="0"/>
    <n v="0"/>
    <n v="0"/>
    <n v="0"/>
    <n v="0"/>
    <n v="0"/>
    <n v="0"/>
    <n v="0"/>
    <n v="0"/>
    <n v="0"/>
    <m/>
    <n v="0"/>
    <n v="0"/>
    <n v="206.64483633315635"/>
    <n v="0"/>
    <n v="0"/>
    <n v="5026.8242526254853"/>
    <n v="0"/>
    <n v="165.39"/>
    <n v="58.18"/>
    <n v="42053.19"/>
    <n v="268"/>
    <m/>
    <m/>
    <m/>
    <m/>
    <m/>
    <m/>
    <m/>
    <m/>
    <m/>
    <n v="40806.528647281506"/>
    <m/>
    <m/>
    <m/>
    <m/>
    <m/>
    <m/>
    <m/>
    <m/>
    <m/>
    <m/>
    <m/>
    <m/>
    <n v="91575.223800000007"/>
    <n v="-42570.874879999988"/>
    <m/>
    <m/>
    <m/>
    <m/>
    <n v="-44789.307159999997"/>
    <n v="2217.1414200000008"/>
    <n v="30"/>
    <n v="1843.2204693652311"/>
    <n v="0"/>
    <n v="0"/>
    <n v="0"/>
    <n v="0"/>
    <n v="0"/>
    <n v="0"/>
    <n v="0"/>
    <n v="-77.141262274340988"/>
    <n v="0"/>
    <n v="0"/>
    <n v="2216.1471540916173"/>
    <n v="0"/>
    <n v="0"/>
    <n v="12.873656964946491"/>
    <n v="313.16345571316833"/>
    <n v="0"/>
    <n v="-530.05245455454133"/>
    <m/>
    <n v="0"/>
    <n v="0"/>
    <n v="0"/>
    <n v="0"/>
    <n v="-72.313547784392995"/>
    <n v="-19.456532791226493"/>
    <n v="0"/>
    <n v="0"/>
    <m/>
    <m/>
    <m/>
    <n v="66127.395333160181"/>
    <n v="0"/>
    <n v="0"/>
    <n v="-44789.307159999989"/>
    <n v="2217.1414199999999"/>
    <n v="0"/>
    <n v="0"/>
    <n v="-44416.096339586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99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208.405"/>
    <n v="208.405"/>
    <n v="208.405"/>
    <n v="208.405"/>
    <m/>
    <n v="391"/>
    <n v="141.1"/>
    <m/>
    <n v="110892.3005"/>
    <n v="110892.3005"/>
    <n v="75698.948149999997"/>
    <n v="0"/>
    <n v="7046.3970372085614"/>
    <n v="0"/>
    <n v="0"/>
    <n v="0"/>
    <n v="14108.087844934456"/>
    <n v="54664.74277303851"/>
    <n v="29406.75556036265"/>
    <n v="0"/>
    <n v="0"/>
    <n v="0"/>
    <n v="0"/>
    <n v="0"/>
    <n v="1089.4048483717991"/>
    <m/>
    <n v="251.68916702376529"/>
    <n v="0"/>
    <n v="0"/>
    <n v="0"/>
    <n v="0"/>
    <n v="0"/>
    <n v="0"/>
    <n v="0"/>
    <n v="0"/>
    <n v="0"/>
    <n v="0"/>
    <n v="0"/>
    <n v="0"/>
    <m/>
    <n v="0"/>
    <n v="0"/>
    <n v="170.82461461874766"/>
    <n v="0"/>
    <n v="0"/>
    <n v="4155.4646655990209"/>
    <n v="0"/>
    <n v="147.76"/>
    <n v="52.03"/>
    <n v="26368.639999999999"/>
    <n v="26"/>
    <m/>
    <m/>
    <m/>
    <m/>
    <m/>
    <m/>
    <m/>
    <m/>
    <m/>
    <n v="33733.04484058042"/>
    <m/>
    <m/>
    <m/>
    <m/>
    <m/>
    <m/>
    <m/>
    <m/>
    <m/>
    <m/>
    <m/>
    <m/>
    <n v="75700.764299999995"/>
    <n v="-35191.566199999987"/>
    <m/>
    <m/>
    <m/>
    <m/>
    <n v="-37025.232299999996"/>
    <n v="1831.8799499999984"/>
    <n v="30"/>
    <n v="1523.7130137095082"/>
    <n v="0"/>
    <n v="0"/>
    <n v="0"/>
    <n v="0"/>
    <n v="0"/>
    <n v="0"/>
    <n v="0"/>
    <n v="-63.769444390929493"/>
    <n v="0"/>
    <n v="0"/>
    <n v="1831.9958545966329"/>
    <n v="0"/>
    <n v="0"/>
    <n v="10.642111986894321"/>
    <n v="258.87908734688699"/>
    <n v="0"/>
    <n v="-438.17212122843466"/>
    <m/>
    <n v="0"/>
    <n v="0"/>
    <n v="0"/>
    <n v="0"/>
    <n v="-59.778575410747635"/>
    <n v="-16.083899190784365"/>
    <n v="0"/>
    <n v="0"/>
    <m/>
    <m/>
    <m/>
    <n v="54664.74277303851"/>
    <n v="0"/>
    <n v="0"/>
    <n v="-37025.232299999996"/>
    <n v="1831.8799499999986"/>
    <n v="0"/>
    <n v="0"/>
    <n v="-36716.922981063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00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32.029000000000003"/>
    <n v="30.10726"/>
    <n v="32.029000000000003"/>
    <n v="30.10726"/>
    <m/>
    <n v="710.91"/>
    <n v="256.55"/>
    <m/>
    <n v="30986.776340000004"/>
    <n v="30986.776340000004"/>
    <n v="21152.912470000003"/>
    <n v="0"/>
    <n v="1968.9725704954085"/>
    <n v="0"/>
    <n v="0"/>
    <n v="0"/>
    <n v="3942.218674612202"/>
    <n v="15274.952365718444"/>
    <n v="8217.1207185558942"/>
    <n v="0"/>
    <n v="0"/>
    <n v="0"/>
    <n v="0"/>
    <n v="0"/>
    <n v="304.41206382241194"/>
    <m/>
    <n v="70.329427016924029"/>
    <n v="0"/>
    <n v="0"/>
    <n v="0"/>
    <n v="0"/>
    <n v="0"/>
    <n v="0"/>
    <n v="0"/>
    <n v="0"/>
    <n v="0"/>
    <n v="0"/>
    <n v="0"/>
    <n v="0"/>
    <m/>
    <n v="0"/>
    <n v="0"/>
    <n v="47.733469853269675"/>
    <n v="0"/>
    <n v="0"/>
    <n v="1161.160221461017"/>
    <n v="0"/>
    <n v="37.549999999999997"/>
    <n v="13.21"/>
    <n v="10432.25"/>
    <n v="9"/>
    <m/>
    <m/>
    <m/>
    <m/>
    <n v="1269.1747482000023"/>
    <m/>
    <m/>
    <m/>
    <m/>
    <n v="9426.0144098701821"/>
    <m/>
    <m/>
    <m/>
    <m/>
    <m/>
    <m/>
    <m/>
    <m/>
    <m/>
    <m/>
    <m/>
    <m/>
    <n v="19885.547299999998"/>
    <n v="-9242.0524595999959"/>
    <m/>
    <m/>
    <m/>
    <m/>
    <n v="-10346.007580000001"/>
    <n v="512.1437100000004"/>
    <n v="30"/>
    <n v="425.77066172379818"/>
    <n v="0"/>
    <n v="0"/>
    <n v="0"/>
    <n v="0"/>
    <n v="0"/>
    <n v="0"/>
    <n v="0"/>
    <n v="-17.819076356105597"/>
    <n v="0"/>
    <n v="0"/>
    <n v="511.91404173145747"/>
    <n v="0"/>
    <n v="0"/>
    <n v="2.9737220999168485"/>
    <n v="72.338504255340922"/>
    <n v="0"/>
    <n v="-122.43830191498068"/>
    <m/>
    <n v="0"/>
    <n v="0"/>
    <n v="0"/>
    <n v="0"/>
    <n v="-16.703909056717407"/>
    <n v="-4.4943190351093563"/>
    <n v="0"/>
    <n v="0"/>
    <m/>
    <m/>
    <m/>
    <n v="15274.952365718444"/>
    <n v="0"/>
    <n v="0"/>
    <n v="-10346.007580000001"/>
    <n v="512.14371000000028"/>
    <n v="0"/>
    <n v="0"/>
    <n v="-10259.798566693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01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1.661"/>
    <n v="1.56134"/>
    <n v="1.661"/>
    <n v="1.56134"/>
    <m/>
    <n v="3130.62"/>
    <n v="256.55"/>
    <m/>
    <n v="5626.0893699999997"/>
    <n v="5626.0893699999997"/>
    <n v="2960.9484299999999"/>
    <n v="0"/>
    <n v="88.835217847756709"/>
    <n v="0"/>
    <n v="0"/>
    <n v="0"/>
    <n v="1070.0391338801937"/>
    <n v="3993.2909292738782"/>
    <n v="426.13373859693843"/>
    <n v="0"/>
    <n v="0"/>
    <n v="0"/>
    <n v="0"/>
    <n v="0"/>
    <n v="15.786582097755975"/>
    <m/>
    <n v="2.2407803463872664"/>
    <n v="0"/>
    <n v="0"/>
    <n v="0"/>
    <n v="0"/>
    <n v="0"/>
    <n v="0"/>
    <n v="0"/>
    <n v="0"/>
    <n v="0"/>
    <n v="0"/>
    <n v="0"/>
    <n v="0"/>
    <m/>
    <n v="0"/>
    <n v="0"/>
    <n v="2.0463938857795649"/>
    <n v="0"/>
    <n v="0"/>
    <n v="27.720907696205792"/>
    <n v="0"/>
    <n v="0"/>
    <n v="0"/>
    <n v="0"/>
    <n v="0"/>
    <m/>
    <m/>
    <m/>
    <m/>
    <n v="177.65690580000012"/>
    <m/>
    <m/>
    <m/>
    <m/>
    <n v="455.90104017892378"/>
    <m/>
    <m/>
    <m/>
    <m/>
    <m/>
    <m/>
    <m/>
    <m/>
    <m/>
    <m/>
    <m/>
    <m/>
    <n v="2780.9028000000003"/>
    <n v="-2507.6512078000001"/>
    <m/>
    <m/>
    <m/>
    <m/>
    <n v="-2691.7003300000001"/>
    <n v="26.559390000000015"/>
    <n v="30"/>
    <n v="17.031729873199083"/>
    <n v="0"/>
    <n v="0"/>
    <n v="0"/>
    <n v="0"/>
    <n v="0"/>
    <n v="0"/>
    <n v="0"/>
    <n v="-4.8366441855259836"/>
    <n v="0"/>
    <n v="0"/>
    <n v="26.547479575258365"/>
    <n v="0"/>
    <n v="0"/>
    <n v="0.12748720639802213"/>
    <n v="1.7269701134101574"/>
    <n v="0"/>
    <n v="-5.5241161743508229"/>
    <m/>
    <n v="0"/>
    <n v="0"/>
    <n v="0"/>
    <n v="0"/>
    <n v="-0.86625223838420062"/>
    <n v="-0.14319442360655321"/>
    <n v="0"/>
    <n v="0"/>
    <m/>
    <m/>
    <m/>
    <n v="3993.2909292738782"/>
    <n v="0"/>
    <n v="0"/>
    <n v="-2691.7003300000001"/>
    <n v="26.559390000000008"/>
    <n v="0"/>
    <n v="0"/>
    <n v="-2682.1923611692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02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16.683"/>
    <n v="15.68202"/>
    <n v="16.683"/>
    <n v="15.68202"/>
    <m/>
    <n v="82.26"/>
    <n v="256.55"/>
    <m/>
    <n v="5652.3672299999998"/>
    <n v="5652.3672299999998"/>
    <n v="5872.0823399999999"/>
    <n v="0"/>
    <n v="892.25643549315168"/>
    <n v="0"/>
    <n v="0"/>
    <n v="0"/>
    <n v="0"/>
    <n v="0"/>
    <n v="4280.0657200558235"/>
    <n v="0"/>
    <n v="0"/>
    <n v="0"/>
    <n v="0"/>
    <n v="0"/>
    <n v="158.55963223170556"/>
    <m/>
    <n v="22.506284478494138"/>
    <n v="0"/>
    <n v="0"/>
    <n v="0"/>
    <n v="0"/>
    <n v="0"/>
    <n v="0"/>
    <n v="0"/>
    <n v="0"/>
    <n v="0"/>
    <n v="0"/>
    <n v="0"/>
    <n v="0"/>
    <m/>
    <n v="0"/>
    <n v="0"/>
    <n v="20.553876698651703"/>
    <n v="0"/>
    <n v="0"/>
    <n v="278.42739500048236"/>
    <n v="0"/>
    <n v="0"/>
    <n v="0"/>
    <n v="0"/>
    <n v="0"/>
    <m/>
    <m/>
    <m/>
    <m/>
    <n v="352.32494040000006"/>
    <m/>
    <m/>
    <m/>
    <m/>
    <n v="4579.0469917549581"/>
    <m/>
    <m/>
    <m/>
    <m/>
    <m/>
    <m/>
    <m/>
    <m/>
    <m/>
    <m/>
    <m/>
    <m/>
    <n v="5519.0464000000002"/>
    <n v="205.79120379999949"/>
    <m/>
    <m/>
    <m/>
    <m/>
    <n v="-47.046060000000125"/>
    <n v="266.76117000000016"/>
    <n v="30"/>
    <n v="219.64484311963042"/>
    <n v="0"/>
    <n v="0"/>
    <n v="0"/>
    <n v="0"/>
    <n v="0"/>
    <n v="0"/>
    <n v="0"/>
    <n v="0"/>
    <n v="0"/>
    <n v="0"/>
    <n v="266.64154229622818"/>
    <n v="0"/>
    <n v="0"/>
    <n v="1.2804750537857963"/>
    <n v="17.345600482854707"/>
    <n v="0"/>
    <n v="-55.483943489882336"/>
    <m/>
    <n v="0"/>
    <n v="0"/>
    <n v="0"/>
    <n v="0"/>
    <n v="-8.7005936742707206"/>
    <n v="-1.4382375490837589"/>
    <n v="0"/>
    <n v="0"/>
    <m/>
    <m/>
    <m/>
    <n v="0"/>
    <n v="0"/>
    <n v="0"/>
    <n v="-47.046060000000125"/>
    <n v="266.7611699999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03"/>
    <s v="Regular"/>
    <s v="Verde"/>
    <s v="A4"/>
    <s v="Serviço público"/>
    <s v="Água, esgoto e saneamento"/>
    <s v="Não se aplica"/>
    <s v="Não se aplica"/>
    <s v="Não se aplica"/>
    <s v="CATIVO"/>
    <x v="2"/>
    <n v="79"/>
    <n v="74.260000000000005"/>
    <n v="0"/>
    <n v="0"/>
    <n v="0"/>
    <n v="0"/>
    <n v="47.39"/>
    <m/>
    <m/>
    <n v="3743.81"/>
    <m/>
    <n v="3743.81"/>
    <n v="2545.38"/>
    <n v="0"/>
    <n v="0"/>
    <n v="0"/>
    <n v="0"/>
    <n v="0"/>
    <n v="1972.6379141777902"/>
    <n v="1771.16951241263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.51"/>
    <n v="7.57"/>
    <n v="5853.6"/>
    <n v="1"/>
    <m/>
    <m/>
    <m/>
    <m/>
    <n v="152.72279999999984"/>
    <m/>
    <m/>
    <m/>
    <m/>
    <n v="0"/>
    <m/>
    <m/>
    <m/>
    <m/>
    <m/>
    <m/>
    <m/>
    <m/>
    <m/>
    <m/>
    <m/>
    <m/>
    <n v="2392.6572000000001"/>
    <n v="-1126.5542000000009"/>
    <m/>
    <m/>
    <m/>
    <m/>
    <n v="-1198.43"/>
    <n v="0"/>
    <n v="30"/>
    <n v="-8.9164474416556914"/>
    <n v="0"/>
    <n v="0"/>
    <n v="0"/>
    <n v="0"/>
    <m/>
    <m/>
    <m/>
    <n v="-8.91644744165569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71.1695124126304"/>
    <m/>
    <n v="0"/>
    <n v="0"/>
    <n v="-1198.4299999999998"/>
    <m/>
    <n v="0"/>
    <m/>
    <n v="-1189.6496951182394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04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0.496"/>
    <n v="0.496"/>
    <n v="0.496"/>
    <n v="0.496"/>
    <m/>
    <n v="710.91"/>
    <n v="256.55"/>
    <m/>
    <n v="479.86016000000001"/>
    <n v="479.86016000000001"/>
    <n v="327.57328000000001"/>
    <n v="0"/>
    <n v="30.491441973390444"/>
    <n v="0"/>
    <n v="0"/>
    <n v="0"/>
    <n v="61.049063742472512"/>
    <n v="236.5473905959083"/>
    <n v="127.2500507790978"/>
    <n v="0"/>
    <n v="0"/>
    <n v="0"/>
    <n v="0"/>
    <n v="0"/>
    <n v="4.7141148226893215"/>
    <m/>
    <n v="1.0891191045738025"/>
    <n v="0"/>
    <n v="0"/>
    <n v="0"/>
    <n v="0"/>
    <n v="0"/>
    <n v="0"/>
    <n v="0"/>
    <n v="0"/>
    <n v="0"/>
    <n v="0"/>
    <n v="0"/>
    <n v="0"/>
    <m/>
    <n v="0"/>
    <n v="0"/>
    <n v="0.73919888373729292"/>
    <n v="0"/>
    <n v="0"/>
    <n v="17.981687528323221"/>
    <n v="0"/>
    <n v="0.59"/>
    <n v="0.21"/>
    <n v="162.79"/>
    <n v="4"/>
    <m/>
    <m/>
    <m/>
    <m/>
    <m/>
    <m/>
    <m/>
    <m/>
    <m/>
    <n v="145.97093719115833"/>
    <m/>
    <m/>
    <m/>
    <m/>
    <m/>
    <m/>
    <m/>
    <m/>
    <m/>
    <m/>
    <m/>
    <m/>
    <n v="330.21500000000003"/>
    <n v="-149.67515999999995"/>
    <m/>
    <m/>
    <m/>
    <m/>
    <n v="-160.21791999999999"/>
    <n v="7.9310400000000048"/>
    <n v="30"/>
    <n v="6.5934699245997876"/>
    <n v="0"/>
    <n v="0"/>
    <n v="0"/>
    <n v="0"/>
    <n v="0"/>
    <n v="0"/>
    <n v="0"/>
    <n v="-0.2759456078125595"/>
    <n v="0"/>
    <n v="0"/>
    <n v="7.9274833650380145"/>
    <n v="0"/>
    <n v="0"/>
    <n v="4.6050958867237757E-2"/>
    <n v="1.1202316060647881"/>
    <n v="0"/>
    <n v="-1.8960753613859467"/>
    <m/>
    <n v="0"/>
    <n v="0"/>
    <n v="0"/>
    <n v="0"/>
    <n v="-0.25867616510449309"/>
    <n v="-6.9598871067290569E-2"/>
    <n v="0"/>
    <n v="0"/>
    <m/>
    <m/>
    <m/>
    <n v="236.5473905959083"/>
    <n v="0"/>
    <n v="0"/>
    <n v="-160.21791999999999"/>
    <n v="7.9310400000000101"/>
    <n v="0"/>
    <n v="0"/>
    <n v="-158.88289016453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05"/>
    <s v="Regular"/>
    <s v="Convencional"/>
    <s v="B1"/>
    <s v="Residencial"/>
    <s v="Residencial"/>
    <s v="Não se aplica"/>
    <s v="Não se aplica"/>
    <s v="Não se aplica"/>
    <s v="CATIVO"/>
    <x v="3"/>
    <n v="0"/>
    <n v="0"/>
    <n v="597.73599999999999"/>
    <n v="597.73599999999999"/>
    <n v="597.73599999999999"/>
    <n v="597.73599999999999"/>
    <m/>
    <n v="710.91"/>
    <n v="256.55"/>
    <m/>
    <n v="578285.67056"/>
    <n v="578285.67056"/>
    <n v="394762.78648000001"/>
    <n v="0"/>
    <n v="36745.630160093766"/>
    <n v="0"/>
    <n v="0"/>
    <n v="0"/>
    <n v="73571.014445908368"/>
    <n v="285066.31263152388"/>
    <n v="153350.67813002985"/>
    <n v="0"/>
    <n v="0"/>
    <n v="0"/>
    <n v="0"/>
    <n v="0"/>
    <n v="5681.0406001109368"/>
    <m/>
    <n v="1312.5114860716258"/>
    <n v="0"/>
    <n v="0"/>
    <n v="0"/>
    <n v="0"/>
    <n v="0"/>
    <n v="0"/>
    <n v="0"/>
    <n v="0"/>
    <n v="0"/>
    <n v="0"/>
    <n v="0"/>
    <n v="0"/>
    <m/>
    <n v="0"/>
    <n v="0"/>
    <n v="890.8181128419244"/>
    <n v="0"/>
    <n v="0"/>
    <n v="21669.963662156872"/>
    <n v="0"/>
    <n v="1216.45"/>
    <n v="6050.73"/>
    <n v="201402.23"/>
    <n v="4151"/>
    <m/>
    <m/>
    <m/>
    <m/>
    <m/>
    <m/>
    <m/>
    <m/>
    <m/>
    <n v="175911.45990502863"/>
    <m/>
    <m/>
    <m/>
    <m/>
    <m/>
    <m/>
    <m/>
    <m/>
    <m/>
    <m/>
    <m/>
    <m/>
    <n v="394765.42819999997"/>
    <n v="-183520.27236000006"/>
    <m/>
    <m/>
    <m/>
    <m/>
    <n v="-193080.68271999998"/>
    <n v="9557.7986400000045"/>
    <n v="31"/>
    <n v="7945.8756831664941"/>
    <n v="0"/>
    <n v="0"/>
    <n v="0"/>
    <n v="0"/>
    <n v="0"/>
    <n v="0"/>
    <n v="0"/>
    <n v="-332.54561256340821"/>
    <n v="0"/>
    <n v="0"/>
    <n v="9553.5124933152401"/>
    <n v="0"/>
    <n v="0"/>
    <n v="55.496604736829113"/>
    <n v="1350.0055630700444"/>
    <n v="0"/>
    <n v="-2284.9848834947334"/>
    <m/>
    <n v="0"/>
    <n v="0"/>
    <n v="0"/>
    <n v="0"/>
    <n v="-311.73398432439444"/>
    <n v="-83.87449757314107"/>
    <n v="0"/>
    <n v="0"/>
    <m/>
    <m/>
    <m/>
    <n v="285066.31263152388"/>
    <n v="0"/>
    <n v="0"/>
    <n v="-193080.68271999998"/>
    <n v="9557.7986400000227"/>
    <n v="0"/>
    <n v="0"/>
    <n v="-191471.82103909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06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2.383"/>
    <n v="-2.383"/>
    <n v="-2.383"/>
    <n v="-2.383"/>
    <m/>
    <n v="710.91"/>
    <n v="256.55"/>
    <m/>
    <n v="-2305.4571799999999"/>
    <n v="-2305.4571799999999"/>
    <n v="-1573.8046899999999"/>
    <n v="0"/>
    <n v="-146.49416577134966"/>
    <n v="0"/>
    <n v="0"/>
    <n v="0"/>
    <n v="-293.30628810143548"/>
    <n v="-1136.4766769960675"/>
    <n v="-611.36465928747998"/>
    <n v="0"/>
    <n v="0"/>
    <n v="0"/>
    <n v="0"/>
    <n v="0"/>
    <n v="-22.648660529170673"/>
    <m/>
    <n v="-5.2326024721761515"/>
    <n v="0"/>
    <n v="0"/>
    <n v="0"/>
    <n v="0"/>
    <n v="0"/>
    <n v="0"/>
    <n v="0"/>
    <n v="0"/>
    <n v="0"/>
    <n v="0"/>
    <n v="0"/>
    <n v="0"/>
    <m/>
    <n v="0"/>
    <n v="0"/>
    <n v="-3.5514333466652603"/>
    <n v="0"/>
    <n v="0"/>
    <n v="-86.391857620956117"/>
    <n v="0"/>
    <n v="-2.98"/>
    <n v="-1.03"/>
    <n v="-822.32"/>
    <n v="0"/>
    <m/>
    <m/>
    <m/>
    <m/>
    <m/>
    <m/>
    <m/>
    <m/>
    <m/>
    <n v="-701.30795025510133"/>
    <m/>
    <m/>
    <m/>
    <m/>
    <m/>
    <m/>
    <m/>
    <m/>
    <m/>
    <m/>
    <m/>
    <m/>
    <n v="-1571.8234"/>
    <n v="733.60377999999969"/>
    <m/>
    <m/>
    <m/>
    <m/>
    <n v="769.75666000000001"/>
    <n v="-38.104170000000025"/>
    <n v="31"/>
    <n v="-31.677900867583276"/>
    <n v="0"/>
    <n v="0"/>
    <n v="0"/>
    <n v="0"/>
    <n v="0"/>
    <n v="0"/>
    <n v="0"/>
    <n v="1.3257628697930386"/>
    <n v="0"/>
    <n v="0"/>
    <n v="-38.087082376785474"/>
    <n v="0"/>
    <n v="0"/>
    <n v="-0.22124886084803919"/>
    <n v="-5.3820804783314316"/>
    <n v="0"/>
    <n v="9.1095717463361154"/>
    <m/>
    <n v="0"/>
    <n v="0"/>
    <n v="0"/>
    <n v="0"/>
    <n v="1.2427929464596943"/>
    <n v="0.33438328579305043"/>
    <n v="0"/>
    <n v="0"/>
    <m/>
    <m/>
    <m/>
    <n v="-1136.4766769960675"/>
    <n v="0"/>
    <n v="0"/>
    <n v="769.75666000000001"/>
    <n v="-38.104170000000067"/>
    <n v="0"/>
    <n v="0"/>
    <n v="763.34259528648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07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5.931"/>
    <n v="5.931"/>
    <n v="5.931"/>
    <n v="5.931"/>
    <m/>
    <n v="710.91"/>
    <n v="256.55"/>
    <m/>
    <n v="5738.0052599999999"/>
    <n v="5738.0052599999999"/>
    <n v="3917.0103300000001"/>
    <n v="0"/>
    <n v="364.60633537132804"/>
    <n v="0"/>
    <n v="0"/>
    <n v="0"/>
    <n v="730.00402632379928"/>
    <n v="2828.5535758555084"/>
    <n v="1521.6130063928006"/>
    <n v="0"/>
    <n v="0"/>
    <n v="0"/>
    <n v="0"/>
    <n v="0"/>
    <n v="56.369788333408003"/>
    <m/>
    <n v="13.023317357312948"/>
    <n v="0"/>
    <n v="0"/>
    <n v="0"/>
    <n v="0"/>
    <n v="0"/>
    <n v="0"/>
    <n v="0"/>
    <n v="0"/>
    <n v="0"/>
    <n v="0"/>
    <n v="0"/>
    <n v="0"/>
    <m/>
    <n v="0"/>
    <n v="0"/>
    <n v="8.8390898779150895"/>
    <n v="0"/>
    <n v="0"/>
    <n v="215.01892889210689"/>
    <n v="0"/>
    <n v="11.95"/>
    <n v="60.79"/>
    <n v="5109.92"/>
    <n v="79"/>
    <m/>
    <m/>
    <m/>
    <m/>
    <m/>
    <m/>
    <m/>
    <m/>
    <m/>
    <n v="1745.4710251628226"/>
    <m/>
    <m/>
    <m/>
    <m/>
    <m/>
    <m/>
    <m/>
    <m/>
    <m/>
    <m/>
    <m/>
    <m/>
    <n v="3916.3499000000002"/>
    <n v="-1821.6853600000004"/>
    <m/>
    <m/>
    <m/>
    <m/>
    <n v="-1915.8316199999999"/>
    <n v="94.836690000000061"/>
    <n v="31"/>
    <n v="78.842480086292653"/>
    <n v="0"/>
    <n v="0"/>
    <n v="0"/>
    <n v="0"/>
    <n v="0"/>
    <n v="0"/>
    <n v="0"/>
    <n v="-3.2996641127747353"/>
    <n v="0"/>
    <n v="0"/>
    <n v="94.794160963791228"/>
    <n v="0"/>
    <n v="0"/>
    <n v="0.55066176822900736"/>
    <n v="13.395350112036823"/>
    <n v="0"/>
    <n v="-22.672626952379062"/>
    <m/>
    <n v="0"/>
    <n v="0"/>
    <n v="0"/>
    <n v="0"/>
    <n v="-3.0931619661990979"/>
    <n v="-0.83223972641149047"/>
    <n v="0"/>
    <n v="0"/>
    <m/>
    <m/>
    <m/>
    <n v="2828.5535758555084"/>
    <n v="0"/>
    <n v="0"/>
    <n v="-1915.8316199999995"/>
    <n v="94.83669000000009"/>
    <n v="0"/>
    <n v="0"/>
    <n v="-1899.8677854150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08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3.48"/>
    <n v="3.48"/>
    <n v="3.48"/>
    <n v="3.48"/>
    <m/>
    <n v="639.92999999999995"/>
    <n v="256.55"/>
    <m/>
    <n v="3119.7503999999999"/>
    <n v="3119.7503999999999"/>
    <n v="2066.424"/>
    <n v="0"/>
    <n v="0"/>
    <n v="0"/>
    <n v="0"/>
    <n v="0"/>
    <n v="428.32810851573453"/>
    <n v="1659.6470146648405"/>
    <n v="892.802775627541"/>
    <n v="0"/>
    <n v="0"/>
    <n v="0"/>
    <n v="0"/>
    <n v="0"/>
    <n v="0"/>
    <m/>
    <n v="7.641400169187162"/>
    <n v="0"/>
    <n v="0"/>
    <n v="0"/>
    <n v="0"/>
    <n v="0"/>
    <n v="0"/>
    <n v="0"/>
    <n v="0"/>
    <n v="0"/>
    <n v="0"/>
    <n v="0"/>
    <n v="0"/>
    <m/>
    <n v="0"/>
    <n v="0"/>
    <n v="5.1863147488019745"/>
    <n v="0"/>
    <n v="0"/>
    <n v="126.16183991646129"/>
    <n v="0"/>
    <n v="1.41"/>
    <n v="9.0500000000000007"/>
    <n v="298.55"/>
    <n v="5"/>
    <m/>
    <m/>
    <m/>
    <m/>
    <m/>
    <m/>
    <m/>
    <n v="1343.1756"/>
    <m/>
    <n v="1024.1509302928041"/>
    <m/>
    <m/>
    <m/>
    <m/>
    <m/>
    <m/>
    <m/>
    <m/>
    <m/>
    <m/>
    <m/>
    <m/>
    <n v="723.24839999999995"/>
    <n v="-368.70119999999997"/>
    <m/>
    <m/>
    <m/>
    <m/>
    <n v="-1108.9715999999999"/>
    <n v="55.645200000000031"/>
    <n v="31"/>
    <n v="61.378650503616882"/>
    <n v="0"/>
    <n v="0"/>
    <n v="0"/>
    <n v="0"/>
    <n v="0"/>
    <n v="0"/>
    <n v="0"/>
    <n v="-1.9360699902977672"/>
    <n v="0"/>
    <n v="0"/>
    <n v="55.620246190186094"/>
    <n v="0"/>
    <n v="0"/>
    <n v="0.32309946947174861"/>
    <n v="7.8596894941642432"/>
    <n v="0"/>
    <n v="0"/>
    <m/>
    <n v="0"/>
    <n v="0"/>
    <n v="0"/>
    <n v="0"/>
    <n v="0"/>
    <n v="-0.48831465990760226"/>
    <n v="0"/>
    <n v="0"/>
    <m/>
    <m/>
    <m/>
    <n v="1659.6470146648405"/>
    <n v="0"/>
    <n v="0"/>
    <n v="-1108.9716000000001"/>
    <n v="55.645200000000045"/>
    <n v="0"/>
    <n v="0"/>
    <n v="-1114.7428584124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09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7.0010000000000003"/>
    <n v="7.0010000000000003"/>
    <n v="7.0010000000000003"/>
    <n v="7.0010000000000003"/>
    <m/>
    <n v="639.92999999999995"/>
    <n v="256.55"/>
    <m/>
    <n v="6276.25648"/>
    <n v="6276.25648"/>
    <n v="4157.1938"/>
    <n v="0"/>
    <n v="0"/>
    <n v="0"/>
    <n v="0"/>
    <n v="0"/>
    <n v="861.70261141340734"/>
    <n v="3338.8473418587787"/>
    <n v="1796.1242046460961"/>
    <n v="0"/>
    <n v="0"/>
    <n v="0"/>
    <n v="0"/>
    <n v="0"/>
    <n v="0"/>
    <m/>
    <n v="15.37282832887337"/>
    <n v="0"/>
    <n v="0"/>
    <n v="0"/>
    <n v="0"/>
    <n v="0"/>
    <n v="0"/>
    <n v="0"/>
    <n v="0"/>
    <n v="0"/>
    <n v="0"/>
    <n v="0"/>
    <n v="0"/>
    <m/>
    <n v="0"/>
    <n v="0"/>
    <n v="10.433732631138685"/>
    <n v="0"/>
    <n v="0"/>
    <n v="253.81006932619127"/>
    <n v="0"/>
    <n v="6.71"/>
    <n v="35.08"/>
    <n v="1182.81"/>
    <n v="34"/>
    <m/>
    <m/>
    <m/>
    <m/>
    <m/>
    <m/>
    <m/>
    <n v="1662.87752"/>
    <m/>
    <n v="2060.3680066034258"/>
    <m/>
    <m/>
    <m/>
    <m/>
    <m/>
    <m/>
    <m/>
    <m/>
    <m/>
    <m/>
    <m/>
    <m/>
    <n v="2493.96"/>
    <n v="-1271.8378900000007"/>
    <m/>
    <m/>
    <m/>
    <m/>
    <n v="-2231.0086699999997"/>
    <n v="111.94599000000007"/>
    <n v="31"/>
    <n v="123.48044028040886"/>
    <n v="0"/>
    <n v="0"/>
    <n v="0"/>
    <n v="0"/>
    <n v="0"/>
    <n v="0"/>
    <n v="0"/>
    <n v="-3.8949500005961681"/>
    <n v="0"/>
    <n v="0"/>
    <n v="111.89578838433727"/>
    <n v="0"/>
    <n v="0"/>
    <n v="0.65000557062405662"/>
    <n v="15.811978778345946"/>
    <n v="0"/>
    <n v="0"/>
    <m/>
    <n v="0"/>
    <n v="0"/>
    <n v="0"/>
    <n v="0"/>
    <n v="0"/>
    <n v="-0.98238245230262322"/>
    <n v="0"/>
    <n v="0"/>
    <m/>
    <m/>
    <m/>
    <n v="3338.8473418587787"/>
    <n v="0"/>
    <n v="0"/>
    <n v="-2231.0086699999997"/>
    <n v="111.94598999999994"/>
    <n v="0"/>
    <n v="0"/>
    <n v="-2242.6191815361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10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5.25"/>
    <n v="5.25"/>
    <n v="5.25"/>
    <n v="5.25"/>
    <m/>
    <n v="639.92999999999995"/>
    <n v="256.55"/>
    <m/>
    <n v="4706.5199999999995"/>
    <n v="4706.5199999999995"/>
    <n v="3117.45"/>
    <n v="0"/>
    <n v="0"/>
    <n v="0"/>
    <n v="0"/>
    <n v="0"/>
    <n v="646.18464646770292"/>
    <n v="2503.7778238478199"/>
    <n v="1346.9007390932732"/>
    <n v="0"/>
    <n v="0"/>
    <n v="0"/>
    <n v="0"/>
    <n v="0"/>
    <n v="0"/>
    <m/>
    <n v="11.527974393170288"/>
    <n v="0"/>
    <n v="0"/>
    <n v="0"/>
    <n v="0"/>
    <n v="0"/>
    <n v="0"/>
    <n v="0"/>
    <n v="0"/>
    <n v="0"/>
    <n v="0"/>
    <n v="0"/>
    <n v="0"/>
    <m/>
    <n v="0"/>
    <n v="0"/>
    <n v="7.8241817331064274"/>
    <n v="0"/>
    <n v="0"/>
    <n v="190.33036194293732"/>
    <n v="0"/>
    <n v="9.41"/>
    <n v="46.51"/>
    <n v="1573.54"/>
    <n v="57"/>
    <m/>
    <m/>
    <m/>
    <m/>
    <m/>
    <m/>
    <m/>
    <n v="311.79750000000007"/>
    <m/>
    <n v="1545.0552827693168"/>
    <m/>
    <m/>
    <m/>
    <m/>
    <m/>
    <m/>
    <m/>
    <m/>
    <m/>
    <m/>
    <m/>
    <m/>
    <n v="2805.6525000000001"/>
    <n v="-1430.2875000000013"/>
    <m/>
    <m/>
    <m/>
    <m/>
    <n v="-1673.0174999999997"/>
    <n v="83.947500000000048"/>
    <n v="31"/>
    <n v="92.597102052870468"/>
    <n v="0"/>
    <n v="0"/>
    <n v="0"/>
    <n v="0"/>
    <n v="0"/>
    <n v="0"/>
    <n v="0"/>
    <n v="-2.9207952439836617"/>
    <n v="0"/>
    <n v="0"/>
    <n v="83.909854166229024"/>
    <n v="0"/>
    <n v="0"/>
    <n v="0.48743454446168943"/>
    <n v="11.85729018516156"/>
    <n v="0"/>
    <n v="0"/>
    <m/>
    <n v="0"/>
    <n v="0"/>
    <n v="0"/>
    <n v="0"/>
    <n v="0"/>
    <n v="-0.73668159899853869"/>
    <n v="0"/>
    <n v="0"/>
    <m/>
    <m/>
    <m/>
    <n v="2503.7778238478199"/>
    <n v="0"/>
    <n v="0"/>
    <n v="-1673.0174999999997"/>
    <n v="83.947499999999991"/>
    <n v="0"/>
    <n v="0"/>
    <n v="-1681.7241398464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11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1.5029999999999999"/>
    <n v="1.5029999999999999"/>
    <n v="1.5029999999999999"/>
    <n v="1.5029999999999999"/>
    <m/>
    <n v="639.92999999999995"/>
    <n v="256.55"/>
    <m/>
    <n v="1347.4094399999999"/>
    <n v="1347.4094399999999"/>
    <n v="892.48139999999989"/>
    <n v="0"/>
    <n v="0"/>
    <n v="0"/>
    <n v="0"/>
    <n v="0"/>
    <n v="184.9934330744681"/>
    <n v="716.79582271300433"/>
    <n v="385.59844016327418"/>
    <n v="0"/>
    <n v="0"/>
    <n v="0"/>
    <n v="0"/>
    <n v="0"/>
    <n v="0"/>
    <m/>
    <n v="3.3002943834161793"/>
    <n v="0"/>
    <n v="0"/>
    <n v="0"/>
    <n v="0"/>
    <n v="0"/>
    <n v="0"/>
    <n v="0"/>
    <n v="0"/>
    <n v="0"/>
    <n v="0"/>
    <n v="0"/>
    <n v="0"/>
    <m/>
    <n v="0"/>
    <n v="0"/>
    <n v="2.2399514561636114"/>
    <n v="0"/>
    <n v="0"/>
    <n v="54.488863619092335"/>
    <n v="0"/>
    <n v="3.84"/>
    <n v="18.489999999999998"/>
    <n v="631.87"/>
    <n v="20"/>
    <m/>
    <m/>
    <m/>
    <m/>
    <m/>
    <m/>
    <m/>
    <m/>
    <m/>
    <n v="442.32725523853014"/>
    <m/>
    <m/>
    <m/>
    <m/>
    <m/>
    <m/>
    <m/>
    <m/>
    <m/>
    <m/>
    <m/>
    <m/>
    <n v="890.7"/>
    <n v="-456.73943999999983"/>
    <m/>
    <m/>
    <m/>
    <m/>
    <n v="-478.96100999999993"/>
    <n v="24.032970000000013"/>
    <n v="31"/>
    <n v="26.509227501992996"/>
    <n v="0"/>
    <n v="0"/>
    <n v="0"/>
    <n v="0"/>
    <n v="0"/>
    <n v="0"/>
    <n v="0"/>
    <n v="-0.83618195270619822"/>
    <n v="0"/>
    <n v="0"/>
    <n v="24.022192535588943"/>
    <n v="0"/>
    <n v="0"/>
    <n v="0.13954554672874675"/>
    <n v="3.3945727901519689"/>
    <n v="0"/>
    <n v="0"/>
    <m/>
    <n v="0"/>
    <n v="0"/>
    <n v="0"/>
    <n v="0"/>
    <n v="0"/>
    <n v="-0.21090141777043847"/>
    <n v="0"/>
    <n v="0"/>
    <m/>
    <m/>
    <m/>
    <n v="716.79582271300433"/>
    <n v="0"/>
    <n v="0"/>
    <n v="-478.96100999999993"/>
    <n v="24.032969999999978"/>
    <n v="0"/>
    <n v="0"/>
    <n v="-481.45359660746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12"/>
    <s v="Regular"/>
    <s v="Convencional"/>
    <s v="B3"/>
    <s v="Industrial"/>
    <s v="Não se aplica"/>
    <s v="Não se aplica"/>
    <s v="Não se aplica"/>
    <s v="Não se aplica"/>
    <s v="CATIVO"/>
    <x v="3"/>
    <n v="0"/>
    <n v="0"/>
    <n v="55.161999999999999"/>
    <n v="55.161999999999999"/>
    <n v="55.161999999999999"/>
    <n v="55.161999999999999"/>
    <m/>
    <n v="710.91"/>
    <n v="256.55"/>
    <m/>
    <n v="53367.02852"/>
    <n v="53367.02852"/>
    <n v="36430.639660000001"/>
    <n v="0"/>
    <n v="3391.0663752745231"/>
    <n v="0"/>
    <n v="0"/>
    <n v="0"/>
    <n v="6789.4928511336057"/>
    <n v="26307.312822684464"/>
    <n v="14151.950203783454"/>
    <n v="0"/>
    <n v="0"/>
    <n v="0"/>
    <n v="0"/>
    <n v="0"/>
    <n v="524.27419727658946"/>
    <m/>
    <n v="121.12497590020179"/>
    <n v="0"/>
    <n v="0"/>
    <n v="0"/>
    <n v="0"/>
    <n v="0"/>
    <n v="0"/>
    <n v="0"/>
    <n v="0"/>
    <n v="0"/>
    <n v="0"/>
    <n v="0"/>
    <n v="0"/>
    <m/>
    <n v="0"/>
    <n v="0"/>
    <n v="82.20905004983176"/>
    <n v="0"/>
    <n v="0"/>
    <n v="1999.8101762850108"/>
    <n v="0"/>
    <n v="97.2"/>
    <n v="483.37"/>
    <n v="9931.64"/>
    <n v="47"/>
    <m/>
    <m/>
    <m/>
    <m/>
    <m/>
    <m/>
    <m/>
    <m/>
    <m/>
    <n v="16233.969430118297"/>
    <m/>
    <m/>
    <m/>
    <m/>
    <m/>
    <m/>
    <m/>
    <m/>
    <m/>
    <m/>
    <m/>
    <m/>
    <n v="36429.318800000001"/>
    <n v="-16937.739720000005"/>
    <m/>
    <m/>
    <m/>
    <m/>
    <n v="-17818.429239999998"/>
    <n v="882.04038000000048"/>
    <n v="31"/>
    <n v="733.28424996123067"/>
    <n v="0"/>
    <n v="0"/>
    <n v="0"/>
    <n v="0"/>
    <n v="0"/>
    <n v="0"/>
    <n v="0"/>
    <n v="-30.688934714024981"/>
    <n v="0"/>
    <n v="0"/>
    <n v="881.64483343190841"/>
    <n v="0"/>
    <n v="0"/>
    <n v="5.1214979698277574"/>
    <n v="124.58511260835871"/>
    <n v="0"/>
    <n v="-210.8695747676843"/>
    <m/>
    <n v="0"/>
    <n v="0"/>
    <n v="0"/>
    <n v="0"/>
    <n v="-28.768335926399345"/>
    <n v="-7.7403486407537798"/>
    <n v="0"/>
    <n v="0"/>
    <m/>
    <m/>
    <m/>
    <n v="26307.312822684464"/>
    <n v="0"/>
    <n v="0"/>
    <n v="-17818.429240000001"/>
    <n v="882.04038000000037"/>
    <n v="0"/>
    <n v="0"/>
    <n v="-17669.955619468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13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4.9880000000000004"/>
    <n v="4.9880000000000004"/>
    <n v="4.9880000000000004"/>
    <n v="4.9880000000000004"/>
    <m/>
    <n v="710.91"/>
    <n v="256.55"/>
    <m/>
    <n v="4825.6904800000002"/>
    <n v="4825.6904800000002"/>
    <n v="3294.2248400000003"/>
    <n v="0"/>
    <n v="306.63571081304747"/>
    <n v="0"/>
    <n v="0"/>
    <n v="0"/>
    <n v="613.93695553921953"/>
    <n v="2378.8273876862718"/>
    <n v="1279.6839783994756"/>
    <n v="0"/>
    <n v="0"/>
    <n v="0"/>
    <n v="0"/>
    <n v="0"/>
    <n v="47.40726761204504"/>
    <m/>
    <n v="10.952673575834933"/>
    <n v="0"/>
    <n v="0"/>
    <n v="0"/>
    <n v="0"/>
    <n v="0"/>
    <n v="0"/>
    <n v="0"/>
    <n v="0"/>
    <n v="0"/>
    <n v="0"/>
    <n v="0"/>
    <n v="0"/>
    <m/>
    <n v="0"/>
    <n v="0"/>
    <n v="7.4337178066161638"/>
    <n v="0"/>
    <n v="0"/>
    <n v="180.83197054692786"/>
    <n v="0"/>
    <n v="10.89"/>
    <n v="54.1"/>
    <n v="1466.49"/>
    <n v="3"/>
    <m/>
    <m/>
    <m/>
    <m/>
    <m/>
    <m/>
    <m/>
    <m/>
    <m/>
    <n v="1467.9496667530195"/>
    <m/>
    <m/>
    <m/>
    <m/>
    <m/>
    <m/>
    <m/>
    <m/>
    <m/>
    <m/>
    <m/>
    <m/>
    <n v="3295.5457000000006"/>
    <n v="-1530.1747800000003"/>
    <m/>
    <m/>
    <m/>
    <m/>
    <n v="-1611.2237600000001"/>
    <n v="79.758120000000048"/>
    <n v="31"/>
    <n v="66.30691125787007"/>
    <n v="0"/>
    <n v="0"/>
    <n v="0"/>
    <n v="0"/>
    <n v="0"/>
    <n v="0"/>
    <n v="0"/>
    <n v="-2.7750336527601576"/>
    <n v="0"/>
    <n v="0"/>
    <n v="79.72235287260014"/>
    <n v="0"/>
    <n v="0"/>
    <n v="0.46310923957617423"/>
    <n v="11.265554941635429"/>
    <n v="0"/>
    <n v="-19.067790126195746"/>
    <m/>
    <n v="0"/>
    <n v="0"/>
    <n v="0"/>
    <n v="0"/>
    <n v="-2.6013643377847089"/>
    <n v="-0.69991767920089565"/>
    <n v="0"/>
    <n v="0"/>
    <m/>
    <m/>
    <m/>
    <n v="2378.8273876862718"/>
    <n v="0"/>
    <n v="0"/>
    <n v="-1611.2237599999999"/>
    <n v="79.758119999999963"/>
    <n v="0"/>
    <n v="0"/>
    <n v="-1597.7980970579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14"/>
    <s v="Regular"/>
    <s v="Verde"/>
    <s v="A4"/>
    <s v="Industrial"/>
    <s v="Não se aplica"/>
    <s v="Não se aplica"/>
    <s v="Não se aplica"/>
    <s v="Ponta"/>
    <s v="CATIVO"/>
    <x v="3"/>
    <n v="0"/>
    <n v="0"/>
    <n v="7.9080000000000004"/>
    <n v="7.9080000000000004"/>
    <n v="7.9080000000000004"/>
    <n v="7.9080000000000004"/>
    <m/>
    <n v="3130.62"/>
    <n v="256.55"/>
    <m/>
    <n v="26785.74036"/>
    <n v="26785.74036"/>
    <n v="14097.038039999999"/>
    <n v="0"/>
    <n v="422.94334903074053"/>
    <n v="0"/>
    <n v="0"/>
    <n v="0"/>
    <n v="5094.4427879136501"/>
    <n v="19012.007627151012"/>
    <n v="2028.8173418570675"/>
    <n v="0"/>
    <n v="0"/>
    <n v="0"/>
    <n v="0"/>
    <n v="0"/>
    <n v="75.159717777877333"/>
    <m/>
    <n v="10.668326898994884"/>
    <n v="0"/>
    <n v="0"/>
    <n v="0"/>
    <n v="0"/>
    <n v="0"/>
    <n v="0"/>
    <n v="0"/>
    <n v="0"/>
    <n v="0"/>
    <n v="0"/>
    <n v="0"/>
    <n v="0"/>
    <m/>
    <n v="0"/>
    <n v="0"/>
    <n v="9.7428554176669468"/>
    <n v="0"/>
    <n v="0"/>
    <n v="131.97889106658363"/>
    <n v="0"/>
    <n v="0"/>
    <n v="0"/>
    <n v="0"/>
    <n v="0"/>
    <m/>
    <m/>
    <m/>
    <m/>
    <m/>
    <m/>
    <m/>
    <m/>
    <m/>
    <n v="2170.5390883413183"/>
    <m/>
    <m/>
    <m/>
    <m/>
    <m/>
    <m/>
    <m/>
    <m/>
    <m/>
    <m/>
    <m/>
    <m/>
    <n v="14100.603299999999"/>
    <n v="-12685.167059999996"/>
    <m/>
    <m/>
    <m/>
    <m/>
    <n v="-12815.151240000001"/>
    <n v="126.44892000000007"/>
    <n v="31"/>
    <n v="81.087850594375595"/>
    <n v="0"/>
    <n v="0"/>
    <n v="0"/>
    <n v="0"/>
    <n v="0"/>
    <n v="0"/>
    <n v="0"/>
    <n v="-23.027201817663808"/>
    <n v="0"/>
    <n v="0"/>
    <n v="126.39221461838838"/>
    <n v="0"/>
    <n v="0"/>
    <n v="0.60696497784199899"/>
    <n v="8.2220828758865423"/>
    <n v="0"/>
    <n v="-26.300247264759889"/>
    <m/>
    <n v="0"/>
    <n v="0"/>
    <n v="0"/>
    <n v="0"/>
    <n v="-4.1242159549321258"/>
    <n v="-0.68174684038568323"/>
    <n v="0"/>
    <n v="0"/>
    <m/>
    <m/>
    <m/>
    <n v="19012.007627151012"/>
    <n v="0"/>
    <n v="0"/>
    <n v="-12815.151240000001"/>
    <n v="126.44892000000004"/>
    <n v="0"/>
    <n v="0"/>
    <n v="-12769.88392060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15"/>
    <s v="Sistema de Compensação"/>
    <s v="Verde"/>
    <s v="A4"/>
    <s v="Industrial"/>
    <s v="Não se aplica"/>
    <s v="Não se aplica"/>
    <s v="Não se aplica"/>
    <s v="Ponta"/>
    <s v="CATIVO"/>
    <x v="3"/>
    <n v="0"/>
    <n v="0"/>
    <n v="0.219"/>
    <n v="0.219"/>
    <n v="0.219"/>
    <n v="0.219"/>
    <m/>
    <n v="3130.62"/>
    <n v="256.55"/>
    <m/>
    <n v="741.79022999999995"/>
    <n v="741.79022999999995"/>
    <n v="390.39596999999998"/>
    <n v="0"/>
    <n v="11.712771046754195"/>
    <n v="0"/>
    <n v="0"/>
    <n v="0"/>
    <n v="141.08282379275283"/>
    <n v="526.5085572010712"/>
    <n v="56.18500225931939"/>
    <n v="0"/>
    <n v="0"/>
    <n v="0"/>
    <n v="0"/>
    <n v="0"/>
    <n v="2.0814337624374222"/>
    <m/>
    <n v="0.29544304386442582"/>
    <n v="0"/>
    <n v="0"/>
    <n v="0"/>
    <n v="0"/>
    <n v="0"/>
    <n v="0"/>
    <n v="0"/>
    <n v="0"/>
    <n v="0"/>
    <n v="0"/>
    <n v="0"/>
    <n v="0"/>
    <m/>
    <n v="0"/>
    <n v="0"/>
    <n v="0.26981352256816654"/>
    <n v="0"/>
    <n v="0"/>
    <n v="3.6549541152733704"/>
    <n v="0"/>
    <n v="0"/>
    <n v="0"/>
    <n v="0"/>
    <n v="0"/>
    <m/>
    <m/>
    <m/>
    <m/>
    <m/>
    <m/>
    <m/>
    <m/>
    <m/>
    <n v="60.109769897160923"/>
    <m/>
    <m/>
    <m/>
    <m/>
    <m/>
    <m/>
    <m/>
    <m/>
    <m/>
    <m/>
    <m/>
    <m/>
    <n v="392.17859999999996"/>
    <n v="-349.64162999999996"/>
    <m/>
    <m/>
    <m/>
    <m/>
    <n v="-354.89607000000001"/>
    <n v="3.5018100000000021"/>
    <n v="31"/>
    <n v="2.2456043601628437"/>
    <n v="0"/>
    <n v="0"/>
    <n v="0"/>
    <n v="0"/>
    <n v="0"/>
    <n v="0"/>
    <n v="0"/>
    <n v="-0.63770323698386733"/>
    <n v="0"/>
    <n v="0"/>
    <n v="3.500239630934125"/>
    <n v="0"/>
    <n v="0"/>
    <n v="1.6808969416717001E-2"/>
    <n v="0.22769804625937695"/>
    <n v="0"/>
    <n v="-0.72834523912271365"/>
    <m/>
    <n v="0"/>
    <n v="0"/>
    <n v="0"/>
    <n v="0"/>
    <n v="-0.11421387128605653"/>
    <n v="-1.8879939054686989E-2"/>
    <n v="0"/>
    <n v="0"/>
    <m/>
    <m/>
    <m/>
    <n v="526.5085572010712"/>
    <n v="0"/>
    <n v="0"/>
    <n v="-354.89607000000001"/>
    <n v="3.501809999999999"/>
    <n v="0"/>
    <n v="0"/>
    <n v="-353.64246062376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16"/>
    <s v="Regular"/>
    <s v="Verde"/>
    <s v="A4"/>
    <s v="Industrial"/>
    <s v="Não se aplica"/>
    <s v="Não se aplica"/>
    <s v="Não se aplica"/>
    <s v="Fora ponta"/>
    <s v="CATIVO"/>
    <x v="3"/>
    <n v="0"/>
    <n v="0"/>
    <n v="321.46899999999999"/>
    <n v="321.46899999999999"/>
    <n v="321.46899999999999"/>
    <n v="321.46899999999999"/>
    <m/>
    <n v="82.26"/>
    <n v="256.55"/>
    <m/>
    <n v="108916.91189"/>
    <n v="108916.91189"/>
    <n v="113150.65862"/>
    <n v="0"/>
    <n v="17193.117788260384"/>
    <n v="0"/>
    <n v="0"/>
    <n v="0"/>
    <n v="0"/>
    <n v="0"/>
    <n v="82473.682608681032"/>
    <n v="0"/>
    <n v="0"/>
    <n v="0"/>
    <n v="0"/>
    <n v="0"/>
    <n v="3055.3261651917614"/>
    <m/>
    <n v="433.67936012809639"/>
    <n v="0"/>
    <n v="0"/>
    <n v="0"/>
    <n v="0"/>
    <n v="0"/>
    <n v="0"/>
    <n v="0"/>
    <n v="0"/>
    <n v="0"/>
    <n v="0"/>
    <n v="0"/>
    <n v="0"/>
    <m/>
    <n v="0"/>
    <n v="0"/>
    <n v="396.05791455007278"/>
    <n v="0"/>
    <n v="0"/>
    <n v="5365.0887875927629"/>
    <n v="0"/>
    <n v="0"/>
    <n v="0"/>
    <n v="0"/>
    <n v="0"/>
    <m/>
    <m/>
    <m/>
    <m/>
    <m/>
    <m/>
    <m/>
    <m/>
    <m/>
    <n v="88234.829310823858"/>
    <m/>
    <m/>
    <m/>
    <m/>
    <m/>
    <m/>
    <m/>
    <m/>
    <m/>
    <m/>
    <m/>
    <m/>
    <n v="113151.01060000001"/>
    <n v="4234.0687100000068"/>
    <m/>
    <m/>
    <m/>
    <m/>
    <n v="-906.54258000000232"/>
    <n v="5140.2893100000028"/>
    <n v="31"/>
    <n v="4232.3927394848288"/>
    <n v="0"/>
    <n v="0"/>
    <n v="0"/>
    <n v="0"/>
    <n v="0"/>
    <n v="0"/>
    <n v="0"/>
    <n v="0"/>
    <n v="0"/>
    <n v="0"/>
    <n v="5137.9841731358902"/>
    <n v="0"/>
    <n v="0"/>
    <n v="24.67380177818535"/>
    <n v="334.23681841532289"/>
    <n v="0"/>
    <n v="-1069.1343181531483"/>
    <m/>
    <n v="0"/>
    <n v="0"/>
    <n v="0"/>
    <n v="0"/>
    <n v="-167.6539679838238"/>
    <n v="-27.71376770763095"/>
    <n v="0"/>
    <n v="0"/>
    <m/>
    <m/>
    <m/>
    <n v="0"/>
    <n v="0"/>
    <n v="0"/>
    <n v="-906.54258000000482"/>
    <n v="5140.2893100000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17"/>
    <s v="Sistema de Compensação"/>
    <s v="Verde"/>
    <s v="A4"/>
    <s v="Industrial"/>
    <s v="Não se aplica"/>
    <s v="Não se aplica"/>
    <s v="Não se aplica"/>
    <s v="Fora ponta"/>
    <s v="CATIVO"/>
    <x v="3"/>
    <n v="0"/>
    <n v="0"/>
    <n v="16.922000000000001"/>
    <n v="16.922000000000001"/>
    <n v="16.922000000000001"/>
    <n v="16.922000000000001"/>
    <m/>
    <n v="82.26"/>
    <n v="256.55"/>
    <m/>
    <n v="5733.3428199999998"/>
    <n v="5733.3428199999998"/>
    <n v="5956.2055600000003"/>
    <n v="0"/>
    <n v="905.03886599623058"/>
    <n v="0"/>
    <n v="0"/>
    <n v="0"/>
    <n v="0"/>
    <n v="0"/>
    <n v="4341.3817727497844"/>
    <n v="0"/>
    <n v="0"/>
    <n v="0"/>
    <n v="0"/>
    <n v="0"/>
    <n v="160.83115126925142"/>
    <m/>
    <n v="22.828708622254862"/>
    <n v="0"/>
    <n v="0"/>
    <n v="0"/>
    <n v="0"/>
    <n v="0"/>
    <n v="0"/>
    <n v="0"/>
    <n v="0"/>
    <n v="0"/>
    <n v="0"/>
    <n v="0"/>
    <n v="0"/>
    <m/>
    <n v="0"/>
    <n v="0"/>
    <n v="20.848330725563994"/>
    <n v="0"/>
    <n v="0"/>
    <n v="282.41613487970767"/>
    <n v="0"/>
    <n v="0"/>
    <n v="0"/>
    <n v="0"/>
    <n v="0"/>
    <m/>
    <m/>
    <m/>
    <m/>
    <m/>
    <m/>
    <m/>
    <m/>
    <m/>
    <n v="4644.6462383550561"/>
    <m/>
    <m/>
    <m/>
    <m/>
    <m/>
    <m/>
    <m/>
    <m/>
    <m/>
    <m/>
    <m/>
    <m/>
    <n v="5955.5016000000014"/>
    <n v="222.12878000000092"/>
    <m/>
    <m/>
    <m/>
    <m/>
    <n v="-47.720040000000125"/>
    <n v="270.58278000000018"/>
    <n v="31"/>
    <n v="222.79146647907419"/>
    <n v="0"/>
    <n v="0"/>
    <n v="0"/>
    <n v="0"/>
    <n v="0"/>
    <n v="0"/>
    <n v="0"/>
    <n v="0"/>
    <n v="0"/>
    <n v="0"/>
    <n v="270.46143851446232"/>
    <n v="0"/>
    <n v="0"/>
    <n v="1.2988190889026718"/>
    <n v="17.594092871238217"/>
    <n v="0"/>
    <n v="-56.278804275956986"/>
    <m/>
    <n v="0"/>
    <n v="0"/>
    <n v="0"/>
    <n v="0"/>
    <n v="-8.8252380360851532"/>
    <n v="-1.4588416834859075"/>
    <n v="0"/>
    <n v="0"/>
    <m/>
    <m/>
    <m/>
    <n v="0"/>
    <n v="0"/>
    <n v="0"/>
    <n v="-47.720040000000154"/>
    <n v="270.58278000000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18"/>
    <s v="Regular"/>
    <s v="Verde"/>
    <s v="A4"/>
    <s v="Industrial"/>
    <s v="Não se aplica"/>
    <s v="Não se aplica"/>
    <s v="Não se aplica"/>
    <s v="Não se aplica"/>
    <s v="CATIVO"/>
    <x v="3"/>
    <n v="1904"/>
    <n v="1904"/>
    <n v="0"/>
    <n v="0"/>
    <n v="0"/>
    <n v="0"/>
    <n v="47.39"/>
    <m/>
    <m/>
    <n v="90230.56"/>
    <m/>
    <n v="90230.56"/>
    <n v="61346.879999999997"/>
    <n v="0"/>
    <n v="0"/>
    <n v="0"/>
    <n v="0"/>
    <n v="0"/>
    <n v="47543.070741702693"/>
    <n v="42687.4272358689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92.43"/>
    <n v="2253.27"/>
    <n v="51378.31"/>
    <n v="12"/>
    <m/>
    <m/>
    <m/>
    <m/>
    <m/>
    <m/>
    <m/>
    <m/>
    <m/>
    <n v="0"/>
    <m/>
    <m/>
    <m/>
    <m/>
    <m/>
    <m/>
    <m/>
    <m/>
    <m/>
    <m/>
    <m/>
    <m/>
    <n v="61346.879999999997"/>
    <n v="-28883.709999999985"/>
    <m/>
    <m/>
    <m/>
    <m/>
    <n v="-28883.680000000004"/>
    <n v="0"/>
    <n v="31"/>
    <n v="-214.89766998623963"/>
    <n v="0"/>
    <n v="0"/>
    <n v="0"/>
    <n v="0"/>
    <m/>
    <m/>
    <m/>
    <n v="-214.8976699862396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687.427235868963"/>
    <m/>
    <n v="0"/>
    <n v="0"/>
    <n v="-28883.68"/>
    <m/>
    <n v="0"/>
    <m/>
    <n v="-28672.063538039591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19"/>
    <s v="Sistema de Compensação"/>
    <s v="Verde"/>
    <s v="A4"/>
    <s v="Industrial"/>
    <s v="Não se aplica"/>
    <s v="Não se aplica"/>
    <s v="Não se aplica"/>
    <s v="Não se aplica"/>
    <s v="CATIVO"/>
    <x v="3"/>
    <n v="686"/>
    <n v="686"/>
    <n v="0"/>
    <n v="0"/>
    <n v="0"/>
    <n v="0"/>
    <n v="47.39"/>
    <m/>
    <m/>
    <n v="32509.54"/>
    <m/>
    <n v="32509.54"/>
    <n v="22102.92"/>
    <n v="0"/>
    <n v="0"/>
    <n v="0"/>
    <n v="0"/>
    <n v="0"/>
    <n v="17129.488723113471"/>
    <n v="15380.0289305704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0.52"/>
    <n v="349.97"/>
    <n v="6658.54"/>
    <n v="4"/>
    <m/>
    <m/>
    <m/>
    <m/>
    <m/>
    <m/>
    <m/>
    <m/>
    <m/>
    <n v="0"/>
    <m/>
    <m/>
    <m/>
    <m/>
    <m/>
    <m/>
    <m/>
    <m/>
    <m/>
    <m/>
    <m/>
    <m/>
    <n v="22102.92"/>
    <n v="-10406.649999999998"/>
    <m/>
    <m/>
    <m/>
    <m/>
    <n v="-10406.620000000001"/>
    <n v="0"/>
    <n v="31"/>
    <n v="-77.426366392101045"/>
    <n v="0"/>
    <n v="0"/>
    <n v="0"/>
    <n v="0"/>
    <m/>
    <m/>
    <m/>
    <n v="-77.4263663921010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380.028930570435"/>
    <m/>
    <n v="0"/>
    <n v="0"/>
    <n v="-10406.620000000003"/>
    <m/>
    <n v="0"/>
    <m/>
    <n v="-10330.375833558381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20"/>
    <s v="Regular"/>
    <s v="Convencional"/>
    <s v="B3"/>
    <s v="Comercial"/>
    <s v="Não se aplica"/>
    <s v="Não se aplica"/>
    <s v="Não se aplica"/>
    <s v="Não se aplica"/>
    <s v="CATIVO"/>
    <x v="3"/>
    <n v="0"/>
    <n v="0"/>
    <n v="302.65300000000002"/>
    <n v="302.65300000000002"/>
    <n v="302.65300000000002"/>
    <n v="302.65300000000002"/>
    <m/>
    <n v="710.91"/>
    <n v="256.55"/>
    <m/>
    <n v="292804.67138000001"/>
    <n v="292804.67138000001"/>
    <n v="199881.12079000002"/>
    <n v="0"/>
    <n v="18605.496749138183"/>
    <n v="0"/>
    <n v="0"/>
    <n v="0"/>
    <n v="37251.375582359949"/>
    <n v="144338.26089924082"/>
    <n v="77646.390359770739"/>
    <n v="0"/>
    <n v="0"/>
    <n v="0"/>
    <n v="0"/>
    <n v="0"/>
    <n v="2876.4939383697406"/>
    <m/>
    <n v="664.56686362212713"/>
    <n v="0"/>
    <n v="0"/>
    <n v="0"/>
    <n v="0"/>
    <n v="0"/>
    <n v="0"/>
    <n v="0"/>
    <n v="0"/>
    <n v="0"/>
    <n v="0"/>
    <n v="0"/>
    <n v="0"/>
    <m/>
    <n v="0"/>
    <n v="0"/>
    <n v="451.04991887044946"/>
    <n v="0"/>
    <n v="0"/>
    <n v="10972.200958688725"/>
    <n v="0"/>
    <n v="623.09"/>
    <n v="3107.03"/>
    <n v="105660.56"/>
    <n v="882"/>
    <m/>
    <m/>
    <m/>
    <m/>
    <m/>
    <m/>
    <m/>
    <m/>
    <m/>
    <n v="89069.641237329924"/>
    <m/>
    <m/>
    <m/>
    <m/>
    <m/>
    <m/>
    <m/>
    <m/>
    <m/>
    <m/>
    <m/>
    <m/>
    <n v="199879.13949999999"/>
    <n v="-92925.561880000052"/>
    <m/>
    <m/>
    <m/>
    <m/>
    <n v="-97762.97206"/>
    <n v="4839.421470000003"/>
    <n v="31"/>
    <n v="4023.2529296166613"/>
    <n v="0"/>
    <n v="0"/>
    <n v="0"/>
    <n v="0"/>
    <n v="0"/>
    <n v="0"/>
    <n v="0"/>
    <n v="-168.37856056712917"/>
    <n v="0"/>
    <n v="0"/>
    <n v="4837.2512558041344"/>
    <n v="0"/>
    <n v="0"/>
    <n v="28.099719463802671"/>
    <n v="683.55132312565729"/>
    <n v="0"/>
    <n v="-1156.9614845756878"/>
    <m/>
    <n v="0"/>
    <n v="0"/>
    <n v="0"/>
    <n v="0"/>
    <n v="-157.84096249469803"/>
    <n v="-42.468361139372291"/>
    <n v="0"/>
    <n v="0"/>
    <m/>
    <m/>
    <m/>
    <n v="144338.26089924082"/>
    <n v="0"/>
    <n v="0"/>
    <n v="-97762.97206"/>
    <n v="4839.4214700000011"/>
    <n v="0"/>
    <n v="0"/>
    <n v="-96948.353542275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21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11.837999999999999"/>
    <n v="11.837999999999999"/>
    <n v="11.837999999999999"/>
    <n v="11.837999999999999"/>
    <m/>
    <n v="710.91"/>
    <n v="256.55"/>
    <m/>
    <n v="11452.791479999998"/>
    <n v="11452.791479999998"/>
    <n v="7818.1703399999997"/>
    <n v="0"/>
    <n v="727.73727838910486"/>
    <n v="0"/>
    <n v="0"/>
    <n v="0"/>
    <n v="1457.0540656923176"/>
    <n v="5645.6613102305691"/>
    <n v="3037.0687522640314"/>
    <n v="0"/>
    <n v="0"/>
    <n v="0"/>
    <n v="0"/>
    <n v="0"/>
    <n v="112.51147433668586"/>
    <m/>
    <n v="25.993935403114257"/>
    <n v="0"/>
    <n v="0"/>
    <n v="0"/>
    <n v="0"/>
    <n v="0"/>
    <n v="0"/>
    <n v="0"/>
    <n v="0"/>
    <n v="0"/>
    <n v="0"/>
    <n v="0"/>
    <n v="0"/>
    <m/>
    <n v="0"/>
    <n v="0"/>
    <n v="17.642412067907404"/>
    <n v="0"/>
    <n v="0"/>
    <n v="429.16777612961744"/>
    <n v="0"/>
    <n v="24.58"/>
    <n v="122.98"/>
    <n v="9037.43"/>
    <n v="35"/>
    <m/>
    <m/>
    <m/>
    <m/>
    <m/>
    <m/>
    <m/>
    <m/>
    <m/>
    <n v="3483.8789404615563"/>
    <m/>
    <m/>
    <m/>
    <m/>
    <m/>
    <m/>
    <m/>
    <m/>
    <m/>
    <m/>
    <m/>
    <m/>
    <n v="7819.4912000000004"/>
    <n v="-3633.3302799999983"/>
    <m/>
    <m/>
    <m/>
    <m/>
    <n v="-3823.9107599999993"/>
    <n v="189.2896200000001"/>
    <n v="31"/>
    <n v="157.36592130526697"/>
    <n v="0"/>
    <n v="0"/>
    <n v="0"/>
    <n v="0"/>
    <n v="0"/>
    <n v="0"/>
    <n v="0"/>
    <n v="-6.5859760187199754"/>
    <n v="0"/>
    <n v="0"/>
    <n v="189.20473402282278"/>
    <n v="0"/>
    <n v="0"/>
    <n v="1.0990952642547605"/>
    <n v="26.736495468941484"/>
    <n v="0"/>
    <n v="-45.253508322755579"/>
    <m/>
    <n v="0"/>
    <n v="0"/>
    <n v="0"/>
    <n v="0"/>
    <n v="-6.1738073437641106"/>
    <n v="-1.6611117655132723"/>
    <n v="0"/>
    <n v="0"/>
    <m/>
    <m/>
    <m/>
    <n v="5645.6613102305691"/>
    <n v="0"/>
    <n v="0"/>
    <n v="-3823.9107599999988"/>
    <n v="189.28962000000001"/>
    <n v="0"/>
    <n v="0"/>
    <n v="-3792.0476890480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22"/>
    <s v="Regular"/>
    <s v="Verde"/>
    <s v="A4"/>
    <s v="Comercial"/>
    <s v="Não se aplica"/>
    <s v="Não se aplica"/>
    <s v="Não se aplica"/>
    <s v="Ponta"/>
    <s v="CATIVO"/>
    <x v="3"/>
    <n v="0"/>
    <n v="0"/>
    <n v="13.175000000000001"/>
    <n v="13.175000000000001"/>
    <n v="13.175000000000001"/>
    <n v="13.175000000000001"/>
    <m/>
    <n v="3130.62"/>
    <n v="256.55"/>
    <m/>
    <n v="44625.964749999999"/>
    <n v="44625.964749999999"/>
    <n v="23486.150250000002"/>
    <n v="0"/>
    <n v="704.63816685381971"/>
    <n v="0"/>
    <n v="0"/>
    <n v="0"/>
    <n v="8487.5169108197188"/>
    <n v="31674.658635269927"/>
    <n v="3380.0794738197856"/>
    <n v="0"/>
    <n v="0"/>
    <n v="0"/>
    <n v="0"/>
    <n v="0"/>
    <n v="125.21867497768513"/>
    <m/>
    <n v="17.773799556684068"/>
    <n v="0"/>
    <n v="0"/>
    <n v="0"/>
    <n v="0"/>
    <n v="0"/>
    <n v="0"/>
    <n v="0"/>
    <n v="0"/>
    <n v="0"/>
    <n v="0"/>
    <n v="0"/>
    <n v="0"/>
    <m/>
    <n v="0"/>
    <n v="0"/>
    <n v="16.231932236692213"/>
    <n v="0"/>
    <n v="0"/>
    <n v="219.88137200331809"/>
    <n v="0"/>
    <n v="0"/>
    <n v="0"/>
    <n v="0"/>
    <n v="0"/>
    <m/>
    <m/>
    <m/>
    <m/>
    <m/>
    <m/>
    <m/>
    <m/>
    <m/>
    <n v="3616.1927780597957"/>
    <m/>
    <m/>
    <m/>
    <m/>
    <m/>
    <m/>
    <m/>
    <m/>
    <m/>
    <m/>
    <m/>
    <m/>
    <n v="23495.063399999999"/>
    <n v="-21130.931350000006"/>
    <m/>
    <m/>
    <m/>
    <m/>
    <n v="-21350.482749999999"/>
    <n v="210.66825000000014"/>
    <n v="31"/>
    <n v="135.09514815135481"/>
    <n v="0"/>
    <n v="0"/>
    <n v="0"/>
    <n v="0"/>
    <n v="0"/>
    <n v="0"/>
    <n v="0"/>
    <n v="-38.364110261471069"/>
    <n v="0"/>
    <n v="0"/>
    <n v="210.57377688382212"/>
    <n v="0"/>
    <n v="0"/>
    <n v="1.0112245299782927"/>
    <n v="13.698272874279837"/>
    <n v="0"/>
    <n v="-43.817116554528525"/>
    <m/>
    <n v="0"/>
    <n v="0"/>
    <n v="0"/>
    <n v="0"/>
    <n v="-6.8710856355881162"/>
    <n v="-1.1358136851392757"/>
    <n v="0"/>
    <n v="0"/>
    <m/>
    <m/>
    <m/>
    <n v="31674.658635269927"/>
    <n v="0"/>
    <n v="0"/>
    <n v="-21350.482749999999"/>
    <n v="210.66825000000017"/>
    <n v="0"/>
    <n v="0"/>
    <n v="-21275.065838895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23"/>
    <s v="Regular"/>
    <s v="Verde"/>
    <s v="A4"/>
    <s v="Comercial"/>
    <s v="Não se aplica"/>
    <s v="Não se aplica"/>
    <s v="Não se aplica"/>
    <s v="Fora ponta"/>
    <s v="CATIVO"/>
    <x v="3"/>
    <n v="0"/>
    <n v="0"/>
    <n v="106.608"/>
    <n v="106.608"/>
    <n v="106.608"/>
    <n v="106.608"/>
    <m/>
    <n v="82.26"/>
    <n v="256.55"/>
    <m/>
    <n v="36119.856480000002"/>
    <n v="36119.856480000002"/>
    <n v="37523.883840000002"/>
    <n v="0"/>
    <n v="5701.7127659925627"/>
    <n v="0"/>
    <n v="0"/>
    <n v="0"/>
    <n v="0"/>
    <n v="0"/>
    <n v="27350.551236810603"/>
    <n v="0"/>
    <n v="0"/>
    <n v="0"/>
    <n v="0"/>
    <n v="0"/>
    <n v="1013.2305504380307"/>
    <m/>
    <n v="143.82005488720873"/>
    <n v="0"/>
    <n v="0"/>
    <n v="0"/>
    <n v="0"/>
    <n v="0"/>
    <n v="0"/>
    <n v="0"/>
    <n v="0"/>
    <n v="0"/>
    <n v="0"/>
    <n v="0"/>
    <n v="0"/>
    <m/>
    <n v="0"/>
    <n v="0"/>
    <n v="131.34374435592284"/>
    <n v="0"/>
    <n v="0"/>
    <n v="1779.2116361692397"/>
    <n v="0"/>
    <n v="0"/>
    <n v="0"/>
    <n v="0"/>
    <n v="0"/>
    <m/>
    <m/>
    <m/>
    <m/>
    <m/>
    <m/>
    <m/>
    <m/>
    <m/>
    <n v="29261.106617335765"/>
    <m/>
    <m/>
    <m/>
    <m/>
    <m/>
    <m/>
    <m/>
    <m/>
    <m/>
    <m/>
    <m/>
    <m/>
    <n v="37524.587800000001"/>
    <n v="1404.7013199999928"/>
    <m/>
    <m/>
    <m/>
    <m/>
    <n v="-300.63456000000082"/>
    <n v="1704.6619200000011"/>
    <n v="31"/>
    <n v="1403.5783393453021"/>
    <n v="0"/>
    <n v="0"/>
    <n v="0"/>
    <n v="0"/>
    <n v="0"/>
    <n v="0"/>
    <n v="0"/>
    <n v="0"/>
    <n v="0"/>
    <n v="0"/>
    <n v="1703.8974729434922"/>
    <n v="0"/>
    <n v="0"/>
    <n v="8.1825142081158333"/>
    <n v="110.84216125853709"/>
    <n v="0"/>
    <n v="-354.55447147211999"/>
    <m/>
    <n v="0"/>
    <n v="0"/>
    <n v="0"/>
    <n v="0"/>
    <n v="-55.598686712620633"/>
    <n v="-9.190650880100776"/>
    <n v="0"/>
    <n v="0"/>
    <m/>
    <m/>
    <m/>
    <n v="0"/>
    <n v="0"/>
    <n v="0"/>
    <n v="-300.63456000000042"/>
    <n v="1704.6619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24"/>
    <s v="Regular"/>
    <s v="Verde"/>
    <s v="A4"/>
    <s v="Comercial"/>
    <s v="Não se aplica"/>
    <s v="Não se aplica"/>
    <s v="Não se aplica"/>
    <s v="Não se aplica"/>
    <s v="CATIVO"/>
    <x v="3"/>
    <n v="765"/>
    <n v="765"/>
    <n v="0"/>
    <n v="0"/>
    <n v="0"/>
    <n v="0"/>
    <n v="47.39"/>
    <m/>
    <m/>
    <n v="36253.35"/>
    <m/>
    <n v="36253.35"/>
    <n v="24648.3"/>
    <n v="0"/>
    <n v="0"/>
    <n v="0"/>
    <n v="0"/>
    <n v="0"/>
    <n v="19102.126637291261"/>
    <n v="17151.19844298306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80.95"/>
    <n v="1394.31"/>
    <n v="46639.82"/>
    <n v="11"/>
    <m/>
    <m/>
    <m/>
    <m/>
    <m/>
    <m/>
    <m/>
    <m/>
    <m/>
    <n v="0"/>
    <m/>
    <m/>
    <m/>
    <m/>
    <m/>
    <m/>
    <m/>
    <m/>
    <m/>
    <m/>
    <m/>
    <m/>
    <n v="24648.3"/>
    <n v="-11605.080000000005"/>
    <m/>
    <m/>
    <m/>
    <m/>
    <n v="-11605.050000000001"/>
    <n v="0"/>
    <n v="31"/>
    <n v="-86.342813833754917"/>
    <n v="0"/>
    <n v="0"/>
    <n v="0"/>
    <n v="0"/>
    <m/>
    <m/>
    <m/>
    <n v="-86.34281383375491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151.198442983066"/>
    <m/>
    <n v="0"/>
    <n v="0"/>
    <n v="-11605.05"/>
    <m/>
    <n v="0"/>
    <m/>
    <n v="-11520.025528676622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25"/>
    <s v="Sistema de Compensação"/>
    <s v="Verde"/>
    <s v="A4"/>
    <s v="Comercial"/>
    <s v="Não se aplica"/>
    <s v="Não se aplica"/>
    <s v="Não se aplica"/>
    <s v="Não se aplica"/>
    <s v="CATIVO"/>
    <x v="3"/>
    <n v="60"/>
    <n v="60"/>
    <n v="0"/>
    <n v="0"/>
    <n v="0"/>
    <n v="0"/>
    <n v="47.39"/>
    <m/>
    <m/>
    <n v="2843.4"/>
    <m/>
    <n v="2843.4"/>
    <n v="1933.1999999999998"/>
    <n v="0"/>
    <n v="0"/>
    <n v="0"/>
    <n v="0"/>
    <n v="0"/>
    <n v="1498.206010767942"/>
    <n v="1345.19203474376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.66"/>
    <n v="23.14"/>
    <n v="822.78"/>
    <n v="1"/>
    <m/>
    <m/>
    <m/>
    <m/>
    <m/>
    <m/>
    <m/>
    <m/>
    <m/>
    <n v="0"/>
    <m/>
    <m/>
    <m/>
    <m/>
    <m/>
    <m/>
    <m/>
    <m/>
    <m/>
    <m/>
    <m/>
    <m/>
    <n v="1933.1999999999998"/>
    <n v="-910.23000000000093"/>
    <m/>
    <m/>
    <m/>
    <m/>
    <n v="-910.2"/>
    <n v="0"/>
    <n v="31"/>
    <n v="-6.7719853987259739"/>
    <n v="0"/>
    <n v="0"/>
    <n v="0"/>
    <n v="0"/>
    <m/>
    <m/>
    <m/>
    <n v="-6.77198539872597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45.1920347437699"/>
    <m/>
    <n v="0"/>
    <n v="0"/>
    <n v="-910.20000000000027"/>
    <m/>
    <n v="0"/>
    <m/>
    <n v="-903.53141401385267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26"/>
    <s v="Regular"/>
    <s v="Convencional"/>
    <s v="B2"/>
    <s v="Rural"/>
    <s v="Não se aplica"/>
    <s v="Não se aplica"/>
    <s v="Não se aplica"/>
    <s v="Não se aplica"/>
    <s v="CATIVO"/>
    <x v="3"/>
    <n v="0"/>
    <n v="0"/>
    <n v="2755.259"/>
    <n v="2755.259"/>
    <n v="2755.259"/>
    <n v="2755.259"/>
    <m/>
    <n v="710.91"/>
    <n v="256.55"/>
    <m/>
    <n v="2665602.8721400001"/>
    <n v="2665602.8721400001"/>
    <n v="1819655.7013699999"/>
    <n v="0"/>
    <n v="169378.66919387455"/>
    <n v="0"/>
    <n v="0"/>
    <n v="0"/>
    <n v="339124.96435084892"/>
    <n v="1314010.7396489752"/>
    <n v="706868.64447493188"/>
    <n v="0"/>
    <n v="0"/>
    <n v="0"/>
    <n v="0"/>
    <n v="0"/>
    <n v="26186.70825050032"/>
    <m/>
    <n v="6050.0105140098995"/>
    <n v="0"/>
    <n v="0"/>
    <n v="0"/>
    <n v="0"/>
    <n v="0"/>
    <n v="0"/>
    <n v="0"/>
    <n v="0"/>
    <n v="0"/>
    <n v="0"/>
    <n v="0"/>
    <n v="0"/>
    <m/>
    <n v="0"/>
    <n v="0"/>
    <n v="4106.2185024337296"/>
    <n v="0"/>
    <n v="0"/>
    <n v="99887.512898387708"/>
    <n v="0"/>
    <n v="3968.94"/>
    <n v="19962.25"/>
    <n v="246148.37"/>
    <n v="10202"/>
    <m/>
    <m/>
    <m/>
    <m/>
    <m/>
    <n v="218354.27574999991"/>
    <m/>
    <m/>
    <m/>
    <n v="810862.37587575335"/>
    <m/>
    <m/>
    <m/>
    <m/>
    <m/>
    <m/>
    <m/>
    <m/>
    <m/>
    <m/>
    <m/>
    <m/>
    <n v="1601302.0068000001"/>
    <n v="-744442.87802999979"/>
    <m/>
    <m/>
    <m/>
    <m/>
    <n v="-890003.76217999996"/>
    <n v="44056.591410000023"/>
    <n v="31"/>
    <n v="36626.446272142697"/>
    <n v="0"/>
    <n v="0"/>
    <n v="0"/>
    <n v="0"/>
    <n v="0"/>
    <n v="0"/>
    <n v="0"/>
    <n v="-1532.8661682177917"/>
    <n v="0"/>
    <n v="0"/>
    <n v="44036.834453369607"/>
    <n v="0"/>
    <n v="0"/>
    <n v="255.81112676932844"/>
    <n v="6222.8391425291629"/>
    <n v="0"/>
    <n v="-10532.618355114653"/>
    <m/>
    <n v="0"/>
    <n v="0"/>
    <n v="0"/>
    <n v="0"/>
    <n v="-1436.9351451404073"/>
    <n v="-386.61878205240191"/>
    <n v="0"/>
    <n v="0"/>
    <m/>
    <m/>
    <m/>
    <n v="1314010.7396489752"/>
    <n v="0"/>
    <n v="0"/>
    <n v="-890003.76218000008"/>
    <n v="44056.591409999994"/>
    <n v="0"/>
    <n v="0"/>
    <n v="-882587.72796745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27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-10.776"/>
    <n v="-10.776"/>
    <n v="-10.776"/>
    <n v="-10.776"/>
    <m/>
    <n v="710.91"/>
    <n v="256.55"/>
    <m/>
    <n v="-10425.348959999999"/>
    <n v="-10425.348959999999"/>
    <n v="-7116.7936799999989"/>
    <n v="0"/>
    <n v="-662.45116674446649"/>
    <n v="0"/>
    <n v="0"/>
    <n v="0"/>
    <n v="-1326.3401429211367"/>
    <n v="-5139.1828247207823"/>
    <n v="-2764.6099741845924"/>
    <n v="0"/>
    <n v="0"/>
    <n v="0"/>
    <n v="0"/>
    <n v="0"/>
    <n v="-102.41794622842768"/>
    <m/>
    <n v="-23.661990868724384"/>
    <n v="0"/>
    <n v="0"/>
    <n v="0"/>
    <n v="0"/>
    <n v="0"/>
    <n v="0"/>
    <n v="0"/>
    <n v="0"/>
    <n v="0"/>
    <n v="0"/>
    <n v="0"/>
    <n v="0"/>
    <m/>
    <n v="0"/>
    <n v="0"/>
    <n v="-16.059691877324735"/>
    <n v="0"/>
    <n v="0"/>
    <n v="-390.6666629137319"/>
    <n v="0"/>
    <n v="-9.6"/>
    <n v="-3.34"/>
    <n v="-1185.31"/>
    <n v="0"/>
    <m/>
    <m/>
    <m/>
    <m/>
    <m/>
    <n v="-853.99799999999971"/>
    <m/>
    <m/>
    <m/>
    <n v="-3171.3363289756489"/>
    <m/>
    <m/>
    <m/>
    <m/>
    <m/>
    <m/>
    <m/>
    <m/>
    <m/>
    <m/>
    <m/>
    <m/>
    <n v="-6265.1203999999998"/>
    <n v="2909.2127199999995"/>
    <m/>
    <m/>
    <m/>
    <m/>
    <n v="3480.8635199999999"/>
    <n v="-172.3082400000001"/>
    <n v="31"/>
    <n v="-143.24845142638605"/>
    <n v="0"/>
    <n v="0"/>
    <n v="0"/>
    <n v="0"/>
    <n v="0"/>
    <n v="0"/>
    <n v="0"/>
    <n v="5.9951408665085637"/>
    <n v="0"/>
    <n v="0"/>
    <n v="-172.23096923719686"/>
    <n v="0"/>
    <n v="0"/>
    <n v="-1.0004942192607942"/>
    <n v="-24.337935054343063"/>
    <n v="0"/>
    <n v="41.193766319142924"/>
    <m/>
    <n v="0"/>
    <n v="0"/>
    <n v="0"/>
    <n v="0"/>
    <n v="5.6199482967056866"/>
    <n v="1.5120916020587138"/>
    <n v="0"/>
    <n v="0"/>
    <m/>
    <m/>
    <m/>
    <n v="-5139.1828247207823"/>
    <n v="0"/>
    <n v="0"/>
    <n v="3480.8635199999999"/>
    <n v="-172.30823999999984"/>
    <n v="0"/>
    <n v="0"/>
    <n v="3451.8589201876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28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107.623"/>
    <n v="107.623"/>
    <n v="107.623"/>
    <n v="107.623"/>
    <m/>
    <n v="710.91"/>
    <n v="256.55"/>
    <m/>
    <n v="104120.94758000001"/>
    <n v="104120.94758000001"/>
    <n v="71077.457890000005"/>
    <n v="0"/>
    <n v="6616.0896360931447"/>
    <n v="0"/>
    <n v="0"/>
    <n v="0"/>
    <n v="13246.539087008305"/>
    <n v="51326.491568756937"/>
    <n v="27610.952046368635"/>
    <n v="0"/>
    <n v="0"/>
    <n v="0"/>
    <n v="0"/>
    <n v="0"/>
    <n v="1022.8773781497841"/>
    <m/>
    <n v="236.31908345069826"/>
    <n v="0"/>
    <n v="0"/>
    <n v="0"/>
    <n v="0"/>
    <n v="0"/>
    <n v="0"/>
    <n v="0"/>
    <n v="0"/>
    <n v="0"/>
    <n v="0"/>
    <n v="0"/>
    <n v="0"/>
    <m/>
    <n v="0"/>
    <n v="0"/>
    <n v="160.39274488802153"/>
    <n v="0"/>
    <n v="0"/>
    <n v="3901.699913025665"/>
    <n v="0"/>
    <n v="144.83000000000001"/>
    <n v="723.45"/>
    <n v="2870.88"/>
    <n v="146"/>
    <m/>
    <m/>
    <m/>
    <m/>
    <m/>
    <n v="8529.1227499999968"/>
    <m/>
    <m/>
    <m/>
    <n v="31673.044704282322"/>
    <m/>
    <m/>
    <m/>
    <m/>
    <m/>
    <m/>
    <m/>
    <m/>
    <m/>
    <m/>
    <m/>
    <m/>
    <n v="62546.591600000014"/>
    <n v="-29080.43190999997"/>
    <m/>
    <m/>
    <m/>
    <m/>
    <n v="-34764.381459999997"/>
    <n v="1720.8917700000011"/>
    <n v="31"/>
    <n v="1430.6633340628978"/>
    <n v="0"/>
    <n v="0"/>
    <n v="0"/>
    <n v="0"/>
    <n v="0"/>
    <n v="0"/>
    <n v="0"/>
    <n v="-59.875189817763385"/>
    <n v="0"/>
    <n v="0"/>
    <n v="1720.1200447489646"/>
    <n v="0"/>
    <n v="0"/>
    <n v="9.9922224721143778"/>
    <n v="243.06993173288492"/>
    <n v="0"/>
    <n v="-411.41394882749864"/>
    <m/>
    <n v="0"/>
    <n v="0"/>
    <n v="0"/>
    <n v="0"/>
    <n v="-56.128034106937434"/>
    <n v="-15.101692138860869"/>
    <n v="0"/>
    <n v="0"/>
    <m/>
    <m/>
    <m/>
    <n v="51326.491568756937"/>
    <n v="0"/>
    <n v="0"/>
    <n v="-34764.381459999997"/>
    <n v="1720.891770000002"/>
    <n v="0"/>
    <n v="0"/>
    <n v="-34474.704210036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29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-0.999"/>
    <n v="-0.999"/>
    <n v="-0.999"/>
    <n v="-0.999"/>
    <m/>
    <n v="710.91"/>
    <n v="256.55"/>
    <m/>
    <n v="-966.49253999999996"/>
    <n v="-966.49253999999996"/>
    <n v="-659.76956999999993"/>
    <n v="0"/>
    <n v="-61.413206716566634"/>
    <n v="0"/>
    <n v="0"/>
    <n v="0"/>
    <n v="-122.95970701356862"/>
    <n v="-476.4331516236137"/>
    <n v="-256.29596921031998"/>
    <n v="0"/>
    <n v="0"/>
    <n v="0"/>
    <n v="0"/>
    <n v="0"/>
    <n v="-9.4947594916665974"/>
    <m/>
    <n v="-2.193608841671832"/>
    <n v="0"/>
    <n v="0"/>
    <n v="0"/>
    <n v="0"/>
    <n v="0"/>
    <n v="0"/>
    <n v="0"/>
    <n v="0"/>
    <n v="0"/>
    <n v="0"/>
    <n v="0"/>
    <n v="0"/>
    <m/>
    <n v="0"/>
    <n v="0"/>
    <n v="-1.4888300097853944"/>
    <n v="0"/>
    <n v="0"/>
    <n v="-36.217148872570355"/>
    <n v="0"/>
    <n v="-0.77"/>
    <n v="-0.27"/>
    <n v="4.3"/>
    <n v="2"/>
    <m/>
    <m/>
    <m/>
    <m/>
    <m/>
    <n v="-79.17074999999997"/>
    <m/>
    <m/>
    <m/>
    <n v="-294.00194809267572"/>
    <m/>
    <m/>
    <m/>
    <m/>
    <m/>
    <m/>
    <m/>
    <m/>
    <m/>
    <m/>
    <m/>
    <m/>
    <n v="-581.18000000000006"/>
    <n v="269.30862999999999"/>
    <m/>
    <m/>
    <m/>
    <m/>
    <n v="322.69698"/>
    <n v="-15.974010000000009"/>
    <n v="31"/>
    <n v="-13.279992852167652"/>
    <n v="0"/>
    <n v="0"/>
    <n v="0"/>
    <n v="0"/>
    <n v="0"/>
    <n v="0"/>
    <n v="0"/>
    <n v="0.55578560928375964"/>
    <n v="0"/>
    <n v="0"/>
    <n v="-15.966846535630964"/>
    <n v="0"/>
    <n v="0"/>
    <n v="-9.2751830460424456E-2"/>
    <n v="-2.2562729323764614"/>
    <n v="0"/>
    <n v="3.8189098508559596"/>
    <m/>
    <n v="0"/>
    <n v="0"/>
    <n v="0"/>
    <n v="0"/>
    <n v="0.5210030018939289"/>
    <n v="0.14017998426657918"/>
    <n v="0"/>
    <n v="0"/>
    <m/>
    <m/>
    <m/>
    <n v="-476.4331516236137"/>
    <n v="0"/>
    <n v="0"/>
    <n v="322.69698"/>
    <n v="-15.974010000000021"/>
    <n v="0"/>
    <n v="0"/>
    <n v="320.00807918220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30"/>
    <s v="Regular"/>
    <s v="Verde"/>
    <s v="A4"/>
    <s v="Rural"/>
    <s v="Não se aplica"/>
    <s v="Não se aplica"/>
    <s v="Não se aplica"/>
    <s v="Ponta"/>
    <s v="CATIVO"/>
    <x v="3"/>
    <n v="0"/>
    <n v="0"/>
    <n v="15.499000000000001"/>
    <n v="14.87904"/>
    <n v="15.499000000000001"/>
    <n v="14.87904"/>
    <m/>
    <n v="3130.62"/>
    <n v="256.55"/>
    <m/>
    <n v="52497.74783"/>
    <n v="52497.74783"/>
    <n v="27628.982370000002"/>
    <n v="0"/>
    <n v="828.93259567873645"/>
    <n v="0"/>
    <n v="0"/>
    <n v="0"/>
    <n v="9984.6697989218083"/>
    <n v="37261.900128125126"/>
    <n v="3976.3075343250744"/>
    <n v="0"/>
    <n v="0"/>
    <n v="0"/>
    <n v="0"/>
    <n v="0"/>
    <n v="147.30658394528589"/>
    <m/>
    <n v="20.909003364633499"/>
    <n v="0"/>
    <n v="0"/>
    <n v="0"/>
    <n v="0"/>
    <n v="0"/>
    <n v="0"/>
    <n v="0"/>
    <n v="0"/>
    <n v="0"/>
    <n v="0"/>
    <n v="0"/>
    <n v="0"/>
    <m/>
    <n v="0"/>
    <n v="0"/>
    <n v="19.095158841479513"/>
    <n v="0"/>
    <n v="0"/>
    <n v="258.66727777452957"/>
    <n v="0"/>
    <n v="0"/>
    <n v="0"/>
    <n v="0"/>
    <n v="0"/>
    <m/>
    <m/>
    <m/>
    <m/>
    <m/>
    <n v="1105.1592948000014"/>
    <m/>
    <m/>
    <m/>
    <n v="4254.0699709410837"/>
    <m/>
    <m/>
    <m/>
    <m/>
    <m/>
    <m/>
    <m/>
    <m/>
    <m/>
    <m/>
    <m/>
    <m/>
    <n v="26525.5344"/>
    <n v="-23872.333516800001"/>
    <m/>
    <m/>
    <m/>
    <m/>
    <n v="-25116.59447"/>
    <n v="247.82901000000015"/>
    <n v="31"/>
    <n v="158.92521451216635"/>
    <n v="0"/>
    <n v="0"/>
    <n v="0"/>
    <n v="0"/>
    <n v="0"/>
    <n v="0"/>
    <n v="0"/>
    <n v="-45.131335479511108"/>
    <n v="0"/>
    <n v="0"/>
    <n v="247.71787232807264"/>
    <n v="0"/>
    <n v="0"/>
    <n v="1.1895991643365136"/>
    <n v="16.114575429105344"/>
    <n v="0"/>
    <n v="-51.546223110333131"/>
    <m/>
    <n v="0"/>
    <n v="0"/>
    <n v="0"/>
    <n v="0"/>
    <n v="-8.0831086349890029"/>
    <n v="-1.336165184514126"/>
    <n v="0"/>
    <n v="0"/>
    <m/>
    <m/>
    <m/>
    <n v="37261.900128125126"/>
    <n v="0"/>
    <n v="0"/>
    <n v="-25116.594469999996"/>
    <n v="247.82901000000038"/>
    <n v="0"/>
    <n v="0"/>
    <n v="-25027.874416473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31"/>
    <s v="Regular"/>
    <s v="Verde"/>
    <s v="A4"/>
    <s v="Rural"/>
    <s v="Não se aplica"/>
    <s v="Não se aplica"/>
    <s v="Não se aplica"/>
    <s v="Fora ponta"/>
    <s v="CATIVO"/>
    <x v="3"/>
    <n v="0"/>
    <n v="0"/>
    <n v="182.27"/>
    <n v="174.97919999999999"/>
    <n v="182.27"/>
    <n v="174.97919999999999"/>
    <m/>
    <n v="82.26"/>
    <n v="256.55"/>
    <m/>
    <n v="61754.898700000005"/>
    <n v="61754.898700000005"/>
    <n v="64155.394600000007"/>
    <n v="0"/>
    <n v="9748.3414552140966"/>
    <n v="0"/>
    <n v="0"/>
    <n v="0"/>
    <n v="0"/>
    <n v="0"/>
    <n v="46761.828136101125"/>
    <n v="0"/>
    <n v="0"/>
    <n v="0"/>
    <n v="0"/>
    <n v="0"/>
    <n v="1732.3421547007717"/>
    <m/>
    <n v="245.89225390488085"/>
    <n v="0"/>
    <n v="0"/>
    <n v="0"/>
    <n v="0"/>
    <n v="0"/>
    <n v="0"/>
    <n v="0"/>
    <n v="0"/>
    <n v="0"/>
    <n v="0"/>
    <n v="0"/>
    <n v="0"/>
    <m/>
    <n v="0"/>
    <n v="0"/>
    <n v="224.56123634018138"/>
    <n v="0"/>
    <n v="0"/>
    <n v="3041.9565597756955"/>
    <n v="0"/>
    <n v="0"/>
    <n v="0"/>
    <n v="0"/>
    <n v="0"/>
    <m/>
    <m/>
    <m/>
    <m/>
    <m/>
    <n v="2566.2157840000068"/>
    <m/>
    <m/>
    <m/>
    <n v="50028.345932217002"/>
    <m/>
    <m/>
    <m/>
    <m/>
    <m/>
    <m/>
    <m/>
    <m/>
    <m/>
    <m/>
    <m/>
    <m/>
    <n v="61589.460399999996"/>
    <n v="2304.7276479999928"/>
    <m/>
    <m/>
    <m/>
    <m/>
    <n v="-514.00140000000135"/>
    <n v="2914.4973000000018"/>
    <n v="31"/>
    <n v="2399.7281996892198"/>
    <n v="0"/>
    <n v="0"/>
    <n v="0"/>
    <n v="0"/>
    <n v="0"/>
    <n v="0"/>
    <n v="0"/>
    <n v="0"/>
    <n v="0"/>
    <n v="0"/>
    <n v="2913.1903083578218"/>
    <n v="0"/>
    <n v="0"/>
    <n v="13.98982125837901"/>
    <n v="189.50923694838593"/>
    <n v="0"/>
    <n v="-606.18943714564921"/>
    <m/>
    <n v="0"/>
    <n v="0"/>
    <n v="0"/>
    <n v="0"/>
    <n v="-95.058275430637423"/>
    <n v="-15.713454299076716"/>
    <n v="0"/>
    <n v="0"/>
    <m/>
    <m/>
    <m/>
    <n v="0"/>
    <n v="0"/>
    <n v="0"/>
    <n v="-514.00140000000101"/>
    <n v="2914.497300000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32"/>
    <s v="Regular"/>
    <s v="Verde"/>
    <s v="A4"/>
    <s v="Rural"/>
    <s v="Não se aplica"/>
    <s v="Não se aplica"/>
    <s v="Não se aplica"/>
    <s v="Não se aplica"/>
    <s v="CATIVO"/>
    <x v="3"/>
    <n v="896"/>
    <n v="860.16"/>
    <n v="0"/>
    <n v="0"/>
    <n v="0"/>
    <n v="0"/>
    <n v="47.39"/>
    <m/>
    <m/>
    <n v="42461.440000000002"/>
    <m/>
    <n v="42461.440000000002"/>
    <n v="28869.119999999999"/>
    <n v="0"/>
    <n v="0"/>
    <n v="0"/>
    <n v="0"/>
    <n v="0"/>
    <n v="22373.209760801266"/>
    <n v="20088.201052173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83.60000000000002"/>
    <n v="1407.31"/>
    <n v="7895.45"/>
    <n v="7"/>
    <m/>
    <m/>
    <m/>
    <m/>
    <m/>
    <n v="1154.7648000000011"/>
    <m/>
    <m/>
    <m/>
    <n v="0"/>
    <m/>
    <m/>
    <m/>
    <m/>
    <m/>
    <m/>
    <m/>
    <m/>
    <m/>
    <m/>
    <m/>
    <m/>
    <n v="27714.355199999998"/>
    <n v="-13048.657200000009"/>
    <m/>
    <m/>
    <m/>
    <m/>
    <n v="-13592.320000000002"/>
    <n v="0"/>
    <n v="31"/>
    <n v="-101.12831528763854"/>
    <n v="0"/>
    <n v="0"/>
    <n v="0"/>
    <n v="0"/>
    <m/>
    <m/>
    <m/>
    <n v="-101.1283152876385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088.20105217363"/>
    <m/>
    <n v="0"/>
    <n v="0"/>
    <n v="-13592.320000000003"/>
    <m/>
    <n v="0"/>
    <m/>
    <n v="-13492.735782606866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33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142.12799999999999"/>
    <n v="142.12799999999999"/>
    <n v="142.12799999999999"/>
    <n v="142.12799999999999"/>
    <m/>
    <n v="710.91"/>
    <n v="256.55"/>
    <m/>
    <n v="137503.15487999999"/>
    <n v="137503.15487999999"/>
    <n v="93865.595039999986"/>
    <n v="0"/>
    <n v="8737.2735177299128"/>
    <n v="0"/>
    <n v="0"/>
    <n v="0"/>
    <n v="17493.510749173653"/>
    <n v="67782.27324720817"/>
    <n v="36463.296808733088"/>
    <n v="0"/>
    <n v="0"/>
    <n v="0"/>
    <n v="0"/>
    <n v="0"/>
    <n v="1350.8219990306206"/>
    <m/>
    <n v="312.08532277190596"/>
    <n v="0"/>
    <n v="0"/>
    <n v="0"/>
    <n v="0"/>
    <n v="0"/>
    <n v="0"/>
    <n v="0"/>
    <n v="0"/>
    <n v="0"/>
    <n v="0"/>
    <n v="0"/>
    <n v="0"/>
    <m/>
    <n v="0"/>
    <n v="0"/>
    <n v="211.81624787865718"/>
    <n v="0"/>
    <n v="0"/>
    <n v="5152.623558519198"/>
    <n v="0"/>
    <n v="284.5"/>
    <n v="1415.06"/>
    <n v="44498.53"/>
    <n v="268"/>
    <m/>
    <m/>
    <m/>
    <m/>
    <m/>
    <m/>
    <m/>
    <m/>
    <m/>
    <n v="41827.73661513094"/>
    <m/>
    <m/>
    <m/>
    <m/>
    <m/>
    <m/>
    <m/>
    <m/>
    <m/>
    <m/>
    <m/>
    <m/>
    <n v="93866.915899999993"/>
    <n v="-43636.268979999993"/>
    <m/>
    <m/>
    <m/>
    <m/>
    <n v="-45910.186559999995"/>
    <n v="2272.6267200000011"/>
    <n v="31"/>
    <n v="1889.3481722651486"/>
    <n v="0"/>
    <n v="0"/>
    <n v="0"/>
    <n v="0"/>
    <n v="0"/>
    <n v="0"/>
    <n v="0"/>
    <n v="-79.071768845125916"/>
    <n v="0"/>
    <n v="0"/>
    <n v="2271.6075719881483"/>
    <n v="0"/>
    <n v="0"/>
    <n v="13.19582798766686"/>
    <n v="321.00055989269367"/>
    <n v="0"/>
    <n v="-543.31733661907674"/>
    <m/>
    <n v="0"/>
    <n v="0"/>
    <n v="0"/>
    <n v="0"/>
    <n v="-74.12323789107154"/>
    <n v="-19.943444248088383"/>
    <n v="0"/>
    <n v="0"/>
    <m/>
    <m/>
    <m/>
    <n v="67782.27324720817"/>
    <n v="0"/>
    <n v="0"/>
    <n v="-45910.186559999995"/>
    <n v="2272.6267200000002"/>
    <n v="0"/>
    <n v="0"/>
    <n v="-45527.635913922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34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199.96799999999999"/>
    <n v="199.96799999999999"/>
    <n v="199.96799999999999"/>
    <n v="199.96799999999999"/>
    <m/>
    <n v="391"/>
    <n v="141.1"/>
    <m/>
    <n v="106402.97279999999"/>
    <n v="106402.97279999999"/>
    <n v="72634.376640000002"/>
    <n v="0"/>
    <n v="6761.1329993835161"/>
    <n v="0"/>
    <n v="0"/>
    <n v="0"/>
    <n v="13536.940621270378"/>
    <n v="52451.713168297138"/>
    <n v="28216.262066143317"/>
    <n v="0"/>
    <n v="0"/>
    <n v="0"/>
    <n v="0"/>
    <n v="0"/>
    <n v="1045.3017380543265"/>
    <m/>
    <n v="241.4998649332228"/>
    <n v="0"/>
    <n v="0"/>
    <n v="0"/>
    <n v="0"/>
    <n v="0"/>
    <n v="0"/>
    <n v="0"/>
    <n v="0"/>
    <n v="0"/>
    <n v="0"/>
    <n v="0"/>
    <n v="0"/>
    <m/>
    <n v="0"/>
    <n v="0"/>
    <n v="163.90900667489615"/>
    <n v="0"/>
    <n v="0"/>
    <n v="3987.2361903529427"/>
    <n v="0"/>
    <n v="227.47"/>
    <n v="1129.4000000000001"/>
    <n v="25596.5"/>
    <n v="26"/>
    <m/>
    <m/>
    <m/>
    <m/>
    <m/>
    <m/>
    <m/>
    <m/>
    <m/>
    <n v="32367.407263171157"/>
    <m/>
    <m/>
    <m/>
    <m/>
    <m/>
    <m/>
    <m/>
    <m/>
    <m/>
    <m/>
    <m/>
    <m/>
    <n v="72635.103100000008"/>
    <n v="-33767.899699999965"/>
    <m/>
    <m/>
    <m/>
    <m/>
    <n v="-35526.314879999998"/>
    <n v="1757.7187199999983"/>
    <n v="31"/>
    <n v="1462.0275133776304"/>
    <n v="0"/>
    <n v="0"/>
    <n v="0"/>
    <n v="0"/>
    <n v="0"/>
    <n v="0"/>
    <n v="0"/>
    <n v="-61.187823017517076"/>
    <n v="0"/>
    <n v="0"/>
    <n v="1757.8299323527717"/>
    <n v="0"/>
    <n v="0"/>
    <n v="10.211280198629026"/>
    <n v="248.39871086865605"/>
    <n v="0"/>
    <n v="-420.43330408487236"/>
    <m/>
    <n v="0"/>
    <n v="0"/>
    <n v="0"/>
    <n v="0"/>
    <n v="-57.358519074572996"/>
    <n v="-15.432763865467564"/>
    <n v="0"/>
    <n v="0"/>
    <m/>
    <m/>
    <m/>
    <n v="52451.713168297138"/>
    <n v="0"/>
    <n v="0"/>
    <n v="-35526.314879999998"/>
    <n v="1757.7187199999971"/>
    <n v="0"/>
    <n v="0"/>
    <n v="-35230.487054904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35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37.006"/>
    <n v="34.785640000000001"/>
    <n v="37.006"/>
    <n v="34.785640000000001"/>
    <m/>
    <n v="710.91"/>
    <n v="256.55"/>
    <m/>
    <n v="35801.824760000003"/>
    <n v="35801.824760000003"/>
    <n v="24439.872580000003"/>
    <n v="0"/>
    <n v="2274.932059813078"/>
    <n v="0"/>
    <n v="0"/>
    <n v="0"/>
    <n v="4554.801719463584"/>
    <n v="17648.533742726177"/>
    <n v="9493.9826192163164"/>
    <n v="0"/>
    <n v="0"/>
    <n v="0"/>
    <n v="0"/>
    <n v="0"/>
    <n v="351.71478453314728"/>
    <m/>
    <n v="81.257946741649462"/>
    <n v="0"/>
    <n v="0"/>
    <n v="0"/>
    <n v="0"/>
    <n v="0"/>
    <n v="0"/>
    <n v="0"/>
    <n v="0"/>
    <n v="0"/>
    <n v="0"/>
    <n v="0"/>
    <n v="0"/>
    <m/>
    <n v="0"/>
    <n v="0"/>
    <n v="55.150794136254561"/>
    <n v="0"/>
    <n v="0"/>
    <n v="1341.5934045829215"/>
    <n v="0"/>
    <n v="73.91"/>
    <n v="367.01"/>
    <n v="12921.87"/>
    <n v="10"/>
    <m/>
    <m/>
    <m/>
    <m/>
    <n v="1466.3923547999998"/>
    <m/>
    <m/>
    <m/>
    <m/>
    <n v="10890.726817935492"/>
    <m/>
    <m/>
    <m/>
    <m/>
    <m/>
    <m/>
    <m/>
    <m/>
    <m/>
    <m/>
    <m/>
    <m/>
    <n v="22976.359700000001"/>
    <n v="-10677.385574399996"/>
    <m/>
    <m/>
    <m/>
    <m/>
    <n v="-11953.678119999999"/>
    <n v="591.72594000000038"/>
    <n v="31"/>
    <n v="491.93134683415337"/>
    <n v="0"/>
    <n v="0"/>
    <n v="0"/>
    <n v="0"/>
    <n v="0"/>
    <n v="0"/>
    <n v="0"/>
    <n v="-20.587990247402558"/>
    <n v="0"/>
    <n v="0"/>
    <n v="591.4605834810427"/>
    <n v="0"/>
    <n v="0"/>
    <n v="3.4358100480665357"/>
    <n v="83.579215350874165"/>
    <n v="0"/>
    <n v="-141.46404198275832"/>
    <m/>
    <n v="0"/>
    <n v="0"/>
    <n v="0"/>
    <n v="0"/>
    <n v="-19.299536624711493"/>
    <n v="-5.1926931909599858"/>
    <n v="0"/>
    <n v="0"/>
    <m/>
    <m/>
    <m/>
    <n v="17648.533742726177"/>
    <n v="0"/>
    <n v="0"/>
    <n v="-11953.67812"/>
    <n v="591.72594000000026"/>
    <n v="0"/>
    <n v="0"/>
    <n v="-11854.073051268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36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1.8"/>
    <n v="1.6919999999999999"/>
    <n v="1.8"/>
    <n v="1.6919999999999999"/>
    <m/>
    <n v="3130.62"/>
    <n v="256.55"/>
    <m/>
    <n v="6096.9059999999999"/>
    <n v="6096.9059999999999"/>
    <n v="3208.7339999999999"/>
    <n v="0"/>
    <n v="96.269351069212561"/>
    <n v="0"/>
    <n v="0"/>
    <n v="0"/>
    <n v="1159.5848530911192"/>
    <n v="4327.4675934334618"/>
    <n v="461.79453911769366"/>
    <n v="0"/>
    <n v="0"/>
    <n v="0"/>
    <n v="0"/>
    <n v="0"/>
    <n v="17.107674759759636"/>
    <m/>
    <n v="2.428298990666514"/>
    <n v="0"/>
    <n v="0"/>
    <n v="0"/>
    <n v="0"/>
    <n v="0"/>
    <n v="0"/>
    <n v="0"/>
    <n v="0"/>
    <n v="0"/>
    <n v="0"/>
    <n v="0"/>
    <n v="0"/>
    <m/>
    <n v="0"/>
    <n v="0"/>
    <n v="2.2176453909712319"/>
    <n v="0"/>
    <n v="0"/>
    <n v="30.040718755671541"/>
    <n v="0"/>
    <n v="0"/>
    <n v="0"/>
    <n v="0"/>
    <n v="0"/>
    <m/>
    <m/>
    <m/>
    <m/>
    <n v="192.52404000000018"/>
    <m/>
    <m/>
    <m/>
    <m/>
    <n v="494.05290326433646"/>
    <m/>
    <m/>
    <m/>
    <m/>
    <m/>
    <m/>
    <m/>
    <m/>
    <m/>
    <m/>
    <m/>
    <m/>
    <n v="3012.6446999999998"/>
    <n v="-2718.4769400000005"/>
    <m/>
    <m/>
    <m/>
    <m/>
    <n v="-2916.9540000000002"/>
    <n v="28.782000000000018"/>
    <n v="31"/>
    <n v="18.457022138325328"/>
    <n v="0"/>
    <n v="0"/>
    <n v="0"/>
    <n v="0"/>
    <n v="0"/>
    <n v="0"/>
    <n v="0"/>
    <n v="-5.2413964683605627"/>
    <n v="0"/>
    <n v="0"/>
    <n v="28.769092856992813"/>
    <n v="0"/>
    <n v="0"/>
    <n v="0.13815591301411212"/>
    <n v="1.8714907911729561"/>
    <n v="0"/>
    <n v="-5.9863992256661334"/>
    <m/>
    <n v="0"/>
    <n v="0"/>
    <n v="0"/>
    <n v="0"/>
    <n v="-0.93874414755662983"/>
    <n v="-0.15517758127140002"/>
    <n v="0"/>
    <n v="0"/>
    <m/>
    <m/>
    <m/>
    <n v="4327.4675934334618"/>
    <n v="0"/>
    <n v="0"/>
    <n v="-2916.9540000000002"/>
    <n v="28.782000000000039"/>
    <n v="0"/>
    <n v="0"/>
    <n v="-2906.6503612912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37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18.571999999999999"/>
    <n v="17.45768"/>
    <n v="18.571999999999999"/>
    <n v="17.45768"/>
    <m/>
    <n v="82.26"/>
    <n v="256.55"/>
    <m/>
    <n v="6292.37932"/>
    <n v="6292.37932"/>
    <n v="6536.9725600000002"/>
    <n v="0"/>
    <n v="993.28577114300867"/>
    <n v="0"/>
    <n v="0"/>
    <n v="0"/>
    <n v="0"/>
    <n v="0"/>
    <n v="4764.6934336076702"/>
    <n v="0"/>
    <n v="0"/>
    <n v="0"/>
    <n v="0"/>
    <n v="0"/>
    <n v="176.51318646569774"/>
    <m/>
    <n v="25.054649363699163"/>
    <n v="0"/>
    <n v="0"/>
    <n v="0"/>
    <n v="0"/>
    <n v="0"/>
    <n v="0"/>
    <n v="0"/>
    <n v="0"/>
    <n v="0"/>
    <n v="0"/>
    <n v="0"/>
    <n v="0"/>
    <m/>
    <n v="0"/>
    <n v="0"/>
    <n v="22.881172333954289"/>
    <n v="0"/>
    <n v="0"/>
    <n v="309.95346040573992"/>
    <n v="0"/>
    <n v="0"/>
    <n v="0"/>
    <n v="0"/>
    <n v="0"/>
    <m/>
    <m/>
    <m/>
    <m/>
    <n v="392.21835359999977"/>
    <m/>
    <m/>
    <m/>
    <m/>
    <n v="5097.5280663473641"/>
    <m/>
    <m/>
    <m/>
    <m/>
    <m/>
    <m/>
    <m/>
    <m/>
    <m/>
    <m/>
    <m/>
    <m/>
    <n v="6145.5708000000004"/>
    <n v="230.7042392000003"/>
    <m/>
    <m/>
    <m/>
    <m/>
    <n v="-52.373040000000138"/>
    <n v="296.96628000000015"/>
    <n v="31"/>
    <n v="244.51501686853771"/>
    <n v="0"/>
    <n v="0"/>
    <n v="0"/>
    <n v="0"/>
    <n v="0"/>
    <n v="0"/>
    <n v="0"/>
    <n v="0"/>
    <n v="0"/>
    <n v="0"/>
    <n v="296.8331069667056"/>
    <n v="0"/>
    <n v="0"/>
    <n v="1.4254620091656065"/>
    <n v="19.309626096480088"/>
    <n v="0"/>
    <n v="-61.766336899484259"/>
    <m/>
    <n v="0"/>
    <n v="0"/>
    <n v="0"/>
    <n v="0"/>
    <n v="-9.6857535046787291"/>
    <n v="-1.6010877996513564"/>
    <n v="0"/>
    <n v="0"/>
    <m/>
    <m/>
    <m/>
    <n v="0"/>
    <n v="0"/>
    <n v="0"/>
    <n v="-52.373040000000174"/>
    <n v="296.96628000000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38"/>
    <s v="Regular"/>
    <s v="Verde"/>
    <s v="A4"/>
    <s v="Serviço público"/>
    <s v="Água, esgoto e saneamento"/>
    <s v="Não se aplica"/>
    <s v="Não se aplica"/>
    <s v="Não se aplica"/>
    <s v="CATIVO"/>
    <x v="3"/>
    <n v="84"/>
    <n v="78.959999999999994"/>
    <n v="0"/>
    <n v="0"/>
    <n v="0"/>
    <n v="0"/>
    <n v="47.39"/>
    <m/>
    <m/>
    <n v="3980.76"/>
    <m/>
    <n v="3980.76"/>
    <n v="2706.48"/>
    <n v="0"/>
    <n v="0"/>
    <n v="0"/>
    <n v="0"/>
    <n v="0"/>
    <n v="2097.4884150751186"/>
    <n v="1883.26884864127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9.03"/>
    <n v="193.71"/>
    <n v="6817.77"/>
    <n v="1"/>
    <m/>
    <m/>
    <m/>
    <m/>
    <n v="162.3888000000002"/>
    <m/>
    <m/>
    <m/>
    <m/>
    <n v="0"/>
    <m/>
    <m/>
    <m/>
    <m/>
    <m/>
    <m/>
    <m/>
    <m/>
    <m/>
    <m/>
    <m/>
    <m/>
    <n v="2544.0911999999998"/>
    <n v="-1197.8532000000005"/>
    <m/>
    <m/>
    <m/>
    <m/>
    <n v="-1274.2800000000002"/>
    <n v="0"/>
    <n v="31"/>
    <n v="-9.4807795582159997"/>
    <n v="0"/>
    <n v="0"/>
    <n v="0"/>
    <n v="0"/>
    <m/>
    <m/>
    <m/>
    <n v="-9.48077955821599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83.2688486412778"/>
    <m/>
    <n v="0"/>
    <n v="0"/>
    <n v="-1274.2800000000002"/>
    <m/>
    <n v="0"/>
    <m/>
    <n v="-1264.9439796193938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39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0.56799999999999995"/>
    <n v="0.56799999999999995"/>
    <n v="0.56799999999999995"/>
    <n v="0.56799999999999995"/>
    <m/>
    <n v="710.91"/>
    <n v="256.55"/>
    <m/>
    <n v="549.51727999999991"/>
    <n v="549.51727999999991"/>
    <n v="375.12423999999999"/>
    <n v="0"/>
    <n v="34.917619034043888"/>
    <n v="0"/>
    <n v="0"/>
    <n v="0"/>
    <n v="69.911024608315287"/>
    <n v="270.88491503724981"/>
    <n v="145.72183234380554"/>
    <n v="0"/>
    <n v="0"/>
    <n v="0"/>
    <n v="0"/>
    <n v="0"/>
    <n v="5.3984218130797066"/>
    <m/>
    <n v="1.2472170391087092"/>
    <n v="0"/>
    <n v="0"/>
    <n v="0"/>
    <n v="0"/>
    <n v="0"/>
    <n v="0"/>
    <n v="0"/>
    <n v="0"/>
    <n v="0"/>
    <n v="0"/>
    <n v="0"/>
    <n v="0"/>
    <m/>
    <n v="0"/>
    <n v="0"/>
    <n v="0.84650194750560959"/>
    <n v="0"/>
    <n v="0"/>
    <n v="20.591932492112072"/>
    <n v="0"/>
    <n v="1.1599999999999999"/>
    <n v="5.84"/>
    <n v="198.3"/>
    <n v="4"/>
    <m/>
    <m/>
    <m/>
    <m/>
    <m/>
    <m/>
    <m/>
    <m/>
    <m/>
    <n v="167.16026678342322"/>
    <m/>
    <m/>
    <m/>
    <m/>
    <m/>
    <m/>
    <m/>
    <m/>
    <m/>
    <m/>
    <m/>
    <m/>
    <n v="376.44509999999997"/>
    <n v="-173.10217999999992"/>
    <m/>
    <m/>
    <m/>
    <m/>
    <n v="-183.47535999999997"/>
    <n v="9.0823200000000046"/>
    <n v="31"/>
    <n v="7.5505865265577654"/>
    <n v="0"/>
    <n v="0"/>
    <n v="0"/>
    <n v="0"/>
    <n v="0"/>
    <n v="0"/>
    <n v="0"/>
    <n v="-0.31600222830148539"/>
    <n v="0"/>
    <n v="0"/>
    <n v="9.0782470793177197"/>
    <n v="0"/>
    <n v="0"/>
    <n v="5.2735775476998037E-2"/>
    <n v="1.2828458714612907"/>
    <n v="0"/>
    <n v="-2.1713121073935753"/>
    <m/>
    <n v="0"/>
    <n v="0"/>
    <n v="0"/>
    <n v="0"/>
    <n v="-0.29622593100675854"/>
    <n v="-7.9701932996413261E-2"/>
    <n v="0"/>
    <n v="0"/>
    <m/>
    <m/>
    <m/>
    <n v="270.88491503724981"/>
    <n v="0"/>
    <n v="0"/>
    <n v="-183.47535999999997"/>
    <n v="9.0823200000000099"/>
    <n v="0"/>
    <n v="0"/>
    <n v="-181.94653551100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40"/>
    <s v="Regular"/>
    <s v="Convencional"/>
    <s v="B1"/>
    <s v="Residencial"/>
    <s v="Residencial"/>
    <s v="Não se aplica"/>
    <s v="Não se aplica"/>
    <s v="Não se aplica"/>
    <s v="CATIVO"/>
    <x v="4"/>
    <n v="0"/>
    <n v="0"/>
    <n v="722.63699999999994"/>
    <n v="722.63699999999994"/>
    <n v="722.63699999999994"/>
    <n v="722.63699999999994"/>
    <m/>
    <n v="710.91"/>
    <n v="256.55"/>
    <m/>
    <n v="699122.39201999991"/>
    <n v="699122.39201999991"/>
    <n v="477251.15390999999"/>
    <n v="0"/>
    <n v="44423.87934138094"/>
    <n v="0"/>
    <n v="0"/>
    <n v="0"/>
    <n v="88944.177975139319"/>
    <n v="344632.85624607938"/>
    <n v="185394.34464688486"/>
    <n v="0"/>
    <n v="0"/>
    <n v="0"/>
    <n v="0"/>
    <n v="0"/>
    <n v="6868.1326474269017"/>
    <m/>
    <n v="1586.7696822014088"/>
    <n v="0"/>
    <n v="0"/>
    <n v="0"/>
    <n v="0"/>
    <n v="0"/>
    <n v="0"/>
    <n v="0"/>
    <n v="0"/>
    <n v="0"/>
    <n v="0"/>
    <n v="0"/>
    <n v="0"/>
    <m/>
    <n v="0"/>
    <n v="0"/>
    <n v="1076.9606123936817"/>
    <n v="0"/>
    <n v="0"/>
    <n v="26198.049859687308"/>
    <n v="0"/>
    <n v="1167.8599999999999"/>
    <n v="6180.89"/>
    <n v="241932.24"/>
    <n v="5258"/>
    <m/>
    <m/>
    <m/>
    <m/>
    <m/>
    <m/>
    <m/>
    <m/>
    <m/>
    <n v="212669.35511896585"/>
    <m/>
    <m/>
    <m/>
    <m/>
    <m/>
    <m/>
    <m/>
    <m/>
    <m/>
    <m/>
    <m/>
    <m/>
    <n v="477253.13520000002"/>
    <n v="-221869.28681999992"/>
    <m/>
    <m/>
    <m/>
    <m/>
    <n v="-233426.20373999997"/>
    <n v="11554.965630000006"/>
    <n v="30"/>
    <n v="9606.2204151270562"/>
    <n v="0"/>
    <n v="0"/>
    <n v="0"/>
    <n v="0"/>
    <n v="0"/>
    <n v="0"/>
    <n v="0"/>
    <n v="-402.03327861460275"/>
    <n v="0"/>
    <n v="0"/>
    <n v="11549.783863832621"/>
    <n v="0"/>
    <n v="0"/>
    <n v="67.092997505935728"/>
    <n v="1632.0984014351634"/>
    <n v="0"/>
    <n v="-2762.4480058988993"/>
    <m/>
    <n v="0"/>
    <n v="0"/>
    <n v="0"/>
    <n v="0"/>
    <n v="-376.87291919882227"/>
    <n v="-101.40064393438229"/>
    <n v="0"/>
    <n v="0"/>
    <m/>
    <m/>
    <m/>
    <n v="344632.85624607938"/>
    <n v="0"/>
    <n v="0"/>
    <n v="-233426.20373999997"/>
    <n v="11554.965630000021"/>
    <n v="0"/>
    <n v="0"/>
    <n v="-231481.15947546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41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0.97599999999999998"/>
    <n v="0.97599999999999998"/>
    <n v="0.97599999999999998"/>
    <n v="0.97599999999999998"/>
    <m/>
    <n v="710.91"/>
    <n v="256.55"/>
    <m/>
    <n v="944.24095999999997"/>
    <n v="944.24095999999997"/>
    <n v="644.57968000000005"/>
    <n v="0"/>
    <n v="59.999289044413452"/>
    <n v="0"/>
    <n v="0"/>
    <n v="0"/>
    <n v="120.12880284809107"/>
    <n v="465.46422020485181"/>
    <n v="250.39526121048277"/>
    <n v="0"/>
    <n v="0"/>
    <n v="0"/>
    <n v="0"/>
    <n v="0"/>
    <n v="9.2761614252918907"/>
    <m/>
    <n v="2.1431053348065143"/>
    <n v="0"/>
    <n v="0"/>
    <n v="0"/>
    <n v="0"/>
    <n v="0"/>
    <n v="0"/>
    <n v="0"/>
    <n v="0"/>
    <n v="0"/>
    <n v="0"/>
    <n v="0"/>
    <n v="0"/>
    <m/>
    <n v="0"/>
    <n v="0"/>
    <n v="1.4545526421927377"/>
    <n v="0"/>
    <n v="0"/>
    <n v="35.383320620248917"/>
    <n v="0"/>
    <n v="2.02"/>
    <n v="10.039999999999999"/>
    <n v="341.1"/>
    <n v="0"/>
    <m/>
    <m/>
    <m/>
    <m/>
    <m/>
    <m/>
    <m/>
    <m/>
    <m/>
    <n v="287.23313447292441"/>
    <m/>
    <m/>
    <m/>
    <m/>
    <m/>
    <m/>
    <m/>
    <m/>
    <m/>
    <m/>
    <m/>
    <m/>
    <n v="647.2213999999999"/>
    <n v="-297.04956000000004"/>
    <m/>
    <m/>
    <m/>
    <m/>
    <n v="-315.26751999999999"/>
    <n v="15.606240000000009"/>
    <n v="30"/>
    <n v="12.974247270986552"/>
    <n v="0"/>
    <n v="0"/>
    <n v="0"/>
    <n v="0"/>
    <n v="0"/>
    <n v="0"/>
    <n v="0"/>
    <n v="-0.54298974440536085"/>
    <n v="0"/>
    <n v="0"/>
    <n v="15.599241460236101"/>
    <n v="0"/>
    <n v="0"/>
    <n v="9.0616402932306439E-2"/>
    <n v="2.2043267087081304"/>
    <n v="0"/>
    <n v="-3.7309870014368585"/>
    <m/>
    <n v="0"/>
    <n v="0"/>
    <n v="0"/>
    <n v="0"/>
    <n v="-0.50900793778626152"/>
    <n v="-0.13695261726144237"/>
    <n v="0"/>
    <n v="0"/>
    <m/>
    <m/>
    <m/>
    <n v="465.46422020485181"/>
    <n v="0"/>
    <n v="0"/>
    <n v="-315.26752000000005"/>
    <n v="15.606240000000042"/>
    <n v="0"/>
    <n v="0"/>
    <n v="-312.64052580764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42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6.8869999999999996"/>
    <n v="6.8869999999999996"/>
    <n v="6.8869999999999996"/>
    <n v="6.8869999999999996"/>
    <m/>
    <n v="710.91"/>
    <n v="256.55"/>
    <m/>
    <n v="6662.8970199999994"/>
    <n v="6662.8970199999994"/>
    <n v="4548.38141"/>
    <n v="0"/>
    <n v="423.37613078778219"/>
    <n v="0"/>
    <n v="0"/>
    <n v="0"/>
    <n v="847.67117337582283"/>
    <n v="3284.4795948266542"/>
    <n v="1766.8772171686421"/>
    <n v="0"/>
    <n v="0"/>
    <n v="0"/>
    <n v="0"/>
    <n v="0"/>
    <n v="65.455864483591441"/>
    <m/>
    <n v="15.122506599193098"/>
    <n v="0"/>
    <n v="0"/>
    <n v="0"/>
    <n v="0"/>
    <n v="0"/>
    <n v="0"/>
    <n v="0"/>
    <n v="0"/>
    <n v="0"/>
    <n v="0"/>
    <n v="0"/>
    <n v="0"/>
    <m/>
    <n v="0"/>
    <n v="0"/>
    <n v="10.263836113505516"/>
    <n v="0"/>
    <n v="0"/>
    <n v="249.67718146685888"/>
    <n v="0"/>
    <n v="11.19"/>
    <n v="59.11"/>
    <n v="5968.84"/>
    <n v="97"/>
    <m/>
    <m/>
    <m/>
    <m/>
    <m/>
    <m/>
    <m/>
    <m/>
    <m/>
    <n v="2026.8182347490065"/>
    <m/>
    <m/>
    <m/>
    <m/>
    <m/>
    <m/>
    <m/>
    <m/>
    <m/>
    <m/>
    <m/>
    <m/>
    <n v="4550.3626999999997"/>
    <n v="-2112.5643200000004"/>
    <m/>
    <m/>
    <m/>
    <m/>
    <n v="-2224.6387399999999"/>
    <n v="110.12313000000006"/>
    <n v="30"/>
    <n v="91.550861634512785"/>
    <n v="0"/>
    <n v="0"/>
    <n v="0"/>
    <n v="0"/>
    <n v="0"/>
    <n v="0"/>
    <n v="0"/>
    <n v="-3.8315270181553842"/>
    <n v="0"/>
    <n v="0"/>
    <n v="110.07374583672754"/>
    <n v="0"/>
    <n v="0"/>
    <n v="0.63942127765860235"/>
    <n v="15.554506191468136"/>
    <n v="0"/>
    <n v="-26.327159302147152"/>
    <m/>
    <n v="0"/>
    <n v="0"/>
    <n v="0"/>
    <n v="0"/>
    <n v="-3.5917394134569491"/>
    <n v="-0.96638593758151003"/>
    <n v="0"/>
    <n v="0"/>
    <m/>
    <m/>
    <m/>
    <n v="3284.4795948266542"/>
    <n v="0"/>
    <n v="0"/>
    <n v="-2224.6387399999999"/>
    <n v="110.12312999999995"/>
    <n v="0"/>
    <n v="0"/>
    <n v="-2206.1017430709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43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0.03"/>
    <n v="0.03"/>
    <n v="0.03"/>
    <n v="0.03"/>
    <m/>
    <n v="710.91"/>
    <n v="256.55"/>
    <m/>
    <n v="29.023799999999998"/>
    <n v="29.023799999999998"/>
    <n v="19.812899999999999"/>
    <n v="0"/>
    <n v="1.844240441938938"/>
    <n v="0"/>
    <n v="0"/>
    <n v="0"/>
    <n v="3.6924836941011598"/>
    <n v="14.30730185055897"/>
    <n v="7.6965756519615605"/>
    <n v="0"/>
    <n v="0"/>
    <n v="0"/>
    <n v="0"/>
    <n v="0"/>
    <n v="0.28512791266266058"/>
    <m/>
    <n v="6.5874139389544492E-2"/>
    <n v="0"/>
    <n v="0"/>
    <n v="0"/>
    <n v="0"/>
    <n v="0"/>
    <n v="0"/>
    <n v="0"/>
    <n v="0"/>
    <n v="0"/>
    <n v="0"/>
    <n v="0"/>
    <n v="0"/>
    <m/>
    <n v="0"/>
    <n v="0"/>
    <n v="4.4709609903465293E-2"/>
    <n v="0"/>
    <n v="0"/>
    <n v="1.087602068245356"/>
    <n v="0"/>
    <n v="0.06"/>
    <n v="0.31"/>
    <n v="39.22"/>
    <n v="1"/>
    <m/>
    <m/>
    <m/>
    <m/>
    <m/>
    <m/>
    <m/>
    <m/>
    <m/>
    <n v="8.8288873301103816"/>
    <m/>
    <m/>
    <m/>
    <m/>
    <m/>
    <m/>
    <m/>
    <m/>
    <m/>
    <m/>
    <m/>
    <m/>
    <n v="19.812899999999999"/>
    <n v="-9.2409000000000034"/>
    <m/>
    <m/>
    <m/>
    <m/>
    <n v="-9.6905999999999999"/>
    <n v="0.47970000000000024"/>
    <n v="30"/>
    <n v="0.39879858414917635"/>
    <n v="0"/>
    <n v="0"/>
    <n v="0"/>
    <n v="0"/>
    <n v="0"/>
    <n v="0"/>
    <n v="0"/>
    <n v="-1.6690258537050084E-2"/>
    <n v="0"/>
    <n v="0"/>
    <n v="0.4794848809498804"/>
    <n v="0"/>
    <n v="0"/>
    <n v="2.7853402540668065E-3"/>
    <n v="6.7755943915208894E-2"/>
    <n v="0"/>
    <n v="-0.11468197750318221"/>
    <m/>
    <n v="0"/>
    <n v="0"/>
    <n v="0"/>
    <n v="0"/>
    <n v="-1.5645735792610471E-2"/>
    <n v="-4.2096091371344943E-3"/>
    <n v="0"/>
    <n v="0"/>
    <m/>
    <m/>
    <m/>
    <n v="14.30730185055897"/>
    <n v="0"/>
    <n v="0"/>
    <n v="-9.6905999999999981"/>
    <n v="0.47969999999999935"/>
    <n v="0"/>
    <n v="0"/>
    <n v="-9.6098522276939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44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3.54"/>
    <n v="3.54"/>
    <n v="3.54"/>
    <n v="3.54"/>
    <m/>
    <n v="639.92999999999995"/>
    <n v="256.55"/>
    <m/>
    <n v="3173.5391999999997"/>
    <n v="3173.5391999999997"/>
    <n v="2102.0520000000001"/>
    <n v="0"/>
    <n v="0"/>
    <n v="0"/>
    <n v="0"/>
    <n v="0"/>
    <n v="435.71307590393684"/>
    <n v="1688.2616183659586"/>
    <n v="908.1959269314641"/>
    <n v="0"/>
    <n v="0"/>
    <n v="0"/>
    <n v="0"/>
    <n v="0"/>
    <n v="0"/>
    <m/>
    <n v="7.7731484479662507"/>
    <n v="0"/>
    <n v="0"/>
    <n v="0"/>
    <n v="0"/>
    <n v="0"/>
    <n v="0"/>
    <n v="0"/>
    <n v="0"/>
    <n v="0"/>
    <n v="0"/>
    <n v="0"/>
    <n v="0"/>
    <m/>
    <n v="0"/>
    <n v="0"/>
    <n v="5.2757339686089049"/>
    <n v="0"/>
    <n v="0"/>
    <n v="128.33704405295202"/>
    <n v="0"/>
    <n v="1.18"/>
    <n v="8.19"/>
    <n v="303.64999999999998"/>
    <n v="5"/>
    <m/>
    <m/>
    <m/>
    <m/>
    <m/>
    <m/>
    <m/>
    <n v="1366.3338000000001"/>
    <m/>
    <n v="1041.808704953025"/>
    <m/>
    <m/>
    <m/>
    <m/>
    <m/>
    <m/>
    <m/>
    <m/>
    <m/>
    <m/>
    <m/>
    <m/>
    <n v="735.71820000000002"/>
    <n v="-375.05759999999987"/>
    <m/>
    <m/>
    <m/>
    <m/>
    <n v="-1128.0917999999999"/>
    <n v="56.604600000000033"/>
    <n v="30"/>
    <n v="62.436903098506946"/>
    <n v="0"/>
    <n v="0"/>
    <n v="0"/>
    <n v="0"/>
    <n v="0"/>
    <n v="0"/>
    <n v="0"/>
    <n v="-1.969450507371846"/>
    <n v="0"/>
    <n v="0"/>
    <n v="56.57921595208586"/>
    <n v="0"/>
    <n v="0"/>
    <n v="0.32867014997988253"/>
    <n v="7.995201381994633"/>
    <n v="0"/>
    <n v="0"/>
    <m/>
    <n v="0"/>
    <n v="0"/>
    <n v="0"/>
    <n v="0"/>
    <n v="0"/>
    <n v="-0.49673387818187109"/>
    <n v="0"/>
    <n v="0"/>
    <m/>
    <m/>
    <m/>
    <n v="1688.2616183659586"/>
    <n v="0"/>
    <n v="0"/>
    <n v="-1128.0917999999999"/>
    <n v="56.604600000000119"/>
    <n v="0"/>
    <n v="0"/>
    <n v="-1133.962562867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45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7.0010000000000003"/>
    <n v="7.0010000000000003"/>
    <n v="7.0010000000000003"/>
    <n v="7.0010000000000003"/>
    <m/>
    <n v="639.92999999999995"/>
    <n v="256.55"/>
    <m/>
    <n v="6276.25648"/>
    <n v="6276.25648"/>
    <n v="4157.1938"/>
    <n v="0"/>
    <n v="0"/>
    <n v="0"/>
    <n v="0"/>
    <n v="0"/>
    <n v="861.70261141340734"/>
    <n v="3338.8473418587787"/>
    <n v="1796.1242046460961"/>
    <n v="0"/>
    <n v="0"/>
    <n v="0"/>
    <n v="0"/>
    <n v="0"/>
    <n v="0"/>
    <m/>
    <n v="15.37282832887337"/>
    <n v="0"/>
    <n v="0"/>
    <n v="0"/>
    <n v="0"/>
    <n v="0"/>
    <n v="0"/>
    <n v="0"/>
    <n v="0"/>
    <n v="0"/>
    <n v="0"/>
    <n v="0"/>
    <n v="0"/>
    <m/>
    <n v="0"/>
    <n v="0"/>
    <n v="10.433732631138685"/>
    <n v="0"/>
    <n v="0"/>
    <n v="253.81006932619127"/>
    <n v="0"/>
    <n v="5.48"/>
    <n v="29.48"/>
    <n v="1179"/>
    <n v="37"/>
    <m/>
    <m/>
    <m/>
    <m/>
    <m/>
    <m/>
    <m/>
    <n v="1662.87752"/>
    <m/>
    <n v="2060.3680066034258"/>
    <m/>
    <m/>
    <m/>
    <m/>
    <m/>
    <m/>
    <m/>
    <m/>
    <m/>
    <m/>
    <m/>
    <m/>
    <n v="2493.96"/>
    <n v="-1271.8378900000007"/>
    <m/>
    <m/>
    <m/>
    <m/>
    <n v="-2231.0086699999997"/>
    <n v="111.94599000000007"/>
    <n v="30"/>
    <n v="123.48044028040886"/>
    <n v="0"/>
    <n v="0"/>
    <n v="0"/>
    <n v="0"/>
    <n v="0"/>
    <n v="0"/>
    <n v="0"/>
    <n v="-3.8949500005961681"/>
    <n v="0"/>
    <n v="0"/>
    <n v="111.89578838433727"/>
    <n v="0"/>
    <n v="0"/>
    <n v="0.65000557062405662"/>
    <n v="15.811978778345946"/>
    <n v="0"/>
    <n v="0"/>
    <m/>
    <n v="0"/>
    <n v="0"/>
    <n v="0"/>
    <n v="0"/>
    <n v="0"/>
    <n v="-0.98238245230262322"/>
    <n v="0"/>
    <n v="0"/>
    <m/>
    <m/>
    <m/>
    <n v="3338.8473418587787"/>
    <n v="0"/>
    <n v="0"/>
    <n v="-2231.0086699999997"/>
    <n v="111.94598999999994"/>
    <n v="0"/>
    <n v="0"/>
    <n v="-2242.6191815361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46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4.6079999999999997"/>
    <n v="4.6079999999999997"/>
    <n v="4.6079999999999997"/>
    <n v="4.6079999999999997"/>
    <m/>
    <n v="639.92999999999995"/>
    <n v="256.55"/>
    <m/>
    <n v="4130.9798399999991"/>
    <n v="4130.9798399999991"/>
    <n v="2736.2303999999995"/>
    <n v="0"/>
    <n v="0"/>
    <n v="0"/>
    <n v="0"/>
    <n v="0"/>
    <n v="567.16549541393806"/>
    <n v="2197.6015642458578"/>
    <n v="1182.1940201412956"/>
    <n v="0"/>
    <n v="0"/>
    <n v="0"/>
    <n v="0"/>
    <n v="0"/>
    <n v="0"/>
    <m/>
    <n v="10.118267810234034"/>
    <n v="0"/>
    <n v="0"/>
    <n v="0"/>
    <n v="0"/>
    <n v="0"/>
    <n v="0"/>
    <n v="0"/>
    <n v="0"/>
    <n v="0"/>
    <n v="0"/>
    <n v="0"/>
    <n v="0"/>
    <m/>
    <n v="0"/>
    <n v="0"/>
    <n v="6.8673960811722692"/>
    <n v="0"/>
    <n v="0"/>
    <n v="167.05567768248667"/>
    <n v="0"/>
    <n v="6.7"/>
    <n v="34.39"/>
    <n v="1398.13"/>
    <n v="60"/>
    <m/>
    <m/>
    <m/>
    <m/>
    <m/>
    <m/>
    <m/>
    <n v="273.66912000000002"/>
    <m/>
    <n v="1356.1170939049546"/>
    <m/>
    <m/>
    <m/>
    <m/>
    <m/>
    <m/>
    <m/>
    <m/>
    <m/>
    <m/>
    <m/>
    <m/>
    <n v="2463.6301000000003"/>
    <n v="-1254.3186200000005"/>
    <m/>
    <m/>
    <m/>
    <m/>
    <n v="-1468.4313599999998"/>
    <n v="73.681920000000034"/>
    <n v="30"/>
    <n v="81.27379928754749"/>
    <n v="0"/>
    <n v="0"/>
    <n v="0"/>
    <n v="0"/>
    <n v="0"/>
    <n v="0"/>
    <n v="0"/>
    <n v="-2.563623711290802"/>
    <n v="0"/>
    <n v="0"/>
    <n v="73.648877713901584"/>
    <n v="0"/>
    <n v="0"/>
    <n v="0.42782826302466059"/>
    <n v="10.40731298537608"/>
    <n v="0"/>
    <n v="0"/>
    <m/>
    <n v="0"/>
    <n v="0"/>
    <n v="0"/>
    <n v="0"/>
    <n v="0"/>
    <n v="-0.64659596346385939"/>
    <n v="0"/>
    <n v="0"/>
    <m/>
    <m/>
    <m/>
    <n v="2197.6015642458578"/>
    <n v="0"/>
    <n v="0"/>
    <n v="-1468.4313599999996"/>
    <n v="73.681919999999991"/>
    <n v="0"/>
    <n v="0"/>
    <n v="-1476.0733021737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47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1.21"/>
    <n v="1.21"/>
    <n v="1.21"/>
    <n v="1.21"/>
    <m/>
    <n v="639.92999999999995"/>
    <n v="256.55"/>
    <m/>
    <n v="1084.7407999999998"/>
    <n v="1084.7407999999998"/>
    <n v="718.49800000000005"/>
    <n v="0"/>
    <n v="0"/>
    <n v="0"/>
    <n v="0"/>
    <n v="0"/>
    <n v="148.9301756620801"/>
    <n v="577.0611746392118"/>
    <n v="310.42855129578294"/>
    <n v="0"/>
    <n v="0"/>
    <n v="0"/>
    <n v="0"/>
    <n v="0"/>
    <n v="0"/>
    <m/>
    <n v="2.6569236220449612"/>
    <n v="0"/>
    <n v="0"/>
    <n v="0"/>
    <n v="0"/>
    <n v="0"/>
    <n v="0"/>
    <n v="0"/>
    <n v="0"/>
    <n v="0"/>
    <n v="0"/>
    <n v="0"/>
    <n v="0"/>
    <m/>
    <n v="0"/>
    <n v="0"/>
    <n v="1.803287599439767"/>
    <n v="0"/>
    <n v="0"/>
    <n v="43.866616752562692"/>
    <n v="0"/>
    <n v="2.46"/>
    <n v="12.25"/>
    <n v="495.87"/>
    <n v="16"/>
    <m/>
    <m/>
    <m/>
    <m/>
    <m/>
    <m/>
    <m/>
    <m/>
    <m/>
    <n v="356.09845564778539"/>
    <m/>
    <m/>
    <m/>
    <m/>
    <m/>
    <m/>
    <m/>
    <m/>
    <m/>
    <m/>
    <m/>
    <m/>
    <n v="718.49800000000005"/>
    <n v="-366.27279999999973"/>
    <m/>
    <m/>
    <m/>
    <m/>
    <n v="-385.59069999999991"/>
    <n v="19.34790000000001"/>
    <n v="30"/>
    <n v="21.341427330280453"/>
    <n v="0"/>
    <n v="0"/>
    <n v="0"/>
    <n v="0"/>
    <n v="0"/>
    <n v="0"/>
    <n v="0"/>
    <n v="-0.67317376099433091"/>
    <n v="0"/>
    <n v="0"/>
    <n v="19.339223531645132"/>
    <n v="0"/>
    <n v="0"/>
    <n v="0.11234205691402765"/>
    <n v="2.7328230712467629"/>
    <n v="0"/>
    <n v="0"/>
    <m/>
    <n v="0"/>
    <n v="0"/>
    <n v="0"/>
    <n v="0"/>
    <n v="0"/>
    <n v="-0.16978756853109145"/>
    <n v="0"/>
    <n v="0"/>
    <m/>
    <m/>
    <m/>
    <n v="577.0611746392118"/>
    <n v="0"/>
    <n v="0"/>
    <n v="-385.59069999999991"/>
    <n v="19.347900000000038"/>
    <n v="0"/>
    <n v="0"/>
    <n v="-387.59737318365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48"/>
    <s v="Regular"/>
    <s v="Convencional"/>
    <s v="B3"/>
    <s v="Industrial"/>
    <s v="Não se aplica"/>
    <s v="Não se aplica"/>
    <s v="Não se aplica"/>
    <s v="Não se aplica"/>
    <s v="CATIVO"/>
    <x v="4"/>
    <n v="0"/>
    <n v="0"/>
    <n v="52.887999999999998"/>
    <n v="52.887999999999998"/>
    <n v="52.887999999999998"/>
    <n v="52.887999999999998"/>
    <m/>
    <n v="710.91"/>
    <n v="256.55"/>
    <m/>
    <n v="51167.02448"/>
    <n v="51167.02448"/>
    <n v="34928.821839999997"/>
    <n v="0"/>
    <n v="3251.2729497755518"/>
    <n v="0"/>
    <n v="0"/>
    <n v="0"/>
    <n v="6509.6025871207376"/>
    <n v="25222.819342412095"/>
    <n v="13568.549769364767"/>
    <n v="0"/>
    <n v="0"/>
    <n v="0"/>
    <n v="0"/>
    <n v="0"/>
    <n v="502.6615014967598"/>
    <m/>
    <n v="116.13171613447432"/>
    <n v="0"/>
    <n v="0"/>
    <n v="0"/>
    <n v="0"/>
    <n v="0"/>
    <n v="0"/>
    <n v="0"/>
    <n v="0"/>
    <n v="0"/>
    <n v="0"/>
    <n v="0"/>
    <n v="0"/>
    <m/>
    <n v="0"/>
    <n v="0"/>
    <n v="78.820061619149087"/>
    <n v="0"/>
    <n v="0"/>
    <n v="1917.3699395120129"/>
    <n v="0"/>
    <n v="75.459999999999994"/>
    <n v="389.9"/>
    <n v="9444.59"/>
    <n v="47"/>
    <m/>
    <m/>
    <m/>
    <m/>
    <m/>
    <m/>
    <m/>
    <m/>
    <m/>
    <n v="15564.739770495929"/>
    <m/>
    <m/>
    <m/>
    <m/>
    <m/>
    <m/>
    <m/>
    <m/>
    <m/>
    <m/>
    <m/>
    <m/>
    <n v="34930.142699999997"/>
    <n v="-16236.911780000009"/>
    <m/>
    <m/>
    <m/>
    <m/>
    <n v="-17083.88176"/>
    <n v="845.67912000000047"/>
    <n v="30"/>
    <n v="703.05531728271671"/>
    <n v="0"/>
    <n v="0"/>
    <n v="0"/>
    <n v="0"/>
    <n v="0"/>
    <n v="0"/>
    <n v="0"/>
    <n v="-29.423813116915881"/>
    <n v="0"/>
    <n v="0"/>
    <n v="845.29987945590801"/>
    <n v="0"/>
    <n v="0"/>
    <n v="4.9103691785694963"/>
    <n v="119.44921205958576"/>
    <n v="0"/>
    <n v="-202.17668087294305"/>
    <m/>
    <n v="0"/>
    <n v="0"/>
    <n v="0"/>
    <n v="0"/>
    <n v="-27.582389153319525"/>
    <n v="-7.4212602681589885"/>
    <n v="0"/>
    <n v="0"/>
    <m/>
    <m/>
    <m/>
    <n v="25222.819342412095"/>
    <n v="0"/>
    <n v="0"/>
    <n v="-17083.88176"/>
    <n v="845.67912000000069"/>
    <n v="0"/>
    <n v="0"/>
    <n v="-16941.528820609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49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6.093"/>
    <n v="6.093"/>
    <n v="6.093"/>
    <n v="6.093"/>
    <m/>
    <n v="710.91"/>
    <n v="256.55"/>
    <m/>
    <n v="5894.7337800000005"/>
    <n v="5894.7337800000005"/>
    <n v="4023.9999900000003"/>
    <n v="0"/>
    <n v="374.5652337577983"/>
    <n v="0"/>
    <n v="0"/>
    <n v="0"/>
    <n v="749.94343827194552"/>
    <n v="2905.8130058485267"/>
    <n v="1563.1745149133928"/>
    <n v="0"/>
    <n v="0"/>
    <n v="0"/>
    <n v="0"/>
    <n v="0"/>
    <n v="57.909479061786371"/>
    <m/>
    <n v="13.379037710016489"/>
    <n v="0"/>
    <n v="0"/>
    <n v="0"/>
    <n v="0"/>
    <n v="0"/>
    <n v="0"/>
    <n v="0"/>
    <n v="0"/>
    <n v="0"/>
    <n v="0"/>
    <n v="0"/>
    <n v="0"/>
    <m/>
    <n v="0"/>
    <n v="0"/>
    <n v="9.0805217713938013"/>
    <n v="0"/>
    <n v="0"/>
    <n v="220.89198006063179"/>
    <n v="0"/>
    <n v="10.55"/>
    <n v="54.42"/>
    <n v="1579.39"/>
    <n v="4"/>
    <m/>
    <m/>
    <m/>
    <m/>
    <m/>
    <m/>
    <m/>
    <m/>
    <m/>
    <n v="1793.1470167454183"/>
    <m/>
    <m/>
    <m/>
    <m/>
    <m/>
    <m/>
    <m/>
    <m/>
    <m/>
    <m/>
    <m/>
    <m/>
    <n v="4022.0186999999996"/>
    <n v="-1872.7450800000015"/>
    <m/>
    <m/>
    <m/>
    <m/>
    <n v="-1968.16086"/>
    <n v="97.427070000000057"/>
    <n v="30"/>
    <n v="80.995992440698501"/>
    <n v="0"/>
    <n v="0"/>
    <n v="0"/>
    <n v="0"/>
    <n v="0"/>
    <n v="0"/>
    <n v="0"/>
    <n v="-3.3897915088748505"/>
    <n v="0"/>
    <n v="0"/>
    <n v="97.383379320920767"/>
    <n v="0"/>
    <n v="0"/>
    <n v="0.56570260560096841"/>
    <n v="13.761232209178957"/>
    <n v="0"/>
    <n v="-23.291909630896271"/>
    <m/>
    <n v="0"/>
    <n v="0"/>
    <n v="0"/>
    <n v="0"/>
    <n v="-3.177648939479198"/>
    <n v="-0.85497161575201908"/>
    <n v="0"/>
    <n v="0"/>
    <m/>
    <m/>
    <m/>
    <n v="2905.8130058485267"/>
    <n v="0"/>
    <n v="0"/>
    <n v="-1968.16086"/>
    <n v="97.427070000000185"/>
    <n v="0"/>
    <n v="0"/>
    <n v="-1951.7609874446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50"/>
    <s v="Regular"/>
    <s v="Verde"/>
    <s v="A4"/>
    <s v="Industrial"/>
    <s v="Não se aplica"/>
    <s v="Não se aplica"/>
    <s v="Não se aplica"/>
    <s v="Ponta"/>
    <s v="CATIVO"/>
    <x v="4"/>
    <n v="0"/>
    <n v="0"/>
    <n v="9.3610000000000007"/>
    <n v="9.3610000000000007"/>
    <n v="9.3610000000000007"/>
    <n v="9.3610000000000007"/>
    <m/>
    <n v="3130.62"/>
    <n v="256.55"/>
    <m/>
    <n v="31707.29837"/>
    <n v="31707.29837"/>
    <n v="16687.199430000001"/>
    <n v="0"/>
    <n v="500.65410853272158"/>
    <n v="0"/>
    <n v="0"/>
    <n v="0"/>
    <n v="6030.4854498810928"/>
    <n v="22505.235634517023"/>
    <n v="2401.588155933739"/>
    <n v="0"/>
    <n v="0"/>
    <n v="0"/>
    <n v="0"/>
    <n v="0"/>
    <n v="88.969413014505534"/>
    <m/>
    <n v="12.628503806460687"/>
    <n v="0"/>
    <n v="0"/>
    <n v="0"/>
    <n v="0"/>
    <n v="0"/>
    <n v="0"/>
    <n v="0"/>
    <n v="0"/>
    <n v="0"/>
    <n v="0"/>
    <n v="0"/>
    <n v="0"/>
    <m/>
    <n v="0"/>
    <n v="0"/>
    <n v="11.532988058267614"/>
    <n v="0"/>
    <n v="0"/>
    <n v="156.22842681768961"/>
    <n v="0"/>
    <n v="0"/>
    <n v="0"/>
    <n v="0"/>
    <n v="0"/>
    <m/>
    <m/>
    <m/>
    <m/>
    <m/>
    <m/>
    <m/>
    <m/>
    <m/>
    <n v="2569.3495708096962"/>
    <m/>
    <m/>
    <m/>
    <m/>
    <m/>
    <m/>
    <m/>
    <m/>
    <m/>
    <m/>
    <m/>
    <m/>
    <n v="16685.416799999999"/>
    <n v="-15021.911569999997"/>
    <m/>
    <m/>
    <m/>
    <m/>
    <n v="-15169.781330000002"/>
    <n v="149.68239000000008"/>
    <n v="30"/>
    <n v="95.986769020477368"/>
    <n v="0"/>
    <n v="0"/>
    <n v="0"/>
    <n v="0"/>
    <n v="0"/>
    <n v="0"/>
    <n v="0"/>
    <n v="-27.258173522401194"/>
    <n v="0"/>
    <n v="0"/>
    <n v="149.61526568572754"/>
    <n v="0"/>
    <n v="0"/>
    <n v="0.71848750095839087"/>
    <n v="9.7327918312055886"/>
    <n v="0"/>
    <n v="-31.132601750811546"/>
    <m/>
    <n v="0"/>
    <n v="0"/>
    <n v="0"/>
    <n v="0"/>
    <n v="-4.8819910918208933"/>
    <n v="-0.80700963237865331"/>
    <n v="0"/>
    <n v="0"/>
    <m/>
    <m/>
    <m/>
    <n v="22505.235634517023"/>
    <n v="0"/>
    <n v="0"/>
    <n v="-15169.781330000002"/>
    <n v="149.6823900000004"/>
    <n v="0"/>
    <n v="0"/>
    <n v="-15116.196684470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51"/>
    <s v="Sistema de Compensação"/>
    <s v="Verde"/>
    <s v="A4"/>
    <s v="Industrial"/>
    <s v="Não se aplica"/>
    <s v="Não se aplica"/>
    <s v="Não se aplica"/>
    <s v="Ponta"/>
    <s v="CATIVO"/>
    <x v="4"/>
    <n v="0"/>
    <n v="0"/>
    <n v="0.34599999999999997"/>
    <n v="0.34599999999999997"/>
    <n v="0.34599999999999997"/>
    <n v="0.34599999999999997"/>
    <m/>
    <n v="3130.62"/>
    <n v="256.55"/>
    <m/>
    <n v="1171.9608199999998"/>
    <n v="1171.9608199999998"/>
    <n v="616.78998000000001"/>
    <n v="0"/>
    <n v="18.505108594415301"/>
    <n v="0"/>
    <n v="0"/>
    <n v="0"/>
    <n v="222.897977316404"/>
    <n v="831.83543740443213"/>
    <n v="88.767172519289986"/>
    <n v="0"/>
    <n v="0"/>
    <n v="0"/>
    <n v="0"/>
    <n v="0"/>
    <n v="3.2884752593760185"/>
    <m/>
    <n v="0.4667730282058965"/>
    <n v="0"/>
    <n v="0"/>
    <n v="0"/>
    <n v="0"/>
    <n v="0"/>
    <n v="0"/>
    <n v="0"/>
    <n v="0"/>
    <n v="0"/>
    <n v="0"/>
    <n v="0"/>
    <n v="0"/>
    <m/>
    <n v="0"/>
    <n v="0"/>
    <n v="0.42628072515335902"/>
    <n v="0"/>
    <n v="0"/>
    <n v="5.7744937163679735"/>
    <n v="0"/>
    <n v="0"/>
    <n v="0"/>
    <n v="0"/>
    <n v="0"/>
    <m/>
    <m/>
    <m/>
    <m/>
    <m/>
    <m/>
    <m/>
    <m/>
    <m/>
    <n v="94.967946960811318"/>
    <m/>
    <m/>
    <m/>
    <m/>
    <m/>
    <m/>
    <m/>
    <m/>
    <m/>
    <m/>
    <m/>
    <m/>
    <n v="623.92049999999995"/>
    <n v="-548.07031999999981"/>
    <m/>
    <m/>
    <m/>
    <m/>
    <n v="-560.70337999999992"/>
    <n v="5.5325400000000027"/>
    <n v="30"/>
    <n v="3.5478498110335863"/>
    <n v="0"/>
    <n v="0"/>
    <n v="0"/>
    <n v="0"/>
    <n v="0"/>
    <n v="0"/>
    <n v="0"/>
    <n v="-1.0075128766959551"/>
    <n v="0"/>
    <n v="0"/>
    <n v="5.5300589602886276"/>
    <n v="0"/>
    <n v="0"/>
    <n v="2.6556636612712681E-2"/>
    <n v="0.35974211874769058"/>
    <n v="0"/>
    <n v="-1.1507189622669358"/>
    <m/>
    <n v="0"/>
    <n v="0"/>
    <n v="0"/>
    <n v="0"/>
    <n v="-0.1804474861414409"/>
    <n v="-2.9828579511057995E-2"/>
    <n v="0"/>
    <n v="0"/>
    <m/>
    <m/>
    <m/>
    <n v="831.83543740443213"/>
    <n v="0"/>
    <n v="0"/>
    <n v="-560.70337999999981"/>
    <n v="5.5325399999999973"/>
    <n v="0"/>
    <n v="0"/>
    <n v="-558.72279167042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52"/>
    <s v="Regular"/>
    <s v="Verde"/>
    <s v="A4"/>
    <s v="Industrial"/>
    <s v="Não se aplica"/>
    <s v="Não se aplica"/>
    <s v="Não se aplica"/>
    <s v="Fora ponta"/>
    <s v="CATIVO"/>
    <x v="4"/>
    <n v="0"/>
    <n v="0"/>
    <n v="260.50599999999997"/>
    <n v="260.50599999999997"/>
    <n v="260.50599999999997"/>
    <n v="260.50599999999997"/>
    <m/>
    <n v="82.26"/>
    <n v="256.55"/>
    <m/>
    <n v="88262.037859999997"/>
    <n v="88262.037859999997"/>
    <n v="91692.90187999999"/>
    <n v="0"/>
    <n v="13932.635316464603"/>
    <n v="0"/>
    <n v="0"/>
    <n v="0"/>
    <n v="0"/>
    <n v="0"/>
    <n v="66833.47122632993"/>
    <n v="0"/>
    <n v="0"/>
    <n v="0"/>
    <n v="0"/>
    <n v="0"/>
    <n v="2475.9177338699683"/>
    <m/>
    <n v="351.43692047920598"/>
    <n v="0"/>
    <n v="0"/>
    <n v="0"/>
    <n v="0"/>
    <n v="0"/>
    <n v="0"/>
    <n v="0"/>
    <n v="0"/>
    <n v="0"/>
    <n v="0"/>
    <n v="0"/>
    <n v="0"/>
    <m/>
    <n v="0"/>
    <n v="0"/>
    <n v="320.94996123352871"/>
    <n v="0"/>
    <n v="0"/>
    <n v="4347.6597112027603"/>
    <n v="0"/>
    <n v="0"/>
    <n v="0"/>
    <n v="0"/>
    <n v="0"/>
    <m/>
    <m/>
    <m/>
    <m/>
    <m/>
    <m/>
    <m/>
    <m/>
    <m/>
    <n v="71502.080898766231"/>
    <m/>
    <m/>
    <m/>
    <m/>
    <m/>
    <m/>
    <m/>
    <m/>
    <m/>
    <m/>
    <m/>
    <m/>
    <n v="91694.309800000003"/>
    <n v="3432.2419400000072"/>
    <m/>
    <m/>
    <m/>
    <m/>
    <n v="-734.62692000000186"/>
    <n v="4165.4909400000015"/>
    <n v="30"/>
    <n v="3429.7667986407178"/>
    <n v="0"/>
    <n v="0"/>
    <n v="0"/>
    <n v="0"/>
    <n v="0"/>
    <n v="0"/>
    <n v="0"/>
    <n v="0"/>
    <n v="0"/>
    <n v="0"/>
    <n v="4163.6229465576616"/>
    <n v="0"/>
    <n v="0"/>
    <n v="19.994691264252424"/>
    <n v="270.85254446961335"/>
    <n v="0"/>
    <n v="-866.38495371188037"/>
    <m/>
    <n v="0"/>
    <n v="0"/>
    <n v="0"/>
    <n v="0"/>
    <n v="-135.86026827965952"/>
    <n v="-22.458161659270729"/>
    <n v="0"/>
    <n v="0"/>
    <m/>
    <m/>
    <m/>
    <n v="0"/>
    <n v="0"/>
    <n v="0"/>
    <n v="-734.62692000000243"/>
    <n v="4165.490940000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53"/>
    <s v="Refaturamento - Regular"/>
    <s v="Verde"/>
    <s v="A4"/>
    <s v="Industrial"/>
    <s v="Não se aplica"/>
    <s v="Não se aplica"/>
    <s v="Não se aplica"/>
    <s v="Fora ponta"/>
    <s v="CATIVO"/>
    <x v="4"/>
    <n v="0"/>
    <n v="0"/>
    <n v="-36.871000000000002"/>
    <n v="-36.871000000000002"/>
    <n v="-36.871000000000002"/>
    <n v="-36.871000000000002"/>
    <m/>
    <n v="82.26"/>
    <n v="256.55"/>
    <m/>
    <n v="-12492.263510000002"/>
    <n v="-12492.263510000002"/>
    <n v="-12977.854580000001"/>
    <n v="0"/>
    <n v="-1971.970690707187"/>
    <n v="0"/>
    <n v="0"/>
    <n v="0"/>
    <n v="0"/>
    <n v="0"/>
    <n v="-9459.3480287824896"/>
    <n v="0"/>
    <n v="0"/>
    <n v="0"/>
    <n v="0"/>
    <n v="0"/>
    <n v="-350.4317089261653"/>
    <m/>
    <n v="-49.74100671381391"/>
    <n v="0"/>
    <n v="0"/>
    <n v="0"/>
    <n v="0"/>
    <n v="0"/>
    <n v="0"/>
    <n v="0"/>
    <n v="0"/>
    <n v="0"/>
    <n v="0"/>
    <n v="0"/>
    <n v="0"/>
    <m/>
    <n v="0"/>
    <n v="0"/>
    <n v="-45.426001783611277"/>
    <n v="0"/>
    <n v="0"/>
    <n v="-615.35074513353629"/>
    <n v="0"/>
    <n v="0"/>
    <n v="0"/>
    <n v="0"/>
    <n v="0"/>
    <m/>
    <m/>
    <m/>
    <m/>
    <m/>
    <m/>
    <m/>
    <m/>
    <m/>
    <n v="-10120.124775699638"/>
    <m/>
    <m/>
    <m/>
    <m/>
    <m/>
    <m/>
    <m/>
    <m/>
    <m/>
    <m/>
    <m/>
    <m/>
    <n v="-12977.5026"/>
    <n v="-485.26908999999796"/>
    <m/>
    <m/>
    <m/>
    <m/>
    <n v="103.97622000000028"/>
    <n v="-589.56729000000041"/>
    <n v="30"/>
    <n v="-485.43577358173025"/>
    <n v="0"/>
    <n v="0"/>
    <n v="0"/>
    <n v="0"/>
    <n v="0"/>
    <n v="0"/>
    <n v="0"/>
    <n v="0"/>
    <n v="0"/>
    <n v="0"/>
    <n v="-589.30290151676854"/>
    <n v="0"/>
    <n v="0"/>
    <n v="-2.8299703715240767"/>
    <n v="-38.335409422965654"/>
    <n v="0"/>
    <n v="122.6247365830759"/>
    <m/>
    <n v="0"/>
    <n v="0"/>
    <n v="0"/>
    <n v="0"/>
    <n v="19.229130813644701"/>
    <n v="3.1786403328098842"/>
    <n v="0"/>
    <n v="0"/>
    <m/>
    <m/>
    <m/>
    <n v="0"/>
    <n v="0"/>
    <n v="0"/>
    <n v="103.97622000000047"/>
    <n v="-589.56728999999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54"/>
    <s v="Sistema de Compensação"/>
    <s v="Verde"/>
    <s v="A4"/>
    <s v="Industrial"/>
    <s v="Não se aplica"/>
    <s v="Não se aplica"/>
    <s v="Não se aplica"/>
    <s v="Fora ponta"/>
    <s v="CATIVO"/>
    <x v="4"/>
    <n v="0"/>
    <n v="0"/>
    <n v="7.2210000000000001"/>
    <n v="7.2210000000000001"/>
    <n v="7.2210000000000001"/>
    <n v="7.2210000000000001"/>
    <m/>
    <n v="82.26"/>
    <n v="256.55"/>
    <m/>
    <n v="2446.5470100000002"/>
    <n v="2446.5470100000002"/>
    <n v="2541.6475800000003"/>
    <n v="0"/>
    <n v="386.20054670599103"/>
    <n v="0"/>
    <n v="0"/>
    <n v="0"/>
    <n v="0"/>
    <n v="0"/>
    <n v="1852.5657594271477"/>
    <n v="0"/>
    <n v="0"/>
    <n v="0"/>
    <n v="0"/>
    <n v="0"/>
    <n v="68.630288577902405"/>
    <m/>
    <n v="9.7415261175571644"/>
    <n v="0"/>
    <n v="0"/>
    <n v="0"/>
    <n v="0"/>
    <n v="0"/>
    <n v="0"/>
    <n v="0"/>
    <n v="0"/>
    <n v="0"/>
    <n v="0"/>
    <n v="0"/>
    <n v="0"/>
    <m/>
    <n v="0"/>
    <n v="0"/>
    <n v="8.896454093446259"/>
    <n v="0"/>
    <n v="0"/>
    <n v="120.51335007483566"/>
    <n v="0"/>
    <n v="0"/>
    <n v="0"/>
    <n v="0"/>
    <n v="0"/>
    <m/>
    <m/>
    <m/>
    <m/>
    <m/>
    <m/>
    <m/>
    <m/>
    <m/>
    <n v="1981.9755635954295"/>
    <m/>
    <m/>
    <m/>
    <m/>
    <m/>
    <m/>
    <m/>
    <m/>
    <m/>
    <m/>
    <m/>
    <m/>
    <n v="2541.2955999999999"/>
    <n v="94.718589999999949"/>
    <m/>
    <m/>
    <m/>
    <m/>
    <n v="-20.363220000000055"/>
    <n v="115.46379000000007"/>
    <n v="30"/>
    <n v="95.070155977154172"/>
    <n v="0"/>
    <n v="0"/>
    <n v="0"/>
    <n v="0"/>
    <n v="0"/>
    <n v="0"/>
    <n v="0"/>
    <n v="0"/>
    <n v="0"/>
    <n v="0"/>
    <n v="115.41201084463614"/>
    <n v="0"/>
    <n v="0"/>
    <n v="0.55423547104161308"/>
    <n v="7.5077972239221964"/>
    <n v="0"/>
    <n v="-24.015438226963965"/>
    <m/>
    <n v="0"/>
    <n v="0"/>
    <n v="0"/>
    <n v="0"/>
    <n v="-3.7659286052813457"/>
    <n v="-0.62252073020043319"/>
    <n v="0"/>
    <n v="0"/>
    <m/>
    <m/>
    <m/>
    <n v="0"/>
    <n v="0"/>
    <n v="0"/>
    <n v="-20.363219999999956"/>
    <n v="115.4637900000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55"/>
    <s v="Regular"/>
    <s v="Verde"/>
    <s v="A4"/>
    <s v="Industrial"/>
    <s v="Não se aplica"/>
    <s v="Não se aplica"/>
    <s v="Não se aplica"/>
    <s v="Não se aplica"/>
    <s v="CATIVO"/>
    <x v="4"/>
    <n v="1569"/>
    <n v="1569"/>
    <n v="0"/>
    <n v="0"/>
    <n v="0"/>
    <n v="0"/>
    <n v="47.39"/>
    <m/>
    <m/>
    <n v="74354.91"/>
    <m/>
    <n v="74354.91"/>
    <n v="50553.18"/>
    <n v="0"/>
    <n v="0"/>
    <n v="0"/>
    <n v="0"/>
    <n v="0"/>
    <n v="39178.087181581679"/>
    <n v="35176.77170854958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6.81"/>
    <n v="1838.77"/>
    <n v="42518.47"/>
    <n v="12"/>
    <m/>
    <m/>
    <m/>
    <m/>
    <m/>
    <m/>
    <m/>
    <m/>
    <m/>
    <n v="0"/>
    <m/>
    <m/>
    <m/>
    <m/>
    <m/>
    <m/>
    <m/>
    <m/>
    <m/>
    <m/>
    <m/>
    <m/>
    <n v="50553.18"/>
    <n v="-23801.759999999987"/>
    <m/>
    <m/>
    <m/>
    <m/>
    <n v="-23801.730000000003"/>
    <n v="0"/>
    <n v="30"/>
    <n v="-177.0874181766776"/>
    <n v="0"/>
    <n v="0"/>
    <n v="0"/>
    <n v="0"/>
    <m/>
    <m/>
    <m/>
    <n v="-177.08741817667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176.771708549582"/>
    <m/>
    <n v="0"/>
    <n v="0"/>
    <n v="-23801.730000000003"/>
    <m/>
    <n v="0"/>
    <m/>
    <n v="-23627.346476462248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56"/>
    <s v="Refaturamento - Regular"/>
    <s v="Verde"/>
    <s v="A4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39.770000000000003"/>
    <n v="-197.37"/>
    <n v="-3913.7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"/>
    <m/>
    <m/>
    <m/>
    <m/>
    <n v="0"/>
    <m/>
    <m/>
    <m/>
    <m/>
    <n v="0"/>
    <n v="0"/>
    <n v="0"/>
    <n v="0"/>
  </r>
  <r>
    <n v="157"/>
    <s v="Sistema de Compensação"/>
    <s v="Verde"/>
    <s v="A4"/>
    <s v="Industrial"/>
    <s v="Não se aplica"/>
    <s v="Não se aplica"/>
    <s v="Não se aplica"/>
    <s v="Não se aplica"/>
    <s v="CATIVO"/>
    <x v="4"/>
    <n v="676"/>
    <n v="676"/>
    <n v="0"/>
    <n v="0"/>
    <n v="0"/>
    <n v="0"/>
    <n v="47.39"/>
    <m/>
    <m/>
    <n v="32035.64"/>
    <m/>
    <n v="32035.64"/>
    <n v="21780.719999999998"/>
    <n v="0"/>
    <n v="0"/>
    <n v="0"/>
    <n v="0"/>
    <n v="0"/>
    <n v="16879.787721318811"/>
    <n v="15155.83025811314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6.09"/>
    <n v="237.65"/>
    <n v="4576.0200000000004"/>
    <n v="4"/>
    <m/>
    <m/>
    <m/>
    <m/>
    <m/>
    <m/>
    <m/>
    <m/>
    <m/>
    <n v="0"/>
    <m/>
    <m/>
    <m/>
    <m/>
    <m/>
    <m/>
    <m/>
    <m/>
    <m/>
    <m/>
    <m/>
    <m/>
    <n v="21780.719999999998"/>
    <n v="-10254.949999999997"/>
    <m/>
    <m/>
    <m/>
    <m/>
    <n v="-10254.920000000002"/>
    <n v="0"/>
    <n v="30"/>
    <n v="-76.297702158975881"/>
    <n v="0"/>
    <n v="0"/>
    <n v="0"/>
    <n v="0"/>
    <m/>
    <m/>
    <m/>
    <n v="-76.29770215897588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155.830258113141"/>
    <m/>
    <n v="0"/>
    <n v="0"/>
    <n v="-10254.920000000002"/>
    <m/>
    <n v="0"/>
    <m/>
    <n v="-10179.78726455607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58"/>
    <s v="Regular"/>
    <s v="Convencional"/>
    <s v="B3"/>
    <s v="Comercial"/>
    <s v="Não se aplica"/>
    <s v="Não se aplica"/>
    <s v="Não se aplica"/>
    <s v="Não se aplica"/>
    <s v="CATIVO"/>
    <x v="4"/>
    <n v="0"/>
    <n v="0"/>
    <n v="350.73099999999999"/>
    <n v="350.73099999999999"/>
    <n v="350.73099999999999"/>
    <n v="350.73099999999999"/>
    <m/>
    <n v="710.91"/>
    <n v="256.55"/>
    <m/>
    <n v="339318.21325999999"/>
    <n v="339318.21325999999"/>
    <n v="231633.27433000001"/>
    <n v="0"/>
    <n v="21561.076481389522"/>
    <n v="0"/>
    <n v="0"/>
    <n v="0"/>
    <n v="43168.949950526461"/>
    <n v="167267.14284494662"/>
    <n v="89980.922499604334"/>
    <n v="0"/>
    <n v="0"/>
    <n v="0"/>
    <n v="0"/>
    <n v="0"/>
    <n v="3333.4399312029204"/>
    <m/>
    <n v="770.13675940781104"/>
    <n v="0"/>
    <n v="0"/>
    <n v="0"/>
    <n v="0"/>
    <n v="0"/>
    <n v="0"/>
    <n v="0"/>
    <n v="0"/>
    <n v="0"/>
    <n v="0"/>
    <n v="0"/>
    <n v="0"/>
    <m/>
    <n v="0"/>
    <n v="0"/>
    <n v="522.70153970174294"/>
    <n v="0"/>
    <n v="0"/>
    <n v="12715.192033258732"/>
    <n v="0"/>
    <n v="585.27"/>
    <n v="3031.54"/>
    <n v="122156.52"/>
    <n v="964"/>
    <m/>
    <m/>
    <m/>
    <m/>
    <m/>
    <m/>
    <m/>
    <m/>
    <m/>
    <n v="103218.8160725648"/>
    <m/>
    <m/>
    <m/>
    <m/>
    <m/>
    <m/>
    <m/>
    <m/>
    <m/>
    <m/>
    <m/>
    <m/>
    <n v="231632.6139"/>
    <n v="-107685.62936000002"/>
    <m/>
    <m/>
    <m/>
    <m/>
    <n v="-113293.12761999998"/>
    <n v="5608.1886900000027"/>
    <n v="30"/>
    <n v="4662.367540574196"/>
    <n v="0"/>
    <n v="0"/>
    <n v="0"/>
    <n v="0"/>
    <n v="0"/>
    <n v="0"/>
    <n v="0"/>
    <n v="-195.12636889860005"/>
    <n v="0"/>
    <n v="0"/>
    <n v="5605.6737260144146"/>
    <n v="0"/>
    <n v="0"/>
    <n v="32.563505754970038"/>
    <n v="792.1369988441711"/>
    <n v="0"/>
    <n v="-1340.7508217222858"/>
    <m/>
    <n v="0"/>
    <n v="0"/>
    <n v="0"/>
    <n v="0"/>
    <n v="-182.91481867593575"/>
    <n v="-49.214680742544033"/>
    <n v="0"/>
    <n v="0"/>
    <m/>
    <m/>
    <m/>
    <n v="167267.14284494662"/>
    <n v="0"/>
    <n v="0"/>
    <n v="-113293.12761999998"/>
    <n v="5608.18869000001"/>
    <n v="0"/>
    <n v="0"/>
    <n v="-112349.10272237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59"/>
    <s v="Refaturamento - Regular"/>
    <s v="Convencional"/>
    <s v="B3"/>
    <s v="Comercial"/>
    <s v="Não se aplica"/>
    <s v="Não se aplica"/>
    <s v="Não se aplica"/>
    <s v="Não se aplica"/>
    <s v="CATIVO"/>
    <x v="4"/>
    <n v="0"/>
    <n v="0"/>
    <n v="-0.57099999999999995"/>
    <n v="-0.57099999999999995"/>
    <n v="-0.57099999999999995"/>
    <n v="-0.57099999999999995"/>
    <m/>
    <n v="710.91"/>
    <n v="256.55"/>
    <m/>
    <n v="-552.41966000000002"/>
    <n v="-552.41966000000002"/>
    <n v="-377.10552999999993"/>
    <n v="0"/>
    <n v="-35.102043078237784"/>
    <n v="0"/>
    <n v="0"/>
    <n v="0"/>
    <n v="-70.280272977725403"/>
    <n v="-272.3156452223057"/>
    <n v="-146.4914899090017"/>
    <n v="0"/>
    <n v="0"/>
    <n v="0"/>
    <n v="0"/>
    <n v="0"/>
    <n v="-5.4269346043459725"/>
    <m/>
    <n v="-1.2538044530476635"/>
    <n v="0"/>
    <n v="0"/>
    <n v="0"/>
    <n v="0"/>
    <n v="0"/>
    <n v="0"/>
    <n v="0"/>
    <n v="0"/>
    <n v="0"/>
    <n v="0"/>
    <n v="0"/>
    <n v="0"/>
    <m/>
    <n v="0"/>
    <n v="0"/>
    <n v="-0.85097290849595608"/>
    <n v="0"/>
    <n v="0"/>
    <n v="-20.700692698936606"/>
    <n v="0"/>
    <n v="-1.18"/>
    <n v="-5.87"/>
    <n v="-199.38"/>
    <n v="0"/>
    <m/>
    <m/>
    <m/>
    <m/>
    <m/>
    <m/>
    <m/>
    <m/>
    <m/>
    <n v="-168.04315551643424"/>
    <m/>
    <m/>
    <m/>
    <m/>
    <m/>
    <m/>
    <m/>
    <m/>
    <m/>
    <m/>
    <m/>
    <m/>
    <n v="-376.44509999999997"/>
    <n v="175.94456000000008"/>
    <m/>
    <m/>
    <m/>
    <m/>
    <n v="184.44441999999998"/>
    <n v="-9.130290000000004"/>
    <n v="30"/>
    <n v="-7.5904663849727285"/>
    <n v="0"/>
    <n v="0"/>
    <n v="0"/>
    <n v="0"/>
    <n v="0"/>
    <n v="0"/>
    <n v="0"/>
    <n v="0.31767125415518649"/>
    <n v="0"/>
    <n v="0"/>
    <n v="-9.126195567412708"/>
    <n v="0"/>
    <n v="0"/>
    <n v="-5.3014309502404822E-2"/>
    <n v="-1.2896214658528109"/>
    <n v="0"/>
    <n v="2.1827803051439005"/>
    <m/>
    <n v="0"/>
    <n v="0"/>
    <n v="0"/>
    <n v="0"/>
    <n v="0.29779050458601919"/>
    <n v="8.0122893910126614E-2"/>
    <n v="0"/>
    <n v="0"/>
    <m/>
    <m/>
    <m/>
    <n v="-272.3156452223057"/>
    <n v="0"/>
    <n v="0"/>
    <n v="184.44442000000001"/>
    <n v="-9.1302900000000022"/>
    <n v="0"/>
    <n v="0"/>
    <n v="182.90752073377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60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11.015000000000001"/>
    <n v="11.015000000000001"/>
    <n v="11.015000000000001"/>
    <n v="11.015000000000001"/>
    <m/>
    <n v="710.91"/>
    <n v="256.55"/>
    <m/>
    <n v="10656.571899999999"/>
    <n v="10656.571899999999"/>
    <n v="7274.6364500000009"/>
    <n v="0"/>
    <n v="677.14361559858014"/>
    <n v="0"/>
    <n v="0"/>
    <n v="0"/>
    <n v="1355.7569296841425"/>
    <n v="5253.1643294635687"/>
    <n v="2825.9260268785529"/>
    <n v="0"/>
    <n v="0"/>
    <n v="0"/>
    <n v="0"/>
    <n v="0"/>
    <n v="104.68946526597355"/>
    <m/>
    <n v="24.186788179194423"/>
    <n v="0"/>
    <n v="0"/>
    <n v="0"/>
    <n v="0"/>
    <n v="0"/>
    <n v="0"/>
    <n v="0"/>
    <n v="0"/>
    <n v="0"/>
    <n v="0"/>
    <n v="0"/>
    <n v="0"/>
    <m/>
    <n v="0"/>
    <n v="0"/>
    <n v="16.415878436222343"/>
    <n v="0"/>
    <n v="0"/>
    <n v="399.33122605741988"/>
    <n v="0"/>
    <n v="18.48"/>
    <n v="96.35"/>
    <n v="9493.1299999999992"/>
    <n v="38"/>
    <m/>
    <m/>
    <m/>
    <m/>
    <m/>
    <m/>
    <m/>
    <m/>
    <m/>
    <n v="3241.6731313721953"/>
    <m/>
    <m/>
    <m/>
    <m/>
    <m/>
    <m/>
    <m/>
    <m/>
    <m/>
    <m/>
    <m/>
    <m/>
    <n v="7277.9385999999995"/>
    <n v="-3378.6633000000002"/>
    <m/>
    <m/>
    <m/>
    <m/>
    <n v="-3558.0653000000002"/>
    <n v="176.12985000000012"/>
    <n v="30"/>
    <n v="146.42554681344063"/>
    <n v="0"/>
    <n v="0"/>
    <n v="0"/>
    <n v="0"/>
    <n v="0"/>
    <n v="0"/>
    <n v="0"/>
    <n v="-6.128106592853328"/>
    <n v="0"/>
    <n v="0"/>
    <n v="176.05086545543145"/>
    <n v="0"/>
    <n v="0"/>
    <n v="1.0226840966181925"/>
    <n v="24.877724074200898"/>
    <n v="0"/>
    <n v="-42.107399406585046"/>
    <m/>
    <n v="0"/>
    <n v="0"/>
    <n v="0"/>
    <n v="0"/>
    <n v="-5.7445926585201619"/>
    <n v="-1.5456281548512187"/>
    <n v="0"/>
    <n v="0"/>
    <m/>
    <m/>
    <m/>
    <n v="5253.1643294635687"/>
    <n v="0"/>
    <n v="0"/>
    <n v="-3558.0652999999993"/>
    <n v="176.12985000000026"/>
    <n v="0"/>
    <n v="0"/>
    <n v="-3528.417409601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61"/>
    <s v="Regular"/>
    <s v="Verde"/>
    <s v="A4"/>
    <s v="Comercial"/>
    <s v="Não se aplica"/>
    <s v="Não se aplica"/>
    <s v="Não se aplica"/>
    <s v="Ponta"/>
    <s v="CATIVO"/>
    <x v="4"/>
    <n v="0"/>
    <n v="0"/>
    <n v="12.792"/>
    <n v="12.792"/>
    <n v="12.792"/>
    <n v="12.792"/>
    <m/>
    <n v="3130.62"/>
    <n v="256.55"/>
    <m/>
    <n v="43328.678639999998"/>
    <n v="43328.678639999998"/>
    <n v="22803.402959999999"/>
    <n v="0"/>
    <n v="684.15418826520397"/>
    <n v="0"/>
    <n v="0"/>
    <n v="0"/>
    <n v="8240.7830226342194"/>
    <n v="30753.869697333805"/>
    <n v="3281.8198579964092"/>
    <n v="0"/>
    <n v="0"/>
    <n v="0"/>
    <n v="0"/>
    <n v="0"/>
    <n v="121.57854195935847"/>
    <m/>
    <n v="17.257111493670024"/>
    <n v="0"/>
    <n v="0"/>
    <n v="0"/>
    <n v="0"/>
    <n v="0"/>
    <n v="0"/>
    <n v="0"/>
    <n v="0"/>
    <n v="0"/>
    <n v="0"/>
    <n v="0"/>
    <n v="0"/>
    <m/>
    <n v="0"/>
    <n v="0"/>
    <n v="15.760066578502222"/>
    <n v="0"/>
    <n v="0"/>
    <n v="213.48937462363907"/>
    <n v="0"/>
    <n v="0"/>
    <n v="0"/>
    <n v="0"/>
    <n v="0"/>
    <m/>
    <m/>
    <m/>
    <m/>
    <m/>
    <m/>
    <m/>
    <m/>
    <m/>
    <n v="3511.0692991985502"/>
    <m/>
    <m/>
    <m/>
    <m/>
    <m/>
    <m/>
    <m/>
    <m/>
    <m/>
    <m/>
    <m/>
    <m/>
    <n v="22799.837699999996"/>
    <n v="-20528.870940000008"/>
    <m/>
    <m/>
    <m/>
    <m/>
    <n v="-20729.819759999998"/>
    <n v="204.54408000000012"/>
    <n v="30"/>
    <n v="131.16790399636375"/>
    <n v="0"/>
    <n v="0"/>
    <n v="0"/>
    <n v="0"/>
    <n v="0"/>
    <n v="0"/>
    <n v="0"/>
    <n v="-37.248857568481981"/>
    <n v="0"/>
    <n v="0"/>
    <n v="204.452353237029"/>
    <n v="0"/>
    <n v="0"/>
    <n v="0.9818280218202915"/>
    <n v="13.300061222602494"/>
    <n v="0"/>
    <n v="-42.543343830400772"/>
    <m/>
    <n v="0"/>
    <n v="0"/>
    <n v="0"/>
    <n v="0"/>
    <n v="-6.6713417419691154"/>
    <n v="-1.1027953442354139"/>
    <n v="0"/>
    <n v="0"/>
    <m/>
    <m/>
    <m/>
    <n v="30753.869697333805"/>
    <n v="0"/>
    <n v="0"/>
    <n v="-20729.819759999995"/>
    <n v="204.54408000000012"/>
    <n v="0"/>
    <n v="0"/>
    <n v="-20656.59523424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62"/>
    <s v="Sistema de Compensação"/>
    <s v="Verde"/>
    <s v="A4"/>
    <s v="Comercial"/>
    <s v="Não se aplica"/>
    <s v="Não se aplica"/>
    <s v="Não se aplica"/>
    <s v="Ponta"/>
    <s v="CATIVO"/>
    <x v="4"/>
    <n v="0"/>
    <n v="0"/>
    <n v="2.9580000000000002"/>
    <n v="2.9580000000000002"/>
    <n v="2.9580000000000002"/>
    <n v="2.9580000000000002"/>
    <m/>
    <n v="3130.62"/>
    <n v="256.55"/>
    <m/>
    <n v="10019.248860000002"/>
    <n v="10019.248860000002"/>
    <n v="5273.0195400000002"/>
    <n v="0"/>
    <n v="158.20263359040598"/>
    <n v="0"/>
    <n v="0"/>
    <n v="0"/>
    <n v="1905.5844419130726"/>
    <n v="7111.4717452089899"/>
    <n v="758.88235928340987"/>
    <n v="0"/>
    <n v="0"/>
    <n v="0"/>
    <n v="0"/>
    <n v="0"/>
    <n v="28.113612188538337"/>
    <m/>
    <n v="3.9905046746619712"/>
    <n v="0"/>
    <n v="0"/>
    <n v="0"/>
    <n v="0"/>
    <n v="0"/>
    <n v="0"/>
    <n v="0"/>
    <n v="0"/>
    <n v="0"/>
    <n v="0"/>
    <n v="0"/>
    <n v="0"/>
    <m/>
    <n v="0"/>
    <n v="0"/>
    <n v="3.6443305924960581"/>
    <n v="0"/>
    <n v="0"/>
    <n v="49.366914488486898"/>
    <n v="0"/>
    <n v="0"/>
    <n v="0"/>
    <n v="0"/>
    <n v="0"/>
    <m/>
    <m/>
    <m/>
    <m/>
    <m/>
    <m/>
    <m/>
    <m/>
    <m/>
    <n v="811.8936043643929"/>
    <m/>
    <m/>
    <m/>
    <m/>
    <m/>
    <m/>
    <m/>
    <m/>
    <m/>
    <m/>
    <m/>
    <m/>
    <n v="5276.5847999999996"/>
    <n v="-4742.6940600000025"/>
    <m/>
    <m/>
    <m/>
    <m/>
    <n v="-4793.5277400000004"/>
    <n v="47.298420000000029"/>
    <n v="30"/>
    <n v="30.331039713980317"/>
    <n v="0"/>
    <n v="0"/>
    <n v="0"/>
    <n v="0"/>
    <n v="0"/>
    <n v="0"/>
    <n v="0"/>
    <n v="-8.613361529672602"/>
    <n v="0"/>
    <n v="0"/>
    <n v="47.277209261658186"/>
    <n v="0"/>
    <n v="0"/>
    <n v="0.22703621705319099"/>
    <n v="3.075483200160896"/>
    <n v="0"/>
    <n v="-9.8376493941780154"/>
    <m/>
    <n v="0"/>
    <n v="0"/>
    <n v="0"/>
    <n v="0"/>
    <n v="-1.5426695491513946"/>
    <n v="-0.25500849188933383"/>
    <n v="0"/>
    <n v="0"/>
    <m/>
    <m/>
    <m/>
    <n v="7111.4717452089899"/>
    <n v="0"/>
    <n v="0"/>
    <n v="-4793.5277400000004"/>
    <n v="47.298420000000078"/>
    <n v="0"/>
    <n v="0"/>
    <n v="-4776.5954270552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63"/>
    <s v="Regular"/>
    <s v="Verde"/>
    <s v="A4"/>
    <s v="Comercial"/>
    <s v="Não se aplica"/>
    <s v="Não se aplica"/>
    <s v="Não se aplica"/>
    <s v="Fora ponta"/>
    <s v="CATIVO"/>
    <x v="4"/>
    <n v="0"/>
    <n v="0"/>
    <n v="104.116"/>
    <n v="104.116"/>
    <n v="104.116"/>
    <n v="104.116"/>
    <m/>
    <n v="82.26"/>
    <n v="256.55"/>
    <m/>
    <n v="35275.541960000002"/>
    <n v="35275.541960000002"/>
    <n v="36646.749680000001"/>
    <n v="0"/>
    <n v="5568.4331977345191"/>
    <n v="0"/>
    <n v="0"/>
    <n v="0"/>
    <n v="0"/>
    <n v="0"/>
    <n v="26711.222352654328"/>
    <n v="0"/>
    <n v="0"/>
    <n v="0"/>
    <n v="0"/>
    <n v="0"/>
    <n v="989.54592515951902"/>
    <m/>
    <n v="140.45820984013042"/>
    <n v="0"/>
    <n v="0"/>
    <n v="0"/>
    <n v="0"/>
    <n v="0"/>
    <n v="0"/>
    <n v="0"/>
    <n v="0"/>
    <n v="0"/>
    <n v="0"/>
    <n v="0"/>
    <n v="0"/>
    <m/>
    <n v="0"/>
    <n v="0"/>
    <n v="128.27353751464489"/>
    <n v="0"/>
    <n v="0"/>
    <n v="1737.6219299808322"/>
    <n v="0"/>
    <n v="0"/>
    <n v="0"/>
    <n v="0"/>
    <n v="0"/>
    <m/>
    <m/>
    <m/>
    <m/>
    <m/>
    <m/>
    <m/>
    <m/>
    <m/>
    <n v="28577.117820149804"/>
    <m/>
    <m/>
    <m/>
    <m/>
    <m/>
    <m/>
    <m/>
    <m/>
    <m/>
    <m/>
    <m/>
    <m/>
    <n v="36648.157600000006"/>
    <n v="1372.5856400000048"/>
    <m/>
    <m/>
    <m/>
    <m/>
    <n v="-293.60712000000075"/>
    <n v="1664.8148400000009"/>
    <n v="30"/>
    <n v="1370.7691953631656"/>
    <n v="0"/>
    <n v="0"/>
    <n v="0"/>
    <n v="0"/>
    <n v="0"/>
    <n v="0"/>
    <n v="0"/>
    <n v="0"/>
    <n v="0"/>
    <n v="0"/>
    <n v="1664.0682621659253"/>
    <n v="0"/>
    <n v="0"/>
    <n v="7.9912450218762672"/>
    <n v="108.25118622986884"/>
    <n v="0"/>
    <n v="-346.26663432191981"/>
    <m/>
    <n v="0"/>
    <n v="0"/>
    <n v="0"/>
    <n v="0"/>
    <n v="-54.299047592781221"/>
    <n v="-8.9758161398072787"/>
    <n v="0"/>
    <n v="0"/>
    <m/>
    <m/>
    <m/>
    <n v="0"/>
    <n v="0"/>
    <n v="0"/>
    <n v="-293.60712000000058"/>
    <n v="1664.814840000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64"/>
    <s v="Sistema de Compensação"/>
    <s v="Verde"/>
    <s v="A4"/>
    <s v="Comercial"/>
    <s v="Não se aplica"/>
    <s v="Não se aplica"/>
    <s v="Não se aplica"/>
    <s v="Fora ponta"/>
    <s v="CATIVO"/>
    <x v="4"/>
    <n v="0"/>
    <n v="0"/>
    <n v="7.9550000000000001"/>
    <n v="7.9550000000000001"/>
    <n v="7.9550000000000001"/>
    <n v="7.9550000000000001"/>
    <m/>
    <n v="82.26"/>
    <n v="256.55"/>
    <m/>
    <n v="2695.2335499999999"/>
    <n v="2695.2335499999999"/>
    <n v="2800.0009000000005"/>
    <n v="0"/>
    <n v="425.45704875310327"/>
    <n v="0"/>
    <n v="0"/>
    <n v="0"/>
    <n v="0"/>
    <n v="0"/>
    <n v="2040.8753103784738"/>
    <n v="0"/>
    <n v="0"/>
    <n v="0"/>
    <n v="0"/>
    <n v="0"/>
    <n v="75.606418174382171"/>
    <m/>
    <n v="10.731732483751177"/>
    <n v="0"/>
    <n v="0"/>
    <n v="0"/>
    <n v="0"/>
    <n v="0"/>
    <n v="0"/>
    <n v="0"/>
    <n v="0"/>
    <n v="0"/>
    <n v="0"/>
    <n v="0"/>
    <n v="0"/>
    <m/>
    <n v="0"/>
    <n v="0"/>
    <n v="9.8007606028756395"/>
    <n v="0"/>
    <n v="0"/>
    <n v="132.7632876118706"/>
    <n v="0"/>
    <n v="0"/>
    <n v="0"/>
    <n v="0"/>
    <n v="0"/>
    <m/>
    <m/>
    <m/>
    <m/>
    <m/>
    <m/>
    <m/>
    <m/>
    <m/>
    <n v="2183.4393585932198"/>
    <m/>
    <m/>
    <m/>
    <m/>
    <m/>
    <m/>
    <m/>
    <m/>
    <m/>
    <m/>
    <m/>
    <m/>
    <n v="2801.7608"/>
    <n v="106.49724999999944"/>
    <m/>
    <m/>
    <m/>
    <m/>
    <n v="-22.43310000000006"/>
    <n v="127.20045000000007"/>
    <n v="30"/>
    <n v="104.73384445343572"/>
    <n v="0"/>
    <n v="0"/>
    <n v="0"/>
    <n v="0"/>
    <n v="0"/>
    <n v="0"/>
    <n v="0"/>
    <n v="0"/>
    <n v="0"/>
    <n v="0"/>
    <n v="127.14340759854304"/>
    <n v="0"/>
    <n v="0"/>
    <n v="0.61057238223736832"/>
    <n v="8.2709495798782768"/>
    <n v="0"/>
    <n v="-26.45655880009673"/>
    <m/>
    <n v="0"/>
    <n v="0"/>
    <n v="0"/>
    <n v="0"/>
    <n v="-4.1487276076738908"/>
    <n v="-0.68579869945221539"/>
    <n v="0"/>
    <n v="0"/>
    <m/>
    <m/>
    <m/>
    <n v="0"/>
    <n v="0"/>
    <n v="0"/>
    <n v="-22.433100000000081"/>
    <n v="127.2004500000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65"/>
    <s v="Regular"/>
    <s v="Verde"/>
    <s v="A4"/>
    <s v="Comercial"/>
    <s v="Não se aplica"/>
    <s v="Não se aplica"/>
    <s v="Não se aplica"/>
    <s v="Não se aplica"/>
    <s v="CATIVO"/>
    <x v="4"/>
    <n v="796"/>
    <n v="796"/>
    <n v="0"/>
    <n v="0"/>
    <n v="0"/>
    <n v="0"/>
    <n v="47.39"/>
    <m/>
    <m/>
    <n v="37722.44"/>
    <m/>
    <n v="37722.44"/>
    <n v="25647.119999999999"/>
    <n v="0"/>
    <n v="0"/>
    <n v="0"/>
    <n v="0"/>
    <n v="0"/>
    <n v="19876.199742854697"/>
    <n v="17846.2143276006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3.47"/>
    <n v="1203.2"/>
    <n v="47963.95"/>
    <n v="10"/>
    <m/>
    <m/>
    <m/>
    <m/>
    <m/>
    <m/>
    <m/>
    <m/>
    <m/>
    <n v="0"/>
    <m/>
    <m/>
    <m/>
    <m/>
    <m/>
    <m/>
    <m/>
    <m/>
    <m/>
    <m/>
    <m/>
    <m/>
    <n v="25647.119999999999"/>
    <n v="-12075.350000000009"/>
    <m/>
    <m/>
    <m/>
    <m/>
    <n v="-12075.320000000002"/>
    <n v="0"/>
    <n v="30"/>
    <n v="-89.841672956430557"/>
    <n v="0"/>
    <n v="0"/>
    <n v="0"/>
    <n v="0"/>
    <m/>
    <m/>
    <m/>
    <n v="-89.8416729564305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846.214327600683"/>
    <m/>
    <n v="0"/>
    <n v="0"/>
    <n v="-12075.320000000003"/>
    <m/>
    <n v="0"/>
    <m/>
    <n v="-11986.85009258378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66"/>
    <s v="Sistema de Compensação"/>
    <s v="Verde"/>
    <s v="A4"/>
    <s v="Comercial"/>
    <s v="Não se aplica"/>
    <s v="Não se aplica"/>
    <s v="Não se aplica"/>
    <s v="Não se aplica"/>
    <s v="CATIVO"/>
    <x v="4"/>
    <n v="189"/>
    <n v="189"/>
    <n v="0"/>
    <n v="0"/>
    <n v="0"/>
    <n v="0"/>
    <n v="47.39"/>
    <m/>
    <m/>
    <n v="8956.7100000000009"/>
    <m/>
    <n v="8956.7100000000009"/>
    <n v="6089.58"/>
    <n v="0"/>
    <n v="0"/>
    <n v="0"/>
    <n v="0"/>
    <n v="0"/>
    <n v="4719.3489339190173"/>
    <n v="4237.354909442875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4.4"/>
    <n v="228.79"/>
    <n v="9735.89"/>
    <n v="2"/>
    <m/>
    <m/>
    <m/>
    <m/>
    <m/>
    <m/>
    <m/>
    <m/>
    <m/>
    <n v="0"/>
    <m/>
    <m/>
    <m/>
    <m/>
    <m/>
    <m/>
    <m/>
    <m/>
    <m/>
    <m/>
    <m/>
    <m/>
    <n v="6089.58"/>
    <n v="-2867.1600000000017"/>
    <m/>
    <m/>
    <m/>
    <m/>
    <n v="-2867.13"/>
    <n v="0"/>
    <n v="30"/>
    <n v="-21.331754005987023"/>
    <n v="0"/>
    <n v="0"/>
    <n v="0"/>
    <n v="0"/>
    <m/>
    <m/>
    <m/>
    <n v="-21.3317540059870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37.3549094428754"/>
    <m/>
    <n v="0"/>
    <n v="0"/>
    <n v="-2867.130000000001"/>
    <m/>
    <n v="0"/>
    <m/>
    <n v="-2846.1239541436362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67"/>
    <s v="Regular"/>
    <s v="Convencional"/>
    <s v="B2"/>
    <s v="Rural"/>
    <s v="Não se aplica"/>
    <s v="Não se aplica"/>
    <s v="Não se aplica"/>
    <s v="Não se aplica"/>
    <s v="CATIVO"/>
    <x v="4"/>
    <n v="0"/>
    <n v="0"/>
    <n v="2624.942"/>
    <n v="2624.942"/>
    <n v="2624.942"/>
    <n v="2624.942"/>
    <m/>
    <n v="710.91"/>
    <n v="256.55"/>
    <m/>
    <n v="2539526.3873200002"/>
    <n v="2539526.3873200002"/>
    <n v="1733590.4450600001"/>
    <n v="0"/>
    <n v="161367.473138136"/>
    <n v="0"/>
    <n v="0"/>
    <n v="0"/>
    <n v="323085.18443204288"/>
    <n v="1251861.2511403321"/>
    <n v="673435.48950037605"/>
    <n v="0"/>
    <n v="0"/>
    <n v="0"/>
    <n v="0"/>
    <n v="0"/>
    <n v="24948.141110684988"/>
    <m/>
    <n v="5763.8598399156572"/>
    <n v="0"/>
    <n v="0"/>
    <n v="0"/>
    <n v="0"/>
    <n v="0"/>
    <n v="0"/>
    <n v="0"/>
    <n v="0"/>
    <n v="0"/>
    <n v="0"/>
    <n v="0"/>
    <n v="0"/>
    <m/>
    <n v="0"/>
    <n v="0"/>
    <n v="3912.0044279740669"/>
    <n v="0"/>
    <n v="0"/>
    <n v="95163.078274136715"/>
    <n v="0"/>
    <n v="2950.16"/>
    <n v="15432.79"/>
    <n v="155386.70000000001"/>
    <n v="8971"/>
    <m/>
    <m/>
    <m/>
    <m/>
    <m/>
    <n v="208026.6534999999"/>
    <m/>
    <m/>
    <m/>
    <n v="772510.57220248692"/>
    <m/>
    <m/>
    <m/>
    <m/>
    <m/>
    <m/>
    <m/>
    <m/>
    <m/>
    <m/>
    <m/>
    <m/>
    <n v="1525562.6292000001"/>
    <n v="-709234.27133999974"/>
    <m/>
    <m/>
    <m/>
    <m/>
    <n v="-847908.76483999996"/>
    <n v="41972.822580000022"/>
    <n v="30"/>
    <n v="34894.105102457339"/>
    <n v="0"/>
    <n v="0"/>
    <n v="0"/>
    <n v="0"/>
    <n v="0"/>
    <n v="0"/>
    <n v="0"/>
    <n v="-1460.3653541586827"/>
    <n v="0"/>
    <n v="0"/>
    <n v="41954.000079011428"/>
    <n v="0"/>
    <n v="0"/>
    <n v="243.7118872396868"/>
    <n v="5928.5140977558767"/>
    <n v="0"/>
    <n v="-10034.451313038589"/>
    <m/>
    <n v="0"/>
    <n v="0"/>
    <n v="0"/>
    <n v="0"/>
    <n v="-1368.9716334308869"/>
    <n v="-368.33266092160375"/>
    <n v="0"/>
    <n v="0"/>
    <m/>
    <m/>
    <m/>
    <n v="1251861.2511403321"/>
    <n v="0"/>
    <n v="0"/>
    <n v="-847908.76484000008"/>
    <n v="41972.822580000036"/>
    <n v="0"/>
    <n v="0"/>
    <n v="-840843.49087557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68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19.61"/>
    <n v="-19.61"/>
    <n v="-19.61"/>
    <n v="-19.61"/>
    <m/>
    <n v="710.91"/>
    <n v="256.55"/>
    <m/>
    <n v="-18971.890599999999"/>
    <n v="-18971.890599999999"/>
    <n v="-12951.032299999999"/>
    <n v="0"/>
    <n v="-1205.5185022140859"/>
    <n v="0"/>
    <n v="0"/>
    <n v="0"/>
    <n v="-2413.6535080441249"/>
    <n v="-9352.2063096487127"/>
    <n v="-5030.9949511655395"/>
    <n v="0"/>
    <n v="0"/>
    <n v="0"/>
    <n v="0"/>
    <n v="0"/>
    <n v="-186.37861224382581"/>
    <m/>
    <n v="-43.059729114298918"/>
    <n v="0"/>
    <n v="0"/>
    <n v="0"/>
    <n v="0"/>
    <n v="0"/>
    <n v="0"/>
    <n v="0"/>
    <n v="0"/>
    <n v="0"/>
    <n v="0"/>
    <n v="0"/>
    <n v="0"/>
    <m/>
    <n v="0"/>
    <n v="0"/>
    <n v="-29.22518167356515"/>
    <n v="0"/>
    <n v="0"/>
    <n v="-710.92921860971433"/>
    <n v="0"/>
    <n v="-30.32"/>
    <n v="-150"/>
    <n v="-2747.27"/>
    <n v="0"/>
    <m/>
    <m/>
    <m/>
    <m/>
    <m/>
    <n v="-1554.0924999999993"/>
    <m/>
    <m/>
    <m/>
    <n v="-5771.1493514488193"/>
    <m/>
    <m/>
    <m/>
    <m/>
    <m/>
    <m/>
    <m/>
    <m/>
    <m/>
    <m/>
    <m/>
    <m/>
    <n v="-11396.9398"/>
    <n v="5298.3958999999995"/>
    <m/>
    <m/>
    <m/>
    <m/>
    <n v="6334.4221999999991"/>
    <n v="-313.56390000000016"/>
    <n v="30"/>
    <n v="-260.68134117218142"/>
    <n v="0"/>
    <n v="0"/>
    <n v="0"/>
    <n v="0"/>
    <n v="0"/>
    <n v="0"/>
    <n v="0"/>
    <n v="10.909865663718392"/>
    <n v="0"/>
    <n v="0"/>
    <n v="-313.42328384757184"/>
    <n v="0"/>
    <n v="0"/>
    <n v="-1.8206840794083305"/>
    <n v="-44.289802005908314"/>
    <n v="0"/>
    <n v="74.963785961246685"/>
    <m/>
    <n v="0"/>
    <n v="0"/>
    <n v="0"/>
    <n v="0"/>
    <n v="10.227095963103068"/>
    <n v="2.7516811726402537"/>
    <n v="0"/>
    <n v="0"/>
    <m/>
    <m/>
    <m/>
    <n v="-9352.2063096487127"/>
    <n v="0"/>
    <n v="0"/>
    <n v="6334.4221999999991"/>
    <n v="-313.5639000000001"/>
    <n v="0"/>
    <n v="0"/>
    <n v="6281.6400728359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69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79.456999999999994"/>
    <n v="79.456999999999994"/>
    <n v="79.456999999999994"/>
    <n v="79.456999999999994"/>
    <m/>
    <n v="710.91"/>
    <n v="256.55"/>
    <m/>
    <n v="76871.469219999984"/>
    <n v="76871.469219999984"/>
    <n v="52475.786509999998"/>
    <n v="0"/>
    <n v="4884.5937598380733"/>
    <n v="0"/>
    <n v="0"/>
    <n v="0"/>
    <n v="9779.7892294065277"/>
    <n v="37893.842771328804"/>
    <n v="20384.893719263655"/>
    <n v="0"/>
    <n v="0"/>
    <n v="0"/>
    <n v="0"/>
    <n v="0"/>
    <n v="755.18028521456733"/>
    <m/>
    <n v="174.47204978250122"/>
    <n v="0"/>
    <n v="0"/>
    <n v="0"/>
    <n v="0"/>
    <n v="0"/>
    <n v="0"/>
    <n v="0"/>
    <n v="0"/>
    <n v="0"/>
    <n v="0"/>
    <n v="0"/>
    <n v="0"/>
    <m/>
    <n v="0"/>
    <n v="0"/>
    <n v="118.41638246998806"/>
    <n v="0"/>
    <n v="0"/>
    <n v="2880.5865845523749"/>
    <n v="0"/>
    <n v="87.25"/>
    <n v="451.83"/>
    <n v="2832.8"/>
    <n v="160"/>
    <m/>
    <m/>
    <m/>
    <m/>
    <m/>
    <n v="6296.9672499999979"/>
    <m/>
    <m/>
    <m/>
    <n v="23383.896686286018"/>
    <m/>
    <m/>
    <m/>
    <m/>
    <m/>
    <m/>
    <m/>
    <m/>
    <m/>
    <m/>
    <m/>
    <m/>
    <n v="46180.5628"/>
    <n v="-21466.773289999997"/>
    <m/>
    <m/>
    <m/>
    <m/>
    <n v="-25666.200139999997"/>
    <n v="1270.5174300000006"/>
    <n v="30"/>
    <n v="1056.2446366913719"/>
    <n v="0"/>
    <n v="0"/>
    <n v="0"/>
    <n v="0"/>
    <n v="0"/>
    <n v="0"/>
    <n v="0"/>
    <n v="-44.20526241927837"/>
    <n v="0"/>
    <n v="0"/>
    <n v="1269.9476728544869"/>
    <n v="0"/>
    <n v="0"/>
    <n v="7.3771593522461956"/>
    <n v="179.45613452235875"/>
    <n v="0"/>
    <n v="-303.74286288234543"/>
    <m/>
    <n v="0"/>
    <n v="0"/>
    <n v="0"/>
    <n v="0"/>
    <n v="-41.438774295781741"/>
    <n v="-11.149430440309857"/>
    <n v="0"/>
    <n v="0"/>
    <m/>
    <m/>
    <m/>
    <n v="37893.842771328804"/>
    <n v="0"/>
    <n v="0"/>
    <n v="-25666.200139999994"/>
    <n v="1270.5174300000035"/>
    <n v="0"/>
    <n v="0"/>
    <n v="-25452.334281862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70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-0.3"/>
    <n v="-0.3"/>
    <n v="-0.3"/>
    <n v="-0.3"/>
    <m/>
    <n v="710.91"/>
    <n v="256.55"/>
    <m/>
    <n v="-290.238"/>
    <n v="-290.238"/>
    <n v="-198.12899999999999"/>
    <n v="0"/>
    <n v="-18.44240441938938"/>
    <n v="0"/>
    <n v="0"/>
    <n v="0"/>
    <n v="-36.924836941011598"/>
    <n v="-143.07301850558969"/>
    <n v="-76.965756519615596"/>
    <n v="0"/>
    <n v="0"/>
    <n v="0"/>
    <n v="0"/>
    <n v="0"/>
    <n v="-2.851279126626606"/>
    <m/>
    <n v="-0.65874139389544495"/>
    <n v="0"/>
    <n v="0"/>
    <n v="0"/>
    <n v="0"/>
    <n v="0"/>
    <n v="0"/>
    <n v="0"/>
    <n v="0"/>
    <n v="0"/>
    <n v="0"/>
    <n v="0"/>
    <n v="0"/>
    <m/>
    <n v="0"/>
    <n v="0"/>
    <n v="-0.44709609903465297"/>
    <n v="0"/>
    <n v="0"/>
    <n v="-10.876020682453559"/>
    <n v="0"/>
    <n v="-0.41"/>
    <n v="-1.98"/>
    <n v="-5.88"/>
    <n v="2"/>
    <m/>
    <m/>
    <m/>
    <m/>
    <m/>
    <n v="-23.774999999999991"/>
    <m/>
    <m/>
    <m/>
    <n v="-88.288873301103806"/>
    <m/>
    <m/>
    <m/>
    <m/>
    <m/>
    <m/>
    <m/>
    <m/>
    <m/>
    <m/>
    <m/>
    <m/>
    <n v="-174.35399999999998"/>
    <n v="81.027000000000044"/>
    <m/>
    <m/>
    <m/>
    <m/>
    <n v="96.905999999999992"/>
    <n v="-4.7970000000000024"/>
    <n v="30"/>
    <n v="-3.9879858414918203"/>
    <n v="0"/>
    <n v="0"/>
    <n v="0"/>
    <n v="0"/>
    <n v="0"/>
    <n v="0"/>
    <n v="0"/>
    <n v="0.16690258537050084"/>
    <n v="0"/>
    <n v="0"/>
    <n v="-4.7948488094988022"/>
    <n v="0"/>
    <n v="0"/>
    <n v="-2.7853402540667982E-2"/>
    <n v="-0.67755943915209116"/>
    <n v="0"/>
    <n v="1.1468197750318225"/>
    <m/>
    <n v="0"/>
    <n v="0"/>
    <n v="0"/>
    <n v="0"/>
    <n v="0.15645735792610527"/>
    <n v="4.2096091371344957E-2"/>
    <n v="0"/>
    <n v="0"/>
    <m/>
    <m/>
    <m/>
    <n v="-143.07301850558969"/>
    <n v="0"/>
    <n v="0"/>
    <n v="96.906000000000006"/>
    <n v="-4.796999999999997"/>
    <n v="0"/>
    <n v="0"/>
    <n v="96.098522276939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71"/>
    <s v="Regular"/>
    <s v="Verde"/>
    <s v="A4"/>
    <s v="Rural"/>
    <s v="Não se aplica"/>
    <s v="Não se aplica"/>
    <s v="Não se aplica"/>
    <s v="Ponta"/>
    <s v="CATIVO"/>
    <x v="4"/>
    <n v="0"/>
    <n v="0"/>
    <n v="16.016999999999999"/>
    <n v="15.37632"/>
    <n v="16.016999999999999"/>
    <n v="15.37632"/>
    <m/>
    <n v="3130.62"/>
    <n v="256.55"/>
    <m/>
    <n v="54252.301889999995"/>
    <n v="54252.301889999995"/>
    <n v="28552.384709999998"/>
    <n v="0"/>
    <n v="856.63677559754308"/>
    <n v="0"/>
    <n v="0"/>
    <n v="0"/>
    <n v="10318.372551089142"/>
    <n v="38507.249135568753"/>
    <n v="4109.2017405822771"/>
    <n v="0"/>
    <n v="0"/>
    <n v="0"/>
    <n v="0"/>
    <n v="0"/>
    <n v="152.2297925705945"/>
    <m/>
    <n v="21.60781385194753"/>
    <n v="0"/>
    <n v="0"/>
    <n v="0"/>
    <n v="0"/>
    <n v="0"/>
    <n v="0"/>
    <n v="0"/>
    <n v="0"/>
    <n v="0"/>
    <n v="0"/>
    <n v="0"/>
    <n v="0"/>
    <m/>
    <n v="0"/>
    <n v="0"/>
    <n v="19.733347903992346"/>
    <n v="0"/>
    <n v="0"/>
    <n v="267.31232906088388"/>
    <n v="0"/>
    <n v="0"/>
    <n v="0"/>
    <n v="0"/>
    <n v="0"/>
    <m/>
    <m/>
    <m/>
    <m/>
    <m/>
    <n v="1142.0953883999994"/>
    <m/>
    <m/>
    <m/>
    <n v="4396.2474175471534"/>
    <m/>
    <m/>
    <m/>
    <m/>
    <m/>
    <m/>
    <m/>
    <m/>
    <m/>
    <m/>
    <m/>
    <m/>
    <n v="27416.849399999999"/>
    <n v="-24665.390414400004"/>
    <m/>
    <m/>
    <m/>
    <m/>
    <n v="-25956.029009999998"/>
    <n v="256.11183000000011"/>
    <n v="30"/>
    <n v="164.23673532752764"/>
    <n v="0"/>
    <n v="0"/>
    <n v="0"/>
    <n v="0"/>
    <n v="0"/>
    <n v="0"/>
    <n v="0"/>
    <n v="-46.639692907629069"/>
    <n v="0"/>
    <n v="0"/>
    <n v="255.99697793914129"/>
    <n v="0"/>
    <n v="0"/>
    <n v="1.229357365970575"/>
    <n v="16.653148890120747"/>
    <n v="0"/>
    <n v="-53.268975776385901"/>
    <m/>
    <n v="0"/>
    <n v="0"/>
    <n v="0"/>
    <n v="0"/>
    <n v="-8.3532583396747668"/>
    <n v="-1.3808218440133437"/>
    <n v="0"/>
    <n v="0"/>
    <m/>
    <m/>
    <m/>
    <n v="38507.249135568753"/>
    <n v="0"/>
    <n v="0"/>
    <n v="-25956.029009999995"/>
    <n v="256.11182999999983"/>
    <n v="0"/>
    <n v="0"/>
    <n v="-25864.343798223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72"/>
    <s v="Regular"/>
    <s v="Verde"/>
    <s v="A4"/>
    <s v="Rural"/>
    <s v="Não se aplica"/>
    <s v="Não se aplica"/>
    <s v="Não se aplica"/>
    <s v="Fora ponta"/>
    <s v="CATIVO"/>
    <x v="4"/>
    <n v="0"/>
    <n v="0"/>
    <n v="181.215"/>
    <n v="173.96639999999999"/>
    <n v="181.215"/>
    <n v="173.96639999999999"/>
    <m/>
    <n v="82.26"/>
    <n v="256.55"/>
    <m/>
    <n v="61397.454150000005"/>
    <n v="61397.454150000005"/>
    <n v="63784.055700000012"/>
    <n v="0"/>
    <n v="9691.9169188929754"/>
    <n v="0"/>
    <n v="0"/>
    <n v="0"/>
    <n v="0"/>
    <n v="0"/>
    <n v="46491.165225673809"/>
    <n v="0"/>
    <n v="0"/>
    <n v="0"/>
    <n v="0"/>
    <n v="0"/>
    <n v="1722.3151564388013"/>
    <m/>
    <n v="244.46900088535128"/>
    <n v="0"/>
    <n v="0"/>
    <n v="0"/>
    <n v="0"/>
    <n v="0"/>
    <n v="0"/>
    <n v="0"/>
    <n v="0"/>
    <n v="0"/>
    <n v="0"/>
    <n v="0"/>
    <n v="0"/>
    <m/>
    <n v="0"/>
    <n v="0"/>
    <n v="223.26144973602879"/>
    <n v="0"/>
    <n v="0"/>
    <n v="3024.3493607272321"/>
    <n v="0"/>
    <n v="0"/>
    <n v="0"/>
    <n v="0"/>
    <n v="0"/>
    <m/>
    <m/>
    <m/>
    <m/>
    <m/>
    <n v="2551.3622280000036"/>
    <m/>
    <m/>
    <m/>
    <n v="49738.776036137067"/>
    <m/>
    <m/>
    <m/>
    <m/>
    <m/>
    <m/>
    <m/>
    <m/>
    <m/>
    <m/>
    <m/>
    <m/>
    <n v="61233.960600000006"/>
    <n v="2292.374616000001"/>
    <m/>
    <m/>
    <m/>
    <m/>
    <n v="-511.02630000000136"/>
    <n v="2897.6278500000017"/>
    <n v="30"/>
    <n v="2385.8382932280874"/>
    <n v="0"/>
    <n v="0"/>
    <n v="0"/>
    <n v="0"/>
    <n v="0"/>
    <n v="0"/>
    <n v="0"/>
    <n v="0"/>
    <n v="0"/>
    <n v="0"/>
    <n v="2896.3284233777522"/>
    <n v="0"/>
    <n v="0"/>
    <n v="13.908846542695727"/>
    <n v="188.41233540133771"/>
    <n v="0"/>
    <n v="-602.68074204393997"/>
    <m/>
    <n v="0"/>
    <n v="0"/>
    <n v="0"/>
    <n v="0"/>
    <n v="-94.508067055263609"/>
    <n v="-15.622502994498205"/>
    <n v="0"/>
    <n v="0"/>
    <m/>
    <m/>
    <m/>
    <n v="0"/>
    <n v="0"/>
    <n v="0"/>
    <n v="-511.02630000000136"/>
    <n v="2897.6278500000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73"/>
    <s v="Regular"/>
    <s v="Verde"/>
    <s v="A4"/>
    <s v="Rural"/>
    <s v="Não se aplica"/>
    <s v="Não se aplica"/>
    <s v="Não se aplica"/>
    <s v="Não se aplica"/>
    <s v="CATIVO"/>
    <x v="4"/>
    <n v="905"/>
    <n v="868.8"/>
    <n v="0"/>
    <n v="0"/>
    <n v="0"/>
    <n v="0"/>
    <n v="47.39"/>
    <m/>
    <m/>
    <n v="42887.95"/>
    <m/>
    <n v="42887.95"/>
    <n v="29159.1"/>
    <n v="0"/>
    <n v="0"/>
    <n v="0"/>
    <n v="0"/>
    <n v="0"/>
    <n v="22597.940662416459"/>
    <n v="20289.9798573851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2.19"/>
    <n v="1196.5899999999999"/>
    <n v="8083.72"/>
    <n v="7"/>
    <m/>
    <m/>
    <m/>
    <m/>
    <m/>
    <n v="1166.3640000000014"/>
    <m/>
    <m/>
    <m/>
    <n v="0"/>
    <m/>
    <m/>
    <m/>
    <m/>
    <m/>
    <m/>
    <m/>
    <m/>
    <m/>
    <m/>
    <m/>
    <m/>
    <n v="27992.735999999997"/>
    <n v="-13179.72600000001"/>
    <m/>
    <m/>
    <m/>
    <m/>
    <n v="-13728.850000000002"/>
    <n v="0"/>
    <n v="30"/>
    <n v="-102.14411309744901"/>
    <n v="0"/>
    <n v="0"/>
    <n v="0"/>
    <n v="0"/>
    <m/>
    <m/>
    <m/>
    <n v="-102.144113097449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289.979857385195"/>
    <m/>
    <n v="0"/>
    <n v="0"/>
    <n v="-13728.849999999999"/>
    <m/>
    <n v="0"/>
    <m/>
    <n v="-13628.265494708943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74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94.83199999999999"/>
    <n v="194.83199999999999"/>
    <n v="194.83199999999999"/>
    <n v="194.83199999999999"/>
    <m/>
    <n v="710.91"/>
    <n v="256.55"/>
    <m/>
    <n v="188492.16671999998"/>
    <n v="188492.16671999998"/>
    <n v="128672.89775999999"/>
    <n v="0"/>
    <n v="11977.235126128238"/>
    <n v="0"/>
    <n v="0"/>
    <n v="0"/>
    <n v="23980.466102970571"/>
    <n v="92917.341138270174"/>
    <n v="49984.64091409916"/>
    <n v="0"/>
    <n v="0"/>
    <n v="0"/>
    <n v="0"/>
    <n v="0"/>
    <n v="1851.7347159963829"/>
    <m/>
    <n v="427.81301085145776"/>
    <n v="0"/>
    <n v="0"/>
    <n v="0"/>
    <n v="0"/>
    <n v="0"/>
    <n v="0"/>
    <n v="0"/>
    <n v="0"/>
    <n v="0"/>
    <n v="0"/>
    <n v="0"/>
    <n v="0"/>
    <m/>
    <n v="0"/>
    <n v="0"/>
    <n v="290.36209055706502"/>
    <n v="0"/>
    <n v="0"/>
    <n v="7063.3228720126399"/>
    <n v="0"/>
    <n v="320.67"/>
    <n v="1655.7"/>
    <n v="63949.69"/>
    <n v="301"/>
    <m/>
    <m/>
    <m/>
    <m/>
    <m/>
    <m/>
    <m/>
    <m/>
    <m/>
    <n v="57338.325876668867"/>
    <m/>
    <m/>
    <m/>
    <m/>
    <m/>
    <m/>
    <m/>
    <m/>
    <m/>
    <m/>
    <m/>
    <m/>
    <n v="128671.57690000001"/>
    <n v="-59820.619819999993"/>
    <m/>
    <m/>
    <m/>
    <m/>
    <n v="-62934.632639999996"/>
    <n v="3115.3636800000018"/>
    <n v="30"/>
    <n v="2589.9575248984329"/>
    <n v="0"/>
    <n v="0"/>
    <n v="0"/>
    <n v="0"/>
    <n v="0"/>
    <n v="0"/>
    <n v="0"/>
    <n v="-108.39321504301552"/>
    <n v="0"/>
    <n v="0"/>
    <n v="3113.9666108409001"/>
    <n v="0"/>
    <n v="0"/>
    <n v="18.089113746011435"/>
    <n v="440.03420216293307"/>
    <n v="0"/>
    <n v="-744.79063469666471"/>
    <m/>
    <n v="0"/>
    <n v="0"/>
    <n v="0"/>
    <n v="0"/>
    <n v="-101.60966653152968"/>
    <n v="-27.338885580206295"/>
    <n v="0"/>
    <n v="0"/>
    <m/>
    <m/>
    <m/>
    <n v="92917.341138270174"/>
    <n v="0"/>
    <n v="0"/>
    <n v="-62934.632639999982"/>
    <n v="3115.3636800000022"/>
    <n v="0"/>
    <n v="0"/>
    <n v="-62410.224307535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75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182.41800000000001"/>
    <n v="182.41800000000001"/>
    <n v="182.41800000000001"/>
    <n v="182.41800000000001"/>
    <m/>
    <n v="391"/>
    <n v="141.1"/>
    <m/>
    <n v="97064.617800000007"/>
    <n v="97064.617800000007"/>
    <n v="66259.690139999992"/>
    <n v="0"/>
    <n v="6167.7486371896621"/>
    <n v="0"/>
    <n v="0"/>
    <n v="0"/>
    <n v="12348.883992693332"/>
    <n v="47848.338797879798"/>
    <n v="25739.88885012468"/>
    <n v="0"/>
    <n v="0"/>
    <n v="0"/>
    <n v="0"/>
    <n v="0"/>
    <n v="953.56183215511555"/>
    <m/>
    <n v="220.30486058463674"/>
    <n v="0"/>
    <n v="0"/>
    <n v="0"/>
    <n v="0"/>
    <n v="0"/>
    <n v="0"/>
    <n v="0"/>
    <n v="0"/>
    <n v="0"/>
    <n v="0"/>
    <n v="0"/>
    <n v="0"/>
    <m/>
    <n v="0"/>
    <n v="0"/>
    <n v="149.52368968845619"/>
    <n v="0"/>
    <n v="0"/>
    <n v="3637.3002248949988"/>
    <n v="0"/>
    <n v="168.27"/>
    <n v="867.8"/>
    <n v="23299.599999999999"/>
    <n v="24"/>
    <m/>
    <m/>
    <m/>
    <m/>
    <m/>
    <m/>
    <m/>
    <m/>
    <m/>
    <n v="29526.712764708136"/>
    <m/>
    <m/>
    <m/>
    <m/>
    <m/>
    <m/>
    <m/>
    <m/>
    <m/>
    <m/>
    <m/>
    <m/>
    <n v="66260.416599999997"/>
    <n v="-30804.231199999995"/>
    <m/>
    <m/>
    <m/>
    <m/>
    <n v="-32408.381880000001"/>
    <n v="1603.4542199999987"/>
    <n v="30"/>
    <n v="1333.7140689276275"/>
    <n v="0"/>
    <n v="0"/>
    <n v="0"/>
    <n v="0"/>
    <n v="0"/>
    <n v="0"/>
    <n v="0"/>
    <n v="-55.817732333220192"/>
    <n v="0"/>
    <n v="0"/>
    <n v="1603.5556719071465"/>
    <n v="0"/>
    <n v="0"/>
    <n v="9.3150969718830652"/>
    <n v="226.59823591393888"/>
    <n v="0"/>
    <n v="-383.53437782322271"/>
    <m/>
    <n v="0"/>
    <n v="0"/>
    <n v="0"/>
    <n v="0"/>
    <n v="-52.324503583300611"/>
    <n v="-14.078322125594411"/>
    <n v="0"/>
    <n v="0"/>
    <m/>
    <m/>
    <m/>
    <n v="47848.338797879798"/>
    <n v="0"/>
    <n v="0"/>
    <n v="-32408.381880000008"/>
    <n v="1603.4542199999996"/>
    <n v="0"/>
    <n v="0"/>
    <n v="-32138.517100643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76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36.481999999999999"/>
    <n v="34.293080000000003"/>
    <n v="36.481999999999999"/>
    <n v="34.293080000000003"/>
    <m/>
    <n v="710.91"/>
    <n v="256.55"/>
    <m/>
    <n v="35294.875719999996"/>
    <n v="35294.875719999996"/>
    <n v="24093.807260000001"/>
    <n v="0"/>
    <n v="2242.7193267605444"/>
    <n v="0"/>
    <n v="0"/>
    <n v="0"/>
    <n v="4490.3063376066166"/>
    <n v="17398.632870403078"/>
    <n v="9359.5490978287216"/>
    <n v="0"/>
    <n v="0"/>
    <n v="0"/>
    <n v="0"/>
    <n v="0"/>
    <n v="346.73455032530615"/>
    <m/>
    <n v="80.107345106978741"/>
    <n v="0"/>
    <n v="0"/>
    <n v="0"/>
    <n v="0"/>
    <n v="0"/>
    <n v="0"/>
    <n v="0"/>
    <n v="0"/>
    <n v="0"/>
    <n v="0"/>
    <n v="0"/>
    <n v="0"/>
    <m/>
    <n v="0"/>
    <n v="0"/>
    <n v="54.369866283274028"/>
    <n v="0"/>
    <n v="0"/>
    <n v="1322.5966217909026"/>
    <n v="0"/>
    <n v="59.07"/>
    <n v="304.63"/>
    <n v="12707.44"/>
    <n v="10"/>
    <m/>
    <m/>
    <m/>
    <m/>
    <n v="1445.6284355999974"/>
    <m/>
    <m/>
    <m/>
    <m/>
    <n v="10736.515585902898"/>
    <m/>
    <m/>
    <m/>
    <m/>
    <m/>
    <m/>
    <m/>
    <m/>
    <m/>
    <m/>
    <m/>
    <m/>
    <n v="22646.144699999997"/>
    <n v="-10531.068476800006"/>
    <m/>
    <m/>
    <m/>
    <m/>
    <n v="-11784.415639999999"/>
    <n v="583.34718000000032"/>
    <n v="30"/>
    <n v="484.96566489767793"/>
    <n v="0"/>
    <n v="0"/>
    <n v="0"/>
    <n v="0"/>
    <n v="0"/>
    <n v="0"/>
    <n v="0"/>
    <n v="-20.296467064954413"/>
    <n v="0"/>
    <n v="0"/>
    <n v="583.08558089378494"/>
    <n v="0"/>
    <n v="0"/>
    <n v="3.3871594382955053"/>
    <n v="82.395744863821619"/>
    <n v="0"/>
    <n v="-139.46093010903633"/>
    <m/>
    <n v="0"/>
    <n v="0"/>
    <n v="0"/>
    <n v="0"/>
    <n v="-19.026257772867211"/>
    <n v="-5.1191653513646855"/>
    <n v="0"/>
    <n v="0"/>
    <m/>
    <m/>
    <m/>
    <n v="17398.632870403078"/>
    <n v="0"/>
    <n v="0"/>
    <n v="-11784.415639999997"/>
    <n v="583.34718000000066"/>
    <n v="0"/>
    <n v="0"/>
    <n v="-11686.220965691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77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1.746"/>
    <n v="1.64124"/>
    <n v="1.746"/>
    <n v="1.64124"/>
    <m/>
    <n v="3130.62"/>
    <n v="256.55"/>
    <m/>
    <n v="5913.9988199999998"/>
    <n v="5913.9988199999998"/>
    <n v="3112.4719799999998"/>
    <n v="0"/>
    <n v="93.381270537136189"/>
    <n v="0"/>
    <n v="0"/>
    <n v="0"/>
    <n v="1124.7973074983856"/>
    <n v="4197.6435656304584"/>
    <n v="447.94070294416281"/>
    <n v="0"/>
    <n v="0"/>
    <n v="0"/>
    <n v="0"/>
    <n v="0"/>
    <n v="16.594444516966846"/>
    <m/>
    <n v="2.3554500209465186"/>
    <n v="0"/>
    <n v="0"/>
    <n v="0"/>
    <n v="0"/>
    <n v="0"/>
    <n v="0"/>
    <n v="0"/>
    <n v="0"/>
    <n v="0"/>
    <n v="0"/>
    <n v="0"/>
    <n v="0"/>
    <m/>
    <n v="0"/>
    <n v="0"/>
    <n v="2.151116029242095"/>
    <n v="0"/>
    <n v="0"/>
    <n v="29.139497193001393"/>
    <n v="0"/>
    <n v="0"/>
    <n v="0"/>
    <n v="0"/>
    <n v="0"/>
    <m/>
    <m/>
    <m/>
    <m/>
    <n v="186.74831879999994"/>
    <m/>
    <m/>
    <m/>
    <m/>
    <n v="479.23131616640626"/>
    <m/>
    <m/>
    <m/>
    <m/>
    <m/>
    <m/>
    <m/>
    <m/>
    <m/>
    <m/>
    <m/>
    <m/>
    <n v="2923.5131999999999"/>
    <n v="-2635.6756908000002"/>
    <m/>
    <m/>
    <m/>
    <m/>
    <n v="-2829.4453800000001"/>
    <n v="27.918540000000014"/>
    <n v="30"/>
    <n v="17.903311474175098"/>
    <n v="0"/>
    <n v="0"/>
    <n v="0"/>
    <n v="0"/>
    <n v="0"/>
    <n v="0"/>
    <n v="0"/>
    <n v="-5.0841545743098777"/>
    <n v="0"/>
    <n v="0"/>
    <n v="27.906020071283024"/>
    <n v="0"/>
    <n v="0"/>
    <n v="0.13401123562368866"/>
    <n v="1.8153460674377691"/>
    <n v="0"/>
    <n v="-5.8068072488961633"/>
    <m/>
    <n v="0"/>
    <n v="0"/>
    <n v="0"/>
    <n v="0"/>
    <n v="-0.91058182312993097"/>
    <n v="-0.15052225383325801"/>
    <n v="0"/>
    <n v="0"/>
    <m/>
    <m/>
    <m/>
    <n v="4197.6435656304584"/>
    <n v="0"/>
    <n v="0"/>
    <n v="-2829.4453799999997"/>
    <n v="27.918540000000007"/>
    <n v="0"/>
    <n v="0"/>
    <n v="-2819.4508504524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78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17.178000000000001"/>
    <n v="16.147320000000001"/>
    <n v="17.178000000000001"/>
    <n v="16.147320000000001"/>
    <m/>
    <n v="82.26"/>
    <n v="256.55"/>
    <m/>
    <n v="5820.0781800000004"/>
    <n v="5820.0781800000004"/>
    <n v="6046.3124400000006"/>
    <n v="0"/>
    <n v="918.73050703718525"/>
    <n v="0"/>
    <n v="0"/>
    <n v="0"/>
    <n v="0"/>
    <n v="0"/>
    <n v="4407.0592183131894"/>
    <n v="0"/>
    <n v="0"/>
    <n v="0"/>
    <n v="0"/>
    <n v="0"/>
    <n v="163.26424279063946"/>
    <m/>
    <n v="23.17406670092743"/>
    <n v="0"/>
    <n v="0"/>
    <n v="0"/>
    <n v="0"/>
    <n v="0"/>
    <n v="0"/>
    <n v="0"/>
    <n v="0"/>
    <n v="0"/>
    <n v="0"/>
    <n v="0"/>
    <n v="0"/>
    <m/>
    <n v="0"/>
    <n v="0"/>
    <n v="21.163729181168794"/>
    <n v="0"/>
    <n v="0"/>
    <n v="286.68859265829207"/>
    <n v="0"/>
    <n v="0"/>
    <n v="0"/>
    <n v="0"/>
    <n v="0"/>
    <m/>
    <m/>
    <m/>
    <m/>
    <n v="362.7787464000001"/>
    <m/>
    <m/>
    <m/>
    <m/>
    <n v="4714.9115401526496"/>
    <m/>
    <m/>
    <m/>
    <m/>
    <m/>
    <m/>
    <m/>
    <m/>
    <m/>
    <m/>
    <m/>
    <m/>
    <n v="5684.4769999999999"/>
    <n v="213.57351079999989"/>
    <m/>
    <m/>
    <m/>
    <m/>
    <n v="-48.44196000000013"/>
    <n v="274.67622000000017"/>
    <n v="30"/>
    <n v="226.1619082364723"/>
    <n v="0"/>
    <n v="0"/>
    <n v="0"/>
    <n v="0"/>
    <n v="0"/>
    <n v="0"/>
    <n v="0"/>
    <n v="0"/>
    <n v="0"/>
    <n v="0"/>
    <n v="274.55304283190162"/>
    <n v="0"/>
    <n v="0"/>
    <n v="1.3184679298646742"/>
    <n v="17.86026045042729"/>
    <n v="0"/>
    <n v="-57.130203276940506"/>
    <m/>
    <n v="0"/>
    <n v="0"/>
    <n v="0"/>
    <n v="0"/>
    <n v="-8.9587483148487763"/>
    <n v="-1.4809113839333925"/>
    <n v="0"/>
    <n v="0"/>
    <m/>
    <m/>
    <m/>
    <n v="0"/>
    <n v="0"/>
    <n v="0"/>
    <n v="-48.441960000000108"/>
    <n v="274.67622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79"/>
    <s v="Regular"/>
    <s v="Verde"/>
    <s v="A4"/>
    <s v="Serviço público"/>
    <s v="Água, esgoto e saneamento"/>
    <s v="Não se aplica"/>
    <s v="Não se aplica"/>
    <s v="Não se aplica"/>
    <s v="CATIVO"/>
    <x v="4"/>
    <n v="79"/>
    <n v="74.260000000000005"/>
    <n v="0"/>
    <n v="0"/>
    <n v="0"/>
    <n v="0"/>
    <n v="47.39"/>
    <m/>
    <m/>
    <n v="3743.81"/>
    <m/>
    <n v="3743.81"/>
    <n v="2545.38"/>
    <n v="0"/>
    <n v="0"/>
    <n v="0"/>
    <n v="0"/>
    <n v="0"/>
    <n v="1972.6379141777902"/>
    <n v="1771.16951241263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8.92"/>
    <n v="148.97999999999999"/>
    <n v="6135.2"/>
    <n v="1"/>
    <m/>
    <m/>
    <m/>
    <m/>
    <n v="152.72279999999984"/>
    <m/>
    <m/>
    <m/>
    <m/>
    <n v="0"/>
    <m/>
    <m/>
    <m/>
    <m/>
    <m/>
    <m/>
    <m/>
    <m/>
    <m/>
    <m/>
    <m/>
    <m/>
    <n v="2392.6572000000001"/>
    <n v="-1126.5542000000009"/>
    <m/>
    <m/>
    <m/>
    <m/>
    <n v="-1198.43"/>
    <n v="0"/>
    <n v="30"/>
    <n v="-8.9164474416556914"/>
    <n v="0"/>
    <n v="0"/>
    <n v="0"/>
    <n v="0"/>
    <m/>
    <m/>
    <m/>
    <n v="-8.91644744165569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71.1695124126304"/>
    <m/>
    <n v="0"/>
    <n v="0"/>
    <n v="-1198.4299999999998"/>
    <m/>
    <n v="0"/>
    <m/>
    <n v="-1189.6496951182394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80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0.77900000000000003"/>
    <n v="0.77900000000000003"/>
    <n v="0.77900000000000003"/>
    <n v="0.77900000000000003"/>
    <m/>
    <n v="710.91"/>
    <n v="256.55"/>
    <m/>
    <n v="753.65134"/>
    <n v="753.65134"/>
    <n v="514.47496999999998"/>
    <n v="0"/>
    <n v="47.888776809014423"/>
    <n v="0"/>
    <n v="0"/>
    <n v="0"/>
    <n v="95.881493256826786"/>
    <n v="371.51293805284797"/>
    <n v="199.85441442926853"/>
    <n v="0"/>
    <n v="0"/>
    <n v="0"/>
    <n v="0"/>
    <n v="0"/>
    <n v="7.4038214654737535"/>
    <m/>
    <n v="1.7105318194818389"/>
    <n v="0"/>
    <n v="0"/>
    <n v="0"/>
    <n v="0"/>
    <n v="0"/>
    <n v="0"/>
    <n v="0"/>
    <n v="0"/>
    <n v="0"/>
    <n v="0"/>
    <n v="0"/>
    <n v="0"/>
    <m/>
    <n v="0"/>
    <n v="0"/>
    <n v="1.1609595371599823"/>
    <n v="0"/>
    <n v="0"/>
    <n v="28.241400372104412"/>
    <n v="0"/>
    <n v="1.28"/>
    <n v="6.73"/>
    <n v="271.27999999999997"/>
    <n v="5"/>
    <m/>
    <m/>
    <m/>
    <m/>
    <m/>
    <m/>
    <m/>
    <m/>
    <m/>
    <n v="229.25677433853292"/>
    <m/>
    <m/>
    <m/>
    <m/>
    <m/>
    <m/>
    <m/>
    <m/>
    <m/>
    <m/>
    <m/>
    <m/>
    <n v="515.1354"/>
    <n v="-238.54593999999997"/>
    <m/>
    <m/>
    <m/>
    <m/>
    <n v="-251.63257999999999"/>
    <n v="12.456210000000008"/>
    <n v="30"/>
    <n v="10.355469901740378"/>
    <n v="0"/>
    <n v="0"/>
    <n v="0"/>
    <n v="0"/>
    <n v="0"/>
    <n v="0"/>
    <n v="0"/>
    <n v="-0.43339038001205665"/>
    <n v="0"/>
    <n v="0"/>
    <n v="12.450624075331888"/>
    <n v="0"/>
    <n v="0"/>
    <n v="7.2326001930601125E-2"/>
    <n v="1.7593960103315922"/>
    <n v="0"/>
    <n v="-2.9779086824992902"/>
    <m/>
    <n v="0"/>
    <n v="0"/>
    <n v="0"/>
    <n v="0"/>
    <n v="-0.40626760608145229"/>
    <n v="-0.10930951726092597"/>
    <n v="0"/>
    <n v="0"/>
    <m/>
    <m/>
    <m/>
    <n v="371.51293805284797"/>
    <n v="0"/>
    <n v="0"/>
    <n v="-251.63258000000002"/>
    <n v="12.456210000000027"/>
    <n v="0"/>
    <n v="0"/>
    <n v="-249.53582951245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81"/>
    <s v="Regular"/>
    <s v="Convencional"/>
    <s v="B1"/>
    <s v="Residencial"/>
    <s v="Residencial"/>
    <s v="Não se aplica"/>
    <s v="Não se aplica"/>
    <s v="Não se aplica"/>
    <s v="CATIVO"/>
    <x v="5"/>
    <n v="0"/>
    <n v="0"/>
    <n v="724.05600000000004"/>
    <n v="724.05600000000004"/>
    <n v="724.05600000000004"/>
    <n v="724.05600000000004"/>
    <m/>
    <n v="710.91"/>
    <n v="256.55"/>
    <m/>
    <n v="700495.21776000003"/>
    <n v="700495.21776000003"/>
    <n v="478188.30408000003"/>
    <n v="0"/>
    <n v="44511.111914284658"/>
    <n v="0"/>
    <n v="0"/>
    <n v="0"/>
    <n v="89118.832453870316"/>
    <n v="345309.59162361088"/>
    <n v="185758.39267522265"/>
    <n v="0"/>
    <n v="0"/>
    <n v="0"/>
    <n v="0"/>
    <n v="0"/>
    <n v="6881.6191976958462"/>
    <m/>
    <n v="1589.8855289945345"/>
    <n v="0"/>
    <n v="0"/>
    <n v="0"/>
    <n v="0"/>
    <n v="0"/>
    <n v="0"/>
    <n v="0"/>
    <n v="0"/>
    <n v="0"/>
    <n v="0"/>
    <n v="0"/>
    <n v="0"/>
    <m/>
    <n v="0"/>
    <n v="0"/>
    <n v="1079.0753769421158"/>
    <n v="0"/>
    <n v="0"/>
    <n v="26249.493437515317"/>
    <n v="0"/>
    <n v="782.02"/>
    <n v="3709.71"/>
    <n v="240988.96"/>
    <n v="5320"/>
    <m/>
    <m/>
    <m/>
    <m/>
    <m/>
    <m/>
    <m/>
    <m/>
    <m/>
    <n v="213086.96148968008"/>
    <m/>
    <m/>
    <m/>
    <m/>
    <m/>
    <m/>
    <m/>
    <m/>
    <m/>
    <m/>
    <m/>
    <m/>
    <n v="478190.94579999999"/>
    <n v="-222304.30196000007"/>
    <m/>
    <m/>
    <m/>
    <m/>
    <n v="-233884.56912"/>
    <n v="11577.655440000008"/>
    <m/>
    <n v="9625.0835881572566"/>
    <n v="0"/>
    <n v="0"/>
    <n v="0"/>
    <n v="0"/>
    <n v="0"/>
    <n v="0"/>
    <n v="0"/>
    <n v="-402.82272784340603"/>
    <n v="0"/>
    <n v="0"/>
    <n v="11572.463498701545"/>
    <n v="0"/>
    <n v="0"/>
    <n v="67.224744099952886"/>
    <n v="1635.3032575823527"/>
    <n v="0"/>
    <n v="-2767.8724634347964"/>
    <m/>
    <n v="0"/>
    <n v="0"/>
    <n v="0"/>
    <n v="0"/>
    <n v="-377.61296250181294"/>
    <n v="-101.59975844656879"/>
    <n v="0"/>
    <n v="0"/>
    <m/>
    <m/>
    <m/>
    <n v="345309.59162361088"/>
    <n v="0"/>
    <n v="0"/>
    <n v="-233884.56912"/>
    <n v="11577.655440000002"/>
    <n v="0"/>
    <n v="0"/>
    <n v="-231935.70548583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82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6.2619999999999996"/>
    <n v="6.2619999999999996"/>
    <n v="6.2619999999999996"/>
    <n v="6.2619999999999996"/>
    <m/>
    <n v="710.91"/>
    <n v="256.55"/>
    <m/>
    <n v="6058.2345199999991"/>
    <n v="6058.2345199999991"/>
    <n v="4135.6126599999998"/>
    <n v="0"/>
    <n v="384.95445491405434"/>
    <n v="0"/>
    <n v="0"/>
    <n v="0"/>
    <n v="770.74442974871533"/>
    <n v="2986.4108062733421"/>
    <n v="1606.5318910861097"/>
    <n v="0"/>
    <n v="0"/>
    <n v="0"/>
    <n v="0"/>
    <n v="0"/>
    <n v="59.515699636452688"/>
    <m/>
    <n v="13.750128695244253"/>
    <n v="0"/>
    <n v="0"/>
    <n v="0"/>
    <n v="0"/>
    <n v="0"/>
    <n v="0"/>
    <n v="0"/>
    <n v="0"/>
    <n v="0"/>
    <n v="0"/>
    <n v="0"/>
    <n v="0"/>
    <m/>
    <n v="0"/>
    <n v="0"/>
    <n v="9.3323859071833226"/>
    <n v="0"/>
    <n v="0"/>
    <n v="227.01880504508063"/>
    <n v="0"/>
    <n v="6.6"/>
    <n v="31.93"/>
    <n v="6292.74"/>
    <n v="101"/>
    <m/>
    <m/>
    <m/>
    <m/>
    <m/>
    <m/>
    <m/>
    <m/>
    <m/>
    <n v="1842.8830820383737"/>
    <m/>
    <m/>
    <m/>
    <m/>
    <m/>
    <m/>
    <m/>
    <m/>
    <m/>
    <m/>
    <m/>
    <m/>
    <n v="4134.2918"/>
    <n v="-1923.9727199999998"/>
    <m/>
    <m/>
    <m/>
    <m/>
    <n v="-2022.7512399999998"/>
    <n v="100.12938000000005"/>
    <m/>
    <n v="83.242557798071175"/>
    <n v="0"/>
    <n v="0"/>
    <n v="0"/>
    <n v="0"/>
    <n v="0"/>
    <n v="0"/>
    <n v="0"/>
    <n v="-3.4838132986335495"/>
    <n v="0"/>
    <n v="0"/>
    <n v="100.08447748360481"/>
    <n v="0"/>
    <n v="0"/>
    <n v="0.58139335569887685"/>
    <n v="14.142924026567954"/>
    <n v="0"/>
    <n v="-23.937951437497588"/>
    <m/>
    <n v="0"/>
    <n v="0"/>
    <n v="0"/>
    <n v="0"/>
    <n v="-3.2657865844442355"/>
    <n v="-0.87868574722454085"/>
    <n v="0"/>
    <n v="0"/>
    <m/>
    <m/>
    <m/>
    <n v="2986.4108062733421"/>
    <n v="0"/>
    <n v="0"/>
    <n v="-2022.7512399999996"/>
    <n v="100.12937999999986"/>
    <n v="0"/>
    <n v="0"/>
    <n v="-2005.896488327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83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3.75"/>
    <n v="3.75"/>
    <n v="3.75"/>
    <n v="3.75"/>
    <m/>
    <n v="639.92999999999995"/>
    <n v="256.55"/>
    <m/>
    <n v="3361.7999999999997"/>
    <n v="3361.7999999999997"/>
    <n v="2226.75"/>
    <n v="0"/>
    <n v="0"/>
    <n v="0"/>
    <n v="0"/>
    <n v="0"/>
    <n v="461.56046176264499"/>
    <n v="1788.4127313198712"/>
    <n v="962.07195649519508"/>
    <n v="0"/>
    <n v="0"/>
    <n v="0"/>
    <n v="0"/>
    <n v="0"/>
    <n v="0"/>
    <m/>
    <n v="8.234267423693062"/>
    <n v="0"/>
    <n v="0"/>
    <n v="0"/>
    <n v="0"/>
    <n v="0"/>
    <n v="0"/>
    <n v="0"/>
    <n v="0"/>
    <n v="0"/>
    <n v="0"/>
    <n v="0"/>
    <n v="0"/>
    <m/>
    <n v="0"/>
    <n v="0"/>
    <n v="5.5887012379331624"/>
    <n v="0"/>
    <n v="0"/>
    <n v="135.95025853066949"/>
    <n v="0"/>
    <n v="1.21"/>
    <n v="3.79"/>
    <n v="320.36"/>
    <n v="3"/>
    <m/>
    <m/>
    <m/>
    <m/>
    <m/>
    <m/>
    <m/>
    <n v="1447.3875"/>
    <m/>
    <n v="1103.6109162637977"/>
    <m/>
    <m/>
    <m/>
    <m/>
    <m/>
    <m/>
    <m/>
    <m/>
    <m/>
    <m/>
    <m/>
    <m/>
    <n v="779.36249999999995"/>
    <n v="-397.30500000000006"/>
    <m/>
    <m/>
    <m/>
    <m/>
    <n v="-1195.0124999999998"/>
    <n v="59.962500000000034"/>
    <m/>
    <n v="66.140787180621373"/>
    <n v="0"/>
    <n v="0"/>
    <n v="0"/>
    <n v="0"/>
    <n v="0"/>
    <n v="0"/>
    <n v="0"/>
    <n v="-2.0862823171312357"/>
    <n v="0"/>
    <n v="0"/>
    <n v="59.935610118734985"/>
    <n v="0"/>
    <n v="0"/>
    <n v="0.34816753175835036"/>
    <n v="8.4694929894011466"/>
    <n v="0"/>
    <n v="0"/>
    <m/>
    <n v="0"/>
    <n v="0"/>
    <n v="0"/>
    <n v="0"/>
    <n v="0"/>
    <n v="-0.52620114214181246"/>
    <n v="0"/>
    <n v="0"/>
    <m/>
    <m/>
    <m/>
    <n v="1788.4127313198712"/>
    <n v="0"/>
    <n v="0"/>
    <n v="-1195.0124999999998"/>
    <n v="59.962500000000091"/>
    <n v="0"/>
    <n v="0"/>
    <n v="-1201.2315284617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84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7.6970000000000001"/>
    <n v="7.6970000000000001"/>
    <n v="7.6970000000000001"/>
    <n v="7.6970000000000001"/>
    <m/>
    <n v="639.92999999999995"/>
    <n v="256.55"/>
    <m/>
    <n v="6900.2065599999996"/>
    <n v="6900.2065599999996"/>
    <n v="4570.4786000000004"/>
    <n v="0"/>
    <n v="0"/>
    <n v="0"/>
    <n v="0"/>
    <n v="0"/>
    <n v="947.36823311655428"/>
    <n v="3670.7767447917468"/>
    <n v="1974.6847597716044"/>
    <n v="0"/>
    <n v="0"/>
    <n v="0"/>
    <n v="0"/>
    <n v="0"/>
    <n v="0"/>
    <m/>
    <n v="16.901108362710801"/>
    <n v="0"/>
    <n v="0"/>
    <n v="0"/>
    <n v="0"/>
    <n v="0"/>
    <n v="0"/>
    <n v="0"/>
    <n v="0"/>
    <n v="0"/>
    <n v="0"/>
    <n v="0"/>
    <n v="0"/>
    <m/>
    <n v="0"/>
    <n v="0"/>
    <n v="11.47099558089908"/>
    <n v="0"/>
    <n v="0"/>
    <n v="279.04243730948349"/>
    <n v="0"/>
    <n v="3.37"/>
    <n v="18.64"/>
    <n v="1180.83"/>
    <n v="40"/>
    <m/>
    <m/>
    <m/>
    <m/>
    <m/>
    <m/>
    <m/>
    <n v="1828.1914400000001"/>
    <m/>
    <n v="2265.1981926619869"/>
    <m/>
    <m/>
    <m/>
    <m/>
    <m/>
    <m/>
    <m/>
    <m/>
    <m/>
    <m/>
    <m/>
    <m/>
    <n v="2743.3559999999998"/>
    <n v="-1396.8133300000009"/>
    <m/>
    <m/>
    <m/>
    <m/>
    <n v="-2452.8029899999997"/>
    <n v="123.07503000000007"/>
    <m/>
    <n v="135.7561703811316"/>
    <n v="0"/>
    <n v="0"/>
    <n v="0"/>
    <n v="0"/>
    <n v="0"/>
    <n v="0"/>
    <n v="0"/>
    <n v="-4.2821639986558466"/>
    <n v="0"/>
    <n v="0"/>
    <n v="123.0198376223741"/>
    <n v="0"/>
    <n v="0"/>
    <n v="0.71462546451840581"/>
    <n v="17.383916677178775"/>
    <n v="0"/>
    <n v="0"/>
    <m/>
    <n v="0"/>
    <n v="0"/>
    <n v="0"/>
    <n v="0"/>
    <n v="0"/>
    <n v="-1.0800453842841424"/>
    <n v="0"/>
    <n v="0"/>
    <m/>
    <m/>
    <m/>
    <n v="3670.7767447917468"/>
    <n v="0"/>
    <n v="0"/>
    <n v="-2452.8029899999997"/>
    <n v="123.07502999999997"/>
    <n v="0"/>
    <n v="0"/>
    <n v="-2465.5677532186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85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4.8789999999999996"/>
    <n v="4.8789999999999996"/>
    <n v="4.8789999999999996"/>
    <n v="4.8789999999999996"/>
    <m/>
    <n v="639.92999999999995"/>
    <n v="256.55"/>
    <m/>
    <n v="4373.9259199999997"/>
    <n v="4373.9259199999997"/>
    <n v="2897.1502"/>
    <n v="0"/>
    <n v="0"/>
    <n v="0"/>
    <n v="0"/>
    <n v="0"/>
    <n v="600.52093145065191"/>
    <n v="2326.8441909625735"/>
    <n v="1251.7197535306816"/>
    <n v="0"/>
    <n v="0"/>
    <n v="0"/>
    <n v="0"/>
    <n v="0"/>
    <n v="0"/>
    <m/>
    <n v="10.713330869386253"/>
    <n v="0"/>
    <n v="0"/>
    <n v="0"/>
    <n v="0"/>
    <n v="0"/>
    <n v="0"/>
    <n v="0"/>
    <n v="0"/>
    <n v="0"/>
    <n v="0"/>
    <n v="0"/>
    <n v="0"/>
    <m/>
    <n v="0"/>
    <n v="0"/>
    <n v="7.271272890633572"/>
    <n v="0"/>
    <n v="0"/>
    <n v="176.88034969896972"/>
    <n v="0"/>
    <n v="3.35"/>
    <n v="16.89"/>
    <n v="1133.8499999999999"/>
    <n v="69"/>
    <m/>
    <m/>
    <m/>
    <m/>
    <m/>
    <m/>
    <m/>
    <n v="289.76381000000003"/>
    <m/>
    <n v="1435.8713761202848"/>
    <m/>
    <m/>
    <m/>
    <m/>
    <m/>
    <m/>
    <m/>
    <m/>
    <m/>
    <m/>
    <m/>
    <m/>
    <n v="2607.9207999999999"/>
    <n v="-1328.6815600000009"/>
    <m/>
    <m/>
    <m/>
    <m/>
    <n v="-1554.7909299999997"/>
    <n v="78.015210000000039"/>
    <m/>
    <n v="86.053573507800365"/>
    <n v="0"/>
    <n v="0"/>
    <n v="0"/>
    <n v="0"/>
    <n v="0"/>
    <n v="0"/>
    <n v="0"/>
    <n v="-2.7143923800755374"/>
    <n v="0"/>
    <n v="0"/>
    <n v="77.980224471815518"/>
    <n v="0"/>
    <n v="0"/>
    <n v="0.45298916998639793"/>
    <n v="11.019375012076807"/>
    <n v="0"/>
    <n v="0"/>
    <m/>
    <n v="0"/>
    <n v="0"/>
    <n v="0"/>
    <n v="0"/>
    <n v="0"/>
    <n v="-0.68462276600264182"/>
    <n v="0"/>
    <n v="0"/>
    <m/>
    <m/>
    <m/>
    <n v="2326.8441909625735"/>
    <n v="0"/>
    <n v="0"/>
    <n v="-1554.7909299999994"/>
    <n v="78.015210000000025"/>
    <n v="0"/>
    <n v="0"/>
    <n v="-1562.8823006306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86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1.0409999999999999"/>
    <n v="1.0409999999999999"/>
    <n v="1.0409999999999999"/>
    <n v="1.0409999999999999"/>
    <m/>
    <n v="639.92999999999995"/>
    <n v="256.55"/>
    <m/>
    <n v="933.23568"/>
    <n v="933.23568"/>
    <n v="618.14580000000001"/>
    <n v="0"/>
    <n v="0"/>
    <n v="0"/>
    <n v="0"/>
    <n v="0"/>
    <n v="128.12918418531024"/>
    <n v="496.46337421439625"/>
    <n v="267.07117512306615"/>
    <n v="0"/>
    <n v="0"/>
    <n v="0"/>
    <n v="0"/>
    <n v="0"/>
    <n v="0"/>
    <m/>
    <n v="2.2858326368171942"/>
    <n v="0"/>
    <n v="0"/>
    <n v="0"/>
    <n v="0"/>
    <n v="0"/>
    <n v="0"/>
    <n v="0"/>
    <n v="0"/>
    <n v="0"/>
    <n v="0"/>
    <n v="0"/>
    <n v="0"/>
    <m/>
    <n v="0"/>
    <n v="0"/>
    <n v="1.5514234636502457"/>
    <n v="0"/>
    <n v="0"/>
    <n v="37.739791768113854"/>
    <n v="0"/>
    <n v="0.78"/>
    <n v="4.07"/>
    <n v="272.63"/>
    <n v="13"/>
    <m/>
    <m/>
    <m/>
    <m/>
    <m/>
    <m/>
    <m/>
    <m/>
    <m/>
    <n v="306.36239035483021"/>
    <m/>
    <m/>
    <m/>
    <m/>
    <m/>
    <m/>
    <m/>
    <m/>
    <m/>
    <m/>
    <m/>
    <m/>
    <n v="617.55200000000013"/>
    <n v="-315.71367999999984"/>
    <m/>
    <m/>
    <m/>
    <m/>
    <n v="-331.73546999999991"/>
    <n v="16.645590000000009"/>
    <m/>
    <n v="18.360682521340493"/>
    <n v="0"/>
    <n v="0"/>
    <n v="0"/>
    <n v="0"/>
    <n v="0"/>
    <n v="0"/>
    <n v="0"/>
    <n v="-0.57915197123563189"/>
    <n v="0"/>
    <n v="0"/>
    <n v="16.6381253689608"/>
    <n v="0"/>
    <n v="0"/>
    <n v="9.6651306816117888E-2"/>
    <n v="2.3511312538577513"/>
    <n v="0"/>
    <n v="0"/>
    <m/>
    <n v="0"/>
    <n v="0"/>
    <n v="0"/>
    <n v="0"/>
    <n v="0"/>
    <n v="-0.14607343705856746"/>
    <n v="0"/>
    <n v="0"/>
    <m/>
    <m/>
    <m/>
    <n v="496.46337421439625"/>
    <n v="0"/>
    <n v="0"/>
    <n v="-331.73546999999996"/>
    <n v="16.64558999999997"/>
    <n v="0"/>
    <n v="0"/>
    <n v="-333.46187230097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87"/>
    <s v="Regular"/>
    <s v="Convencional"/>
    <s v="B3"/>
    <s v="Industrial"/>
    <s v="Não se aplica"/>
    <s v="Não se aplica"/>
    <s v="Não se aplica"/>
    <s v="Não se aplica"/>
    <s v="CATIVO"/>
    <x v="5"/>
    <n v="0"/>
    <n v="0"/>
    <n v="62.302"/>
    <n v="62.302"/>
    <n v="62.302"/>
    <n v="62.302"/>
    <m/>
    <n v="710.91"/>
    <n v="256.55"/>
    <m/>
    <n v="60274.692919999994"/>
    <n v="60274.692919999994"/>
    <n v="41146.109859999997"/>
    <n v="0"/>
    <n v="3829.9956004559908"/>
    <n v="0"/>
    <n v="0"/>
    <n v="0"/>
    <n v="7668.3039703296818"/>
    <n v="29712.450663117499"/>
    <n v="15983.735208950304"/>
    <n v="0"/>
    <n v="0"/>
    <n v="0"/>
    <n v="0"/>
    <n v="0"/>
    <n v="592.13464049030267"/>
    <m/>
    <n v="136.80302107491337"/>
    <n v="0"/>
    <n v="0"/>
    <n v="0"/>
    <n v="0"/>
    <n v="0"/>
    <n v="0"/>
    <n v="0"/>
    <n v="0"/>
    <n v="0"/>
    <n v="0"/>
    <n v="0"/>
    <n v="0"/>
    <m/>
    <n v="0"/>
    <n v="0"/>
    <n v="92.849937206856495"/>
    <n v="0"/>
    <n v="0"/>
    <n v="2258.6594685274058"/>
    <n v="0"/>
    <n v="69.069999999999993"/>
    <n v="319.56"/>
    <n v="11055.83"/>
    <n v="45"/>
    <m/>
    <m/>
    <m/>
    <m/>
    <m/>
    <m/>
    <m/>
    <m/>
    <m/>
    <n v="18335.244614684565"/>
    <m/>
    <m/>
    <m/>
    <m/>
    <m/>
    <m/>
    <m/>
    <m/>
    <m/>
    <m/>
    <m/>
    <m/>
    <n v="41144.789000000004"/>
    <n v="-19129.933919999996"/>
    <m/>
    <m/>
    <m/>
    <m/>
    <n v="-20124.79204"/>
    <n v="996.20898000000057"/>
    <m/>
    <n v="828.19831298874487"/>
    <n v="0"/>
    <n v="0"/>
    <n v="0"/>
    <n v="0"/>
    <n v="0"/>
    <n v="0"/>
    <n v="0"/>
    <n v="-34.661216245842297"/>
    <n v="0"/>
    <n v="0"/>
    <n v="995.76223509798365"/>
    <n v="0"/>
    <n v="0"/>
    <n v="5.7844089502956706"/>
    <n v="140.71102726017807"/>
    <n v="0"/>
    <n v="-238.16388541344213"/>
    <m/>
    <n v="0"/>
    <n v="0"/>
    <n v="0"/>
    <n v="0"/>
    <n v="-32.492021045040701"/>
    <n v="-8.7422356153917917"/>
    <n v="0"/>
    <n v="0"/>
    <m/>
    <m/>
    <m/>
    <n v="29712.450663117499"/>
    <n v="0"/>
    <n v="0"/>
    <n v="-20124.792039999997"/>
    <n v="996.20898000000125"/>
    <n v="0"/>
    <n v="0"/>
    <n v="-19957.100449659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88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0.5"/>
    <n v="0.5"/>
    <n v="0.5"/>
    <n v="0.5"/>
    <m/>
    <n v="710.91"/>
    <n v="256.55"/>
    <m/>
    <n v="483.73"/>
    <n v="483.73"/>
    <n v="330.21500000000003"/>
    <n v="0"/>
    <n v="30.737340698982301"/>
    <n v="0"/>
    <n v="0"/>
    <n v="0"/>
    <n v="61.541394901685997"/>
    <n v="238.45503084264951"/>
    <n v="128.27626086602601"/>
    <n v="0"/>
    <n v="0"/>
    <n v="0"/>
    <n v="0"/>
    <n v="0"/>
    <n v="4.75213187771101"/>
    <m/>
    <n v="1.097902323159075"/>
    <n v="0"/>
    <n v="0"/>
    <n v="0"/>
    <n v="0"/>
    <n v="0"/>
    <n v="0"/>
    <n v="0"/>
    <n v="0"/>
    <n v="0"/>
    <n v="0"/>
    <n v="0"/>
    <n v="0"/>
    <m/>
    <n v="0"/>
    <n v="0"/>
    <n v="0.74516016505775495"/>
    <n v="0"/>
    <n v="0"/>
    <n v="18.1267011374226"/>
    <n v="0"/>
    <n v="1.86"/>
    <n v="8.61"/>
    <n v="817.01"/>
    <n v="5"/>
    <m/>
    <m/>
    <m/>
    <m/>
    <m/>
    <m/>
    <m/>
    <m/>
    <m/>
    <n v="147.14812216850638"/>
    <m/>
    <m/>
    <m/>
    <m/>
    <m/>
    <m/>
    <m/>
    <m/>
    <m/>
    <m/>
    <m/>
    <m/>
    <n v="330.21500000000003"/>
    <n v="-153.54499999999996"/>
    <m/>
    <m/>
    <m/>
    <m/>
    <n v="-161.51"/>
    <n v="7.9950000000000045"/>
    <m/>
    <n v="6.6466430691529581"/>
    <n v="0"/>
    <n v="0"/>
    <n v="0"/>
    <n v="0"/>
    <n v="0"/>
    <n v="0"/>
    <n v="0"/>
    <n v="-0.27817097561749904"/>
    <n v="0"/>
    <n v="0"/>
    <n v="7.9914146824980037"/>
    <n v="0"/>
    <n v="0"/>
    <n v="4.6422337567780025E-2"/>
    <n v="1.1292657319201496"/>
    <n v="0"/>
    <n v="-1.9113662917197018"/>
    <m/>
    <n v="0"/>
    <n v="0"/>
    <n v="0"/>
    <n v="0"/>
    <n v="-0.26076226321017515"/>
    <n v="-7.0160152285575039E-2"/>
    <n v="0"/>
    <n v="0"/>
    <m/>
    <m/>
    <m/>
    <n v="238.45503084264951"/>
    <n v="0"/>
    <n v="0"/>
    <n v="-161.51"/>
    <n v="7.9950000000000045"/>
    <n v="0"/>
    <n v="0"/>
    <n v="-160.16420379489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89"/>
    <s v="Regular"/>
    <s v="Verde"/>
    <s v="A4"/>
    <s v="Industrial"/>
    <s v="Não se aplica"/>
    <s v="Não se aplica"/>
    <s v="Não se aplica"/>
    <s v="Ponta"/>
    <s v="CATIVO"/>
    <x v="5"/>
    <n v="0"/>
    <n v="0"/>
    <n v="9.7650000000000006"/>
    <n v="9.7650000000000006"/>
    <n v="9.7650000000000006"/>
    <n v="9.7650000000000006"/>
    <m/>
    <n v="3130.62"/>
    <n v="256.55"/>
    <m/>
    <n v="33075.715049999999"/>
    <n v="33075.715049999999"/>
    <n v="17407.381950000003"/>
    <n v="0"/>
    <n v="522.26122955047822"/>
    <n v="0"/>
    <n v="0"/>
    <n v="0"/>
    <n v="6290.7478280193218"/>
    <n v="23476.511694376532"/>
    <n v="2505.235374713488"/>
    <n v="0"/>
    <n v="0"/>
    <n v="0"/>
    <n v="0"/>
    <n v="0"/>
    <n v="92.809135571696032"/>
    <m/>
    <n v="13.173522024365838"/>
    <n v="0"/>
    <n v="0"/>
    <n v="0"/>
    <n v="0"/>
    <n v="0"/>
    <n v="0"/>
    <n v="0"/>
    <n v="0"/>
    <n v="0"/>
    <n v="0"/>
    <n v="0"/>
    <n v="0"/>
    <m/>
    <n v="0"/>
    <n v="0"/>
    <n v="12.030726246018935"/>
    <n v="0"/>
    <n v="0"/>
    <n v="162.97089924951811"/>
    <n v="0"/>
    <n v="0"/>
    <n v="0"/>
    <n v="0"/>
    <n v="0"/>
    <m/>
    <m/>
    <m/>
    <m/>
    <m/>
    <m/>
    <m/>
    <m/>
    <m/>
    <n v="2680.2370002090247"/>
    <m/>
    <m/>
    <m/>
    <m/>
    <m/>
    <m/>
    <m/>
    <m/>
    <m/>
    <m/>
    <m/>
    <m/>
    <n v="17416.295099999999"/>
    <n v="-15659.449949999998"/>
    <m/>
    <m/>
    <m/>
    <m/>
    <n v="-15824.47545"/>
    <n v="156.14235000000011"/>
    <m/>
    <n v="100.12934510041669"/>
    <n v="0"/>
    <n v="0"/>
    <n v="0"/>
    <n v="0"/>
    <n v="0"/>
    <n v="0"/>
    <n v="0"/>
    <n v="-28.434575840856269"/>
    <n v="0"/>
    <n v="0"/>
    <n v="156.072328749186"/>
    <n v="0"/>
    <n v="0"/>
    <n v="0.74949582810155846"/>
    <n v="10.152837542113303"/>
    <n v="0"/>
    <n v="-32.476215799238844"/>
    <m/>
    <n v="0"/>
    <n v="0"/>
    <n v="0"/>
    <n v="0"/>
    <n v="-5.0926870004947205"/>
    <n v="-0.84183837839734466"/>
    <n v="0"/>
    <n v="0"/>
    <m/>
    <m/>
    <m/>
    <n v="23476.511694376532"/>
    <n v="0"/>
    <n v="0"/>
    <n v="-15824.47545"/>
    <n v="156.14235000000008"/>
    <n v="0"/>
    <n v="0"/>
    <n v="-15768.578210004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90"/>
    <s v="Sistema de Compensação"/>
    <s v="Verde"/>
    <s v="A4"/>
    <s v="Industrial"/>
    <s v="Não se aplica"/>
    <s v="Não se aplica"/>
    <s v="Não se aplica"/>
    <s v="Ponta"/>
    <s v="CATIVO"/>
    <x v="5"/>
    <n v="0"/>
    <n v="0"/>
    <n v="0.09"/>
    <n v="0.09"/>
    <n v="0.09"/>
    <n v="0.09"/>
    <m/>
    <n v="3130.62"/>
    <n v="256.55"/>
    <m/>
    <n v="304.84529999999995"/>
    <n v="304.84529999999995"/>
    <n v="160.4367"/>
    <n v="0"/>
    <n v="4.8134675534606277"/>
    <n v="0"/>
    <n v="0"/>
    <n v="0"/>
    <n v="57.979242654555954"/>
    <n v="216.37337967167309"/>
    <n v="23.089726955884679"/>
    <n v="0"/>
    <n v="0"/>
    <n v="0"/>
    <n v="0"/>
    <n v="0"/>
    <n v="0.85538373798798173"/>
    <m/>
    <n v="0.12141494953332568"/>
    <n v="0"/>
    <n v="0"/>
    <n v="0"/>
    <n v="0"/>
    <n v="0"/>
    <n v="0"/>
    <n v="0"/>
    <n v="0"/>
    <n v="0"/>
    <n v="0"/>
    <n v="0"/>
    <n v="0"/>
    <m/>
    <n v="0"/>
    <n v="0"/>
    <n v="0.1108822695485616"/>
    <n v="0"/>
    <n v="0"/>
    <n v="1.5020359377835768"/>
    <n v="0"/>
    <n v="0"/>
    <n v="0"/>
    <n v="0"/>
    <n v="0"/>
    <m/>
    <m/>
    <m/>
    <m/>
    <m/>
    <m/>
    <m/>
    <m/>
    <m/>
    <n v="24.702645163216818"/>
    <m/>
    <m/>
    <m/>
    <m/>
    <m/>
    <m/>
    <m/>
    <m/>
    <m/>
    <m/>
    <m/>
    <m/>
    <n v="160.4367"/>
    <n v="-144.43859999999992"/>
    <m/>
    <m/>
    <m/>
    <m/>
    <n v="-145.8477"/>
    <n v="1.4391000000000007"/>
    <m/>
    <n v="0.92285110691626926"/>
    <n v="0"/>
    <n v="0"/>
    <n v="0"/>
    <n v="0"/>
    <n v="0"/>
    <n v="0"/>
    <n v="0"/>
    <n v="-0.26206982341802387"/>
    <n v="0"/>
    <n v="0"/>
    <n v="1.4384546428496421"/>
    <n v="0"/>
    <n v="0"/>
    <n v="6.9077956507055949E-3"/>
    <n v="9.3574539558648029E-2"/>
    <n v="0"/>
    <n v="-0.29931996128330685"/>
    <m/>
    <n v="0"/>
    <n v="0"/>
    <n v="0"/>
    <n v="0"/>
    <n v="-4.6937207377831469E-2"/>
    <n v="-7.7588790635699928E-3"/>
    <n v="0"/>
    <n v="0"/>
    <m/>
    <m/>
    <m/>
    <n v="216.37337967167309"/>
    <n v="0"/>
    <n v="0"/>
    <n v="-145.84769999999997"/>
    <n v="1.4390999999999998"/>
    <n v="0"/>
    <n v="0"/>
    <n v="-145.33251806456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91"/>
    <s v="Regular"/>
    <s v="Verde"/>
    <s v="A4"/>
    <s v="Industrial"/>
    <s v="Não se aplica"/>
    <s v="Não se aplica"/>
    <s v="Não se aplica"/>
    <s v="Fora ponta"/>
    <s v="CATIVO"/>
    <x v="5"/>
    <n v="0"/>
    <n v="0"/>
    <n v="177.20500000000001"/>
    <n v="177.20500000000001"/>
    <n v="177.20500000000001"/>
    <n v="177.20500000000001"/>
    <m/>
    <n v="82.26"/>
    <n v="256.55"/>
    <m/>
    <n v="60038.826050000003"/>
    <n v="60038.826050000003"/>
    <n v="62372.615900000012"/>
    <n v="0"/>
    <n v="9477.450197899896"/>
    <n v="0"/>
    <n v="0"/>
    <n v="0"/>
    <n v="0"/>
    <n v="0"/>
    <n v="45462.389613528278"/>
    <n v="0"/>
    <n v="0"/>
    <n v="0"/>
    <n v="0"/>
    <n v="0"/>
    <n v="1684.2030587795591"/>
    <m/>
    <n v="239.05929035614423"/>
    <n v="0"/>
    <n v="0"/>
    <n v="0"/>
    <n v="0"/>
    <n v="0"/>
    <n v="0"/>
    <n v="0"/>
    <n v="0"/>
    <n v="0"/>
    <n v="0"/>
    <n v="0"/>
    <n v="0"/>
    <m/>
    <n v="0"/>
    <n v="0"/>
    <n v="218.32102861503179"/>
    <n v="0"/>
    <n v="0"/>
    <n v="2957.4253150548752"/>
    <n v="0"/>
    <n v="0"/>
    <n v="0"/>
    <n v="0"/>
    <n v="0"/>
    <m/>
    <m/>
    <m/>
    <m/>
    <m/>
    <m/>
    <m/>
    <m/>
    <m/>
    <n v="48638.135957198188"/>
    <m/>
    <m/>
    <m/>
    <m/>
    <m/>
    <m/>
    <m/>
    <m/>
    <m/>
    <m/>
    <m/>
    <m/>
    <n v="62374.375800000009"/>
    <n v="2335.5197499999995"/>
    <m/>
    <m/>
    <m/>
    <m/>
    <n v="-499.71810000000136"/>
    <n v="2833.507950000002"/>
    <m/>
    <n v="2333.0434828876387"/>
    <n v="0"/>
    <n v="0"/>
    <n v="0"/>
    <n v="0"/>
    <n v="0"/>
    <n v="0"/>
    <n v="0"/>
    <n v="0"/>
    <n v="0"/>
    <n v="0"/>
    <n v="2832.2372776241173"/>
    <n v="0"/>
    <n v="0"/>
    <n v="13.601065869814278"/>
    <n v="184.24306980544679"/>
    <n v="0"/>
    <n v="-589.3443748800928"/>
    <m/>
    <n v="0"/>
    <n v="0"/>
    <n v="0"/>
    <n v="0"/>
    <n v="-92.416753704318126"/>
    <n v="-15.276801827332463"/>
    <n v="0"/>
    <n v="0"/>
    <m/>
    <m/>
    <m/>
    <n v="0"/>
    <n v="0"/>
    <n v="0"/>
    <n v="-499.71810000000005"/>
    <n v="2833.5079500000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92"/>
    <s v="Sistema de Compensação"/>
    <s v="Verde"/>
    <s v="A4"/>
    <s v="Industrial"/>
    <s v="Não se aplica"/>
    <s v="Não se aplica"/>
    <s v="Não se aplica"/>
    <s v="Fora ponta"/>
    <s v="CATIVO"/>
    <x v="5"/>
    <n v="0"/>
    <n v="0"/>
    <n v="2.1549999999999998"/>
    <n v="2.1549999999999998"/>
    <n v="2.1549999999999998"/>
    <n v="2.1549999999999998"/>
    <m/>
    <n v="82.26"/>
    <n v="256.55"/>
    <m/>
    <n v="730.13554999999997"/>
    <n v="730.13554999999997"/>
    <n v="758.51690000000008"/>
    <n v="0"/>
    <n v="115.25580641897392"/>
    <n v="0"/>
    <n v="0"/>
    <n v="0"/>
    <n v="0"/>
    <n v="0"/>
    <n v="552.87068433257207"/>
    <n v="0"/>
    <n v="0"/>
    <n v="0"/>
    <n v="0"/>
    <n v="0"/>
    <n v="20.481688392934451"/>
    <m/>
    <n v="2.9072135138257429"/>
    <n v="0"/>
    <n v="0"/>
    <n v="0"/>
    <n v="0"/>
    <n v="0"/>
    <n v="0"/>
    <n v="0"/>
    <n v="0"/>
    <n v="0"/>
    <n v="0"/>
    <n v="0"/>
    <n v="0"/>
    <m/>
    <n v="0"/>
    <n v="0"/>
    <n v="2.6550143430794471"/>
    <n v="0"/>
    <n v="0"/>
    <n v="35.96541606581787"/>
    <n v="0"/>
    <n v="0"/>
    <n v="0"/>
    <n v="0"/>
    <n v="0"/>
    <m/>
    <m/>
    <m/>
    <m/>
    <m/>
    <m/>
    <m/>
    <m/>
    <m/>
    <n v="591.49111474146935"/>
    <m/>
    <m/>
    <m/>
    <m/>
    <m/>
    <m/>
    <m/>
    <m/>
    <m/>
    <m/>
    <m/>
    <m/>
    <n v="760.27680000000009"/>
    <n v="30.111250000000155"/>
    <m/>
    <m/>
    <m/>
    <m/>
    <n v="-6.0771000000000157"/>
    <n v="34.458450000000013"/>
    <m/>
    <n v="28.372273387448672"/>
    <n v="0"/>
    <n v="0"/>
    <n v="0"/>
    <n v="0"/>
    <n v="0"/>
    <n v="0"/>
    <n v="0"/>
    <n v="0"/>
    <n v="0"/>
    <n v="0"/>
    <n v="34.442997281566363"/>
    <n v="0"/>
    <n v="0"/>
    <n v="0.16540332919189549"/>
    <n v="2.2405903638765139"/>
    <n v="0"/>
    <n v="-7.1670501840614094"/>
    <m/>
    <n v="0"/>
    <n v="0"/>
    <n v="0"/>
    <n v="0"/>
    <n v="-1.1238853544358562"/>
    <n v="-0.18578204868881532"/>
    <n v="0"/>
    <n v="0"/>
    <m/>
    <m/>
    <m/>
    <n v="0"/>
    <n v="0"/>
    <n v="0"/>
    <n v="-6.0771000000000015"/>
    <n v="34.458450000000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93"/>
    <s v="Regular"/>
    <s v="Verde"/>
    <s v="A4"/>
    <s v="Industrial"/>
    <s v="Não se aplica"/>
    <s v="Não se aplica"/>
    <s v="Não se aplica"/>
    <s v="Não se aplica"/>
    <s v="CATIVO"/>
    <x v="5"/>
    <n v="1473"/>
    <n v="1473"/>
    <n v="0"/>
    <n v="0"/>
    <n v="0"/>
    <n v="0"/>
    <n v="47.39"/>
    <m/>
    <m/>
    <n v="69805.47"/>
    <m/>
    <n v="69805.47"/>
    <n v="47460.06"/>
    <n v="0"/>
    <n v="0"/>
    <n v="0"/>
    <n v="0"/>
    <n v="0"/>
    <n v="36780.957564352975"/>
    <n v="33024.46445295955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6.55"/>
    <n v="999.15"/>
    <n v="32460.2"/>
    <n v="11"/>
    <m/>
    <m/>
    <m/>
    <m/>
    <m/>
    <m/>
    <m/>
    <m/>
    <m/>
    <n v="0"/>
    <m/>
    <m/>
    <m/>
    <m/>
    <m/>
    <m/>
    <m/>
    <m/>
    <m/>
    <m/>
    <m/>
    <m/>
    <n v="47460.06"/>
    <n v="-22345.439999999988"/>
    <m/>
    <m/>
    <m/>
    <m/>
    <n v="-22345.410000000003"/>
    <n v="0"/>
    <m/>
    <n v="-166.25224153872114"/>
    <n v="0"/>
    <n v="0"/>
    <n v="0"/>
    <n v="0"/>
    <m/>
    <m/>
    <m/>
    <n v="-166.252241538721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024.464452959553"/>
    <m/>
    <n v="0"/>
    <n v="0"/>
    <n v="-22345.410000000003"/>
    <m/>
    <n v="0"/>
    <m/>
    <n v="-22181.696214040086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94"/>
    <s v="Sistema de Compensação"/>
    <s v="Verde"/>
    <s v="A4"/>
    <s v="Industrial"/>
    <s v="Não se aplica"/>
    <s v="Não se aplica"/>
    <s v="Não se aplica"/>
    <s v="Não se aplica"/>
    <s v="CATIVO"/>
    <x v="5"/>
    <n v="677"/>
    <n v="677"/>
    <n v="0"/>
    <n v="0"/>
    <n v="0"/>
    <n v="0"/>
    <n v="47.39"/>
    <m/>
    <m/>
    <n v="32083.03"/>
    <m/>
    <n v="32083.03"/>
    <n v="21812.94"/>
    <n v="0"/>
    <n v="0"/>
    <n v="0"/>
    <n v="0"/>
    <n v="0"/>
    <n v="16904.757821498279"/>
    <n v="15178.25012535887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.58"/>
    <n v="164.22"/>
    <n v="4909.74"/>
    <n v="4"/>
    <m/>
    <m/>
    <m/>
    <m/>
    <m/>
    <m/>
    <m/>
    <m/>
    <m/>
    <n v="0"/>
    <m/>
    <m/>
    <m/>
    <m/>
    <m/>
    <m/>
    <m/>
    <m/>
    <m/>
    <m/>
    <m/>
    <m/>
    <n v="21812.94"/>
    <n v="-10270.119999999995"/>
    <m/>
    <m/>
    <m/>
    <m/>
    <n v="-10270.090000000002"/>
    <n v="0"/>
    <m/>
    <n v="-76.41056858229058"/>
    <n v="0"/>
    <n v="0"/>
    <n v="0"/>
    <n v="0"/>
    <m/>
    <m/>
    <m/>
    <n v="-76.4105685822905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178.250125358871"/>
    <m/>
    <n v="0"/>
    <n v="0"/>
    <n v="-10270.09"/>
    <m/>
    <n v="0"/>
    <m/>
    <n v="-10194.84612145630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195"/>
    <s v="Regular"/>
    <s v="Convencional"/>
    <s v="B3"/>
    <s v="Comercial"/>
    <s v="Não se aplica"/>
    <s v="Não se aplica"/>
    <s v="Não se aplica"/>
    <s v="Não se aplica"/>
    <s v="CATIVO"/>
    <x v="5"/>
    <n v="0"/>
    <n v="0"/>
    <n v="368.64299999999997"/>
    <n v="368.64299999999997"/>
    <n v="368.64299999999997"/>
    <n v="368.64299999999997"/>
    <m/>
    <n v="710.91"/>
    <n v="256.55"/>
    <m/>
    <n v="356647.35677999997"/>
    <n v="356647.35677999997"/>
    <n v="243462.89648999998"/>
    <n v="0"/>
    <n v="22662.210974589863"/>
    <n v="0"/>
    <n v="0"/>
    <n v="0"/>
    <n v="45373.608881484455"/>
    <n v="175809.55586985368"/>
    <n v="94576.291268868838"/>
    <n v="0"/>
    <n v="0"/>
    <n v="0"/>
    <n v="0"/>
    <n v="0"/>
    <n v="3503.6803035900393"/>
    <m/>
    <n v="809.46801223266175"/>
    <n v="0"/>
    <n v="0"/>
    <n v="0"/>
    <n v="0"/>
    <n v="0"/>
    <n v="0"/>
    <n v="0"/>
    <n v="0"/>
    <n v="0"/>
    <n v="0"/>
    <n v="0"/>
    <n v="0"/>
    <m/>
    <n v="0"/>
    <n v="0"/>
    <n v="549.39615745477192"/>
    <n v="0"/>
    <n v="0"/>
    <n v="13364.562974805758"/>
    <n v="0"/>
    <n v="406.41"/>
    <n v="1891.52"/>
    <n v="127749.18"/>
    <n v="965"/>
    <m/>
    <m/>
    <m/>
    <m/>
    <m/>
    <m/>
    <m/>
    <m/>
    <m/>
    <n v="108490.25040112936"/>
    <m/>
    <m/>
    <m/>
    <m/>
    <m/>
    <m/>
    <m/>
    <m/>
    <m/>
    <m/>
    <m/>
    <m/>
    <n v="243460.91519999999"/>
    <n v="-113186.47158000001"/>
    <m/>
    <m/>
    <m/>
    <m/>
    <n v="-119079.06185999999"/>
    <n v="5894.6015700000025"/>
    <m/>
    <n v="4900.4768818835728"/>
    <n v="0"/>
    <n v="0"/>
    <n v="0"/>
    <n v="0"/>
    <n v="0"/>
    <n v="0"/>
    <n v="0"/>
    <n v="-205.09156592912041"/>
    <n v="0"/>
    <n v="0"/>
    <n v="5891.9581656002265"/>
    <n v="0"/>
    <n v="0"/>
    <n v="34.226539575998231"/>
    <n v="832.5918144244788"/>
    <n v="0"/>
    <n v="-1409.2236077568523"/>
    <m/>
    <n v="0"/>
    <n v="0"/>
    <n v="0"/>
    <n v="0"/>
    <n v="-192.25636599317704"/>
    <n v="-51.728098038022495"/>
    <n v="0"/>
    <n v="0"/>
    <m/>
    <m/>
    <m/>
    <n v="175809.55586985368"/>
    <n v="0"/>
    <n v="0"/>
    <n v="-119079.06185999999"/>
    <n v="5894.6015700000135"/>
    <n v="0"/>
    <n v="0"/>
    <n v="-118086.8251591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96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9.2170000000000005"/>
    <n v="9.2170000000000005"/>
    <n v="9.2170000000000005"/>
    <n v="9.2170000000000005"/>
    <m/>
    <n v="710.91"/>
    <n v="256.55"/>
    <m/>
    <n v="8917.0788200000006"/>
    <n v="8917.0788200000006"/>
    <n v="6087.1833100000003"/>
    <n v="0"/>
    <n v="566.61213844503982"/>
    <n v="0"/>
    <n v="0"/>
    <n v="0"/>
    <n v="1134.4540736176798"/>
    <n v="4395.6800385534016"/>
    <n v="2364.6445928043236"/>
    <n v="0"/>
    <n v="0"/>
    <n v="0"/>
    <n v="0"/>
    <n v="0"/>
    <n v="87.600799033724769"/>
    <m/>
    <n v="20.238731425114391"/>
    <n v="0"/>
    <n v="0"/>
    <n v="0"/>
    <n v="0"/>
    <n v="0"/>
    <n v="0"/>
    <n v="0"/>
    <n v="0"/>
    <n v="0"/>
    <n v="0"/>
    <n v="0"/>
    <n v="0"/>
    <m/>
    <n v="0"/>
    <n v="0"/>
    <n v="13.736282482674655"/>
    <n v="0"/>
    <n v="0"/>
    <n v="334.14760876724824"/>
    <n v="0"/>
    <n v="10.32"/>
    <n v="47.94"/>
    <n v="9911.5499999999993"/>
    <n v="42"/>
    <m/>
    <m/>
    <m/>
    <m/>
    <m/>
    <m/>
    <m/>
    <m/>
    <m/>
    <n v="2712.5284840542463"/>
    <m/>
    <m/>
    <m/>
    <m/>
    <m/>
    <m/>
    <m/>
    <m/>
    <m/>
    <m/>
    <m/>
    <m/>
    <n v="6089.1646000000001"/>
    <n v="-2827.9442200000012"/>
    <m/>
    <m/>
    <m/>
    <m/>
    <n v="-2977.2753400000001"/>
    <n v="147.37983000000008"/>
    <m/>
    <n v="122.52421833676635"/>
    <n v="0"/>
    <n v="0"/>
    <n v="0"/>
    <n v="0"/>
    <n v="0"/>
    <n v="0"/>
    <n v="0"/>
    <n v="-5.1278037645329277"/>
    <n v="0"/>
    <n v="0"/>
    <n v="147.3137382571681"/>
    <n v="0"/>
    <n v="0"/>
    <n v="0.85574937072445678"/>
    <n v="20.816884502215999"/>
    <n v="0"/>
    <n v="-35.234126221561041"/>
    <m/>
    <n v="0"/>
    <n v="0"/>
    <n v="0"/>
    <n v="0"/>
    <n v="-4.806891560016382"/>
    <n v="-1.2933322472322928"/>
    <n v="0"/>
    <n v="0"/>
    <m/>
    <m/>
    <m/>
    <n v="4395.6800385534016"/>
    <n v="0"/>
    <n v="0"/>
    <n v="-2977.2753400000001"/>
    <n v="147.37982999999986"/>
    <n v="0"/>
    <n v="0"/>
    <n v="-2952.4669327551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97"/>
    <s v="Regular"/>
    <s v="Verde"/>
    <s v="A4"/>
    <s v="Comercial"/>
    <s v="Não se aplica"/>
    <s v="Não se aplica"/>
    <s v="Não se aplica"/>
    <s v="Ponta"/>
    <s v="CATIVO"/>
    <x v="5"/>
    <n v="0"/>
    <n v="0"/>
    <n v="15.417999999999999"/>
    <n v="15.417999999999999"/>
    <n v="15.417999999999999"/>
    <n v="15.417999999999999"/>
    <m/>
    <n v="3130.62"/>
    <n v="256.55"/>
    <m/>
    <n v="52223.387059999994"/>
    <n v="52223.387059999994"/>
    <n v="27484.589339999999"/>
    <n v="0"/>
    <n v="824.60047488062173"/>
    <n v="0"/>
    <n v="0"/>
    <n v="0"/>
    <n v="9932.4884805327074"/>
    <n v="37067.16408642062"/>
    <n v="3955.5267800647775"/>
    <n v="0"/>
    <n v="0"/>
    <n v="0"/>
    <n v="0"/>
    <n v="0"/>
    <n v="146.5367385810967"/>
    <m/>
    <n v="20.799729910053504"/>
    <n v="0"/>
    <n v="0"/>
    <n v="0"/>
    <n v="0"/>
    <n v="0"/>
    <n v="0"/>
    <n v="0"/>
    <n v="0"/>
    <n v="0"/>
    <n v="0"/>
    <n v="0"/>
    <n v="0"/>
    <m/>
    <n v="0"/>
    <n v="0"/>
    <n v="18.995364798885809"/>
    <n v="0"/>
    <n v="0"/>
    <n v="257.31544543052433"/>
    <n v="0"/>
    <n v="0"/>
    <n v="0"/>
    <n v="0"/>
    <n v="0"/>
    <m/>
    <m/>
    <m/>
    <m/>
    <m/>
    <m/>
    <m/>
    <m/>
    <m/>
    <n v="4231.837590294188"/>
    <m/>
    <m/>
    <m/>
    <m/>
    <m/>
    <m/>
    <m/>
    <m/>
    <m/>
    <m/>
    <m/>
    <m/>
    <n v="27488.154599999998"/>
    <n v="-24735.262460000002"/>
    <m/>
    <m/>
    <m/>
    <m/>
    <n v="-24985.331539999999"/>
    <n v="246.53382000000013"/>
    <m/>
    <n v="158.09464851594385"/>
    <n v="0"/>
    <n v="0"/>
    <n v="0"/>
    <n v="0"/>
    <n v="0"/>
    <n v="0"/>
    <n v="0"/>
    <n v="-44.895472638434512"/>
    <n v="0"/>
    <n v="0"/>
    <n v="246.42326314950833"/>
    <n v="0"/>
    <n v="0"/>
    <n v="1.1833821482508782"/>
    <n v="16.030358343502598"/>
    <n v="0"/>
    <n v="-51.276835145178097"/>
    <m/>
    <n v="0"/>
    <n v="0"/>
    <n v="0"/>
    <n v="0"/>
    <n v="-8.0408651483489564"/>
    <n v="-1.3291821933569139"/>
    <n v="0"/>
    <n v="0"/>
    <m/>
    <m/>
    <m/>
    <n v="37067.16408642062"/>
    <n v="0"/>
    <n v="0"/>
    <n v="-24985.331539999996"/>
    <n v="246.53381999999965"/>
    <n v="0"/>
    <n v="0"/>
    <n v="-24897.07515021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98"/>
    <s v="Regular"/>
    <s v="Verde"/>
    <s v="A4"/>
    <s v="Comercial"/>
    <s v="Não se aplica"/>
    <s v="Não se aplica"/>
    <s v="Não se aplica"/>
    <s v="Fora ponta"/>
    <s v="CATIVO"/>
    <x v="5"/>
    <n v="0"/>
    <n v="0"/>
    <n v="129.09700000000001"/>
    <n v="129.09700000000001"/>
    <n v="129.09700000000001"/>
    <n v="129.09700000000001"/>
    <m/>
    <n v="82.26"/>
    <n v="256.55"/>
    <m/>
    <n v="43739.354570000003"/>
    <n v="43739.354570000003"/>
    <n v="45439.562060000004"/>
    <n v="0"/>
    <n v="6904.4913416567415"/>
    <n v="0"/>
    <n v="0"/>
    <n v="0"/>
    <n v="0"/>
    <n v="0"/>
    <n v="33120.160898042719"/>
    <n v="0"/>
    <n v="0"/>
    <n v="0"/>
    <n v="0"/>
    <n v="0"/>
    <n v="1226.9719380337167"/>
    <m/>
    <n v="174.15895266559718"/>
    <n v="0"/>
    <n v="0"/>
    <n v="0"/>
    <n v="0"/>
    <n v="0"/>
    <n v="0"/>
    <n v="0"/>
    <n v="0"/>
    <n v="0"/>
    <n v="0"/>
    <n v="0"/>
    <n v="0"/>
    <m/>
    <n v="0"/>
    <n v="0"/>
    <n v="159.05075946567399"/>
    <n v="0"/>
    <n v="0"/>
    <n v="2154.5370384449607"/>
    <n v="0"/>
    <n v="0"/>
    <n v="0"/>
    <n v="0"/>
    <n v="0"/>
    <m/>
    <m/>
    <m/>
    <m/>
    <m/>
    <m/>
    <m/>
    <m/>
    <m/>
    <n v="35433.748695953356"/>
    <m/>
    <m/>
    <m/>
    <m/>
    <m/>
    <m/>
    <m/>
    <m/>
    <m/>
    <m/>
    <m/>
    <m/>
    <n v="45440.618000000002"/>
    <n v="1701.2334300000002"/>
    <m/>
    <m/>
    <m/>
    <m/>
    <n v="-364.05354000000096"/>
    <n v="2064.2610300000015"/>
    <m/>
    <n v="1699.6637482596125"/>
    <n v="0"/>
    <n v="0"/>
    <n v="0"/>
    <n v="0"/>
    <n v="0"/>
    <n v="0"/>
    <n v="0"/>
    <n v="0"/>
    <n v="0"/>
    <n v="0"/>
    <n v="2063.3353225328901"/>
    <n v="0"/>
    <n v="0"/>
    <n v="9.9086188346571191"/>
    <n v="134.22435926003072"/>
    <n v="0"/>
    <n v="-429.34787824212344"/>
    <m/>
    <n v="0"/>
    <n v="0"/>
    <n v="0"/>
    <n v="0"/>
    <n v="-67.327251787288105"/>
    <n v="-11.12942233855216"/>
    <n v="0"/>
    <n v="0"/>
    <m/>
    <m/>
    <m/>
    <n v="0"/>
    <n v="0"/>
    <n v="0"/>
    <n v="-364.05354000000079"/>
    <n v="2064.26103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199"/>
    <s v="Regular"/>
    <s v="Verde"/>
    <s v="A4"/>
    <s v="Comercial"/>
    <s v="Não se aplica"/>
    <s v="Não se aplica"/>
    <s v="Não se aplica"/>
    <s v="Não se aplica"/>
    <s v="CATIVO"/>
    <x v="5"/>
    <n v="861"/>
    <n v="861"/>
    <n v="0"/>
    <n v="0"/>
    <n v="0"/>
    <n v="0"/>
    <n v="47.39"/>
    <m/>
    <m/>
    <n v="40802.79"/>
    <m/>
    <n v="40802.79"/>
    <n v="27741.42"/>
    <n v="0"/>
    <n v="0"/>
    <n v="0"/>
    <n v="0"/>
    <n v="0"/>
    <n v="21499.256254519969"/>
    <n v="19303.5056985730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4.94"/>
    <n v="807.21"/>
    <n v="52674.91"/>
    <n v="11"/>
    <m/>
    <m/>
    <m/>
    <m/>
    <m/>
    <m/>
    <m/>
    <m/>
    <m/>
    <n v="0"/>
    <m/>
    <m/>
    <m/>
    <m/>
    <m/>
    <m/>
    <m/>
    <m/>
    <m/>
    <m/>
    <m/>
    <m/>
    <n v="27741.42"/>
    <n v="-13061.400000000009"/>
    <m/>
    <m/>
    <m/>
    <m/>
    <n v="-13061.37"/>
    <n v="0"/>
    <m/>
    <n v="-97.177990471718658"/>
    <n v="0"/>
    <n v="0"/>
    <n v="0"/>
    <n v="0"/>
    <m/>
    <m/>
    <m/>
    <n v="-97.17799047171865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303.505698573099"/>
    <m/>
    <n v="0"/>
    <n v="0"/>
    <n v="-13061.370000000003"/>
    <m/>
    <n v="0"/>
    <m/>
    <n v="-12965.675791098787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00"/>
    <s v="Sistema de Compensação"/>
    <s v="Verde"/>
    <s v="A4"/>
    <s v="Comercial"/>
    <s v="Não se aplica"/>
    <s v="Não se aplica"/>
    <s v="Não se aplica"/>
    <s v="Não se aplica"/>
    <s v="CATIVO"/>
    <x v="5"/>
    <n v="121"/>
    <n v="121"/>
    <n v="0"/>
    <n v="0"/>
    <n v="0"/>
    <n v="0"/>
    <n v="47.39"/>
    <m/>
    <m/>
    <n v="5734.1900000000005"/>
    <m/>
    <n v="5734.1900000000005"/>
    <n v="3898.62"/>
    <n v="0"/>
    <n v="0"/>
    <n v="0"/>
    <n v="0"/>
    <n v="0"/>
    <n v="3021.3821217153495"/>
    <n v="2712.803936733269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.85"/>
    <n v="31.64"/>
    <n v="3142.14"/>
    <n v="2"/>
    <m/>
    <m/>
    <m/>
    <m/>
    <m/>
    <m/>
    <m/>
    <m/>
    <m/>
    <n v="0"/>
    <m/>
    <m/>
    <m/>
    <m/>
    <m/>
    <m/>
    <m/>
    <m/>
    <m/>
    <m/>
    <m/>
    <m/>
    <n v="3898.62"/>
    <n v="-1835.6000000000013"/>
    <m/>
    <m/>
    <m/>
    <m/>
    <n v="-1835.5700000000002"/>
    <n v="0"/>
    <m/>
    <n v="-13.656837220763919"/>
    <n v="0"/>
    <n v="0"/>
    <n v="0"/>
    <n v="0"/>
    <m/>
    <m/>
    <m/>
    <n v="-13.6568372207639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12.8039367332694"/>
    <m/>
    <n v="0"/>
    <n v="0"/>
    <n v="-1835.5700000000006"/>
    <m/>
    <n v="0"/>
    <m/>
    <n v="-1822.1216849279363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01"/>
    <s v="Regular"/>
    <s v="Convencional"/>
    <s v="B2"/>
    <s v="Rural"/>
    <s v="Não se aplica"/>
    <s v="Não se aplica"/>
    <s v="Não se aplica"/>
    <s v="Não se aplica"/>
    <s v="CATIVO"/>
    <x v="5"/>
    <n v="0"/>
    <n v="0"/>
    <n v="2744.145"/>
    <n v="2744.145"/>
    <n v="2744.145"/>
    <n v="2744.145"/>
    <m/>
    <n v="710.91"/>
    <n v="256.55"/>
    <m/>
    <n v="2654850.5216999999"/>
    <n v="2654850.5216999999"/>
    <n v="1812315.6823499999"/>
    <n v="0"/>
    <n v="168695.43958481756"/>
    <n v="0"/>
    <n v="0"/>
    <n v="0"/>
    <n v="337757.02222497424"/>
    <n v="1308710.3612234048"/>
    <n v="704017.31974840187"/>
    <n v="0"/>
    <n v="0"/>
    <n v="0"/>
    <n v="0"/>
    <n v="0"/>
    <n v="26081.077863122558"/>
    <m/>
    <n v="6025.60634117072"/>
    <n v="0"/>
    <n v="0"/>
    <n v="0"/>
    <n v="0"/>
    <n v="0"/>
    <n v="0"/>
    <n v="0"/>
    <n v="0"/>
    <n v="0"/>
    <n v="0"/>
    <n v="0"/>
    <n v="0"/>
    <m/>
    <n v="0"/>
    <n v="0"/>
    <n v="4089.6550822848258"/>
    <n v="0"/>
    <n v="0"/>
    <n v="99484.592585505088"/>
    <n v="0"/>
    <n v="2715.29"/>
    <n v="12671.47"/>
    <n v="152178.45000000001"/>
    <n v="8884"/>
    <m/>
    <m/>
    <m/>
    <m/>
    <m/>
    <n v="217473.4912499999"/>
    <m/>
    <m/>
    <m/>
    <n v="807591.5674161918"/>
    <m/>
    <m/>
    <m/>
    <m/>
    <m/>
    <m/>
    <m/>
    <m/>
    <m/>
    <m/>
    <m/>
    <m/>
    <n v="1594845.0970000001"/>
    <n v="-741437.66164999967"/>
    <m/>
    <m/>
    <m/>
    <m/>
    <n v="-886413.71789999993"/>
    <n v="43878.878550000023"/>
    <m/>
    <n v="36478.704690001672"/>
    <n v="0"/>
    <n v="0"/>
    <n v="0"/>
    <n v="0"/>
    <n v="0"/>
    <n v="0"/>
    <n v="0"/>
    <n v="-1526.6829837717814"/>
    <n v="0"/>
    <n v="0"/>
    <n v="43859.201287806965"/>
    <n v="0"/>
    <n v="0"/>
    <n v="254.77925104987116"/>
    <n v="6197.737823840027"/>
    <n v="0"/>
    <n v="-10490.132505182322"/>
    <m/>
    <n v="0"/>
    <n v="0"/>
    <n v="0"/>
    <n v="0"/>
    <n v="-1431.1389215537711"/>
    <n v="-385.05926218739933"/>
    <n v="0"/>
    <n v="0"/>
    <m/>
    <m/>
    <m/>
    <n v="1308710.3612234048"/>
    <n v="0"/>
    <n v="0"/>
    <n v="-886413.71789999981"/>
    <n v="43878.878550000023"/>
    <n v="0"/>
    <n v="0"/>
    <n v="-879027.59804550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02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69.783000000000001"/>
    <n v="69.783000000000001"/>
    <n v="69.783000000000001"/>
    <n v="69.783000000000001"/>
    <m/>
    <n v="710.91"/>
    <n v="256.55"/>
    <m/>
    <n v="67512.261180000001"/>
    <n v="67512.261180000001"/>
    <n v="46086.786690000001"/>
    <n v="0"/>
    <n v="4289.887691994164"/>
    <n v="0"/>
    <n v="0"/>
    <n v="0"/>
    <n v="8589.0863208487081"/>
    <n v="33280.214834585218"/>
    <n v="17903.004624027784"/>
    <n v="0"/>
    <n v="0"/>
    <n v="0"/>
    <n v="0"/>
    <n v="0"/>
    <n v="663.23603764461484"/>
    <m/>
    <n v="153.22983563401945"/>
    <n v="0"/>
    <n v="0"/>
    <n v="0"/>
    <n v="0"/>
    <n v="0"/>
    <n v="0"/>
    <n v="0"/>
    <n v="0"/>
    <n v="0"/>
    <n v="0"/>
    <n v="0"/>
    <n v="0"/>
    <m/>
    <n v="0"/>
    <n v="0"/>
    <n v="103.99902359645063"/>
    <n v="0"/>
    <n v="0"/>
    <n v="2529.8711709455229"/>
    <n v="0"/>
    <n v="71.19"/>
    <n v="329.37"/>
    <n v="2395.12"/>
    <n v="169"/>
    <m/>
    <m/>
    <m/>
    <m/>
    <m/>
    <n v="5530.302749999998"/>
    <m/>
    <m/>
    <m/>
    <n v="20536.874818569759"/>
    <m/>
    <m/>
    <m/>
    <m/>
    <m/>
    <m/>
    <m/>
    <m/>
    <m/>
    <m/>
    <m/>
    <m/>
    <n v="40554.740400000002"/>
    <n v="-18856.442310000006"/>
    <m/>
    <m/>
    <m/>
    <m/>
    <n v="-22541.304659999998"/>
    <n v="1115.8301700000006"/>
    <m/>
    <n v="927.64538658940728"/>
    <n v="0"/>
    <n v="0"/>
    <n v="0"/>
    <n v="0"/>
    <n v="0"/>
    <n v="0"/>
    <n v="0"/>
    <n v="-38.823210383032347"/>
    <n v="0"/>
    <n v="0"/>
    <n v="1115.3297815775186"/>
    <n v="0"/>
    <n v="0"/>
    <n v="6.4789799649847879"/>
    <n v="157.60710114116728"/>
    <n v="0"/>
    <n v="-266.76174787015225"/>
    <m/>
    <n v="0"/>
    <n v="0"/>
    <n v="0"/>
    <n v="0"/>
    <n v="-36.393546027191292"/>
    <n v="-9.7919718138885514"/>
    <n v="0"/>
    <n v="0"/>
    <m/>
    <m/>
    <m/>
    <n v="33280.214834585218"/>
    <n v="0"/>
    <n v="0"/>
    <n v="-22541.304659999998"/>
    <n v="1115.8301700000011"/>
    <n v="0"/>
    <n v="0"/>
    <n v="-22353.477266838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03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-4.891"/>
    <n v="-4.891"/>
    <n v="-4.891"/>
    <n v="-4.891"/>
    <m/>
    <n v="710.91"/>
    <n v="256.55"/>
    <m/>
    <n v="-4731.8468599999997"/>
    <n v="-4731.8468599999997"/>
    <n v="-3230.1631299999999"/>
    <n v="0"/>
    <n v="-300.67266671744488"/>
    <n v="0"/>
    <n v="0"/>
    <n v="0"/>
    <n v="-601.99792492829238"/>
    <n v="-2332.5671117027973"/>
    <n v="-1254.7983837914664"/>
    <n v="0"/>
    <n v="0"/>
    <n v="0"/>
    <n v="0"/>
    <n v="0"/>
    <n v="-46.485354027769098"/>
    <m/>
    <n v="-10.739680525142072"/>
    <n v="0"/>
    <n v="0"/>
    <n v="0"/>
    <n v="0"/>
    <n v="0"/>
    <n v="0"/>
    <n v="0"/>
    <n v="0"/>
    <n v="0"/>
    <n v="0"/>
    <n v="0"/>
    <n v="0"/>
    <m/>
    <n v="0"/>
    <n v="0"/>
    <n v="-7.2891567345949593"/>
    <n v="0"/>
    <n v="0"/>
    <n v="-177.31539052626786"/>
    <n v="0"/>
    <n v="-6.36"/>
    <n v="-31.56"/>
    <n v="-1.43"/>
    <n v="2"/>
    <m/>
    <m/>
    <m/>
    <m/>
    <m/>
    <n v="-387.61174999999986"/>
    <m/>
    <m/>
    <m/>
    <n v="-1439.4029310523294"/>
    <m/>
    <m/>
    <m/>
    <m/>
    <m/>
    <m/>
    <m/>
    <m/>
    <m/>
    <m/>
    <m/>
    <m/>
    <n v="-2841.9701999999997"/>
    <n v="1322.0504700000001"/>
    <m/>
    <m/>
    <m/>
    <m/>
    <n v="1579.8908199999998"/>
    <n v="-78.207090000000051"/>
    <m/>
    <n v="-65.017462502454237"/>
    <n v="0"/>
    <n v="0"/>
    <n v="0"/>
    <n v="0"/>
    <n v="0"/>
    <n v="0"/>
    <n v="0"/>
    <n v="2.721068483490285"/>
    <n v="0"/>
    <n v="0"/>
    <n v="-78.172018424195358"/>
    <n v="0"/>
    <n v="0"/>
    <n v="-0.45410330608802418"/>
    <n v="-11.046477389642916"/>
    <n v="0"/>
    <n v="18.696985065602121"/>
    <m/>
    <n v="0"/>
    <n v="0"/>
    <n v="0"/>
    <n v="0"/>
    <n v="2.5507764587219341"/>
    <n v="0.68630660965749613"/>
    <n v="0"/>
    <n v="0"/>
    <m/>
    <m/>
    <m/>
    <n v="-2332.5671117027973"/>
    <n v="0"/>
    <n v="0"/>
    <n v="1579.8908200000001"/>
    <n v="-78.20708999999988"/>
    <n v="0"/>
    <n v="0"/>
    <n v="1566.7262415217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04"/>
    <s v="Regular"/>
    <s v="Verde"/>
    <s v="A4"/>
    <s v="Rural"/>
    <s v="Não se aplica"/>
    <s v="Não se aplica"/>
    <s v="Não se aplica"/>
    <s v="Ponta"/>
    <s v="CATIVO"/>
    <x v="5"/>
    <n v="0"/>
    <n v="0"/>
    <n v="18.033999999999999"/>
    <n v="17.312639999999998"/>
    <n v="18.033999999999999"/>
    <n v="17.312639999999998"/>
    <m/>
    <n v="3130.62"/>
    <n v="256.55"/>
    <m/>
    <n v="61084.223779999993"/>
    <n v="61084.223779999993"/>
    <n v="32147.949419999997"/>
    <n v="0"/>
    <n v="964.51193176787729"/>
    <n v="0"/>
    <n v="0"/>
    <n v="0"/>
    <n v="11617.751800358466"/>
    <n v="43356.416988877252"/>
    <n v="4626.6681769158258"/>
    <n v="0"/>
    <n v="0"/>
    <n v="0"/>
    <n v="0"/>
    <n v="0"/>
    <n v="171.39989256528071"/>
    <m/>
    <n v="24.328857776488839"/>
    <n v="0"/>
    <n v="0"/>
    <n v="0"/>
    <n v="0"/>
    <n v="0"/>
    <n v="0"/>
    <n v="0"/>
    <n v="0"/>
    <n v="0"/>
    <n v="0"/>
    <n v="0"/>
    <n v="0"/>
    <m/>
    <n v="0"/>
    <n v="0"/>
    <n v="22.218342767097333"/>
    <n v="0"/>
    <n v="0"/>
    <n v="300.97462335543361"/>
    <n v="0"/>
    <n v="0"/>
    <n v="0"/>
    <n v="0"/>
    <n v="0"/>
    <m/>
    <m/>
    <m/>
    <m/>
    <m/>
    <n v="1285.9179768000013"/>
    <m/>
    <m/>
    <m/>
    <n v="4949.8611430383562"/>
    <m/>
    <m/>
    <m/>
    <m/>
    <m/>
    <m/>
    <m/>
    <m/>
    <m/>
    <m/>
    <m/>
    <m/>
    <n v="30857.325299999997"/>
    <n v="-27783.559528800004"/>
    <m/>
    <m/>
    <m/>
    <m/>
    <n v="-29224.638019999999"/>
    <n v="288.36366000000015"/>
    <m/>
    <n v="184.91885402364278"/>
    <n v="0"/>
    <n v="0"/>
    <n v="0"/>
    <n v="0"/>
    <n v="0"/>
    <n v="0"/>
    <n v="0"/>
    <n v="-52.512968839117093"/>
    <n v="0"/>
    <n v="0"/>
    <n v="288.23434476833791"/>
    <n v="0"/>
    <n v="0"/>
    <n v="1.3841687418313846"/>
    <n v="18.750258293340607"/>
    <n v="0"/>
    <n v="-59.97706868647947"/>
    <m/>
    <n v="0"/>
    <n v="0"/>
    <n v="0"/>
    <n v="0"/>
    <n v="-9.4051733094646011"/>
    <n v="-1.554706944804682"/>
    <n v="0"/>
    <n v="0"/>
    <m/>
    <m/>
    <m/>
    <n v="43356.416988877252"/>
    <n v="0"/>
    <n v="0"/>
    <n v="-29224.638019999995"/>
    <n v="288.36365999999998"/>
    <n v="0"/>
    <n v="0"/>
    <n v="-29121.407008625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05"/>
    <s v="Regular"/>
    <s v="Verde"/>
    <s v="A4"/>
    <s v="Rural"/>
    <s v="Não se aplica"/>
    <s v="Não se aplica"/>
    <s v="Não se aplica"/>
    <s v="Fora ponta"/>
    <s v="CATIVO"/>
    <x v="5"/>
    <n v="0"/>
    <n v="0"/>
    <n v="161.262"/>
    <n v="154.81152"/>
    <n v="161.262"/>
    <n v="154.81152"/>
    <m/>
    <n v="82.26"/>
    <n v="256.55"/>
    <m/>
    <n v="54637.178220000002"/>
    <n v="54637.178220000002"/>
    <n v="56760.998760000002"/>
    <n v="0"/>
    <n v="8624.7711622907536"/>
    <n v="0"/>
    <n v="0"/>
    <n v="0"/>
    <n v="0"/>
    <n v="0"/>
    <n v="41372.172759554174"/>
    <n v="0"/>
    <n v="0"/>
    <n v="0"/>
    <n v="0"/>
    <n v="0"/>
    <n v="1532.6765817268658"/>
    <m/>
    <n v="217.55130657381298"/>
    <n v="0"/>
    <n v="0"/>
    <n v="0"/>
    <n v="0"/>
    <n v="0"/>
    <n v="0"/>
    <n v="0"/>
    <n v="0"/>
    <n v="0"/>
    <n v="0"/>
    <n v="0"/>
    <n v="0"/>
    <m/>
    <n v="0"/>
    <n v="0"/>
    <n v="198.67885057711268"/>
    <n v="0"/>
    <n v="0"/>
    <n v="2691.3479933206131"/>
    <n v="0"/>
    <n v="0"/>
    <n v="0"/>
    <n v="0"/>
    <n v="0"/>
    <m/>
    <m/>
    <m/>
    <m/>
    <m/>
    <n v="2270.4399503999994"/>
    <m/>
    <m/>
    <m/>
    <n v="44262.199603451896"/>
    <m/>
    <m/>
    <m/>
    <m/>
    <m/>
    <m/>
    <m/>
    <m/>
    <m/>
    <m/>
    <m/>
    <m/>
    <n v="54490.02380000001"/>
    <n v="2038.3027088000017"/>
    <m/>
    <m/>
    <m/>
    <m/>
    <n v="-454.75884000000121"/>
    <n v="2578.5793800000015"/>
    <m/>
    <n v="2123.1413229729878"/>
    <n v="0"/>
    <n v="0"/>
    <n v="0"/>
    <n v="0"/>
    <n v="0"/>
    <n v="0"/>
    <n v="0"/>
    <n v="0"/>
    <n v="0"/>
    <n v="0"/>
    <n v="2577.4230290579872"/>
    <n v="0"/>
    <n v="0"/>
    <n v="12.377388246934288"/>
    <n v="167.66685998118555"/>
    <n v="0"/>
    <n v="-536.3215066274297"/>
    <m/>
    <n v="0"/>
    <n v="0"/>
    <n v="0"/>
    <n v="0"/>
    <n v="-84.102088179598468"/>
    <n v="-13.902359506104744"/>
    <n v="0"/>
    <n v="0"/>
    <m/>
    <m/>
    <m/>
    <n v="0"/>
    <n v="0"/>
    <n v="0"/>
    <n v="-454.75884000000042"/>
    <n v="2578.5793800000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06"/>
    <s v="Regular"/>
    <s v="Verde"/>
    <s v="A4"/>
    <s v="Rural"/>
    <s v="Não se aplica"/>
    <s v="Não se aplica"/>
    <s v="Não se aplica"/>
    <s v="Não se aplica"/>
    <s v="CATIVO"/>
    <x v="5"/>
    <n v="728"/>
    <n v="698.88"/>
    <n v="0"/>
    <n v="0"/>
    <n v="0"/>
    <n v="0"/>
    <n v="47.39"/>
    <m/>
    <m/>
    <n v="34499.919999999998"/>
    <m/>
    <n v="34499.919999999998"/>
    <n v="23456.16"/>
    <n v="0"/>
    <n v="0"/>
    <n v="0"/>
    <n v="0"/>
    <n v="0"/>
    <n v="18178.232930651029"/>
    <n v="16321.6633548910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2.18"/>
    <n v="886.67"/>
    <n v="1374.81"/>
    <n v="6"/>
    <m/>
    <m/>
    <m/>
    <m/>
    <m/>
    <n v="938.24640000000011"/>
    <m/>
    <m/>
    <m/>
    <n v="0"/>
    <m/>
    <m/>
    <m/>
    <m/>
    <m/>
    <m/>
    <m/>
    <m/>
    <m/>
    <m/>
    <m/>
    <m/>
    <n v="22517.9136"/>
    <n v="-10602.039600000004"/>
    <m/>
    <m/>
    <m/>
    <m/>
    <n v="-11043.760000000002"/>
    <n v="0"/>
    <m/>
    <n v="-82.166756171209272"/>
    <n v="0"/>
    <n v="0"/>
    <n v="0"/>
    <n v="0"/>
    <m/>
    <m/>
    <m/>
    <n v="-82.16675617120927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321.663354891076"/>
    <m/>
    <n v="0"/>
    <n v="0"/>
    <n v="-11043.759999999998"/>
    <m/>
    <n v="0"/>
    <m/>
    <n v="-10962.84782336808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07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188.33600000000001"/>
    <n v="188.33600000000001"/>
    <n v="188.33600000000001"/>
    <n v="188.33600000000001"/>
    <m/>
    <n v="710.91"/>
    <n v="256.55"/>
    <m/>
    <n v="182207.54656000002"/>
    <n v="182207.54656000002"/>
    <n v="124382.74447999999"/>
    <n v="0"/>
    <n v="11577.895595767062"/>
    <n v="0"/>
    <n v="0"/>
    <n v="0"/>
    <n v="23180.92030040787"/>
    <n v="89819.333377562478"/>
    <n v="48318.075732927755"/>
    <n v="0"/>
    <n v="0"/>
    <n v="0"/>
    <n v="0"/>
    <n v="0"/>
    <n v="1789.9950186411618"/>
    <m/>
    <n v="413.54906386897511"/>
    <n v="0"/>
    <n v="0"/>
    <n v="0"/>
    <n v="0"/>
    <n v="0"/>
    <n v="0"/>
    <n v="0"/>
    <n v="0"/>
    <n v="0"/>
    <n v="0"/>
    <n v="0"/>
    <n v="0"/>
    <m/>
    <n v="0"/>
    <n v="0"/>
    <n v="280.68096969263468"/>
    <n v="0"/>
    <n v="0"/>
    <n v="6827.8207708352465"/>
    <n v="0"/>
    <n v="209.52"/>
    <n v="981.57"/>
    <n v="61349.83"/>
    <n v="304"/>
    <m/>
    <m/>
    <m/>
    <m/>
    <m/>
    <m/>
    <m/>
    <m/>
    <m/>
    <n v="55426.57747345564"/>
    <m/>
    <m/>
    <m/>
    <m/>
    <m/>
    <m/>
    <m/>
    <m/>
    <m/>
    <m/>
    <m/>
    <m/>
    <n v="124385.38620000001"/>
    <n v="-57822.190360000037"/>
    <m/>
    <m/>
    <m/>
    <m/>
    <n v="-60836.294719999998"/>
    <n v="3011.4926400000018"/>
    <m/>
    <n v="2503.6043381439813"/>
    <n v="0"/>
    <n v="0"/>
    <n v="0"/>
    <n v="0"/>
    <n v="0"/>
    <n v="0"/>
    <n v="0"/>
    <n v="-104.77921772779519"/>
    <n v="0"/>
    <n v="0"/>
    <n v="3010.1421512858869"/>
    <n v="0"/>
    <n v="0"/>
    <n v="17.485994736330838"/>
    <n v="425.3627817738261"/>
    <n v="0"/>
    <n v="-719.95816383464444"/>
    <m/>
    <n v="0"/>
    <n v="0"/>
    <n v="0"/>
    <n v="0"/>
    <n v="-98.221843207903248"/>
    <n v="-26.427364881712094"/>
    <n v="0"/>
    <n v="0"/>
    <m/>
    <m/>
    <m/>
    <n v="89819.333377562478"/>
    <n v="0"/>
    <n v="0"/>
    <n v="-60836.294720000005"/>
    <n v="3011.4926399999968"/>
    <n v="0"/>
    <n v="0"/>
    <n v="-60329.370971832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08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188.845"/>
    <n v="188.845"/>
    <n v="188.845"/>
    <n v="188.845"/>
    <m/>
    <n v="391"/>
    <n v="141.1"/>
    <m/>
    <n v="100484.42450000001"/>
    <n v="100484.42450000001"/>
    <n v="68594.169349999996"/>
    <n v="0"/>
    <n v="6385.0524147292572"/>
    <n v="0"/>
    <n v="0"/>
    <n v="0"/>
    <n v="12783.963192229781"/>
    <n v="49534.144329428076"/>
    <n v="26646.763531569224"/>
    <n v="0"/>
    <n v="0"/>
    <n v="0"/>
    <n v="0"/>
    <n v="0"/>
    <n v="987.15797889096905"/>
    <m/>
    <n v="228.06670063867449"/>
    <n v="0"/>
    <n v="0"/>
    <n v="0"/>
    <n v="0"/>
    <n v="0"/>
    <n v="0"/>
    <n v="0"/>
    <n v="0"/>
    <n v="0"/>
    <n v="0"/>
    <n v="0"/>
    <n v="0"/>
    <m/>
    <n v="0"/>
    <n v="0"/>
    <n v="154.79174850736501"/>
    <n v="0"/>
    <n v="0"/>
    <n v="3765.4505639262356"/>
    <n v="0"/>
    <n v="132.09"/>
    <n v="609.87"/>
    <n v="24037.81"/>
    <n v="27"/>
    <m/>
    <m/>
    <m/>
    <m/>
    <m/>
    <m/>
    <m/>
    <m/>
    <m/>
    <n v="30567.005844002826"/>
    <m/>
    <m/>
    <m/>
    <m/>
    <m/>
    <m/>
    <m/>
    <m/>
    <m/>
    <m/>
    <m/>
    <m/>
    <n v="68595.985499999995"/>
    <n v="-31888.468999999997"/>
    <m/>
    <m/>
    <m/>
    <m/>
    <n v="-33550.202700000002"/>
    <n v="1659.9475499999985"/>
    <m/>
    <n v="1380.7038414336203"/>
    <n v="0"/>
    <n v="0"/>
    <n v="0"/>
    <n v="0"/>
    <n v="0"/>
    <n v="0"/>
    <n v="0"/>
    <n v="-57.784317679544984"/>
    <n v="0"/>
    <n v="0"/>
    <n v="1660.0525762880061"/>
    <n v="0"/>
    <n v="0"/>
    <n v="9.643288971785978"/>
    <n v="234.58180585889431"/>
    <n v="0"/>
    <n v="-397.04716409579305"/>
    <m/>
    <n v="0"/>
    <n v="0"/>
    <n v="0"/>
    <n v="0"/>
    <n v="-54.16801455551763"/>
    <n v="-14.574333354207766"/>
    <n v="0"/>
    <n v="0"/>
    <m/>
    <m/>
    <m/>
    <n v="49534.144329428076"/>
    <n v="0"/>
    <n v="0"/>
    <n v="-33550.202700000002"/>
    <n v="1659.9475499999971"/>
    <n v="0"/>
    <n v="0"/>
    <n v="-33270.829972212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09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41.204000000000001"/>
    <n v="38.731760000000001"/>
    <n v="41.204000000000001"/>
    <n v="38.731760000000001"/>
    <m/>
    <n v="710.91"/>
    <n v="256.55"/>
    <m/>
    <n v="39863.221839999998"/>
    <n v="39863.221839999998"/>
    <n v="27212.35772"/>
    <n v="0"/>
    <n v="2533.0027723217336"/>
    <n v="0"/>
    <n v="0"/>
    <n v="0"/>
    <n v="5071.5032710581399"/>
    <n v="19650.602181681061"/>
    <n v="10570.990105447472"/>
    <n v="0"/>
    <n v="0"/>
    <n v="0"/>
    <n v="0"/>
    <n v="0"/>
    <n v="391.61368377840893"/>
    <m/>
    <n v="90.475934646893052"/>
    <n v="0"/>
    <n v="0"/>
    <n v="0"/>
    <n v="0"/>
    <n v="0"/>
    <n v="0"/>
    <n v="0"/>
    <n v="0"/>
    <n v="0"/>
    <n v="0"/>
    <n v="0"/>
    <n v="0"/>
    <m/>
    <n v="0"/>
    <n v="0"/>
    <n v="61.407158882079472"/>
    <n v="0"/>
    <n v="0"/>
    <n v="1493.7851873327218"/>
    <n v="0"/>
    <n v="43.5"/>
    <n v="200.92"/>
    <n v="14280.08"/>
    <n v="10"/>
    <m/>
    <m/>
    <m/>
    <m/>
    <n v="1632.7414631999995"/>
    <m/>
    <m/>
    <m/>
    <m/>
    <n v="12126.182451662273"/>
    <m/>
    <m/>
    <m/>
    <m/>
    <m/>
    <m/>
    <m/>
    <m/>
    <m/>
    <m/>
    <m/>
    <m/>
    <n v="25578.4539"/>
    <n v="-11893.0046296"/>
    <m/>
    <m/>
    <m/>
    <m/>
    <n v="-13309.71608"/>
    <n v="658.85196000000042"/>
    <m/>
    <n v="547.73656204275903"/>
    <n v="0"/>
    <n v="0"/>
    <n v="0"/>
    <n v="0"/>
    <n v="0"/>
    <n v="0"/>
    <n v="0"/>
    <n v="-22.923513758687477"/>
    <n v="0"/>
    <n v="0"/>
    <n v="658.55650115529534"/>
    <n v="0"/>
    <n v="0"/>
    <n v="3.8255719942856103"/>
    <n v="93.060530436075624"/>
    <n v="0"/>
    <n v="-157.51187336803741"/>
    <m/>
    <n v="0"/>
    <n v="0"/>
    <n v="0"/>
    <n v="0"/>
    <n v="-21.488896586624151"/>
    <n v="-5.7817578295496617"/>
    <n v="0"/>
    <n v="0"/>
    <m/>
    <m/>
    <m/>
    <n v="19650.602181681061"/>
    <n v="0"/>
    <n v="0"/>
    <n v="-13309.716079999998"/>
    <n v="658.85195999999996"/>
    <n v="0"/>
    <n v="0"/>
    <n v="-13198.81170633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10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3.012"/>
    <n v="2.83128"/>
    <n v="3.012"/>
    <n v="2.83128"/>
    <m/>
    <n v="3130.62"/>
    <n v="256.55"/>
    <m/>
    <n v="10202.15604"/>
    <n v="10202.15604"/>
    <n v="5369.2815599999994"/>
    <n v="0"/>
    <n v="161.09071412248235"/>
    <n v="0"/>
    <n v="0"/>
    <n v="0"/>
    <n v="1940.3719875058059"/>
    <n v="7241.2957730119933"/>
    <n v="772.73619545694066"/>
    <n v="0"/>
    <n v="0"/>
    <n v="0"/>
    <n v="0"/>
    <n v="0"/>
    <n v="28.626842431331124"/>
    <m/>
    <n v="4.0633536443819667"/>
    <n v="0"/>
    <n v="0"/>
    <n v="0"/>
    <n v="0"/>
    <n v="0"/>
    <n v="0"/>
    <n v="0"/>
    <n v="0"/>
    <n v="0"/>
    <n v="0"/>
    <n v="0"/>
    <n v="0"/>
    <m/>
    <n v="0"/>
    <n v="0"/>
    <n v="3.710859954225195"/>
    <n v="0"/>
    <n v="0"/>
    <n v="50.268136051157043"/>
    <n v="0"/>
    <n v="0"/>
    <n v="0"/>
    <n v="0"/>
    <n v="0"/>
    <m/>
    <m/>
    <m/>
    <m/>
    <n v="322.15689359999999"/>
    <m/>
    <m/>
    <m/>
    <m/>
    <n v="826.71519146232288"/>
    <m/>
    <m/>
    <m/>
    <m/>
    <m/>
    <m/>
    <m/>
    <m/>
    <m/>
    <m/>
    <m/>
    <m/>
    <n v="5044.8428999999996"/>
    <n v="-4545.2137776000018"/>
    <m/>
    <m/>
    <m/>
    <m/>
    <n v="-4881.0363600000001"/>
    <n v="48.161880000000025"/>
    <m/>
    <n v="30.884750378130775"/>
    <n v="0"/>
    <n v="0"/>
    <n v="0"/>
    <n v="0"/>
    <n v="0"/>
    <n v="0"/>
    <n v="0"/>
    <n v="-8.7706034237230597"/>
    <n v="0"/>
    <n v="0"/>
    <n v="48.140282047368032"/>
    <n v="0"/>
    <n v="0"/>
    <n v="0.23118089444361445"/>
    <n v="3.1316279238960831"/>
    <n v="0"/>
    <n v="-10.017241370948"/>
    <m/>
    <n v="0"/>
    <n v="0"/>
    <n v="0"/>
    <n v="0"/>
    <n v="-1.5708318735780935"/>
    <n v="-0.25966381932747629"/>
    <n v="0"/>
    <n v="0"/>
    <m/>
    <m/>
    <m/>
    <n v="7241.2957730119933"/>
    <n v="0"/>
    <n v="0"/>
    <n v="-4881.0363600000001"/>
    <n v="48.161879999999996"/>
    <n v="0"/>
    <n v="0"/>
    <n v="-4863.7949378939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11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23.422000000000001"/>
    <n v="22.016680000000001"/>
    <n v="23.422000000000001"/>
    <n v="22.016680000000001"/>
    <m/>
    <n v="82.26"/>
    <n v="256.55"/>
    <m/>
    <n v="7935.6078200000011"/>
    <n v="7935.6078200000011"/>
    <n v="8244.0755600000011"/>
    <n v="0"/>
    <n v="1252.6781893017203"/>
    <n v="0"/>
    <n v="0"/>
    <n v="0"/>
    <n v="0"/>
    <n v="0"/>
    <n v="6008.9731640081227"/>
    <n v="0"/>
    <n v="0"/>
    <n v="0"/>
    <n v="0"/>
    <n v="0"/>
    <n v="222.60886567949456"/>
    <m/>
    <n v="31.597566088550604"/>
    <n v="0"/>
    <n v="0"/>
    <n v="0"/>
    <n v="0"/>
    <n v="0"/>
    <n v="0"/>
    <n v="0"/>
    <n v="0"/>
    <n v="0"/>
    <n v="0"/>
    <n v="0"/>
    <n v="0"/>
    <m/>
    <n v="0"/>
    <n v="0"/>
    <n v="28.856494637404555"/>
    <n v="0"/>
    <n v="0"/>
    <n v="390.89650816407709"/>
    <n v="0"/>
    <n v="0"/>
    <n v="0"/>
    <n v="0"/>
    <n v="0"/>
    <m/>
    <m/>
    <m/>
    <m/>
    <n v="494.64453359999987"/>
    <m/>
    <m/>
    <m/>
    <m/>
    <n v="6428.7261668096044"/>
    <m/>
    <m/>
    <m/>
    <m/>
    <m/>
    <m/>
    <m/>
    <m/>
    <m/>
    <m/>
    <m/>
    <m/>
    <n v="7750.5996000000005"/>
    <n v="291.09824919999937"/>
    <m/>
    <m/>
    <m/>
    <m/>
    <n v="-66.05004000000018"/>
    <n v="374.51778000000024"/>
    <m/>
    <n v="308.36908922543989"/>
    <n v="0"/>
    <n v="0"/>
    <n v="0"/>
    <n v="0"/>
    <n v="0"/>
    <n v="0"/>
    <n v="0"/>
    <n v="0"/>
    <n v="0"/>
    <n v="0"/>
    <n v="374.34982938693611"/>
    <n v="0"/>
    <n v="0"/>
    <n v="1.7977154414536294"/>
    <n v="24.352254061585029"/>
    <n v="0"/>
    <n v="-77.896357035306892"/>
    <m/>
    <n v="0"/>
    <n v="0"/>
    <n v="0"/>
    <n v="0"/>
    <n v="-12.215147457817437"/>
    <n v="-2.0192051714104053"/>
    <n v="0"/>
    <n v="0"/>
    <m/>
    <m/>
    <m/>
    <n v="0"/>
    <n v="0"/>
    <n v="0"/>
    <n v="-66.050040000000308"/>
    <n v="374.51778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12"/>
    <s v="Regular"/>
    <s v="Verde"/>
    <s v="A4"/>
    <s v="Serviço público"/>
    <s v="Água, esgoto e saneamento"/>
    <s v="Não se aplica"/>
    <s v="Não se aplica"/>
    <s v="Não se aplica"/>
    <s v="CATIVO"/>
    <x v="5"/>
    <n v="79"/>
    <n v="74.260000000000005"/>
    <n v="0"/>
    <n v="0"/>
    <n v="0"/>
    <n v="0"/>
    <n v="47.39"/>
    <m/>
    <m/>
    <n v="3743.81"/>
    <m/>
    <n v="3743.81"/>
    <n v="2545.38"/>
    <n v="0"/>
    <n v="0"/>
    <n v="0"/>
    <n v="0"/>
    <n v="0"/>
    <n v="1972.6379141777902"/>
    <n v="1771.16951241263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.24"/>
    <n v="121.09"/>
    <n v="8502.81"/>
    <n v="1"/>
    <m/>
    <m/>
    <m/>
    <m/>
    <n v="152.72279999999984"/>
    <m/>
    <m/>
    <m/>
    <m/>
    <n v="0"/>
    <m/>
    <m/>
    <m/>
    <m/>
    <m/>
    <m/>
    <m/>
    <m/>
    <m/>
    <m/>
    <m/>
    <m/>
    <n v="2392.6572000000001"/>
    <n v="-1126.5542000000009"/>
    <m/>
    <m/>
    <m/>
    <m/>
    <n v="-1198.43"/>
    <n v="0"/>
    <m/>
    <n v="-8.9164474416556914"/>
    <n v="0"/>
    <n v="0"/>
    <n v="0"/>
    <n v="0"/>
    <m/>
    <m/>
    <m/>
    <n v="-8.91644744165569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71.1695124126304"/>
    <m/>
    <n v="0"/>
    <n v="0"/>
    <n v="-1198.4299999999998"/>
    <m/>
    <n v="0"/>
    <m/>
    <n v="-1189.6496951182394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13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1.1000000000000001"/>
    <n v="1.1000000000000001"/>
    <n v="1.1000000000000001"/>
    <n v="1.1000000000000001"/>
    <m/>
    <n v="710.91"/>
    <n v="256.55"/>
    <m/>
    <n v="1064.2060000000001"/>
    <n v="1064.2060000000001"/>
    <n v="726.47300000000007"/>
    <n v="0"/>
    <n v="67.622149537761061"/>
    <n v="0"/>
    <n v="0"/>
    <n v="0"/>
    <n v="135.39106878370922"/>
    <n v="524.60106785382891"/>
    <n v="282.20777390525723"/>
    <n v="0"/>
    <n v="0"/>
    <n v="0"/>
    <n v="0"/>
    <n v="0"/>
    <n v="10.454690130964222"/>
    <m/>
    <n v="2.4153851109499653"/>
    <n v="0"/>
    <n v="0"/>
    <n v="0"/>
    <n v="0"/>
    <n v="0"/>
    <n v="0"/>
    <n v="0"/>
    <n v="0"/>
    <n v="0"/>
    <n v="0"/>
    <n v="0"/>
    <n v="0"/>
    <m/>
    <n v="0"/>
    <n v="0"/>
    <n v="1.639352363127061"/>
    <n v="0"/>
    <n v="0"/>
    <n v="39.878742502329722"/>
    <n v="0"/>
    <n v="1.2"/>
    <n v="5.64"/>
    <n v="381.15"/>
    <n v="5"/>
    <m/>
    <m/>
    <m/>
    <m/>
    <m/>
    <m/>
    <m/>
    <m/>
    <m/>
    <n v="323.72586877071399"/>
    <m/>
    <m/>
    <m/>
    <m/>
    <m/>
    <m/>
    <m/>
    <m/>
    <m/>
    <m/>
    <m/>
    <m/>
    <n v="726.47300000000007"/>
    <n v="-337.76300000000003"/>
    <m/>
    <m/>
    <m/>
    <m/>
    <n v="-355.322"/>
    <n v="17.589000000000013"/>
    <m/>
    <n v="14.622614752136542"/>
    <n v="0"/>
    <n v="0"/>
    <n v="0"/>
    <n v="0"/>
    <n v="0"/>
    <n v="0"/>
    <n v="0"/>
    <n v="-0.61197614635850073"/>
    <n v="0"/>
    <n v="0"/>
    <n v="17.581112301495637"/>
    <n v="0"/>
    <n v="0"/>
    <n v="0.10212914264911599"/>
    <n v="2.4843846102243319"/>
    <n v="0"/>
    <n v="-4.2050058417833398"/>
    <m/>
    <n v="0"/>
    <n v="0"/>
    <n v="0"/>
    <n v="0"/>
    <n v="-0.57367697906238391"/>
    <n v="-0.1543523350282654"/>
    <n v="0"/>
    <n v="0"/>
    <m/>
    <m/>
    <m/>
    <n v="524.60106785382891"/>
    <n v="0"/>
    <n v="0"/>
    <n v="-355.32199999999995"/>
    <n v="17.588999999999999"/>
    <n v="0"/>
    <n v="0"/>
    <n v="-352.36124834877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14"/>
    <s v="Regular"/>
    <s v="Convencional"/>
    <s v="B1"/>
    <s v="Residencial"/>
    <s v="Residencial"/>
    <s v="Não se aplica"/>
    <s v="Não se aplica"/>
    <s v="Não se aplica"/>
    <s v="CATIVO"/>
    <x v="6"/>
    <n v="0"/>
    <n v="0"/>
    <n v="810.173"/>
    <n v="810.173"/>
    <n v="810.173"/>
    <n v="810.173"/>
    <m/>
    <n v="710.91"/>
    <n v="256.55"/>
    <m/>
    <n v="783809.97057999996"/>
    <n v="783809.97057999996"/>
    <n v="535062.55439000006"/>
    <n v="0"/>
    <n v="49805.127052233176"/>
    <n v="0"/>
    <n v="0"/>
    <n v="0"/>
    <n v="99718.353063367293"/>
    <n v="386379.65540576377"/>
    <n v="207851.92618922179"/>
    <n v="0"/>
    <n v="0"/>
    <n v="0"/>
    <n v="0"/>
    <n v="0"/>
    <n v="7700.0978795215242"/>
    <m/>
    <n v="1778.9816377215145"/>
    <n v="0"/>
    <n v="0"/>
    <n v="0"/>
    <n v="0"/>
    <n v="0"/>
    <n v="0"/>
    <n v="0"/>
    <n v="0"/>
    <n v="0"/>
    <n v="0"/>
    <n v="0"/>
    <n v="0"/>
    <m/>
    <n v="0"/>
    <n v="0"/>
    <n v="1207.417292810673"/>
    <n v="0"/>
    <n v="0"/>
    <n v="29371.527681218162"/>
    <n v="0"/>
    <n v="877.72"/>
    <n v="4150.03"/>
    <n v="212372.79"/>
    <n v="5304"/>
    <m/>
    <m/>
    <m/>
    <m/>
    <m/>
    <m/>
    <m/>
    <m/>
    <m/>
    <n v="238430.87116325065"/>
    <m/>
    <m/>
    <m/>
    <m/>
    <m/>
    <m/>
    <m/>
    <m/>
    <m/>
    <m/>
    <m/>
    <m/>
    <n v="535060.57309999992"/>
    <n v="-248749.42748000007"/>
    <m/>
    <m/>
    <m/>
    <m/>
    <n v="-261702.08245999998"/>
    <n v="12954.666270000007"/>
    <n v="31"/>
    <n v="10769.861510529707"/>
    <n v="0"/>
    <n v="0"/>
    <n v="0"/>
    <n v="0"/>
    <n v="0"/>
    <n v="0"/>
    <n v="0"/>
    <n v="-450.7332276579109"/>
    <n v="0"/>
    <n v="0"/>
    <n v="12948.856815126899"/>
    <n v="0"/>
    <n v="0"/>
    <n v="75.220248988602179"/>
    <n v="1829.8012116538848"/>
    <n v="0"/>
    <n v="-3097.0747253228546"/>
    <m/>
    <n v="0"/>
    <n v="0"/>
    <n v="0"/>
    <n v="0"/>
    <n v="-422.52509014355473"/>
    <n v="-113.68372211532233"/>
    <n v="0"/>
    <n v="0"/>
    <m/>
    <m/>
    <m/>
    <n v="386379.65540576377"/>
    <n v="0"/>
    <n v="0"/>
    <n v="-261702.08245999995"/>
    <n v="12954.666270000016"/>
    <n v="0"/>
    <n v="0"/>
    <n v="-259521.42696224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15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5.7590000000000003"/>
    <n v="-5.7590000000000003"/>
    <n v="-5.7590000000000003"/>
    <n v="-5.7590000000000003"/>
    <m/>
    <n v="710.91"/>
    <n v="256.55"/>
    <m/>
    <n v="-5571.60214"/>
    <n v="-5571.60214"/>
    <n v="-3803.4163699999999"/>
    <n v="0"/>
    <n v="-354.03269017087814"/>
    <n v="0"/>
    <n v="0"/>
    <n v="0"/>
    <n v="-708.83378647761936"/>
    <n v="-2746.5250452456371"/>
    <n v="-1477.4859726548877"/>
    <n v="0"/>
    <n v="0"/>
    <n v="0"/>
    <n v="0"/>
    <n v="0"/>
    <n v="-54.735054967475413"/>
    <m/>
    <n v="-12.645638958146227"/>
    <n v="0"/>
    <n v="0"/>
    <n v="0"/>
    <n v="0"/>
    <n v="0"/>
    <n v="0"/>
    <n v="0"/>
    <n v="0"/>
    <n v="0"/>
    <n v="0"/>
    <n v="0"/>
    <n v="0"/>
    <m/>
    <n v="0"/>
    <n v="0"/>
    <n v="-8.5827547811352218"/>
    <n v="0"/>
    <n v="0"/>
    <n v="-208.78334370083351"/>
    <n v="0"/>
    <n v="-7.35"/>
    <n v="-35.39"/>
    <n v="-2149.33"/>
    <n v="0"/>
    <m/>
    <m/>
    <m/>
    <m/>
    <m/>
    <m/>
    <m/>
    <m/>
    <m/>
    <n v="-1694.8520711368565"/>
    <m/>
    <m/>
    <m/>
    <m/>
    <m/>
    <m/>
    <m/>
    <m/>
    <m/>
    <m/>
    <m/>
    <m/>
    <n v="-3804.0767999999998"/>
    <n v="1767.4953399999995"/>
    <m/>
    <m/>
    <m/>
    <m/>
    <n v="1860.2721799999999"/>
    <n v="-92.086410000000058"/>
    <n v="31"/>
    <n v="-76.556034870503936"/>
    <n v="0"/>
    <n v="0"/>
    <n v="0"/>
    <n v="0"/>
    <n v="0"/>
    <n v="0"/>
    <n v="0"/>
    <n v="3.2039732971624062"/>
    <n v="0"/>
    <n v="0"/>
    <n v="-92.045114313011936"/>
    <n v="0"/>
    <n v="0"/>
    <n v="-0.53469248410569037"/>
    <n v="-13.006882700256284"/>
    <n v="0"/>
    <n v="22.015116948027526"/>
    <m/>
    <n v="0"/>
    <n v="0"/>
    <n v="0"/>
    <n v="0"/>
    <n v="3.0034597476547944"/>
    <n v="0.80810463402525379"/>
    <n v="0"/>
    <n v="0"/>
    <m/>
    <m/>
    <m/>
    <n v="-2746.5250452456371"/>
    <n v="0"/>
    <n v="0"/>
    <n v="1860.2721799999999"/>
    <n v="-92.086409999999887"/>
    <n v="0"/>
    <n v="0"/>
    <n v="1844.7712993096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16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7.2050000000000001"/>
    <n v="7.2050000000000001"/>
    <n v="7.2050000000000001"/>
    <n v="7.2050000000000001"/>
    <m/>
    <n v="710.91"/>
    <n v="256.55"/>
    <m/>
    <n v="6970.5492999999997"/>
    <n v="6970.5492999999997"/>
    <n v="4758.39815"/>
    <n v="0"/>
    <n v="442.92507947233497"/>
    <n v="0"/>
    <n v="0"/>
    <n v="0"/>
    <n v="886.8115005332952"/>
    <n v="3436.1369944425796"/>
    <n v="1848.4609190794347"/>
    <n v="0"/>
    <n v="0"/>
    <n v="0"/>
    <n v="0"/>
    <n v="0"/>
    <n v="68.478220357815658"/>
    <m/>
    <n v="15.82077247672227"/>
    <n v="0"/>
    <n v="0"/>
    <n v="0"/>
    <n v="0"/>
    <n v="0"/>
    <n v="0"/>
    <n v="0"/>
    <n v="0"/>
    <n v="0"/>
    <n v="0"/>
    <n v="0"/>
    <n v="0"/>
    <m/>
    <n v="0"/>
    <n v="0"/>
    <n v="10.737757978482248"/>
    <n v="0"/>
    <n v="0"/>
    <n v="261.20576339025968"/>
    <n v="0"/>
    <n v="7.66"/>
    <n v="36.78"/>
    <n v="6907.3"/>
    <n v="101"/>
    <m/>
    <m/>
    <m/>
    <m/>
    <m/>
    <m/>
    <m/>
    <m/>
    <m/>
    <n v="2120.4044404481765"/>
    <m/>
    <m/>
    <m/>
    <m/>
    <m/>
    <m/>
    <m/>
    <m/>
    <m/>
    <m/>
    <m/>
    <m/>
    <n v="4761.7002999999995"/>
    <n v="-2208.8790000000008"/>
    <m/>
    <m/>
    <m/>
    <m/>
    <n v="-2327.3590999999997"/>
    <n v="115.20795000000007"/>
    <n v="31"/>
    <n v="95.778126626495123"/>
    <n v="0"/>
    <n v="0"/>
    <n v="0"/>
    <n v="0"/>
    <n v="0"/>
    <n v="0"/>
    <n v="0"/>
    <n v="-4.0084437586481272"/>
    <n v="0"/>
    <n v="0"/>
    <n v="115.15628557479636"/>
    <n v="0"/>
    <n v="0"/>
    <n v="0.66894588435171087"/>
    <n v="16.272719196969376"/>
    <n v="0"/>
    <n v="-27.542788263680904"/>
    <m/>
    <n v="0"/>
    <n v="0"/>
    <n v="0"/>
    <n v="0"/>
    <n v="-3.7575842128586316"/>
    <n v="-1.0110077944351357"/>
    <n v="0"/>
    <n v="0"/>
    <m/>
    <m/>
    <m/>
    <n v="3436.1369944425796"/>
    <n v="0"/>
    <n v="0"/>
    <n v="-2327.3590999999997"/>
    <n v="115.20794999999998"/>
    <n v="0"/>
    <n v="0"/>
    <n v="-2307.9661766844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17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3.81"/>
    <n v="3.81"/>
    <n v="3.81"/>
    <n v="3.81"/>
    <m/>
    <n v="639.92999999999995"/>
    <n v="256.55"/>
    <m/>
    <n v="3415.5888"/>
    <n v="3415.5888"/>
    <n v="2262.3780000000002"/>
    <n v="0"/>
    <n v="0"/>
    <n v="0"/>
    <n v="0"/>
    <n v="0"/>
    <n v="468.9454291508473"/>
    <n v="1817.0273350209893"/>
    <n v="977.46510779911819"/>
    <n v="0"/>
    <n v="0"/>
    <n v="0"/>
    <n v="0"/>
    <n v="0"/>
    <n v="0"/>
    <m/>
    <n v="8.3660157024721507"/>
    <n v="0"/>
    <n v="0"/>
    <n v="0"/>
    <n v="0"/>
    <n v="0"/>
    <n v="0"/>
    <n v="0"/>
    <n v="0"/>
    <n v="0"/>
    <n v="0"/>
    <n v="0"/>
    <n v="0"/>
    <m/>
    <n v="0"/>
    <n v="0"/>
    <n v="5.6781204577400928"/>
    <n v="0"/>
    <n v="0"/>
    <n v="138.12546266716021"/>
    <n v="0"/>
    <n v="1.21"/>
    <n v="3.87"/>
    <n v="253.03"/>
    <n v="3"/>
    <m/>
    <m/>
    <m/>
    <m/>
    <m/>
    <m/>
    <m/>
    <n v="1470.5457000000001"/>
    <m/>
    <n v="1121.2686909240185"/>
    <m/>
    <m/>
    <m/>
    <m/>
    <m/>
    <m/>
    <m/>
    <m/>
    <m/>
    <m/>
    <m/>
    <m/>
    <n v="791.83230000000003"/>
    <n v="-403.66139999999996"/>
    <m/>
    <m/>
    <m/>
    <m/>
    <n v="-1214.1326999999999"/>
    <n v="60.921900000000036"/>
    <n v="31"/>
    <n v="67.199039775511665"/>
    <n v="0"/>
    <n v="0"/>
    <n v="0"/>
    <n v="0"/>
    <n v="0"/>
    <n v="0"/>
    <n v="0"/>
    <n v="-2.1196628342053145"/>
    <n v="0"/>
    <n v="0"/>
    <n v="60.894579880634865"/>
    <n v="0"/>
    <n v="0"/>
    <n v="0.35373821226648428"/>
    <n v="8.6050048772315506"/>
    <n v="0"/>
    <n v="0"/>
    <m/>
    <n v="0"/>
    <n v="0"/>
    <n v="0"/>
    <n v="0"/>
    <n v="0"/>
    <n v="-0.5346203604160813"/>
    <n v="0"/>
    <n v="0"/>
    <m/>
    <m/>
    <m/>
    <n v="1817.0273350209893"/>
    <n v="0"/>
    <n v="0"/>
    <n v="-1214.1326999999999"/>
    <n v="60.921900000000051"/>
    <n v="0"/>
    <n v="0"/>
    <n v="-1220.4512329171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18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7.7889999999999997"/>
    <n v="7.7889999999999997"/>
    <n v="7.7889999999999997"/>
    <n v="7.7889999999999997"/>
    <m/>
    <n v="639.92999999999995"/>
    <n v="256.55"/>
    <m/>
    <n v="6982.6827199999989"/>
    <n v="6982.6827199999989"/>
    <n v="4625.1082000000006"/>
    <n v="0"/>
    <n v="0"/>
    <n v="0"/>
    <n v="0"/>
    <n v="0"/>
    <n v="958.69184977846442"/>
    <n v="3714.6524704667941"/>
    <n v="1998.287591770953"/>
    <n v="0"/>
    <n v="0"/>
    <n v="0"/>
    <n v="0"/>
    <n v="0"/>
    <n v="0"/>
    <m/>
    <n v="17.103122390172068"/>
    <n v="0"/>
    <n v="0"/>
    <n v="0"/>
    <n v="0"/>
    <n v="0"/>
    <n v="0"/>
    <n v="0"/>
    <n v="0"/>
    <n v="0"/>
    <n v="0"/>
    <n v="0"/>
    <n v="0"/>
    <m/>
    <n v="0"/>
    <n v="0"/>
    <n v="11.608105051269707"/>
    <n v="0"/>
    <n v="0"/>
    <n v="282.37775031876924"/>
    <n v="0"/>
    <n v="3.56"/>
    <n v="18.68"/>
    <n v="927.9"/>
    <n v="33"/>
    <m/>
    <m/>
    <m/>
    <m/>
    <m/>
    <m/>
    <m/>
    <n v="1850.0432799999999"/>
    <m/>
    <n v="2292.2734471409917"/>
    <m/>
    <m/>
    <m/>
    <m/>
    <m/>
    <m/>
    <m/>
    <m/>
    <m/>
    <m/>
    <m/>
    <m/>
    <n v="2775.4212000000002"/>
    <n v="-1414.2340099999997"/>
    <m/>
    <m/>
    <m/>
    <m/>
    <n v="-2482.1206299999994"/>
    <n v="124.54611000000007"/>
    <n v="31"/>
    <n v="137.37882435996289"/>
    <n v="0"/>
    <n v="0"/>
    <n v="0"/>
    <n v="0"/>
    <n v="0"/>
    <n v="0"/>
    <n v="0"/>
    <n v="-4.3333474581694418"/>
    <n v="0"/>
    <n v="0"/>
    <n v="124.49025792395378"/>
    <n v="0"/>
    <n v="0"/>
    <n v="0.72316717463087699"/>
    <n v="17.591701571852127"/>
    <n v="0"/>
    <n v="0"/>
    <m/>
    <n v="0"/>
    <n v="0"/>
    <n v="0"/>
    <n v="0"/>
    <n v="0"/>
    <n v="-1.0929548523046861"/>
    <n v="0"/>
    <n v="0"/>
    <m/>
    <m/>
    <m/>
    <n v="3714.6524704667941"/>
    <n v="0"/>
    <n v="0"/>
    <n v="-2482.1206299999994"/>
    <n v="124.54611000000023"/>
    <n v="0"/>
    <n v="0"/>
    <n v="-2495.0379667169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19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6.335"/>
    <n v="6.335"/>
    <n v="6.335"/>
    <n v="6.335"/>
    <m/>
    <n v="639.92999999999995"/>
    <n v="256.55"/>
    <m/>
    <n v="5679.2007999999996"/>
    <n v="5679.2007999999996"/>
    <n v="3761.723"/>
    <n v="0"/>
    <n v="0"/>
    <n v="0"/>
    <n v="0"/>
    <n v="0"/>
    <n v="779.72947340436156"/>
    <n v="3021.2252407763694"/>
    <n v="1625.2602251725496"/>
    <n v="0"/>
    <n v="0"/>
    <n v="0"/>
    <n v="0"/>
    <n v="0"/>
    <n v="0"/>
    <m/>
    <n v="13.910422434425479"/>
    <n v="0"/>
    <n v="0"/>
    <n v="0"/>
    <n v="0"/>
    <n v="0"/>
    <n v="0"/>
    <n v="0"/>
    <n v="0"/>
    <n v="0"/>
    <n v="0"/>
    <n v="0"/>
    <n v="0"/>
    <m/>
    <n v="0"/>
    <n v="0"/>
    <n v="9.441179291281756"/>
    <n v="0"/>
    <n v="0"/>
    <n v="229.66530341114435"/>
    <n v="0"/>
    <n v="4.42"/>
    <n v="21.76"/>
    <n v="1137.06"/>
    <n v="69"/>
    <m/>
    <m/>
    <m/>
    <m/>
    <m/>
    <m/>
    <m/>
    <n v="376.23565000000008"/>
    <m/>
    <n v="1864.3667078749756"/>
    <m/>
    <m/>
    <m/>
    <m/>
    <m/>
    <m/>
    <m/>
    <m/>
    <m/>
    <m/>
    <m/>
    <m/>
    <n v="3388.1594"/>
    <n v="-1723.2020000000007"/>
    <m/>
    <m/>
    <m/>
    <m/>
    <n v="-2018.7744499999997"/>
    <n v="101.29665000000006"/>
    <n v="31"/>
    <n v="111.7338364771299"/>
    <n v="0"/>
    <n v="0"/>
    <n v="0"/>
    <n v="0"/>
    <n v="0"/>
    <n v="0"/>
    <n v="0"/>
    <n v="-3.5244262610736996"/>
    <n v="0"/>
    <n v="0"/>
    <n v="101.25122402724969"/>
    <n v="0"/>
    <n v="0"/>
    <n v="0.58817101698377172"/>
    <n v="14.307796823428276"/>
    <n v="0"/>
    <n v="0"/>
    <m/>
    <n v="0"/>
    <n v="0"/>
    <n v="0"/>
    <n v="0"/>
    <n v="0"/>
    <n v="-0.88892912945823532"/>
    <n v="0"/>
    <n v="0"/>
    <m/>
    <m/>
    <m/>
    <n v="3021.2252407763694"/>
    <n v="0"/>
    <n v="0"/>
    <n v="-2018.7744499999999"/>
    <n v="101.29665000000023"/>
    <n v="0"/>
    <n v="0"/>
    <n v="-2029.2804620813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20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1.615"/>
    <n v="1.615"/>
    <n v="1.615"/>
    <n v="1.615"/>
    <m/>
    <n v="639.92999999999995"/>
    <n v="256.55"/>
    <m/>
    <n v="1447.8152"/>
    <n v="1447.8152"/>
    <n v="958.98699999999997"/>
    <n v="0"/>
    <n v="0"/>
    <n v="0"/>
    <n v="0"/>
    <n v="0"/>
    <n v="198.77870553244577"/>
    <n v="770.20974962175785"/>
    <n v="414.33232259726401"/>
    <n v="0"/>
    <n v="0"/>
    <n v="0"/>
    <n v="0"/>
    <n v="0"/>
    <n v="0"/>
    <m/>
    <n v="3.546224503803812"/>
    <n v="0"/>
    <n v="0"/>
    <n v="0"/>
    <n v="0"/>
    <n v="0"/>
    <n v="0"/>
    <n v="0"/>
    <n v="0"/>
    <n v="0"/>
    <n v="0"/>
    <n v="0"/>
    <n v="0"/>
    <m/>
    <n v="0"/>
    <n v="0"/>
    <n v="2.4068673331365487"/>
    <n v="0"/>
    <n v="0"/>
    <n v="58.549244673874995"/>
    <n v="0"/>
    <n v="1.17"/>
    <n v="6.21"/>
    <n v="322.16000000000003"/>
    <n v="22"/>
    <m/>
    <m/>
    <m/>
    <m/>
    <m/>
    <m/>
    <m/>
    <m/>
    <m/>
    <n v="475.28843460427561"/>
    <m/>
    <m/>
    <m/>
    <m/>
    <m/>
    <m/>
    <m/>
    <m/>
    <m/>
    <m/>
    <m/>
    <m/>
    <n v="961.95600000000002"/>
    <n v="-485.88919999999996"/>
    <m/>
    <m/>
    <m/>
    <m/>
    <n v="-514.65204999999992"/>
    <n v="25.823850000000014"/>
    <n v="31"/>
    <n v="28.484632345787531"/>
    <n v="0"/>
    <n v="0"/>
    <n v="0"/>
    <n v="0"/>
    <n v="0"/>
    <n v="0"/>
    <n v="0"/>
    <n v="-0.89849225124453369"/>
    <n v="0"/>
    <n v="0"/>
    <n v="25.812269424468525"/>
    <n v="0"/>
    <n v="0"/>
    <n v="0.14994415034392938"/>
    <n v="3.6475283141020896"/>
    <n v="0"/>
    <n v="0"/>
    <m/>
    <n v="0"/>
    <n v="0"/>
    <n v="0"/>
    <n v="0"/>
    <n v="0"/>
    <n v="-0.2266172918824072"/>
    <n v="0"/>
    <n v="0"/>
    <m/>
    <m/>
    <m/>
    <n v="770.20974962175785"/>
    <n v="0"/>
    <n v="0"/>
    <n v="-514.65205000000003"/>
    <n v="25.823849999999993"/>
    <n v="0"/>
    <n v="0"/>
    <n v="-517.33037825752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21"/>
    <s v="Regular"/>
    <s v="Convencional"/>
    <s v="B3"/>
    <s v="Industrial"/>
    <s v="Não se aplica"/>
    <s v="Não se aplica"/>
    <s v="Não se aplica"/>
    <s v="Não se aplica"/>
    <s v="CATIVO"/>
    <x v="6"/>
    <n v="0"/>
    <n v="0"/>
    <n v="49.65"/>
    <n v="49.65"/>
    <n v="49.65"/>
    <n v="49.65"/>
    <m/>
    <n v="710.91"/>
    <n v="256.55"/>
    <m/>
    <n v="48034.388999999996"/>
    <n v="48034.388999999996"/>
    <n v="32790.349499999997"/>
    <n v="0"/>
    <n v="3052.2179314089426"/>
    <n v="0"/>
    <n v="0"/>
    <n v="0"/>
    <n v="6111.0605137374196"/>
    <n v="23678.584562675096"/>
    <n v="12737.832703996382"/>
    <n v="0"/>
    <n v="0"/>
    <n v="0"/>
    <n v="0"/>
    <n v="0"/>
    <n v="471.88669545670325"/>
    <m/>
    <n v="109.02170068969615"/>
    <n v="0"/>
    <n v="0"/>
    <n v="0"/>
    <n v="0"/>
    <n v="0"/>
    <n v="0"/>
    <n v="0"/>
    <n v="0"/>
    <n v="0"/>
    <n v="0"/>
    <n v="0"/>
    <n v="0"/>
    <m/>
    <n v="0"/>
    <n v="0"/>
    <n v="73.994404390235061"/>
    <n v="0"/>
    <n v="0"/>
    <n v="1799.9814229460642"/>
    <n v="0"/>
    <n v="55.01"/>
    <n v="254.68"/>
    <n v="8349.82"/>
    <n v="45"/>
    <m/>
    <m/>
    <m/>
    <m/>
    <m/>
    <m/>
    <m/>
    <m/>
    <m/>
    <n v="14611.808531332681"/>
    <m/>
    <m/>
    <m/>
    <m/>
    <m/>
    <m/>
    <m/>
    <m/>
    <m/>
    <m/>
    <m/>
    <m/>
    <n v="32790.349499999997"/>
    <n v="-15244.069500000005"/>
    <m/>
    <m/>
    <m/>
    <m/>
    <n v="-16037.942999999999"/>
    <n v="793.90350000000046"/>
    <n v="31"/>
    <n v="660.01165676689925"/>
    <n v="0"/>
    <n v="0"/>
    <n v="0"/>
    <n v="0"/>
    <n v="0"/>
    <n v="0"/>
    <n v="0"/>
    <n v="-27.622377878818043"/>
    <n v="0"/>
    <n v="0"/>
    <n v="793.54747797205164"/>
    <n v="0"/>
    <n v="0"/>
    <n v="4.6097381204805572"/>
    <n v="112.13608717967077"/>
    <n v="0"/>
    <n v="-189.79867276776667"/>
    <m/>
    <n v="0"/>
    <n v="0"/>
    <n v="0"/>
    <n v="0"/>
    <n v="-25.89369273677039"/>
    <n v="-6.9669031219575999"/>
    <n v="0"/>
    <n v="0"/>
    <m/>
    <m/>
    <m/>
    <n v="23678.584562675096"/>
    <n v="0"/>
    <n v="0"/>
    <n v="-16037.942999999999"/>
    <n v="793.90350000000035"/>
    <n v="0"/>
    <n v="0"/>
    <n v="-15904.305436833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22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4.59"/>
    <n v="4.59"/>
    <n v="4.59"/>
    <n v="4.59"/>
    <m/>
    <n v="710.91"/>
    <n v="256.55"/>
    <m/>
    <n v="4440.6413999999995"/>
    <n v="4440.6413999999995"/>
    <n v="3031.3737000000001"/>
    <n v="0"/>
    <n v="282.16878761665754"/>
    <n v="0"/>
    <n v="0"/>
    <n v="0"/>
    <n v="564.95000519747748"/>
    <n v="2189.0171831355224"/>
    <n v="1177.5760747501188"/>
    <n v="0"/>
    <n v="0"/>
    <n v="0"/>
    <n v="0"/>
    <n v="0"/>
    <n v="43.624570637387073"/>
    <m/>
    <n v="10.078743326600309"/>
    <n v="0"/>
    <n v="0"/>
    <n v="0"/>
    <n v="0"/>
    <n v="0"/>
    <n v="0"/>
    <n v="0"/>
    <n v="0"/>
    <n v="0"/>
    <n v="0"/>
    <n v="0"/>
    <n v="0"/>
    <m/>
    <n v="0"/>
    <n v="0"/>
    <n v="6.84057031523019"/>
    <n v="0"/>
    <n v="0"/>
    <n v="166.40311644153945"/>
    <n v="0"/>
    <n v="6.82"/>
    <n v="31.48"/>
    <n v="1634.16"/>
    <n v="6"/>
    <m/>
    <m/>
    <m/>
    <m/>
    <m/>
    <m/>
    <m/>
    <m/>
    <m/>
    <n v="1350.8197615068884"/>
    <m/>
    <m/>
    <m/>
    <m/>
    <m/>
    <m/>
    <m/>
    <m/>
    <m/>
    <m/>
    <m/>
    <m/>
    <n v="3031.3737000000001"/>
    <n v="-1409.2977000000001"/>
    <m/>
    <m/>
    <m/>
    <m/>
    <n v="-1482.6617999999999"/>
    <n v="73.394100000000037"/>
    <n v="31"/>
    <n v="61.016183374824323"/>
    <n v="0"/>
    <n v="0"/>
    <n v="0"/>
    <n v="0"/>
    <n v="0"/>
    <n v="0"/>
    <n v="0"/>
    <n v="-2.5536095561686807"/>
    <n v="0"/>
    <n v="0"/>
    <n v="73.361186785331711"/>
    <n v="0"/>
    <n v="0"/>
    <n v="0.42615705887222077"/>
    <n v="10.366659419026973"/>
    <n v="0"/>
    <n v="-17.546342557986861"/>
    <m/>
    <n v="0"/>
    <n v="0"/>
    <n v="0"/>
    <n v="0"/>
    <n v="-2.3937975762694137"/>
    <n v="-0.64407019798157883"/>
    <n v="0"/>
    <n v="0"/>
    <m/>
    <m/>
    <m/>
    <n v="2189.0171831355224"/>
    <n v="0"/>
    <n v="0"/>
    <n v="-1482.6617999999996"/>
    <n v="73.394100000000208"/>
    <n v="0"/>
    <n v="0"/>
    <n v="-1470.307390837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23"/>
    <s v="Regular"/>
    <s v="Verde"/>
    <s v="A4"/>
    <s v="Industrial"/>
    <s v="Não se aplica"/>
    <s v="Não se aplica"/>
    <s v="Não se aplica"/>
    <s v="Ponta"/>
    <s v="CATIVO"/>
    <x v="6"/>
    <n v="0"/>
    <n v="0"/>
    <n v="6.3120000000000003"/>
    <n v="6.3120000000000003"/>
    <n v="6.3120000000000003"/>
    <n v="6.3120000000000003"/>
    <m/>
    <n v="3130.62"/>
    <n v="256.55"/>
    <m/>
    <n v="21379.817040000002"/>
    <n v="21379.817040000002"/>
    <n v="11251.96056"/>
    <n v="0"/>
    <n v="337.58452441603873"/>
    <n v="0"/>
    <n v="0"/>
    <n v="0"/>
    <n v="4066.2775515061912"/>
    <n v="15174.98636097334"/>
    <n v="1619.3595171727125"/>
    <n v="0"/>
    <n v="0"/>
    <n v="0"/>
    <n v="0"/>
    <n v="0"/>
    <n v="59.990912824223791"/>
    <m/>
    <n v="8.5152351272705751"/>
    <n v="0"/>
    <n v="0"/>
    <n v="0"/>
    <n v="0"/>
    <n v="0"/>
    <n v="0"/>
    <n v="0"/>
    <n v="0"/>
    <n v="0"/>
    <n v="0"/>
    <n v="0"/>
    <n v="0"/>
    <m/>
    <n v="0"/>
    <n v="0"/>
    <n v="7.7765431710057875"/>
    <n v="0"/>
    <n v="0"/>
    <n v="105.34278710322154"/>
    <n v="0"/>
    <n v="0"/>
    <n v="0"/>
    <n v="0"/>
    <n v="0"/>
    <m/>
    <m/>
    <m/>
    <m/>
    <m/>
    <m/>
    <m/>
    <m/>
    <m/>
    <n v="1732.4788474469399"/>
    <m/>
    <m/>
    <m/>
    <m/>
    <m/>
    <m/>
    <m/>
    <m/>
    <m/>
    <m/>
    <m/>
    <m/>
    <n v="11248.395299999998"/>
    <n v="-10131.451739999999"/>
    <m/>
    <m/>
    <m/>
    <m/>
    <n v="-10228.78536"/>
    <n v="100.92888000000006"/>
    <n v="31"/>
    <n v="64.722624298394294"/>
    <n v="0"/>
    <n v="0"/>
    <n v="0"/>
    <n v="0"/>
    <n v="0"/>
    <n v="0"/>
    <n v="0"/>
    <n v="-18.379830282384319"/>
    <n v="0"/>
    <n v="0"/>
    <n v="100.88361895185471"/>
    <n v="0"/>
    <n v="0"/>
    <n v="0.48446673496948556"/>
    <n v="6.5626943743798307"/>
    <n v="0"/>
    <n v="-20.992306618002601"/>
    <m/>
    <n v="0"/>
    <n v="0"/>
    <n v="0"/>
    <n v="0"/>
    <n v="-3.2918628107652523"/>
    <n v="-0.54415605165837544"/>
    <n v="0"/>
    <n v="0"/>
    <m/>
    <m/>
    <m/>
    <n v="15174.98636097334"/>
    <n v="0"/>
    <n v="0"/>
    <n v="-10228.785360000002"/>
    <n v="100.92888000000016"/>
    <n v="0"/>
    <n v="0"/>
    <n v="-10192.653933594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24"/>
    <s v="Sistema de Compensação"/>
    <s v="Verde"/>
    <s v="A4"/>
    <s v="Industrial"/>
    <s v="Não se aplica"/>
    <s v="Não se aplica"/>
    <s v="Não se aplica"/>
    <s v="Ponta"/>
    <s v="CATIVO"/>
    <x v="6"/>
    <n v="0"/>
    <n v="0"/>
    <n v="4.2000000000000003E-2"/>
    <n v="4.2000000000000003E-2"/>
    <n v="4.2000000000000003E-2"/>
    <n v="4.2000000000000003E-2"/>
    <m/>
    <n v="3130.62"/>
    <n v="256.55"/>
    <m/>
    <n v="142.26114000000001"/>
    <n v="142.26114000000001"/>
    <n v="74.870460000000008"/>
    <n v="0"/>
    <n v="2.2462848582816264"/>
    <n v="0"/>
    <n v="0"/>
    <n v="0"/>
    <n v="27.056979905459446"/>
    <n v="100.97424384678078"/>
    <n v="10.775205912746186"/>
    <n v="0"/>
    <n v="0"/>
    <n v="0"/>
    <n v="0"/>
    <n v="0"/>
    <n v="0.39917907772772487"/>
    <m/>
    <n v="5.6660309782218657E-2"/>
    <n v="0"/>
    <n v="0"/>
    <n v="0"/>
    <n v="0"/>
    <n v="0"/>
    <n v="0"/>
    <n v="0"/>
    <n v="0"/>
    <n v="0"/>
    <n v="0"/>
    <n v="0"/>
    <n v="0"/>
    <m/>
    <n v="0"/>
    <n v="0"/>
    <n v="5.1745059122662085E-2"/>
    <n v="0"/>
    <n v="0"/>
    <n v="0.70095010429900262"/>
    <n v="0"/>
    <n v="0"/>
    <n v="0"/>
    <n v="0"/>
    <n v="0"/>
    <m/>
    <m/>
    <m/>
    <m/>
    <m/>
    <m/>
    <m/>
    <m/>
    <m/>
    <n v="11.527901076167851"/>
    <m/>
    <m/>
    <m/>
    <m/>
    <m/>
    <m/>
    <m/>
    <m/>
    <m/>
    <m/>
    <m/>
    <m/>
    <n v="71.305199999999999"/>
    <n v="-70.985939999999985"/>
    <m/>
    <m/>
    <m/>
    <m/>
    <n v="-68.062260000000009"/>
    <n v="0.6715800000000004"/>
    <n v="31"/>
    <n v="0.43066384989426609"/>
    <n v="0"/>
    <n v="0"/>
    <n v="0"/>
    <n v="0"/>
    <n v="0"/>
    <n v="0"/>
    <n v="0"/>
    <n v="-0.12229925092841043"/>
    <n v="0"/>
    <n v="0"/>
    <n v="0.67127883332983096"/>
    <n v="0"/>
    <n v="0"/>
    <n v="3.2236379703292836E-3"/>
    <n v="4.3668118460702399E-2"/>
    <n v="0"/>
    <n v="-0.13968264859887647"/>
    <m/>
    <n v="0"/>
    <n v="0"/>
    <n v="0"/>
    <n v="0"/>
    <n v="-2.1904030109654749E-2"/>
    <n v="-3.6208102296659966E-3"/>
    <n v="0"/>
    <n v="0"/>
    <m/>
    <m/>
    <m/>
    <n v="100.97424384678078"/>
    <n v="0"/>
    <n v="0"/>
    <n v="-68.062260000000009"/>
    <n v="0.67158000000000051"/>
    <n v="0"/>
    <n v="0"/>
    <n v="-67.821841763461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25"/>
    <s v="Regular"/>
    <s v="Verde"/>
    <s v="A4"/>
    <s v="Industrial"/>
    <s v="Não se aplica"/>
    <s v="Não se aplica"/>
    <s v="Não se aplica"/>
    <s v="Fora ponta"/>
    <s v="CATIVO"/>
    <x v="6"/>
    <n v="0"/>
    <n v="0"/>
    <n v="193.173"/>
    <n v="193.173"/>
    <n v="193.173"/>
    <n v="193.173"/>
    <m/>
    <n v="82.26"/>
    <n v="256.55"/>
    <m/>
    <n v="65448.944130000003"/>
    <n v="65448.944130000003"/>
    <n v="67993.03254"/>
    <n v="0"/>
    <n v="10331.466307829443"/>
    <n v="0"/>
    <n v="0"/>
    <n v="0"/>
    <n v="0"/>
    <n v="0"/>
    <n v="49559.020280545687"/>
    <n v="0"/>
    <n v="0"/>
    <n v="0"/>
    <n v="0"/>
    <n v="0"/>
    <n v="1835.9671424261378"/>
    <m/>
    <n v="260.60100051334581"/>
    <n v="0"/>
    <n v="0"/>
    <n v="0"/>
    <n v="0"/>
    <n v="0"/>
    <n v="0"/>
    <n v="0"/>
    <n v="0"/>
    <n v="0"/>
    <n v="0"/>
    <n v="0"/>
    <n v="0"/>
    <m/>
    <n v="0"/>
    <n v="0"/>
    <n v="237.99400728338099"/>
    <n v="0"/>
    <n v="0"/>
    <n v="3223.9198689940768"/>
    <n v="0"/>
    <n v="0"/>
    <n v="0"/>
    <n v="0"/>
    <n v="0"/>
    <m/>
    <m/>
    <m/>
    <m/>
    <m/>
    <m/>
    <m/>
    <m/>
    <m/>
    <n v="53020.934156823139"/>
    <m/>
    <m/>
    <m/>
    <m/>
    <m/>
    <m/>
    <m/>
    <m/>
    <m/>
    <m/>
    <m/>
    <m/>
    <n v="67991.976599999995"/>
    <n v="2543.0024699999849"/>
    <m/>
    <m/>
    <m/>
    <m/>
    <n v="-544.74786000000142"/>
    <n v="3088.8362700000016"/>
    <n v="31"/>
    <n v="2543.27478750515"/>
    <n v="0"/>
    <n v="0"/>
    <n v="0"/>
    <n v="0"/>
    <n v="0"/>
    <n v="0"/>
    <n v="0"/>
    <n v="0"/>
    <n v="0"/>
    <n v="0"/>
    <n v="3087.4510969243711"/>
    <n v="0"/>
    <n v="0"/>
    <n v="14.826662324819495"/>
    <n v="200.84527255736339"/>
    <n v="0"/>
    <n v="-642.45038756644681"/>
    <m/>
    <n v="0"/>
    <n v="0"/>
    <n v="0"/>
    <n v="0"/>
    <n v="-100.7444573421983"/>
    <n v="-16.653399392744518"/>
    <n v="0"/>
    <n v="0"/>
    <m/>
    <m/>
    <m/>
    <n v="0"/>
    <n v="0"/>
    <n v="0"/>
    <n v="-544.74786000000131"/>
    <n v="3088.836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26"/>
    <s v="Sistema de Compensação"/>
    <s v="Verde"/>
    <s v="A4"/>
    <s v="Industrial"/>
    <s v="Não se aplica"/>
    <s v="Não se aplica"/>
    <s v="Não se aplica"/>
    <s v="Fora ponta"/>
    <s v="CATIVO"/>
    <x v="6"/>
    <n v="0"/>
    <n v="0"/>
    <n v="4.6029999999999998"/>
    <n v="4.6029999999999998"/>
    <n v="4.6029999999999998"/>
    <n v="4.6029999999999998"/>
    <m/>
    <n v="82.26"/>
    <n v="256.55"/>
    <m/>
    <n v="1559.54243"/>
    <n v="1559.54243"/>
    <n v="1620.1639399999999"/>
    <n v="0"/>
    <n v="246.182123873103"/>
    <n v="0"/>
    <n v="0"/>
    <n v="0"/>
    <n v="0"/>
    <n v="0"/>
    <n v="1180.9112575326353"/>
    <n v="0"/>
    <n v="0"/>
    <n v="0"/>
    <n v="0"/>
    <n v="0"/>
    <n v="43.748126066207554"/>
    <m/>
    <n v="6.2097001411322017"/>
    <n v="0"/>
    <n v="0"/>
    <n v="0"/>
    <n v="0"/>
    <n v="0"/>
    <n v="0"/>
    <n v="0"/>
    <n v="0"/>
    <n v="0"/>
    <n v="0"/>
    <n v="0"/>
    <n v="0"/>
    <m/>
    <n v="0"/>
    <n v="0"/>
    <n v="5.6710120748003225"/>
    <n v="0"/>
    <n v="0"/>
    <n v="76.820793573531162"/>
    <n v="0"/>
    <n v="0"/>
    <n v="0"/>
    <n v="0"/>
    <n v="0"/>
    <m/>
    <m/>
    <m/>
    <m/>
    <m/>
    <m/>
    <m/>
    <m/>
    <m/>
    <n v="1263.4030631809667"/>
    <m/>
    <m/>
    <m/>
    <m/>
    <m/>
    <m/>
    <m/>
    <m/>
    <m/>
    <m/>
    <m/>
    <m/>
    <n v="1619.1079999999999"/>
    <n v="59.535570000000007"/>
    <m/>
    <m/>
    <m/>
    <m/>
    <n v="-12.980460000000033"/>
    <n v="73.601970000000037"/>
    <n v="31"/>
    <n v="60.60212269254157"/>
    <n v="0"/>
    <n v="0"/>
    <n v="0"/>
    <n v="0"/>
    <n v="0"/>
    <n v="0"/>
    <n v="0"/>
    <n v="0"/>
    <n v="0"/>
    <n v="0"/>
    <n v="73.568963567076707"/>
    <n v="0"/>
    <n v="0"/>
    <n v="0.35329537089108776"/>
    <n v="4.7858178398717399"/>
    <n v="0"/>
    <n v="-15.308553130967368"/>
    <m/>
    <n v="0"/>
    <n v="0"/>
    <n v="0"/>
    <n v="0"/>
    <n v="-2.4005773951128688"/>
    <n v="-0.39682355921791945"/>
    <n v="0"/>
    <n v="0"/>
    <m/>
    <m/>
    <m/>
    <n v="0"/>
    <n v="0"/>
    <n v="0"/>
    <n v="-12.980460000000051"/>
    <n v="73.601969999999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27"/>
    <s v="Regular"/>
    <s v="Verde"/>
    <s v="A4"/>
    <s v="Industrial"/>
    <s v="Não se aplica"/>
    <s v="Não se aplica"/>
    <s v="Não se aplica"/>
    <s v="Não se aplica"/>
    <s v="CATIVO"/>
    <x v="6"/>
    <n v="1492"/>
    <n v="1492"/>
    <n v="0"/>
    <n v="0"/>
    <n v="0"/>
    <n v="0"/>
    <n v="47.39"/>
    <m/>
    <m/>
    <n v="70705.88"/>
    <m/>
    <n v="70705.88"/>
    <n v="48072.24"/>
    <n v="0"/>
    <n v="0"/>
    <n v="0"/>
    <n v="0"/>
    <n v="0"/>
    <n v="37255.389467762827"/>
    <n v="33450.4419306284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9.76"/>
    <n v="1013.84"/>
    <n v="31900.98"/>
    <n v="10"/>
    <m/>
    <m/>
    <m/>
    <m/>
    <m/>
    <m/>
    <m/>
    <m/>
    <m/>
    <n v="0"/>
    <m/>
    <m/>
    <m/>
    <m/>
    <m/>
    <m/>
    <m/>
    <m/>
    <m/>
    <m/>
    <m/>
    <m/>
    <n v="48072.24"/>
    <n v="-22633.669999999991"/>
    <m/>
    <m/>
    <m/>
    <m/>
    <n v="-22633.640000000003"/>
    <n v="0"/>
    <n v="31"/>
    <n v="-168.39670358165313"/>
    <n v="0"/>
    <n v="0"/>
    <n v="0"/>
    <n v="0"/>
    <m/>
    <m/>
    <m/>
    <n v="-168.396703581653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450.441930628411"/>
    <m/>
    <n v="0"/>
    <n v="0"/>
    <n v="-22633.640000000007"/>
    <m/>
    <n v="0"/>
    <m/>
    <n v="-22467.81449514447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28"/>
    <s v="Sistema de Compensação"/>
    <s v="Verde"/>
    <s v="A4"/>
    <s v="Industrial"/>
    <s v="Não se aplica"/>
    <s v="Não se aplica"/>
    <s v="Não se aplica"/>
    <s v="Não se aplica"/>
    <s v="CATIVO"/>
    <x v="6"/>
    <n v="726"/>
    <n v="726"/>
    <n v="0"/>
    <n v="0"/>
    <n v="0"/>
    <n v="0"/>
    <n v="47.39"/>
    <m/>
    <m/>
    <n v="34405.14"/>
    <m/>
    <n v="34405.14"/>
    <n v="23391.719999999998"/>
    <n v="0"/>
    <n v="0"/>
    <n v="0"/>
    <n v="0"/>
    <n v="0"/>
    <n v="18128.292730292098"/>
    <n v="16276.82362039961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1.72"/>
    <n v="192.51"/>
    <n v="5712.52"/>
    <n v="5"/>
    <m/>
    <m/>
    <m/>
    <m/>
    <m/>
    <m/>
    <m/>
    <m/>
    <m/>
    <n v="0"/>
    <m/>
    <m/>
    <m/>
    <m/>
    <m/>
    <m/>
    <m/>
    <m/>
    <m/>
    <m/>
    <m/>
    <m/>
    <n v="23391.719999999998"/>
    <n v="-11013.450000000008"/>
    <m/>
    <m/>
    <m/>
    <m/>
    <n v="-11013.420000000002"/>
    <n v="0"/>
    <n v="31"/>
    <n v="-81.941023324583512"/>
    <n v="0"/>
    <n v="0"/>
    <n v="0"/>
    <n v="0"/>
    <m/>
    <m/>
    <m/>
    <n v="-81.9410233245835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276.823620399617"/>
    <m/>
    <n v="0"/>
    <n v="0"/>
    <n v="-11013.420000000002"/>
    <m/>
    <n v="0"/>
    <m/>
    <n v="-10932.73010956761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29"/>
    <s v="Regular"/>
    <s v="Convencional"/>
    <s v="B3"/>
    <s v="Comercial"/>
    <s v="Não se aplica"/>
    <s v="Não se aplica"/>
    <s v="Não se aplica"/>
    <s v="Não se aplica"/>
    <s v="CATIVO"/>
    <x v="6"/>
    <n v="0"/>
    <n v="0"/>
    <n v="397.92399999999998"/>
    <n v="397.92399999999998"/>
    <n v="397.92399999999998"/>
    <n v="397.92399999999998"/>
    <m/>
    <n v="710.91"/>
    <n v="256.55"/>
    <m/>
    <n v="384975.55303999997"/>
    <n v="384975.55303999997"/>
    <n v="262800.94731999998"/>
    <n v="0"/>
    <n v="24462.251120603665"/>
    <n v="0"/>
    <n v="0"/>
    <n v="0"/>
    <n v="48977.596049716994"/>
    <n v="189773.95938606092"/>
    <n v="102088.40565770507"/>
    <n v="0"/>
    <n v="0"/>
    <n v="0"/>
    <n v="0"/>
    <n v="0"/>
    <n v="3781.9746506125516"/>
    <m/>
    <n v="873.76336808150347"/>
    <n v="0"/>
    <n v="0"/>
    <n v="0"/>
    <n v="0"/>
    <n v="0"/>
    <n v="0"/>
    <n v="0"/>
    <n v="0"/>
    <n v="0"/>
    <n v="0"/>
    <n v="0"/>
    <n v="0"/>
    <m/>
    <n v="0"/>
    <n v="0"/>
    <n v="593.03422704088416"/>
    <n v="0"/>
    <n v="0"/>
    <n v="14426.098846815501"/>
    <n v="0"/>
    <n v="438.89"/>
    <n v="2039.79"/>
    <n v="107254.58"/>
    <n v="969"/>
    <m/>
    <m/>
    <m/>
    <m/>
    <m/>
    <m/>
    <m/>
    <m/>
    <m/>
    <n v="117107.53873156145"/>
    <m/>
    <m/>
    <m/>
    <m/>
    <m/>
    <m/>
    <m/>
    <m/>
    <m/>
    <m/>
    <m/>
    <m/>
    <n v="262798.30560000002"/>
    <n v="-122177.27743999998"/>
    <m/>
    <m/>
    <m/>
    <m/>
    <n v="-128537.41047999999"/>
    <n v="6362.8047600000036"/>
    <n v="31"/>
    <n v="5289.7175932992832"/>
    <n v="0"/>
    <n v="0"/>
    <n v="0"/>
    <n v="0"/>
    <n v="0"/>
    <n v="0"/>
    <n v="0"/>
    <n v="-221.3818146032354"/>
    <n v="0"/>
    <n v="0"/>
    <n v="6359.9513922366605"/>
    <n v="0"/>
    <n v="0"/>
    <n v="36.945124508642607"/>
    <n v="898.72387421718668"/>
    <n v="0"/>
    <n v="-1521.1570405325401"/>
    <m/>
    <n v="0"/>
    <n v="0"/>
    <n v="0"/>
    <n v="0"/>
    <n v="-207.5271256512915"/>
    <n v="-55.83681687617036"/>
    <n v="0"/>
    <n v="0"/>
    <m/>
    <m/>
    <m/>
    <n v="189773.95938606092"/>
    <n v="0"/>
    <n v="0"/>
    <n v="-128537.41047999996"/>
    <n v="6362.8047599999991"/>
    <n v="0"/>
    <n v="0"/>
    <n v="-127466.36126176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30"/>
    <s v="Refaturamento - Regular"/>
    <s v="Convencional"/>
    <s v="B3"/>
    <s v="Comercial"/>
    <s v="Não se aplica"/>
    <s v="Não se aplica"/>
    <s v="Não se aplica"/>
    <s v="Não se aplica"/>
    <s v="CATIVO"/>
    <x v="6"/>
    <n v="0"/>
    <n v="0"/>
    <n v="-0.86899999999999999"/>
    <n v="-0.86899999999999999"/>
    <n v="-0.86899999999999999"/>
    <n v="-0.86899999999999999"/>
    <m/>
    <n v="710.91"/>
    <n v="256.55"/>
    <m/>
    <n v="-840.72274000000004"/>
    <n v="-840.72274000000004"/>
    <n v="-573.91367000000002"/>
    <n v="0"/>
    <n v="-53.421498134831239"/>
    <n v="0"/>
    <n v="0"/>
    <n v="0"/>
    <n v="-106.95894433913027"/>
    <n v="-414.43484360452481"/>
    <n v="-222.94414138515319"/>
    <n v="0"/>
    <n v="0"/>
    <n v="0"/>
    <n v="0"/>
    <n v="0"/>
    <n v="-8.259205203461736"/>
    <m/>
    <n v="-1.9081542376504723"/>
    <n v="0"/>
    <n v="0"/>
    <n v="0"/>
    <n v="0"/>
    <n v="0"/>
    <n v="0"/>
    <n v="0"/>
    <n v="0"/>
    <n v="0"/>
    <n v="0"/>
    <n v="0"/>
    <n v="0"/>
    <m/>
    <n v="0"/>
    <n v="0"/>
    <n v="-1.2950883668703781"/>
    <n v="0"/>
    <n v="0"/>
    <n v="-31.504206576840478"/>
    <n v="0"/>
    <n v="-0.96"/>
    <n v="-4.46"/>
    <n v="-320.81"/>
    <n v="0"/>
    <m/>
    <m/>
    <m/>
    <m/>
    <m/>
    <m/>
    <m/>
    <m/>
    <m/>
    <n v="-255.74343632886405"/>
    <m/>
    <m/>
    <m/>
    <m/>
    <m/>
    <m/>
    <m/>
    <m/>
    <m/>
    <m/>
    <m/>
    <m/>
    <n v="-574.57410000000004"/>
    <n v="266.11864000000003"/>
    <m/>
    <m/>
    <m/>
    <m/>
    <n v="280.70437999999996"/>
    <n v="-13.895310000000007"/>
    <n v="31"/>
    <n v="-11.55186565418785"/>
    <n v="0"/>
    <n v="0"/>
    <n v="0"/>
    <n v="0"/>
    <n v="0"/>
    <n v="0"/>
    <n v="0"/>
    <n v="0.48346115562321756"/>
    <n v="0"/>
    <n v="0"/>
    <n v="-13.889078718181537"/>
    <n v="0"/>
    <n v="0"/>
    <n v="-8.068202269280178E-2"/>
    <n v="-1.9626638420772231"/>
    <n v="0"/>
    <n v="3.3219546150088419"/>
    <m/>
    <n v="0"/>
    <n v="0"/>
    <n v="0"/>
    <n v="0"/>
    <n v="0.45320481345928521"/>
    <n v="0.12193834467232945"/>
    <n v="0"/>
    <n v="0"/>
    <m/>
    <m/>
    <m/>
    <n v="-414.43484360452481"/>
    <n v="0"/>
    <n v="0"/>
    <n v="280.70438000000001"/>
    <n v="-13.895309999999995"/>
    <n v="0"/>
    <n v="0"/>
    <n v="278.36538619553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31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10.151999999999999"/>
    <n v="10.151999999999999"/>
    <n v="10.151999999999999"/>
    <n v="10.151999999999999"/>
    <m/>
    <n v="710.91"/>
    <n v="256.55"/>
    <m/>
    <n v="9821.6539199999988"/>
    <n v="9821.6539199999988"/>
    <n v="6704.6853599999995"/>
    <n v="0"/>
    <n v="624.09096555213659"/>
    <n v="0"/>
    <n v="0"/>
    <n v="0"/>
    <n v="1249.5364820838324"/>
    <n v="4841.5909462291556"/>
    <n v="2604.5212006237916"/>
    <n v="0"/>
    <n v="0"/>
    <n v="0"/>
    <n v="0"/>
    <n v="0"/>
    <n v="96.487285645044338"/>
    <m/>
    <n v="22.291808769421856"/>
    <n v="0"/>
    <n v="0"/>
    <n v="0"/>
    <n v="0"/>
    <n v="0"/>
    <n v="0"/>
    <n v="0"/>
    <n v="0"/>
    <n v="0"/>
    <n v="0"/>
    <n v="0"/>
    <n v="0"/>
    <m/>
    <n v="0"/>
    <n v="0"/>
    <n v="15.129731991332655"/>
    <n v="0"/>
    <n v="0"/>
    <n v="368.04453989422842"/>
    <n v="0"/>
    <n v="11.26"/>
    <n v="52.34"/>
    <n v="10352.74"/>
    <n v="42"/>
    <m/>
    <m/>
    <m/>
    <m/>
    <m/>
    <m/>
    <m/>
    <m/>
    <m/>
    <n v="2987.6954725093528"/>
    <m/>
    <m/>
    <m/>
    <m/>
    <m/>
    <m/>
    <m/>
    <m/>
    <m/>
    <m/>
    <m/>
    <m/>
    <n v="6703.3645000000006"/>
    <n v="-3118.3194199999989"/>
    <m/>
    <m/>
    <m/>
    <m/>
    <n v="-3279.2990399999994"/>
    <n v="162.33048000000008"/>
    <n v="31"/>
    <n v="134.95344087608282"/>
    <n v="0"/>
    <n v="0"/>
    <n v="0"/>
    <n v="0"/>
    <n v="0"/>
    <n v="0"/>
    <n v="0"/>
    <n v="-5.6479834889378253"/>
    <n v="0"/>
    <n v="0"/>
    <n v="162.25768371343975"/>
    <n v="0"/>
    <n v="0"/>
    <n v="0.94255914197620783"/>
    <n v="22.928611420906748"/>
    <n v="0"/>
    <n v="-38.808381187076861"/>
    <m/>
    <n v="0"/>
    <n v="0"/>
    <n v="0"/>
    <n v="0"/>
    <n v="-5.2945169922193998"/>
    <n v="-1.4245317320063151"/>
    <n v="0"/>
    <n v="0"/>
    <m/>
    <m/>
    <m/>
    <n v="4841.5909462291556"/>
    <n v="0"/>
    <n v="0"/>
    <n v="-3279.2990399999999"/>
    <n v="162.33048000000008"/>
    <n v="0"/>
    <n v="0"/>
    <n v="-3251.9739938516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32"/>
    <s v="Regular"/>
    <s v="Verde"/>
    <s v="A4"/>
    <s v="Comercial"/>
    <s v="Não se aplica"/>
    <s v="Não se aplica"/>
    <s v="Não se aplica"/>
    <s v="Ponta"/>
    <s v="CATIVO"/>
    <x v="6"/>
    <n v="0"/>
    <n v="0"/>
    <n v="16.334"/>
    <n v="16.334"/>
    <n v="16.334"/>
    <n v="16.334"/>
    <m/>
    <n v="3130.62"/>
    <n v="256.55"/>
    <m/>
    <n v="55326.034779999994"/>
    <n v="55326.034779999994"/>
    <n v="29117.478419999999"/>
    <n v="0"/>
    <n v="873.5908779802877"/>
    <n v="0"/>
    <n v="0"/>
    <n v="0"/>
    <n v="10522.588327994632"/>
    <n v="39269.36426174565"/>
    <n v="4190.5288899713378"/>
    <n v="0"/>
    <n v="0"/>
    <n v="0"/>
    <n v="0"/>
    <n v="0"/>
    <n v="155.24264418106327"/>
    <m/>
    <n v="22.035464285303799"/>
    <n v="0"/>
    <n v="0"/>
    <n v="0"/>
    <n v="0"/>
    <n v="0"/>
    <n v="0"/>
    <n v="0"/>
    <n v="0"/>
    <n v="0"/>
    <n v="0"/>
    <n v="0"/>
    <n v="0"/>
    <m/>
    <n v="0"/>
    <n v="0"/>
    <n v="20.123899897846723"/>
    <n v="0"/>
    <n v="0"/>
    <n v="272.60283341952163"/>
    <n v="0"/>
    <n v="0"/>
    <n v="0"/>
    <n v="0"/>
    <n v="0"/>
    <m/>
    <m/>
    <m/>
    <m/>
    <m/>
    <m/>
    <m/>
    <m/>
    <m/>
    <n v="4483.2556232887064"/>
    <m/>
    <m/>
    <m/>
    <m/>
    <m/>
    <m/>
    <m/>
    <m/>
    <m/>
    <m/>
    <m/>
    <m/>
    <n v="29110.347899999997"/>
    <n v="-26215.716880000004"/>
    <m/>
    <m/>
    <m/>
    <m/>
    <n v="-26469.73702"/>
    <n v="261.18066000000016"/>
    <n v="31"/>
    <n v="167.48722200411248"/>
    <n v="0"/>
    <n v="0"/>
    <n v="0"/>
    <n v="0"/>
    <n v="0"/>
    <n v="0"/>
    <n v="0"/>
    <n v="-47.562761063443759"/>
    <n v="0"/>
    <n v="0"/>
    <n v="261.06353484784449"/>
    <n v="0"/>
    <n v="0"/>
    <n v="1.2536881573180594"/>
    <n v="16.982739212788374"/>
    <n v="0"/>
    <n v="-54.323247195572549"/>
    <m/>
    <n v="0"/>
    <n v="0"/>
    <n v="0"/>
    <n v="0"/>
    <n v="-8.5185816145499871"/>
    <n v="-1.4081503402705842"/>
    <n v="0"/>
    <n v="0"/>
    <m/>
    <m/>
    <m/>
    <n v="39269.36426174565"/>
    <n v="0"/>
    <n v="0"/>
    <n v="-26469.737019999997"/>
    <n v="261.1806600000009"/>
    <n v="0"/>
    <n v="0"/>
    <n v="-26376.237222961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33"/>
    <s v="Sistema de Compensação"/>
    <s v="Verde"/>
    <s v="A4"/>
    <s v="Comercial"/>
    <s v="Não se aplica"/>
    <s v="Não se aplica"/>
    <s v="Não se aplica"/>
    <s v="Ponta"/>
    <s v="CATIVO"/>
    <x v="6"/>
    <n v="0"/>
    <n v="0"/>
    <n v="0.95899999999999996"/>
    <n v="0.95899999999999996"/>
    <n v="0.95899999999999996"/>
    <n v="0.95899999999999996"/>
    <m/>
    <n v="3130.62"/>
    <n v="256.55"/>
    <m/>
    <n v="3248.2960299999995"/>
    <n v="3248.2960299999995"/>
    <n v="1709.5421699999997"/>
    <n v="0"/>
    <n v="51.2901709307638"/>
    <n v="0"/>
    <n v="0"/>
    <n v="0"/>
    <n v="617.80104117465737"/>
    <n v="2305.5785678348279"/>
    <n v="246.03386834103787"/>
    <n v="0"/>
    <n v="0"/>
    <n v="0"/>
    <n v="0"/>
    <n v="0"/>
    <n v="9.1145889414497177"/>
    <m/>
    <n v="1.293743740027326"/>
    <n v="0"/>
    <n v="0"/>
    <n v="0"/>
    <n v="0"/>
    <n v="0"/>
    <n v="0"/>
    <n v="0"/>
    <n v="0"/>
    <n v="0"/>
    <n v="0"/>
    <n v="0"/>
    <n v="0"/>
    <m/>
    <n v="0"/>
    <n v="0"/>
    <n v="1.1815121833007842"/>
    <n v="0"/>
    <n v="0"/>
    <n v="16.005027381493893"/>
    <n v="0"/>
    <n v="0"/>
    <n v="0"/>
    <n v="0"/>
    <n v="0"/>
    <m/>
    <m/>
    <m/>
    <m/>
    <m/>
    <m/>
    <m/>
    <m/>
    <m/>
    <n v="263.22040790583253"/>
    <m/>
    <m/>
    <m/>
    <m/>
    <m/>
    <m/>
    <m/>
    <m/>
    <m/>
    <m/>
    <m/>
    <m/>
    <n v="1711.3247999999999"/>
    <n v="-1537.0012300000003"/>
    <m/>
    <m/>
    <m/>
    <m/>
    <n v="-1554.08827"/>
    <n v="15.334410000000009"/>
    <n v="31"/>
    <n v="9.8334912392518845"/>
    <n v="0"/>
    <n v="0"/>
    <n v="0"/>
    <n v="0"/>
    <n v="0"/>
    <n v="0"/>
    <n v="0"/>
    <n v="-2.792499562865487"/>
    <n v="0"/>
    <n v="0"/>
    <n v="15.327533361031158"/>
    <n v="0"/>
    <n v="0"/>
    <n v="7.3606400322518528E-2"/>
    <n v="0.99708870485270396"/>
    <n v="0"/>
    <n v="-3.189420476341013"/>
    <m/>
    <n v="0"/>
    <n v="0"/>
    <n v="0"/>
    <n v="0"/>
    <n v="-0.50014202083711723"/>
    <n v="-8.2675166910707087E-2"/>
    <n v="0"/>
    <n v="0"/>
    <m/>
    <m/>
    <m/>
    <n v="2305.5785678348279"/>
    <n v="0"/>
    <n v="0"/>
    <n v="-1554.0882699999997"/>
    <n v="15.334409999999991"/>
    <n v="0"/>
    <n v="0"/>
    <n v="-1548.5987202657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34"/>
    <s v="Regular"/>
    <s v="Verde"/>
    <s v="A4"/>
    <s v="Comercial"/>
    <s v="Não se aplica"/>
    <s v="Não se aplica"/>
    <s v="Não se aplica"/>
    <s v="Fora ponta"/>
    <s v="CATIVO"/>
    <x v="6"/>
    <n v="0"/>
    <n v="0"/>
    <n v="138.79499999999999"/>
    <n v="138.79499999999999"/>
    <n v="138.79499999999999"/>
    <n v="138.79499999999999"/>
    <m/>
    <n v="82.26"/>
    <n v="256.55"/>
    <m/>
    <n v="47025.133950000003"/>
    <n v="47025.133950000003"/>
    <n v="48853.064099999996"/>
    <n v="0"/>
    <n v="7423.1692120285315"/>
    <n v="0"/>
    <n v="0"/>
    <n v="0"/>
    <n v="0"/>
    <n v="0"/>
    <n v="35608.207253800159"/>
    <n v="0"/>
    <n v="0"/>
    <n v="0"/>
    <n v="0"/>
    <n v="0"/>
    <n v="1319.1442879337992"/>
    <m/>
    <n v="187.24208800531042"/>
    <n v="0"/>
    <n v="0"/>
    <n v="0"/>
    <n v="0"/>
    <n v="0"/>
    <n v="0"/>
    <n v="0"/>
    <n v="0"/>
    <n v="0"/>
    <n v="0"/>
    <n v="0"/>
    <n v="0"/>
    <m/>
    <n v="0"/>
    <n v="0"/>
    <n v="170.99894002214006"/>
    <n v="0"/>
    <n v="0"/>
    <n v="2316.3897553852394"/>
    <n v="0"/>
    <n v="0"/>
    <n v="0"/>
    <n v="0"/>
    <n v="0"/>
    <m/>
    <m/>
    <m/>
    <m/>
    <m/>
    <m/>
    <m/>
    <m/>
    <m/>
    <n v="38095.595949207534"/>
    <m/>
    <m/>
    <m/>
    <m/>
    <m/>
    <m/>
    <m/>
    <m/>
    <m/>
    <m/>
    <m/>
    <m/>
    <n v="48854.824000000008"/>
    <n v="1829.6600500000059"/>
    <m/>
    <m/>
    <m/>
    <m/>
    <n v="-391.40190000000098"/>
    <n v="2219.3320500000009"/>
    <n v="31"/>
    <n v="1827.3455613971964"/>
    <n v="0"/>
    <n v="0"/>
    <n v="0"/>
    <n v="0"/>
    <n v="0"/>
    <n v="0"/>
    <n v="0"/>
    <n v="0"/>
    <n v="0"/>
    <n v="0"/>
    <n v="2218.3368017146204"/>
    <n v="0"/>
    <n v="0"/>
    <n v="10.652972192663157"/>
    <n v="144.3075357560283"/>
    <n v="0"/>
    <n v="-461.60126695907366"/>
    <m/>
    <n v="0"/>
    <n v="0"/>
    <n v="0"/>
    <n v="0"/>
    <n v="-72.384996644512512"/>
    <n v="-11.965484662535545"/>
    <n v="0"/>
    <n v="0"/>
    <m/>
    <m/>
    <m/>
    <n v="0"/>
    <n v="0"/>
    <n v="0"/>
    <n v="-391.40190000000075"/>
    <n v="2219.332049999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35"/>
    <s v="Regular"/>
    <s v="Verde"/>
    <s v="A4"/>
    <s v="Comercial"/>
    <s v="Não se aplica"/>
    <s v="Não se aplica"/>
    <s v="Não se aplica"/>
    <s v="Não se aplica"/>
    <s v="CATIVO"/>
    <x v="6"/>
    <n v="796"/>
    <n v="796"/>
    <n v="0"/>
    <n v="0"/>
    <n v="0"/>
    <n v="0"/>
    <n v="47.39"/>
    <m/>
    <m/>
    <n v="37722.44"/>
    <m/>
    <n v="37722.44"/>
    <n v="25647.119999999999"/>
    <n v="0"/>
    <n v="0"/>
    <n v="0"/>
    <n v="0"/>
    <n v="0"/>
    <n v="19876.199742854697"/>
    <n v="17846.2143276006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9.53"/>
    <n v="828.3"/>
    <n v="41904.54"/>
    <n v="11"/>
    <m/>
    <m/>
    <m/>
    <m/>
    <m/>
    <m/>
    <m/>
    <m/>
    <m/>
    <n v="0"/>
    <m/>
    <m/>
    <m/>
    <m/>
    <m/>
    <m/>
    <m/>
    <m/>
    <m/>
    <m/>
    <m/>
    <m/>
    <n v="25647.119999999999"/>
    <n v="-12075.350000000009"/>
    <m/>
    <m/>
    <m/>
    <m/>
    <n v="-12075.320000000002"/>
    <n v="0"/>
    <n v="31"/>
    <n v="-89.841672956430557"/>
    <n v="0"/>
    <n v="0"/>
    <n v="0"/>
    <n v="0"/>
    <m/>
    <m/>
    <m/>
    <n v="-89.8416729564305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846.214327600683"/>
    <m/>
    <n v="0"/>
    <n v="0"/>
    <n v="-12075.320000000003"/>
    <m/>
    <n v="0"/>
    <m/>
    <n v="-11986.85009258378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36"/>
    <s v="Sistema de Compensação"/>
    <s v="Verde"/>
    <s v="A4"/>
    <s v="Comercial"/>
    <s v="Não se aplica"/>
    <s v="Não se aplica"/>
    <s v="Não se aplica"/>
    <s v="Não se aplica"/>
    <s v="CATIVO"/>
    <x v="6"/>
    <n v="45"/>
    <n v="45"/>
    <n v="0"/>
    <n v="0"/>
    <n v="0"/>
    <n v="0"/>
    <n v="47.39"/>
    <m/>
    <m/>
    <n v="2132.5500000000002"/>
    <m/>
    <n v="2132.5500000000002"/>
    <n v="1449.8999999999999"/>
    <n v="0"/>
    <n v="0"/>
    <n v="0"/>
    <n v="0"/>
    <n v="0"/>
    <n v="1123.6545080759565"/>
    <n v="1008.89402605782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.57"/>
    <n v="21.11"/>
    <n v="1257.75"/>
    <n v="1"/>
    <m/>
    <m/>
    <m/>
    <m/>
    <m/>
    <m/>
    <m/>
    <m/>
    <m/>
    <n v="0"/>
    <m/>
    <m/>
    <m/>
    <m/>
    <m/>
    <m/>
    <m/>
    <m/>
    <m/>
    <m/>
    <m/>
    <m/>
    <n v="1449.8999999999999"/>
    <n v="-682.68000000000097"/>
    <m/>
    <m/>
    <m/>
    <m/>
    <n v="-682.65000000000009"/>
    <n v="0"/>
    <n v="31"/>
    <n v="-5.0789890490445941"/>
    <n v="0"/>
    <n v="0"/>
    <n v="0"/>
    <n v="0"/>
    <m/>
    <m/>
    <m/>
    <n v="-5.078989049044594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08.8940260578274"/>
    <m/>
    <n v="0"/>
    <n v="0"/>
    <n v="-682.65000000000032"/>
    <m/>
    <n v="0"/>
    <m/>
    <n v="-677.64856051038953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37"/>
    <s v="Regular"/>
    <s v="Convencional"/>
    <s v="B2"/>
    <s v="Rural"/>
    <s v="Não se aplica"/>
    <s v="Não se aplica"/>
    <s v="Não se aplica"/>
    <s v="Não se aplica"/>
    <s v="CATIVO"/>
    <x v="6"/>
    <n v="0"/>
    <n v="0"/>
    <n v="3244.605"/>
    <n v="3244.605"/>
    <n v="3244.605"/>
    <n v="3244.605"/>
    <m/>
    <n v="710.91"/>
    <n v="256.55"/>
    <m/>
    <n v="3139025.5533000003"/>
    <n v="3139025.5533000003"/>
    <n v="2142834.4801500002"/>
    <n v="0"/>
    <n v="199461.05863724294"/>
    <n v="0"/>
    <n v="0"/>
    <n v="0"/>
    <n v="399355.03520996979"/>
    <n v="1547384.7706944295"/>
    <n v="832411.59477442468"/>
    <n v="0"/>
    <n v="0"/>
    <n v="0"/>
    <n v="0"/>
    <n v="0"/>
    <n v="30837.581702161064"/>
    <m/>
    <n v="7124.5187344671012"/>
    <n v="0"/>
    <n v="0"/>
    <n v="0"/>
    <n v="0"/>
    <n v="0"/>
    <n v="0"/>
    <n v="0"/>
    <n v="0"/>
    <n v="0"/>
    <n v="0"/>
    <n v="0"/>
    <n v="0"/>
    <m/>
    <n v="0"/>
    <n v="0"/>
    <n v="4835.5007946944343"/>
    <n v="0"/>
    <n v="0"/>
    <n v="117627.97028797411"/>
    <n v="0"/>
    <n v="3216.51"/>
    <n v="14985.54"/>
    <n v="144599.79999999999"/>
    <n v="8773"/>
    <m/>
    <m/>
    <m/>
    <m/>
    <m/>
    <n v="257134.94624999992"/>
    <m/>
    <m/>
    <m/>
    <n v="954875.0658570932"/>
    <m/>
    <m/>
    <m/>
    <m/>
    <m/>
    <m/>
    <m/>
    <m/>
    <m/>
    <m/>
    <m/>
    <m/>
    <n v="1885702.4398000003"/>
    <n v="-876656.94904999947"/>
    <m/>
    <m/>
    <m/>
    <m/>
    <n v="-1048072.3071"/>
    <n v="51881.233950000031"/>
    <n v="31"/>
    <n v="43131.462670777924"/>
    <n v="0"/>
    <n v="0"/>
    <n v="0"/>
    <n v="0"/>
    <n v="0"/>
    <n v="0"/>
    <n v="0"/>
    <n v="-1805.1098766868236"/>
    <n v="0"/>
    <n v="0"/>
    <n v="51857.968071812764"/>
    <n v="0"/>
    <n v="0"/>
    <n v="301.24429716821396"/>
    <n v="7328.0424802335619"/>
    <n v="0"/>
    <n v="-12403.257253890421"/>
    <m/>
    <n v="0"/>
    <n v="0"/>
    <n v="0"/>
    <n v="0"/>
    <n v="-1692.1410860461001"/>
    <n v="-455.28396181307653"/>
    <n v="0"/>
    <n v="0"/>
    <m/>
    <m/>
    <m/>
    <n v="1547384.7706944295"/>
    <n v="0"/>
    <n v="0"/>
    <n v="-1048072.3071000001"/>
    <n v="51881.233950000023"/>
    <n v="0"/>
    <n v="0"/>
    <n v="-1039339.1529078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38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21.905999999999999"/>
    <n v="-21.905999999999999"/>
    <n v="-21.905999999999999"/>
    <n v="-21.905999999999999"/>
    <m/>
    <n v="710.91"/>
    <n v="256.55"/>
    <m/>
    <n v="-21193.178759999999"/>
    <n v="-21193.178759999999"/>
    <n v="-14467.379579999999"/>
    <n v="0"/>
    <n v="-1346.6643707038124"/>
    <n v="0"/>
    <n v="0"/>
    <n v="0"/>
    <n v="-2696.2515934326666"/>
    <n v="-10447.19181127816"/>
    <n v="-5620.0395410623314"/>
    <n v="0"/>
    <n v="0"/>
    <n v="0"/>
    <n v="0"/>
    <n v="0"/>
    <n v="-208.20040182627477"/>
    <m/>
    <n v="-48.101296582245389"/>
    <n v="0"/>
    <n v="0"/>
    <n v="0"/>
    <n v="0"/>
    <n v="0"/>
    <n v="0"/>
    <n v="0"/>
    <n v="0"/>
    <n v="0"/>
    <n v="0"/>
    <n v="0"/>
    <n v="0"/>
    <m/>
    <n v="0"/>
    <n v="0"/>
    <n v="-32.646957151510357"/>
    <n v="0"/>
    <n v="0"/>
    <n v="-794.16703023275886"/>
    <n v="0"/>
    <n v="-22.76"/>
    <n v="-105.84"/>
    <n v="-588.79"/>
    <n v="0"/>
    <m/>
    <m/>
    <m/>
    <m/>
    <m/>
    <n v="-1736.0504999999994"/>
    <m/>
    <m/>
    <m/>
    <n v="-6446.8535284465997"/>
    <m/>
    <m/>
    <m/>
    <m/>
    <m/>
    <m/>
    <m/>
    <m/>
    <m/>
    <m/>
    <m/>
    <m/>
    <n v="-12733.6538"/>
    <n v="5916.42742"/>
    <m/>
    <m/>
    <m/>
    <m/>
    <n v="7076.0761199999988"/>
    <n v="-350.2769400000002"/>
    <n v="31"/>
    <n v="-291.2027261457315"/>
    <n v="0"/>
    <n v="0"/>
    <n v="0"/>
    <n v="0"/>
    <n v="0"/>
    <n v="0"/>
    <n v="0"/>
    <n v="12.187226783753886"/>
    <n v="0"/>
    <n v="0"/>
    <n v="-350.11986006960251"/>
    <n v="0"/>
    <n v="0"/>
    <n v="-2.0338554535195783"/>
    <n v="-49.475390246885695"/>
    <n v="0"/>
    <n v="83.740779972823475"/>
    <m/>
    <n v="0"/>
    <n v="0"/>
    <n v="0"/>
    <n v="0"/>
    <n v="11.424516275764205"/>
    <n v="3.0738565919356091"/>
    <n v="0"/>
    <n v="0"/>
    <m/>
    <m/>
    <m/>
    <n v="-10447.19181127816"/>
    <n v="0"/>
    <n v="0"/>
    <n v="7076.0761199999997"/>
    <n v="-350.27693999999974"/>
    <n v="0"/>
    <n v="0"/>
    <n v="7017.114096662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39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128.387"/>
    <n v="128.387"/>
    <n v="128.387"/>
    <n v="128.387"/>
    <m/>
    <n v="710.91"/>
    <n v="256.55"/>
    <m/>
    <n v="124209.28702"/>
    <n v="124209.28702"/>
    <n v="84790.626409999997"/>
    <n v="0"/>
    <n v="7892.5499206404811"/>
    <n v="0"/>
    <n v="0"/>
    <n v="0"/>
    <n v="15802.23013448552"/>
    <n v="61229.052089590485"/>
    <n v="32938.008607612959"/>
    <n v="0"/>
    <n v="0"/>
    <n v="0"/>
    <n v="0"/>
    <n v="0"/>
    <n v="1220.223910767367"/>
    <m/>
    <n v="281.91277112684833"/>
    <n v="0"/>
    <n v="0"/>
    <n v="0"/>
    <n v="0"/>
    <n v="0"/>
    <n v="0"/>
    <n v="0"/>
    <n v="0"/>
    <n v="0"/>
    <n v="0"/>
    <n v="0"/>
    <n v="0"/>
    <m/>
    <n v="0"/>
    <n v="0"/>
    <n v="191.33775622253998"/>
    <n v="0"/>
    <n v="0"/>
    <n v="4654.4655578605507"/>
    <n v="0"/>
    <n v="129.58000000000001"/>
    <n v="598.39"/>
    <n v="2532.35"/>
    <n v="170"/>
    <m/>
    <m/>
    <m/>
    <m/>
    <m/>
    <n v="10174.669749999997"/>
    <m/>
    <m/>
    <m/>
    <n v="37783.811921696055"/>
    <m/>
    <m/>
    <m/>
    <m/>
    <m/>
    <m/>
    <m/>
    <m/>
    <m/>
    <m/>
    <m/>
    <m/>
    <n v="74617.700199999992"/>
    <n v="-34687.169989999995"/>
    <m/>
    <m/>
    <m/>
    <m/>
    <n v="-41471.568739999995"/>
    <n v="2052.9081300000012"/>
    <n v="31"/>
    <n v="1706.6851274386863"/>
    <n v="0"/>
    <n v="0"/>
    <n v="0"/>
    <n v="0"/>
    <n v="0"/>
    <n v="0"/>
    <n v="0"/>
    <n v="-71.427074093207921"/>
    <n v="0"/>
    <n v="0"/>
    <n v="2051.9875136837436"/>
    <n v="0"/>
    <n v="0"/>
    <n v="11.920049306629153"/>
    <n v="289.96607904806478"/>
    <n v="0"/>
    <n v="-490.78916819003462"/>
    <m/>
    <n v="0"/>
    <n v="0"/>
    <n v="0"/>
    <n v="0"/>
    <n v="-66.956969373529546"/>
    <n v="-18.015302942976234"/>
    <n v="0"/>
    <n v="0"/>
    <m/>
    <m/>
    <m/>
    <n v="61229.052089590485"/>
    <n v="0"/>
    <n v="0"/>
    <n v="-41471.568740000002"/>
    <n v="2052.9081299999962"/>
    <n v="0"/>
    <n v="0"/>
    <n v="-41126.003265231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40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-1.018"/>
    <n v="-1.018"/>
    <n v="-1.018"/>
    <n v="-1.018"/>
    <m/>
    <n v="710.91"/>
    <n v="256.55"/>
    <m/>
    <n v="-984.87428"/>
    <n v="-984.87428"/>
    <n v="-672.31774000000007"/>
    <n v="0"/>
    <n v="-62.581225663127967"/>
    <n v="0"/>
    <n v="0"/>
    <n v="0"/>
    <n v="-125.29828001983269"/>
    <n v="-485.49444279563443"/>
    <n v="-261.17046712322895"/>
    <n v="0"/>
    <n v="0"/>
    <n v="0"/>
    <n v="0"/>
    <n v="0"/>
    <n v="-9.6753405030196173"/>
    <m/>
    <n v="-2.2353291299518765"/>
    <n v="0"/>
    <n v="0"/>
    <n v="0"/>
    <n v="0"/>
    <n v="0"/>
    <n v="0"/>
    <n v="0"/>
    <n v="0"/>
    <n v="0"/>
    <n v="0"/>
    <n v="0"/>
    <n v="0"/>
    <m/>
    <n v="0"/>
    <n v="0"/>
    <n v="-1.5171460960575891"/>
    <n v="0"/>
    <n v="0"/>
    <n v="-36.905963515792415"/>
    <n v="0"/>
    <n v="-1.07"/>
    <n v="-5.31"/>
    <n v="-15.94"/>
    <n v="4"/>
    <m/>
    <m/>
    <m/>
    <m/>
    <m/>
    <n v="-80.676499999999976"/>
    <m/>
    <m/>
    <m/>
    <n v="-299.59357673507895"/>
    <m/>
    <m/>
    <m/>
    <m/>
    <m/>
    <m/>
    <m/>
    <m/>
    <m/>
    <m/>
    <m/>
    <m/>
    <n v="-592.80360000000007"/>
    <n v="273.86106000000007"/>
    <m/>
    <m/>
    <m/>
    <m/>
    <n v="328.83436"/>
    <n v="-16.277820000000009"/>
    <n v="31"/>
    <n v="-13.532565288795581"/>
    <n v="0"/>
    <n v="0"/>
    <n v="0"/>
    <n v="0"/>
    <n v="0"/>
    <n v="0"/>
    <n v="0"/>
    <n v="0.56635610635721889"/>
    <n v="0"/>
    <n v="0"/>
    <n v="-16.270520293565937"/>
    <n v="0"/>
    <n v="0"/>
    <n v="-9.4515879288000093E-2"/>
    <n v="-2.2991850301894274"/>
    <n v="0"/>
    <n v="3.8915417699413126"/>
    <m/>
    <n v="0"/>
    <n v="0"/>
    <n v="0"/>
    <n v="0"/>
    <n v="0.53091196789591777"/>
    <n v="0.14284607005343064"/>
    <n v="0"/>
    <n v="0"/>
    <m/>
    <m/>
    <m/>
    <n v="-485.49444279563443"/>
    <n v="0"/>
    <n v="0"/>
    <n v="328.83435999999995"/>
    <n v="-16.27782000000002"/>
    <n v="0"/>
    <n v="0"/>
    <n v="326.09431892641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41"/>
    <s v="Regular"/>
    <s v="Verde"/>
    <s v="A4"/>
    <s v="Rural"/>
    <s v="Não se aplica"/>
    <s v="Não se aplica"/>
    <s v="Não se aplica"/>
    <s v="Ponta"/>
    <s v="CATIVO"/>
    <x v="6"/>
    <n v="0"/>
    <n v="0"/>
    <n v="16.506"/>
    <n v="15.84576"/>
    <n v="16.506"/>
    <n v="15.84576"/>
    <m/>
    <n v="3130.62"/>
    <n v="256.55"/>
    <m/>
    <n v="55908.628019999996"/>
    <n v="55908.628019999996"/>
    <n v="29424.090779999999"/>
    <n v="0"/>
    <n v="882.78994930467923"/>
    <n v="0"/>
    <n v="0"/>
    <n v="0"/>
    <n v="10633.393102845563"/>
    <n v="39682.877831784848"/>
    <n v="4234.6559237092506"/>
    <n v="0"/>
    <n v="0"/>
    <n v="0"/>
    <n v="0"/>
    <n v="0"/>
    <n v="156.87737754699586"/>
    <m/>
    <n v="22.267501744411931"/>
    <n v="0"/>
    <n v="0"/>
    <n v="0"/>
    <n v="0"/>
    <n v="0"/>
    <n v="0"/>
    <n v="0"/>
    <n v="0"/>
    <n v="0"/>
    <n v="0"/>
    <n v="0"/>
    <n v="0"/>
    <m/>
    <n v="0"/>
    <n v="0"/>
    <n v="20.335808235206198"/>
    <n v="0"/>
    <n v="0"/>
    <n v="275.473390989508"/>
    <n v="0"/>
    <n v="0"/>
    <n v="0"/>
    <n v="0"/>
    <n v="0"/>
    <m/>
    <m/>
    <m/>
    <m/>
    <m/>
    <n v="1176.9636311999998"/>
    <m/>
    <m/>
    <m/>
    <n v="4530.4651229339643"/>
    <m/>
    <m/>
    <m/>
    <m/>
    <m/>
    <m/>
    <m/>
    <m/>
    <m/>
    <m/>
    <m/>
    <m/>
    <n v="28254.6855"/>
    <n v="-25417.627399200006"/>
    <m/>
    <m/>
    <m/>
    <m/>
    <n v="-26748.46818"/>
    <n v="263.93094000000013"/>
    <n v="31"/>
    <n v="169.25089300844047"/>
    <n v="0"/>
    <n v="0"/>
    <n v="0"/>
    <n v="0"/>
    <n v="0"/>
    <n v="0"/>
    <n v="0"/>
    <n v="-48.063605614866901"/>
    <n v="0"/>
    <n v="0"/>
    <n v="263.81258149862424"/>
    <n v="0"/>
    <n v="0"/>
    <n v="1.2668897223394069"/>
    <n v="17.161570555056016"/>
    <n v="0"/>
    <n v="-54.895280899358568"/>
    <m/>
    <n v="0"/>
    <n v="0"/>
    <n v="0"/>
    <n v="0"/>
    <n v="-8.6082838330943048"/>
    <n v="-1.4229784202587368"/>
    <n v="0"/>
    <n v="0"/>
    <m/>
    <m/>
    <m/>
    <n v="39682.877831784848"/>
    <n v="0"/>
    <n v="0"/>
    <n v="-26748.468179999996"/>
    <n v="263.93094000000019"/>
    <n v="0"/>
    <n v="0"/>
    <n v="-26653.983813040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42"/>
    <s v="Sistema de Compensação"/>
    <s v="Verde"/>
    <s v="A4"/>
    <s v="Rural"/>
    <s v="Não se aplica"/>
    <s v="Não se aplica"/>
    <s v="Não se aplica"/>
    <s v="Ponta"/>
    <s v="CATIVO"/>
    <x v="6"/>
    <n v="0"/>
    <n v="0"/>
    <n v="0.23899999999999999"/>
    <n v="0.22943999999999998"/>
    <n v="0.23899999999999999"/>
    <n v="0.22943999999999998"/>
    <m/>
    <n v="3130.62"/>
    <n v="256.55"/>
    <m/>
    <n v="809.5336299999999"/>
    <n v="809.5336299999999"/>
    <n v="426.04856999999998"/>
    <n v="0"/>
    <n v="12.782430503078778"/>
    <n v="0"/>
    <n v="0"/>
    <n v="0"/>
    <n v="153.96709993820969"/>
    <n v="574.59153046144297"/>
    <n v="61.31605269396043"/>
    <n v="0"/>
    <n v="0"/>
    <n v="0"/>
    <n v="0"/>
    <n v="0"/>
    <n v="2.2715190375458625"/>
    <m/>
    <n v="0.32242414376072043"/>
    <n v="0"/>
    <n v="0"/>
    <n v="0"/>
    <n v="0"/>
    <n v="0"/>
    <n v="0"/>
    <n v="0"/>
    <n v="0"/>
    <n v="0"/>
    <n v="0"/>
    <n v="0"/>
    <n v="0"/>
    <m/>
    <n v="0"/>
    <n v="0"/>
    <n v="0.29445402691229133"/>
    <n v="0"/>
    <n v="0"/>
    <n v="3.9887398792252764"/>
    <n v="0"/>
    <n v="0"/>
    <n v="0"/>
    <n v="0"/>
    <n v="0"/>
    <m/>
    <m/>
    <m/>
    <m/>
    <m/>
    <n v="17.041942800000022"/>
    <m/>
    <m/>
    <m/>
    <n v="65.599246600097999"/>
    <m/>
    <m/>
    <m/>
    <m/>
    <m/>
    <m/>
    <m/>
    <m/>
    <m/>
    <m/>
    <m/>
    <m/>
    <n v="410.00490000000002"/>
    <n v="-367.17738479999991"/>
    <m/>
    <m/>
    <m/>
    <m/>
    <n v="-387.30667"/>
    <n v="3.8216100000000019"/>
    <n v="31"/>
    <n v="2.4506823839220999"/>
    <n v="0"/>
    <n v="0"/>
    <n v="0"/>
    <n v="0"/>
    <n v="0"/>
    <n v="0"/>
    <n v="0"/>
    <n v="-0.69594097552118228"/>
    <n v="0"/>
    <n v="0"/>
    <n v="3.8198962182340495"/>
    <n v="0"/>
    <n v="0"/>
    <n v="1.8344035116873825E-2"/>
    <n v="0.24849238838352061"/>
    <n v="0"/>
    <n v="-0.79486078607456001"/>
    <m/>
    <n v="0"/>
    <n v="0"/>
    <n v="0"/>
    <n v="0"/>
    <n v="-0.1246443618144637"/>
    <n v="-2.0604134402146979E-2"/>
    <n v="0"/>
    <n v="0"/>
    <m/>
    <m/>
    <m/>
    <n v="574.59153046144297"/>
    <n v="0"/>
    <n v="0"/>
    <n v="-387.30667"/>
    <n v="3.8216100000000068"/>
    <n v="0"/>
    <n v="0"/>
    <n v="-385.93857574922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43"/>
    <s v="Regular"/>
    <s v="Verde"/>
    <s v="A4"/>
    <s v="Rural"/>
    <s v="Não se aplica"/>
    <s v="Não se aplica"/>
    <s v="Não se aplica"/>
    <s v="Fora ponta"/>
    <s v="CATIVO"/>
    <x v="6"/>
    <n v="0"/>
    <n v="0"/>
    <n v="164.06100000000001"/>
    <n v="157.49856"/>
    <n v="164.06100000000001"/>
    <n v="157.49856"/>
    <m/>
    <n v="82.26"/>
    <n v="256.55"/>
    <m/>
    <n v="55585.507410000006"/>
    <n v="55585.507410000006"/>
    <n v="57746.190780000004"/>
    <n v="0"/>
    <n v="8774.4700032033797"/>
    <n v="0"/>
    <n v="0"/>
    <n v="0"/>
    <n v="0"/>
    <n v="0"/>
    <n v="42090.26326788219"/>
    <n v="0"/>
    <n v="0"/>
    <n v="0"/>
    <n v="0"/>
    <n v="0"/>
    <n v="1559.2790159782921"/>
    <m/>
    <n v="221.32731150429942"/>
    <n v="0"/>
    <n v="0"/>
    <n v="0"/>
    <n v="0"/>
    <n v="0"/>
    <n v="0"/>
    <n v="0"/>
    <n v="0"/>
    <n v="0"/>
    <n v="0"/>
    <n v="0"/>
    <n v="0"/>
    <m/>
    <n v="0"/>
    <n v="0"/>
    <n v="202.12728916007296"/>
    <n v="0"/>
    <n v="0"/>
    <n v="2738.0613109856827"/>
    <n v="0"/>
    <n v="0"/>
    <n v="0"/>
    <n v="0"/>
    <n v="0"/>
    <m/>
    <m/>
    <m/>
    <m/>
    <m/>
    <n v="2309.8476312000034"/>
    <m/>
    <m/>
    <m/>
    <n v="45030.451868027951"/>
    <m/>
    <m/>
    <m/>
    <m/>
    <m/>
    <m/>
    <m/>
    <m/>
    <m/>
    <m/>
    <m/>
    <m/>
    <n v="55436.850000000006"/>
    <n v="2074.732886400001"/>
    <m/>
    <m/>
    <m/>
    <m/>
    <n v="-462.65202000000124"/>
    <n v="2623.3353900000016"/>
    <n v="31"/>
    <n v="2159.9923639063709"/>
    <n v="0"/>
    <n v="0"/>
    <n v="0"/>
    <n v="0"/>
    <n v="0"/>
    <n v="0"/>
    <n v="0"/>
    <n v="0"/>
    <n v="0"/>
    <n v="0"/>
    <n v="2622.1589684506107"/>
    <n v="0"/>
    <n v="0"/>
    <n v="12.59222069167123"/>
    <n v="170.57702816145911"/>
    <n v="0"/>
    <n v="-545.63035742334068"/>
    <m/>
    <n v="0"/>
    <n v="0"/>
    <n v="0"/>
    <n v="0"/>
    <n v="-85.561835329049245"/>
    <n v="-14.143660644981765"/>
    <n v="0"/>
    <n v="0"/>
    <m/>
    <m/>
    <m/>
    <n v="0"/>
    <n v="0"/>
    <n v="0"/>
    <n v="-462.65202000000136"/>
    <n v="2623.3353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44"/>
    <s v="Regular"/>
    <s v="Verde"/>
    <s v="A4"/>
    <s v="Rural"/>
    <s v="Não se aplica"/>
    <s v="Não se aplica"/>
    <s v="Não se aplica"/>
    <s v="Não se aplica"/>
    <s v="CATIVO"/>
    <x v="6"/>
    <n v="733"/>
    <n v="703.68"/>
    <n v="0"/>
    <n v="0"/>
    <n v="0"/>
    <n v="0"/>
    <n v="47.39"/>
    <m/>
    <m/>
    <n v="34736.870000000003"/>
    <m/>
    <n v="34736.870000000003"/>
    <n v="23617.26"/>
    <n v="0"/>
    <n v="0"/>
    <n v="0"/>
    <n v="0"/>
    <n v="0"/>
    <n v="18303.083431548359"/>
    <n v="16433.7626911197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0.74"/>
    <n v="879.92"/>
    <n v="1145.08"/>
    <n v="6"/>
    <m/>
    <m/>
    <m/>
    <m/>
    <m/>
    <n v="944.69040000000155"/>
    <m/>
    <m/>
    <m/>
    <n v="0"/>
    <m/>
    <m/>
    <m/>
    <m/>
    <m/>
    <m/>
    <m/>
    <m/>
    <m/>
    <m/>
    <m/>
    <m/>
    <n v="22672.569599999999"/>
    <n v="-10674.855600000006"/>
    <m/>
    <m/>
    <m/>
    <m/>
    <n v="-11119.61"/>
    <n v="0"/>
    <n v="31"/>
    <n v="-82.731088287768216"/>
    <n v="0"/>
    <n v="0"/>
    <n v="0"/>
    <n v="0"/>
    <m/>
    <m/>
    <m/>
    <n v="-82.7310882877682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433.762691119722"/>
    <m/>
    <n v="0"/>
    <n v="0"/>
    <n v="-11119.610000000004"/>
    <m/>
    <n v="0"/>
    <m/>
    <n v="-11038.142107869233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45"/>
    <s v="Sistema de Compensação"/>
    <s v="Verde"/>
    <s v="A4"/>
    <s v="Rural"/>
    <s v="Não se aplica"/>
    <s v="Não se aplica"/>
    <s v="Não se aplica"/>
    <s v="Não se aplica"/>
    <s v="CATIVO"/>
    <x v="6"/>
    <n v="116"/>
    <n v="111.36"/>
    <n v="0"/>
    <n v="0"/>
    <n v="0"/>
    <n v="0"/>
    <n v="47.39"/>
    <m/>
    <m/>
    <n v="5497.24"/>
    <m/>
    <n v="5497.24"/>
    <n v="3737.52"/>
    <n v="0"/>
    <n v="0"/>
    <n v="0"/>
    <n v="0"/>
    <n v="0"/>
    <n v="2896.5316208180211"/>
    <n v="2600.704600504621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.42"/>
    <n v="48.07"/>
    <n v="26.44"/>
    <n v="1"/>
    <m/>
    <m/>
    <m/>
    <m/>
    <m/>
    <n v="149.50080000000003"/>
    <m/>
    <m/>
    <m/>
    <n v="0"/>
    <m/>
    <m/>
    <m/>
    <m/>
    <m/>
    <m/>
    <m/>
    <m/>
    <m/>
    <m/>
    <m/>
    <m/>
    <n v="3588.0191999999997"/>
    <n v="-1689.3612000000012"/>
    <m/>
    <m/>
    <m/>
    <m/>
    <n v="-1759.7200000000003"/>
    <n v="0"/>
    <n v="31"/>
    <n v="-13.09250510420361"/>
    <n v="0"/>
    <n v="0"/>
    <n v="0"/>
    <n v="0"/>
    <m/>
    <m/>
    <m/>
    <n v="-13.092505104203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00.7046005046218"/>
    <m/>
    <n v="0"/>
    <n v="0"/>
    <n v="-1759.7199999999998"/>
    <m/>
    <n v="0"/>
    <m/>
    <n v="-1746.827400426781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46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193.84800000000001"/>
    <n v="193.84800000000001"/>
    <n v="193.84800000000001"/>
    <n v="193.84800000000001"/>
    <m/>
    <n v="710.91"/>
    <n v="256.55"/>
    <m/>
    <n v="187540.18608000001"/>
    <n v="187540.18608000001"/>
    <n v="128023.03464000001"/>
    <n v="0"/>
    <n v="11916.744039632644"/>
    <n v="0"/>
    <n v="0"/>
    <n v="0"/>
    <n v="23859.352637804055"/>
    <n v="92448.061637571853"/>
    <n v="49732.193232714824"/>
    <n v="0"/>
    <n v="0"/>
    <n v="0"/>
    <n v="0"/>
    <n v="0"/>
    <n v="1842.3825204610478"/>
    <m/>
    <n v="425.65233907948078"/>
    <n v="0"/>
    <n v="0"/>
    <n v="0"/>
    <n v="0"/>
    <n v="0"/>
    <n v="0"/>
    <n v="0"/>
    <n v="0"/>
    <n v="0"/>
    <n v="0"/>
    <n v="0"/>
    <n v="0"/>
    <m/>
    <n v="0"/>
    <n v="0"/>
    <n v="288.8956153522314"/>
    <n v="0"/>
    <n v="0"/>
    <n v="7027.6495241741932"/>
    <n v="0"/>
    <n v="214.65"/>
    <n v="994.37"/>
    <n v="50059.34"/>
    <n v="300"/>
    <m/>
    <m/>
    <m/>
    <m/>
    <m/>
    <m/>
    <m/>
    <m/>
    <m/>
    <n v="57048.738372241249"/>
    <m/>
    <m/>
    <m/>
    <m/>
    <m/>
    <m/>
    <m/>
    <m/>
    <m/>
    <m/>
    <m/>
    <m/>
    <n v="128024.35549999999"/>
    <n v="-59515.860580000051"/>
    <m/>
    <m/>
    <m/>
    <m/>
    <n v="-62616.780960000004"/>
    <n v="3099.6295200000018"/>
    <n v="31"/>
    <n v="2576.8769313383382"/>
    <n v="0"/>
    <n v="0"/>
    <n v="0"/>
    <n v="0"/>
    <n v="0"/>
    <n v="0"/>
    <n v="0"/>
    <n v="-107.8457745630003"/>
    <n v="0"/>
    <n v="0"/>
    <n v="3098.2395067457473"/>
    <n v="0"/>
    <n v="0"/>
    <n v="17.997754585678024"/>
    <n v="437.81180720251359"/>
    <n v="0"/>
    <n v="-741.02906583456206"/>
    <m/>
    <n v="0"/>
    <n v="0"/>
    <n v="0"/>
    <n v="0"/>
    <n v="-101.09648639753209"/>
    <n v="-27.200810400508317"/>
    <n v="0"/>
    <n v="0"/>
    <m/>
    <m/>
    <m/>
    <n v="92448.061637571853"/>
    <n v="0"/>
    <n v="0"/>
    <n v="-62616.780959999989"/>
    <n v="3099.6295200000022"/>
    <n v="0"/>
    <n v="0"/>
    <n v="-62095.021154467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47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223.33"/>
    <n v="223.33"/>
    <n v="223.33"/>
    <n v="223.33"/>
    <m/>
    <n v="391"/>
    <n v="141.1"/>
    <m/>
    <n v="118833.893"/>
    <n v="118833.893"/>
    <n v="81120.155900000012"/>
    <n v="0"/>
    <n v="7551.0273281341051"/>
    <n v="0"/>
    <n v="0"/>
    <n v="0"/>
    <n v="15118.443695732887"/>
    <n v="58579.578241897703"/>
    <n v="31512.731073130639"/>
    <n v="0"/>
    <n v="0"/>
    <n v="0"/>
    <n v="0"/>
    <n v="0"/>
    <n v="1167.4229734741198"/>
    <m/>
    <n v="269.71397841422953"/>
    <n v="0"/>
    <n v="0"/>
    <n v="0"/>
    <n v="0"/>
    <n v="0"/>
    <n v="0"/>
    <n v="0"/>
    <n v="0"/>
    <n v="0"/>
    <n v="0"/>
    <n v="0"/>
    <n v="0"/>
    <m/>
    <n v="0"/>
    <n v="0"/>
    <n v="183.05828162858339"/>
    <n v="0"/>
    <n v="0"/>
    <n v="4453.0597815226574"/>
    <n v="0"/>
    <n v="156.78"/>
    <n v="724.99"/>
    <n v="28428.48"/>
    <n v="26"/>
    <m/>
    <m/>
    <m/>
    <m/>
    <m/>
    <m/>
    <m/>
    <m/>
    <m/>
    <n v="36148.849136281875"/>
    <m/>
    <m/>
    <m/>
    <m/>
    <m/>
    <m/>
    <m/>
    <m/>
    <m/>
    <m/>
    <m/>
    <m/>
    <n v="81120.155900000012"/>
    <n v="-37713.767099999968"/>
    <m/>
    <m/>
    <m/>
    <m/>
    <n v="-39676.807800000002"/>
    <n v="1963.0706999999984"/>
    <n v="31"/>
    <n v="1632.834276297348"/>
    <n v="0"/>
    <n v="0"/>
    <n v="0"/>
    <n v="0"/>
    <n v="0"/>
    <n v="0"/>
    <n v="0"/>
    <n v="-68.336316383130907"/>
    <n v="0"/>
    <n v="0"/>
    <n v="1963.1949051465454"/>
    <n v="0"/>
    <n v="0"/>
    <n v="11.404250713913342"/>
    <n v="277.41880750068503"/>
    <n v="0"/>
    <n v="-469.55197732274337"/>
    <m/>
    <n v="0"/>
    <n v="0"/>
    <n v="0"/>
    <n v="0"/>
    <n v="-64.059639867000669"/>
    <n v="-17.235753490932893"/>
    <n v="0"/>
    <n v="0"/>
    <m/>
    <m/>
    <m/>
    <n v="58579.578241897703"/>
    <n v="0"/>
    <n v="0"/>
    <n v="-39676.807799999995"/>
    <n v="1963.0707000000002"/>
    <n v="0"/>
    <n v="0"/>
    <n v="-39346.418796866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48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24.931999999999999"/>
    <n v="23.43608"/>
    <n v="24.931999999999999"/>
    <n v="23.43608"/>
    <m/>
    <n v="710.91"/>
    <n v="256.55"/>
    <m/>
    <n v="24120.712719999996"/>
    <n v="24120.712719999996"/>
    <n v="16465.840759999999"/>
    <n v="0"/>
    <n v="1532.6867566140534"/>
    <n v="0"/>
    <n v="0"/>
    <n v="0"/>
    <n v="3068.7001153776705"/>
    <n v="11890.321657937875"/>
    <n v="6396.3674718235206"/>
    <n v="0"/>
    <n v="0"/>
    <n v="0"/>
    <n v="0"/>
    <n v="0"/>
    <n v="236.96030395018178"/>
    <m/>
    <n v="54.745801442004115"/>
    <n v="0"/>
    <n v="0"/>
    <n v="0"/>
    <n v="0"/>
    <n v="0"/>
    <n v="0"/>
    <n v="0"/>
    <n v="0"/>
    <n v="0"/>
    <n v="0"/>
    <n v="0"/>
    <n v="0"/>
    <m/>
    <n v="0"/>
    <n v="0"/>
    <n v="37.156666470439887"/>
    <n v="0"/>
    <n v="0"/>
    <n v="903.86982551644053"/>
    <n v="0"/>
    <n v="26.3"/>
    <n v="121.59"/>
    <n v="6720.51"/>
    <n v="10"/>
    <m/>
    <m/>
    <m/>
    <m/>
    <n v="987.95044559999872"/>
    <m/>
    <m/>
    <m/>
    <m/>
    <n v="7337.3939638104011"/>
    <m/>
    <m/>
    <m/>
    <m/>
    <m/>
    <m/>
    <m/>
    <m/>
    <m/>
    <m/>
    <m/>
    <m/>
    <n v="15480.479200000002"/>
    <n v="-7193.0207567999933"/>
    <m/>
    <m/>
    <m/>
    <m/>
    <n v="-8053.5346399999989"/>
    <n v="398.66268000000019"/>
    <n v="31"/>
    <n v="331.42821000024378"/>
    <n v="0"/>
    <n v="0"/>
    <n v="0"/>
    <n v="0"/>
    <n v="0"/>
    <n v="0"/>
    <n v="0"/>
    <n v="-13.870717528191108"/>
    <n v="0"/>
    <n v="0"/>
    <n v="398.48390172808013"/>
    <n v="0"/>
    <n v="0"/>
    <n v="2.3148034404797855"/>
    <n v="56.309706456466301"/>
    <n v="0"/>
    <n v="-95.30836877031129"/>
    <m/>
    <n v="0"/>
    <n v="0"/>
    <n v="0"/>
    <n v="0"/>
    <n v="-13.00264949271218"/>
    <n v="-3.49846583356792"/>
    <n v="0"/>
    <n v="0"/>
    <m/>
    <m/>
    <m/>
    <n v="11890.321657937875"/>
    <n v="0"/>
    <n v="0"/>
    <n v="-8053.534639999998"/>
    <n v="398.66268000000036"/>
    <n v="0"/>
    <n v="0"/>
    <n v="-7986.4278580288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49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1.2589999999999999"/>
    <n v="1.18346"/>
    <n v="1.2589999999999999"/>
    <n v="1.18346"/>
    <m/>
    <n v="3130.62"/>
    <n v="256.55"/>
    <m/>
    <n v="4264.4470299999994"/>
    <n v="4264.4470299999994"/>
    <n v="2244.3311699999995"/>
    <n v="0"/>
    <n v="67.335062775632551"/>
    <n v="0"/>
    <n v="0"/>
    <n v="0"/>
    <n v="811.06518335651049"/>
    <n v="3026.8231667404048"/>
    <n v="322.99962486065346"/>
    <n v="0"/>
    <n v="0"/>
    <n v="0"/>
    <n v="0"/>
    <n v="0"/>
    <n v="11.965868068076322"/>
    <m/>
    <n v="1.6984602384717449"/>
    <n v="0"/>
    <n v="0"/>
    <n v="0"/>
    <n v="0"/>
    <n v="0"/>
    <n v="0"/>
    <n v="0"/>
    <n v="0"/>
    <n v="0"/>
    <n v="0"/>
    <n v="0"/>
    <n v="0"/>
    <m/>
    <n v="0"/>
    <n v="0"/>
    <n v="1.551119748462656"/>
    <n v="0"/>
    <n v="0"/>
    <n v="21.011813840772479"/>
    <n v="0"/>
    <n v="0"/>
    <n v="0"/>
    <n v="0"/>
    <n v="0"/>
    <m/>
    <m/>
    <m/>
    <m/>
    <n v="134.65987019999989"/>
    <m/>
    <m/>
    <m/>
    <m/>
    <n v="345.56255844988863"/>
    <m/>
    <m/>
    <m/>
    <m/>
    <m/>
    <m/>
    <m/>
    <m/>
    <m/>
    <m/>
    <m/>
    <m/>
    <n v="2103.5034000000001"/>
    <n v="-1905.1068082000006"/>
    <m/>
    <m/>
    <m/>
    <m/>
    <n v="-2040.2472699999998"/>
    <n v="20.13141000000001"/>
    <n v="31"/>
    <n v="12.909661595639591"/>
    <n v="0"/>
    <n v="0"/>
    <n v="0"/>
    <n v="0"/>
    <n v="0"/>
    <n v="0"/>
    <n v="0"/>
    <n v="-3.6660656409254671"/>
    <n v="0"/>
    <n v="0"/>
    <n v="20.122382170529988"/>
    <n v="0"/>
    <n v="0"/>
    <n v="9.663238582487077E-2"/>
    <n v="1.3090038367148651"/>
    <n v="0"/>
    <n v="-4.1871536806186995"/>
    <m/>
    <n v="0"/>
    <n v="0"/>
    <n v="0"/>
    <n v="0"/>
    <n v="-0.65659937876321983"/>
    <n v="-0.10853809712260709"/>
    <n v="0"/>
    <n v="0"/>
    <m/>
    <m/>
    <m/>
    <n v="3026.8231667404048"/>
    <n v="0"/>
    <n v="0"/>
    <n v="-2040.2472700000001"/>
    <n v="20.131410000000017"/>
    <n v="0"/>
    <n v="0"/>
    <n v="-2033.0404471475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50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21.614999999999998"/>
    <n v="20.318100000000001"/>
    <n v="21.614999999999998"/>
    <n v="20.318100000000001"/>
    <m/>
    <n v="82.26"/>
    <n v="256.55"/>
    <m/>
    <n v="7323.3781499999996"/>
    <n v="7323.3781499999996"/>
    <n v="7608.0477000000001"/>
    <n v="0"/>
    <n v="1156.034457422794"/>
    <n v="0"/>
    <n v="0"/>
    <n v="0"/>
    <n v="0"/>
    <n v="0"/>
    <n v="5545.3827572383043"/>
    <n v="0"/>
    <n v="0"/>
    <n v="0"/>
    <n v="0"/>
    <n v="0"/>
    <n v="205.43466107344693"/>
    <m/>
    <n v="29.159823712920385"/>
    <n v="0"/>
    <n v="0"/>
    <n v="0"/>
    <n v="0"/>
    <n v="0"/>
    <n v="0"/>
    <n v="0"/>
    <n v="0"/>
    <n v="0"/>
    <n v="0"/>
    <n v="0"/>
    <n v="0"/>
    <m/>
    <n v="0"/>
    <n v="0"/>
    <n v="26.630225069912875"/>
    <n v="0"/>
    <n v="0"/>
    <n v="360.73896439102236"/>
    <n v="0"/>
    <n v="0"/>
    <n v="0"/>
    <n v="0"/>
    <n v="0"/>
    <m/>
    <m/>
    <m/>
    <m/>
    <n v="456.48286199999905"/>
    <m/>
    <m/>
    <m/>
    <m/>
    <n v="5932.7519466992399"/>
    <m/>
    <m/>
    <m/>
    <m/>
    <m/>
    <m/>
    <m/>
    <m/>
    <m/>
    <m/>
    <m/>
    <m/>
    <n v="7152.2336000000005"/>
    <n v="268.22813899999983"/>
    <m/>
    <m/>
    <m/>
    <m/>
    <n v="-60.954300000000153"/>
    <n v="345.62385000000017"/>
    <n v="31"/>
    <n v="284.57851010195282"/>
    <n v="0"/>
    <n v="0"/>
    <n v="0"/>
    <n v="0"/>
    <n v="0"/>
    <n v="0"/>
    <n v="0"/>
    <n v="0"/>
    <n v="0"/>
    <n v="0"/>
    <n v="345.46885672438839"/>
    <n v="0"/>
    <n v="0"/>
    <n v="1.6590222554444658"/>
    <n v="22.473485250668602"/>
    <n v="0"/>
    <n v="-71.886677368207529"/>
    <m/>
    <n v="0"/>
    <n v="0"/>
    <n v="0"/>
    <n v="0"/>
    <n v="-11.272752638575867"/>
    <n v="-1.8634241217673946"/>
    <n v="0"/>
    <n v="0"/>
    <m/>
    <m/>
    <m/>
    <n v="0"/>
    <n v="0"/>
    <n v="0"/>
    <n v="-60.954300000000103"/>
    <n v="345.62385000000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51"/>
    <s v="Regular"/>
    <s v="Verde"/>
    <s v="A4"/>
    <s v="Serviço público"/>
    <s v="Água, esgoto e saneamento"/>
    <s v="Não se aplica"/>
    <s v="Não se aplica"/>
    <s v="Não se aplica"/>
    <s v="CATIVO"/>
    <x v="6"/>
    <n v="79"/>
    <n v="74.260000000000005"/>
    <n v="0"/>
    <n v="0"/>
    <n v="0"/>
    <n v="0"/>
    <n v="47.39"/>
    <m/>
    <m/>
    <n v="3743.81"/>
    <m/>
    <n v="3743.81"/>
    <n v="2545.38"/>
    <n v="0"/>
    <n v="0"/>
    <n v="0"/>
    <n v="0"/>
    <n v="0"/>
    <n v="1972.6379141777902"/>
    <n v="1771.16951241263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64"/>
    <n v="95.26"/>
    <n v="5115.13"/>
    <n v="1"/>
    <m/>
    <m/>
    <m/>
    <m/>
    <n v="152.72279999999984"/>
    <m/>
    <m/>
    <m/>
    <m/>
    <n v="0"/>
    <m/>
    <m/>
    <m/>
    <m/>
    <m/>
    <m/>
    <m/>
    <m/>
    <m/>
    <m/>
    <m/>
    <m/>
    <n v="2392.6572000000001"/>
    <n v="-1126.5542000000009"/>
    <m/>
    <m/>
    <m/>
    <m/>
    <n v="-1198.43"/>
    <n v="0"/>
    <n v="31"/>
    <n v="-8.9164474416556914"/>
    <n v="0"/>
    <n v="0"/>
    <n v="0"/>
    <n v="0"/>
    <m/>
    <m/>
    <m/>
    <n v="-8.91644744165569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71.1695124126304"/>
    <m/>
    <n v="0"/>
    <n v="0"/>
    <n v="-1198.4299999999998"/>
    <m/>
    <n v="0"/>
    <m/>
    <n v="-1189.6496951182394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52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1.21"/>
    <n v="1.21"/>
    <n v="1.21"/>
    <n v="1.21"/>
    <m/>
    <n v="710.91"/>
    <n v="256.55"/>
    <m/>
    <n v="1170.6265999999998"/>
    <n v="1170.6265999999998"/>
    <n v="799.12030000000004"/>
    <n v="0"/>
    <n v="74.38436449153717"/>
    <n v="0"/>
    <n v="0"/>
    <n v="0"/>
    <n v="148.9301756620801"/>
    <n v="577.0611746392118"/>
    <n v="310.42855129578294"/>
    <n v="0"/>
    <n v="0"/>
    <n v="0"/>
    <n v="0"/>
    <n v="0"/>
    <n v="11.500159144060644"/>
    <m/>
    <n v="2.6569236220449612"/>
    <n v="0"/>
    <n v="0"/>
    <n v="0"/>
    <n v="0"/>
    <n v="0"/>
    <n v="0"/>
    <n v="0"/>
    <n v="0"/>
    <n v="0"/>
    <n v="0"/>
    <n v="0"/>
    <n v="0"/>
    <m/>
    <n v="0"/>
    <n v="0"/>
    <n v="1.803287599439767"/>
    <n v="0"/>
    <n v="0"/>
    <n v="43.866616752562692"/>
    <n v="0"/>
    <n v="1.32"/>
    <n v="6.2"/>
    <n v="326.12"/>
    <n v="5"/>
    <m/>
    <m/>
    <m/>
    <m/>
    <m/>
    <m/>
    <m/>
    <m/>
    <m/>
    <n v="356.09845564778539"/>
    <m/>
    <m/>
    <m/>
    <m/>
    <m/>
    <m/>
    <m/>
    <m/>
    <m/>
    <m/>
    <m/>
    <m/>
    <n v="799.12030000000004"/>
    <n v="-371.53629999999976"/>
    <m/>
    <m/>
    <m/>
    <m/>
    <n v="-390.85419999999999"/>
    <n v="19.34790000000001"/>
    <n v="31"/>
    <n v="16.084876227350151"/>
    <n v="0"/>
    <n v="0"/>
    <n v="0"/>
    <n v="0"/>
    <n v="0"/>
    <n v="0"/>
    <n v="0"/>
    <n v="-0.67317376099433091"/>
    <n v="0"/>
    <n v="0"/>
    <n v="19.339223531645132"/>
    <n v="0"/>
    <n v="0"/>
    <n v="0.11234205691402765"/>
    <n v="2.7328230712467629"/>
    <n v="0"/>
    <n v="-4.6255064259616887"/>
    <m/>
    <n v="0"/>
    <n v="0"/>
    <n v="0"/>
    <n v="0"/>
    <n v="-0.63104467696862443"/>
    <n v="-0.16978756853109145"/>
    <n v="0"/>
    <n v="0"/>
    <m/>
    <m/>
    <m/>
    <n v="577.0611746392118"/>
    <n v="0"/>
    <n v="0"/>
    <n v="-390.85419999999993"/>
    <n v="19.347900000000038"/>
    <n v="0"/>
    <n v="0"/>
    <n v="-387.59737318365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53"/>
    <s v="Regular"/>
    <s v="Convencional"/>
    <s v="B1"/>
    <s v="Residencial"/>
    <s v="Residencial"/>
    <s v="Não se aplica"/>
    <s v="Não se aplica"/>
    <s v="Não se aplica"/>
    <s v="CATIVO"/>
    <x v="7"/>
    <n v="0"/>
    <n v="0"/>
    <n v="880.00599999999997"/>
    <n v="880.00599999999997"/>
    <n v="880.00599999999997"/>
    <n v="880.00599999999997"/>
    <m/>
    <n v="710.91"/>
    <n v="256.55"/>
    <m/>
    <n v="851370.60476000002"/>
    <n v="851370.60476000002"/>
    <n v="581182.36257999996"/>
    <n v="0"/>
    <n v="54098.088478297235"/>
    <n v="0"/>
    <n v="0"/>
    <n v="0"/>
    <n v="108313.59352370618"/>
    <n v="419683.71574343322"/>
    <n v="225767.75843933615"/>
    <n v="0"/>
    <n v="0"/>
    <n v="0"/>
    <n v="0"/>
    <n v="0"/>
    <n v="8363.8091303539095"/>
    <m/>
    <n v="1932.3212635878499"/>
    <n v="0"/>
    <n v="0"/>
    <n v="0"/>
    <n v="0"/>
    <n v="0"/>
    <n v="0"/>
    <n v="0"/>
    <n v="0"/>
    <n v="0"/>
    <n v="0"/>
    <n v="0"/>
    <n v="0"/>
    <m/>
    <n v="0"/>
    <n v="0"/>
    <n v="1311.4908324236294"/>
    <n v="0"/>
    <n v="0"/>
    <n v="31903.211522277423"/>
    <n v="0"/>
    <n v="2.62"/>
    <n v="12.4"/>
    <n v="229850.2"/>
    <n v="5302"/>
    <m/>
    <m/>
    <m/>
    <m/>
    <m/>
    <m/>
    <m/>
    <m/>
    <m/>
    <n v="258982.46079403718"/>
    <m/>
    <m/>
    <m/>
    <m/>
    <m/>
    <m/>
    <m/>
    <m/>
    <m/>
    <m/>
    <m/>
    <m/>
    <n v="581185.00429999991"/>
    <n v="-270185.63046000013"/>
    <m/>
    <m/>
    <m/>
    <m/>
    <n v="-284259.53811999998"/>
    <n v="14071.295940000007"/>
    <n v="29"/>
    <n v="11698.171561426076"/>
    <n v="0"/>
    <n v="0"/>
    <n v="0"/>
    <n v="0"/>
    <n v="0"/>
    <n v="0"/>
    <n v="0"/>
    <n v="-489.58425513851398"/>
    <n v="0"/>
    <n v="0"/>
    <n v="14064.985738172691"/>
    <n v="0"/>
    <n v="0"/>
    <n v="81.703871187343566"/>
    <n v="1987.521239368245"/>
    <n v="0"/>
    <n v="-3364.027609822173"/>
    <m/>
    <n v="0"/>
    <n v="0"/>
    <n v="0"/>
    <n v="0"/>
    <n v="-458.94471239706672"/>
    <n v="-123.48270994443965"/>
    <n v="0"/>
    <n v="0"/>
    <m/>
    <m/>
    <m/>
    <n v="419683.71574343322"/>
    <n v="0"/>
    <n v="0"/>
    <n v="-284259.53811999998"/>
    <n v="14071.295940000011"/>
    <n v="0"/>
    <n v="0"/>
    <n v="-281890.92064946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54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1.0429999999999999"/>
    <n v="-1.0429999999999999"/>
    <n v="-1.0429999999999999"/>
    <n v="-1.0429999999999999"/>
    <m/>
    <n v="710.91"/>
    <n v="256.55"/>
    <m/>
    <n v="-1009.0607799999999"/>
    <n v="-1009.0607799999999"/>
    <n v="-688.82848999999999"/>
    <n v="0"/>
    <n v="-64.118092698077078"/>
    <n v="0"/>
    <n v="0"/>
    <n v="0"/>
    <n v="-128.37534976491699"/>
    <n v="-497.41719433776683"/>
    <n v="-267.58428016653022"/>
    <n v="0"/>
    <n v="0"/>
    <n v="0"/>
    <n v="0"/>
    <n v="0"/>
    <n v="-9.9129470969051656"/>
    <m/>
    <n v="-2.2902242461098301"/>
    <n v="0"/>
    <n v="0"/>
    <n v="0"/>
    <n v="0"/>
    <n v="0"/>
    <n v="0"/>
    <n v="0"/>
    <n v="0"/>
    <n v="0"/>
    <n v="0"/>
    <n v="0"/>
    <n v="0"/>
    <m/>
    <n v="0"/>
    <n v="0"/>
    <n v="-1.5544041043104768"/>
    <n v="0"/>
    <n v="0"/>
    <n v="-37.812298572663543"/>
    <n v="0"/>
    <n v="-1.1599999999999999"/>
    <n v="-5.34"/>
    <n v="-287.02"/>
    <n v="0"/>
    <m/>
    <m/>
    <m/>
    <m/>
    <m/>
    <m/>
    <m/>
    <m/>
    <m/>
    <n v="-306.95098284350428"/>
    <m/>
    <m/>
    <m/>
    <m/>
    <m/>
    <m/>
    <m/>
    <m/>
    <m/>
    <m/>
    <m/>
    <m/>
    <n v="-686.84720000000004"/>
    <n v="322.18357999999989"/>
    <m/>
    <m/>
    <m/>
    <m/>
    <n v="336.90985999999998"/>
    <n v="-16.67757000000001"/>
    <n v="29"/>
    <n v="-13.864897442252982"/>
    <n v="0"/>
    <n v="0"/>
    <n v="0"/>
    <n v="0"/>
    <n v="0"/>
    <n v="0"/>
    <n v="0"/>
    <n v="0.58026465513810876"/>
    <n v="0"/>
    <n v="0"/>
    <n v="-16.67009102769083"/>
    <n v="0"/>
    <n v="0"/>
    <n v="-9.6836996166389078E-2"/>
    <n v="-2.3556483167854267"/>
    <n v="0"/>
    <n v="3.987110084527302"/>
    <m/>
    <n v="0"/>
    <n v="0"/>
    <n v="0"/>
    <n v="0"/>
    <n v="0.54395008105642439"/>
    <n v="0.14635407766770925"/>
    <n v="0"/>
    <n v="0"/>
    <m/>
    <m/>
    <m/>
    <n v="-497.41719433776683"/>
    <n v="0"/>
    <n v="0"/>
    <n v="336.90985999999998"/>
    <n v="-16.67757000000006"/>
    <n v="0"/>
    <n v="0"/>
    <n v="334.1025291161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55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13.705"/>
    <n v="13.705"/>
    <n v="13.705"/>
    <n v="13.705"/>
    <m/>
    <n v="710.91"/>
    <n v="256.55"/>
    <m/>
    <n v="13259.0393"/>
    <n v="13259.0393"/>
    <n v="9051.1931499999992"/>
    <n v="0"/>
    <n v="842.51050855910489"/>
    <n v="0"/>
    <n v="0"/>
    <n v="0"/>
    <n v="1686.8496342552132"/>
    <n v="6536.0523953970232"/>
    <n v="3516.0523103377727"/>
    <n v="0"/>
    <n v="0"/>
    <n v="0"/>
    <n v="0"/>
    <n v="0"/>
    <n v="130.25593476805878"/>
    <m/>
    <n v="30.093502677790244"/>
    <n v="0"/>
    <n v="0"/>
    <n v="0"/>
    <n v="0"/>
    <n v="0"/>
    <n v="0"/>
    <n v="0"/>
    <n v="0"/>
    <n v="0"/>
    <n v="0"/>
    <n v="0"/>
    <n v="0"/>
    <m/>
    <n v="0"/>
    <n v="0"/>
    <n v="20.424840124233064"/>
    <n v="0"/>
    <n v="0"/>
    <n v="496.85287817675345"/>
    <n v="0"/>
    <n v="0"/>
    <n v="0"/>
    <n v="7620.42"/>
    <n v="105"/>
    <m/>
    <m/>
    <m/>
    <m/>
    <m/>
    <m/>
    <m/>
    <m/>
    <m/>
    <n v="4033.3300286387594"/>
    <m/>
    <m/>
    <m/>
    <m/>
    <m/>
    <m/>
    <m/>
    <m/>
    <m/>
    <m/>
    <m/>
    <m/>
    <n v="9054.4953000000005"/>
    <n v="-4204.5740000000005"/>
    <m/>
    <m/>
    <m/>
    <m/>
    <n v="-4426.9890999999998"/>
    <n v="219.14295000000013"/>
    <n v="29"/>
    <n v="182.1844865254825"/>
    <n v="0"/>
    <n v="0"/>
    <n v="0"/>
    <n v="0"/>
    <n v="0"/>
    <n v="0"/>
    <n v="0"/>
    <n v="-7.6246664416755721"/>
    <n v="0"/>
    <n v="0"/>
    <n v="219.04467644727038"/>
    <n v="0"/>
    <n v="0"/>
    <n v="1.2724362727328504"/>
    <n v="30.953173711931356"/>
    <n v="0"/>
    <n v="-52.390550056037"/>
    <m/>
    <n v="0"/>
    <n v="0"/>
    <n v="0"/>
    <n v="0"/>
    <n v="-7.1474936345909015"/>
    <n v="-1.9230897741476092"/>
    <n v="0"/>
    <n v="0"/>
    <m/>
    <m/>
    <m/>
    <n v="6536.0523953970232"/>
    <n v="0"/>
    <n v="0"/>
    <n v="-4426.9890999999998"/>
    <n v="219.14295000000038"/>
    <n v="0"/>
    <n v="0"/>
    <n v="-4390.1008260181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56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4.05"/>
    <n v="4.05"/>
    <n v="4.05"/>
    <n v="4.05"/>
    <m/>
    <n v="639.92999999999995"/>
    <n v="256.55"/>
    <m/>
    <n v="3630.7439999999997"/>
    <n v="3630.7439999999997"/>
    <n v="2404.89"/>
    <n v="0"/>
    <n v="0"/>
    <n v="0"/>
    <n v="0"/>
    <n v="0"/>
    <n v="498.48529870365655"/>
    <n v="1931.485749825461"/>
    <n v="1039.0377130148106"/>
    <n v="0"/>
    <n v="0"/>
    <n v="0"/>
    <n v="0"/>
    <n v="0"/>
    <n v="0"/>
    <m/>
    <n v="8.8930088175885071"/>
    <n v="0"/>
    <n v="0"/>
    <n v="0"/>
    <n v="0"/>
    <n v="0"/>
    <n v="0"/>
    <n v="0"/>
    <n v="0"/>
    <n v="0"/>
    <n v="0"/>
    <n v="0"/>
    <n v="0"/>
    <m/>
    <n v="0"/>
    <n v="0"/>
    <n v="6.0357973369678151"/>
    <n v="0"/>
    <n v="0"/>
    <n v="146.82627921312306"/>
    <n v="0"/>
    <n v="0"/>
    <n v="0"/>
    <n v="272.07"/>
    <n v="2"/>
    <m/>
    <m/>
    <m/>
    <m/>
    <m/>
    <m/>
    <m/>
    <n v="1563.1785"/>
    <m/>
    <n v="1191.8997895649015"/>
    <m/>
    <m/>
    <m/>
    <m/>
    <m/>
    <m/>
    <m/>
    <m/>
    <m/>
    <m/>
    <m/>
    <m/>
    <n v="841.71149999999989"/>
    <n v="-429.08699999999999"/>
    <m/>
    <m/>
    <m/>
    <m/>
    <n v="-1290.6134999999997"/>
    <n v="64.759500000000031"/>
    <n v="29"/>
    <n v="71.432050155071238"/>
    <n v="0"/>
    <n v="0"/>
    <n v="0"/>
    <n v="0"/>
    <n v="0"/>
    <n v="0"/>
    <n v="0"/>
    <n v="-2.2531849025017436"/>
    <n v="0"/>
    <n v="0"/>
    <n v="64.730458928233929"/>
    <n v="0"/>
    <n v="0"/>
    <n v="0.37602093429901817"/>
    <n v="9.1470524285531951"/>
    <n v="0"/>
    <n v="0"/>
    <m/>
    <n v="0"/>
    <n v="0"/>
    <n v="0"/>
    <n v="0"/>
    <n v="0"/>
    <n v="-0.56829723351315842"/>
    <n v="0"/>
    <n v="0"/>
    <m/>
    <m/>
    <m/>
    <n v="1931.485749825461"/>
    <n v="0"/>
    <n v="0"/>
    <n v="-1290.6134999999997"/>
    <n v="64.759500000000116"/>
    <n v="0"/>
    <n v="0"/>
    <n v="-1297.3300507386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57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8.7010000000000005"/>
    <n v="8.7010000000000005"/>
    <n v="8.7010000000000005"/>
    <n v="8.7010000000000005"/>
    <m/>
    <n v="639.92999999999995"/>
    <n v="256.55"/>
    <m/>
    <n v="7800.2724799999996"/>
    <n v="7800.2724799999996"/>
    <n v="5166.6538"/>
    <n v="0"/>
    <n v="0"/>
    <n v="0"/>
    <n v="0"/>
    <n v="0"/>
    <n v="1070.9433540791397"/>
    <n v="4149.5944467237869"/>
    <n v="2232.2634915905846"/>
    <n v="0"/>
    <n v="0"/>
    <n v="0"/>
    <n v="0"/>
    <n v="0"/>
    <n v="0"/>
    <m/>
    <n v="19.105696227614224"/>
    <n v="0"/>
    <n v="0"/>
    <n v="0"/>
    <n v="0"/>
    <n v="0"/>
    <n v="0"/>
    <n v="0"/>
    <n v="0"/>
    <n v="0"/>
    <n v="0"/>
    <n v="0"/>
    <n v="0"/>
    <m/>
    <n v="0"/>
    <n v="0"/>
    <n v="12.967277192335052"/>
    <n v="0"/>
    <n v="0"/>
    <n v="315.4408531934281"/>
    <n v="0"/>
    <n v="0"/>
    <n v="0"/>
    <n v="1029.45"/>
    <n v="25"/>
    <m/>
    <m/>
    <m/>
    <m/>
    <m/>
    <m/>
    <m/>
    <n v="2066.6615200000001"/>
    <m/>
    <n v="2560.671621976348"/>
    <m/>
    <m/>
    <m/>
    <m/>
    <m/>
    <m/>
    <m/>
    <m/>
    <m/>
    <m/>
    <m/>
    <m/>
    <n v="3099.6359999999995"/>
    <n v="-1580.5748900000008"/>
    <m/>
    <m/>
    <m/>
    <m/>
    <n v="-2772.7476699999997"/>
    <n v="139.1289900000001"/>
    <n v="29"/>
    <n v="153.46426380228968"/>
    <n v="0"/>
    <n v="0"/>
    <n v="0"/>
    <n v="0"/>
    <n v="0"/>
    <n v="0"/>
    <n v="0"/>
    <n v="-4.8407313176955995"/>
    <n v="0"/>
    <n v="0"/>
    <n v="139.06659830483022"/>
    <n v="0"/>
    <n v="0"/>
    <n v="0.80784151835450757"/>
    <n v="19.651482266874439"/>
    <n v="0"/>
    <n v="0"/>
    <m/>
    <n v="0"/>
    <n v="0"/>
    <n v="0"/>
    <n v="0"/>
    <n v="0"/>
    <n v="-1.2209269700735774"/>
    <n v="0"/>
    <n v="0"/>
    <m/>
    <m/>
    <m/>
    <n v="4149.5944467237869"/>
    <n v="0"/>
    <n v="0"/>
    <n v="-2772.7476699999997"/>
    <n v="139.12899000000016"/>
    <n v="0"/>
    <n v="0"/>
    <n v="-2787.1774744388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58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7"/>
    <n v="7"/>
    <n v="7"/>
    <n v="7"/>
    <m/>
    <n v="639.92999999999995"/>
    <n v="256.55"/>
    <m/>
    <n v="6275.36"/>
    <n v="6275.36"/>
    <n v="4156.6000000000004"/>
    <n v="0"/>
    <n v="0"/>
    <n v="0"/>
    <n v="0"/>
    <n v="0"/>
    <n v="861.57952862360401"/>
    <n v="3338.3704317970933"/>
    <n v="1795.8676521243642"/>
    <n v="0"/>
    <n v="0"/>
    <n v="0"/>
    <n v="0"/>
    <n v="0"/>
    <n v="0"/>
    <m/>
    <n v="15.37063252422705"/>
    <n v="0"/>
    <n v="0"/>
    <n v="0"/>
    <n v="0"/>
    <n v="0"/>
    <n v="0"/>
    <n v="0"/>
    <n v="0"/>
    <n v="0"/>
    <n v="0"/>
    <n v="0"/>
    <n v="0"/>
    <m/>
    <n v="0"/>
    <n v="0"/>
    <n v="10.432242310808569"/>
    <n v="0"/>
    <n v="0"/>
    <n v="253.7738159239164"/>
    <n v="0"/>
    <n v="0"/>
    <n v="0"/>
    <n v="1246.92"/>
    <n v="80"/>
    <m/>
    <m/>
    <m/>
    <m/>
    <m/>
    <m/>
    <m/>
    <n v="415.73000000000013"/>
    <m/>
    <n v="2060.0737103590891"/>
    <m/>
    <m/>
    <m/>
    <m/>
    <m/>
    <m/>
    <m/>
    <m/>
    <m/>
    <m/>
    <m/>
    <m/>
    <n v="3740.87"/>
    <n v="-1907.0400000000009"/>
    <m/>
    <m/>
    <m/>
    <m/>
    <n v="-2230.6899999999996"/>
    <n v="111.93000000000006"/>
    <n v="29"/>
    <n v="123.46280273716047"/>
    <n v="0"/>
    <n v="0"/>
    <n v="0"/>
    <n v="0"/>
    <n v="0"/>
    <n v="0"/>
    <n v="0"/>
    <n v="-3.8943936586450718"/>
    <n v="0"/>
    <n v="0"/>
    <n v="111.87980555497188"/>
    <n v="0"/>
    <n v="0"/>
    <n v="0.64991272594892102"/>
    <n v="15.80972024688208"/>
    <n v="0"/>
    <n v="0"/>
    <m/>
    <n v="0"/>
    <n v="0"/>
    <n v="0"/>
    <n v="0"/>
    <n v="0"/>
    <n v="-0.98224213199805099"/>
    <n v="0"/>
    <n v="0"/>
    <m/>
    <m/>
    <m/>
    <n v="3338.3704317970933"/>
    <n v="0"/>
    <n v="0"/>
    <n v="-2230.6899999999996"/>
    <n v="111.93000000000006"/>
    <n v="0"/>
    <n v="0"/>
    <n v="-2242.2988531285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59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2.5299999999999998"/>
    <n v="2.5299999999999998"/>
    <n v="2.5299999999999998"/>
    <n v="2.5299999999999998"/>
    <m/>
    <n v="639.92999999999995"/>
    <n v="256.55"/>
    <m/>
    <n v="2268.0944"/>
    <n v="2268.0944"/>
    <n v="1502.3139999999999"/>
    <n v="0"/>
    <n v="0"/>
    <n v="0"/>
    <n v="0"/>
    <n v="0"/>
    <n v="311.39945820253115"/>
    <n v="1206.5824560638064"/>
    <n v="649.07787998209153"/>
    <n v="0"/>
    <n v="0"/>
    <n v="0"/>
    <n v="0"/>
    <n v="0"/>
    <n v="0"/>
    <m/>
    <n v="5.5553857551849193"/>
    <n v="0"/>
    <n v="0"/>
    <n v="0"/>
    <n v="0"/>
    <n v="0"/>
    <n v="0"/>
    <n v="0"/>
    <n v="0"/>
    <n v="0"/>
    <n v="0"/>
    <n v="0"/>
    <n v="0"/>
    <m/>
    <n v="0"/>
    <n v="0"/>
    <n v="3.7705104351922398"/>
    <n v="0"/>
    <n v="0"/>
    <n v="91.721107755358346"/>
    <n v="0"/>
    <n v="0"/>
    <n v="0"/>
    <n v="500.64"/>
    <n v="28"/>
    <m/>
    <m/>
    <m/>
    <m/>
    <m/>
    <m/>
    <m/>
    <m/>
    <m/>
    <n v="744.56949817264217"/>
    <m/>
    <m/>
    <m/>
    <m/>
    <m/>
    <m/>
    <m/>
    <m/>
    <m/>
    <m/>
    <m/>
    <m/>
    <n v="1502.3139999999999"/>
    <n v="-765.81039999999985"/>
    <m/>
    <m/>
    <m/>
    <m/>
    <n v="-806.23509999999987"/>
    <n v="40.454700000000017"/>
    <n v="29"/>
    <n v="44.622984417859243"/>
    <n v="0"/>
    <n v="0"/>
    <n v="0"/>
    <n v="0"/>
    <n v="0"/>
    <n v="0"/>
    <n v="0"/>
    <n v="-1.4075451366245488"/>
    <n v="0"/>
    <n v="0"/>
    <n v="40.43655829343993"/>
    <n v="0"/>
    <n v="0"/>
    <n v="0.23489702809296675"/>
    <n v="5.7140846035159569"/>
    <n v="0"/>
    <n v="0"/>
    <m/>
    <n v="0"/>
    <n v="0"/>
    <n v="0"/>
    <n v="0"/>
    <n v="0"/>
    <n v="-0.35501037056500984"/>
    <n v="0"/>
    <n v="0"/>
    <m/>
    <m/>
    <m/>
    <n v="1206.5824560638064"/>
    <n v="0"/>
    <n v="0"/>
    <n v="-806.23509999999976"/>
    <n v="40.454700000000003"/>
    <n v="0"/>
    <n v="0"/>
    <n v="-810.43087120218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60"/>
    <s v="Regular"/>
    <s v="Convencional"/>
    <s v="B3"/>
    <s v="Industrial"/>
    <s v="Não se aplica"/>
    <s v="Não se aplica"/>
    <s v="Não se aplica"/>
    <s v="Não se aplica"/>
    <s v="CATIVO"/>
    <x v="7"/>
    <n v="0"/>
    <n v="0"/>
    <n v="60.86"/>
    <n v="60.86"/>
    <n v="60.86"/>
    <n v="60.86"/>
    <m/>
    <n v="710.91"/>
    <n v="256.55"/>
    <m/>
    <n v="58879.615599999997"/>
    <n v="58879.615599999997"/>
    <n v="40193.769799999995"/>
    <n v="0"/>
    <n v="3741.3491098801255"/>
    <n v="0"/>
    <n v="0"/>
    <n v="0"/>
    <n v="7490.8185874332194"/>
    <n v="29024.746354167299"/>
    <n v="15613.786472612686"/>
    <n v="0"/>
    <n v="0"/>
    <n v="0"/>
    <n v="0"/>
    <n v="0"/>
    <n v="578.42949215498413"/>
    <m/>
    <n v="133.63667077492261"/>
    <n v="0"/>
    <n v="0"/>
    <n v="0"/>
    <n v="0"/>
    <n v="0"/>
    <n v="0"/>
    <n v="0"/>
    <n v="0"/>
    <n v="0"/>
    <n v="0"/>
    <n v="0"/>
    <n v="0"/>
    <m/>
    <n v="0"/>
    <n v="0"/>
    <n v="90.700895290829934"/>
    <n v="0"/>
    <n v="0"/>
    <n v="2206.3820624470791"/>
    <n v="0"/>
    <n v="0"/>
    <n v="0"/>
    <n v="10204.58"/>
    <n v="44"/>
    <m/>
    <m/>
    <m/>
    <m/>
    <m/>
    <m/>
    <m/>
    <m/>
    <m/>
    <n v="17910.869430350594"/>
    <m/>
    <m/>
    <m/>
    <m/>
    <m/>
    <m/>
    <m/>
    <m/>
    <m/>
    <m/>
    <m/>
    <m/>
    <n v="40193.769799999995"/>
    <n v="-18685.875800000009"/>
    <m/>
    <m/>
    <m/>
    <m/>
    <n v="-19658.997199999998"/>
    <n v="973.15140000000054"/>
    <n v="29"/>
    <n v="809.02939437729947"/>
    <n v="0"/>
    <n v="0"/>
    <n v="0"/>
    <n v="0"/>
    <n v="0"/>
    <n v="0"/>
    <n v="0"/>
    <n v="-33.858971152161757"/>
    <n v="0"/>
    <n v="0"/>
    <n v="972.71499515365576"/>
    <n v="0"/>
    <n v="0"/>
    <n v="5.6505269287501818"/>
    <n v="137.45422488932036"/>
    <n v="0"/>
    <n v="-232.65150502812185"/>
    <m/>
    <n v="0"/>
    <n v="0"/>
    <n v="0"/>
    <n v="0"/>
    <n v="-31.739982677942521"/>
    <n v="-8.5398937362001988"/>
    <n v="0"/>
    <n v="0"/>
    <m/>
    <m/>
    <m/>
    <n v="29024.746354167299"/>
    <n v="0"/>
    <n v="0"/>
    <n v="-19658.997199999998"/>
    <n v="973.15140000000065"/>
    <n v="0"/>
    <n v="0"/>
    <n v="-19495.186885915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61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3.73"/>
    <n v="3.73"/>
    <n v="3.73"/>
    <n v="3.73"/>
    <m/>
    <n v="710.91"/>
    <n v="256.55"/>
    <m/>
    <n v="3608.6257999999998"/>
    <n v="3608.6257999999998"/>
    <n v="2463.4039000000002"/>
    <n v="0"/>
    <n v="229.30056161440797"/>
    <n v="0"/>
    <n v="0"/>
    <n v="0"/>
    <n v="459.09880596657752"/>
    <n v="1778.8745300861654"/>
    <n v="956.94090606055397"/>
    <n v="0"/>
    <n v="0"/>
    <n v="0"/>
    <n v="0"/>
    <n v="0"/>
    <n v="35.450903807724131"/>
    <m/>
    <n v="8.1903513307666991"/>
    <n v="0"/>
    <n v="0"/>
    <n v="0"/>
    <n v="0"/>
    <n v="0"/>
    <n v="0"/>
    <n v="0"/>
    <n v="0"/>
    <n v="0"/>
    <n v="0"/>
    <n v="0"/>
    <n v="0"/>
    <m/>
    <n v="0"/>
    <n v="0"/>
    <n v="5.5588948313308517"/>
    <n v="0"/>
    <n v="0"/>
    <n v="135.22519048517259"/>
    <n v="0"/>
    <n v="0"/>
    <n v="0"/>
    <n v="1432.01"/>
    <n v="6"/>
    <m/>
    <m/>
    <m/>
    <m/>
    <m/>
    <m/>
    <m/>
    <m/>
    <m/>
    <n v="1097.7249913770574"/>
    <m/>
    <m/>
    <m/>
    <m/>
    <m/>
    <m/>
    <m/>
    <m/>
    <m/>
    <m/>
    <m/>
    <m/>
    <n v="2463.4039000000002"/>
    <n v="-1145.2519000000002"/>
    <m/>
    <m/>
    <m/>
    <m/>
    <n v="-1204.8645999999999"/>
    <n v="59.642700000000033"/>
    <n v="29"/>
    <n v="49.583957295881191"/>
    <n v="0"/>
    <n v="0"/>
    <n v="0"/>
    <n v="0"/>
    <n v="0"/>
    <n v="0"/>
    <n v="0"/>
    <n v="-2.0751554781065238"/>
    <n v="0"/>
    <n v="0"/>
    <n v="59.615953531435139"/>
    <n v="0"/>
    <n v="0"/>
    <n v="0.34631063825563935"/>
    <n v="8.4243223601243358"/>
    <n v="0"/>
    <n v="-14.258792536228981"/>
    <m/>
    <n v="0"/>
    <n v="0"/>
    <n v="0"/>
    <n v="0"/>
    <n v="-1.9452864835479033"/>
    <n v="-0.52339473605038922"/>
    <n v="0"/>
    <n v="0"/>
    <m/>
    <m/>
    <m/>
    <n v="1778.8745300861654"/>
    <n v="0"/>
    <n v="0"/>
    <n v="-1204.8645999999997"/>
    <n v="59.642699999999991"/>
    <n v="0"/>
    <n v="0"/>
    <n v="-1194.8249603099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62"/>
    <s v="Regular"/>
    <s v="Verde"/>
    <s v="A4"/>
    <s v="Industrial"/>
    <s v="Não se aplica"/>
    <s v="Não se aplica"/>
    <s v="Não se aplica"/>
    <s v="Ponta"/>
    <s v="CATIVO"/>
    <x v="7"/>
    <n v="0"/>
    <n v="0"/>
    <n v="6.0919999999999996"/>
    <n v="6.0919999999999996"/>
    <n v="6.0919999999999996"/>
    <n v="6.0919999999999996"/>
    <m/>
    <n v="3130.62"/>
    <n v="256.55"/>
    <m/>
    <n v="20634.639640000001"/>
    <n v="20634.639640000001"/>
    <n v="10859.781959999998"/>
    <n v="0"/>
    <n v="325.81827039646828"/>
    <n v="0"/>
    <n v="0"/>
    <n v="0"/>
    <n v="3924.5505139061652"/>
    <n v="14646.073655109249"/>
    <n v="1562.9179623916607"/>
    <n v="0"/>
    <n v="0"/>
    <n v="0"/>
    <n v="0"/>
    <n v="0"/>
    <n v="57.899974798030939"/>
    <m/>
    <n v="8.2184430284113343"/>
    <n v="0"/>
    <n v="0"/>
    <n v="0"/>
    <n v="0"/>
    <n v="0"/>
    <n v="0"/>
    <n v="0"/>
    <n v="0"/>
    <n v="0"/>
    <n v="0"/>
    <n v="0"/>
    <n v="0"/>
    <m/>
    <n v="0"/>
    <n v="0"/>
    <n v="7.505497623220414"/>
    <n v="0"/>
    <n v="0"/>
    <n v="101.67114369975056"/>
    <n v="0"/>
    <n v="0"/>
    <n v="0"/>
    <n v="0"/>
    <n v="0"/>
    <m/>
    <m/>
    <m/>
    <m/>
    <m/>
    <m/>
    <m/>
    <m/>
    <m/>
    <n v="1672.0946037146316"/>
    <m/>
    <m/>
    <m/>
    <m/>
    <m/>
    <m/>
    <m/>
    <m/>
    <m/>
    <m/>
    <m/>
    <m/>
    <n v="10856.216699999999"/>
    <n v="-9778.4529399999974"/>
    <m/>
    <m/>
    <m/>
    <m/>
    <n v="-9872.268759999999"/>
    <n v="97.411080000000055"/>
    <n v="29"/>
    <n v="62.466766037043271"/>
    <n v="0"/>
    <n v="0"/>
    <n v="0"/>
    <n v="0"/>
    <n v="0"/>
    <n v="0"/>
    <n v="0"/>
    <n v="-17.739215158473598"/>
    <n v="0"/>
    <n v="0"/>
    <n v="97.367396491555837"/>
    <n v="0"/>
    <n v="0"/>
    <n v="0.46758101226776105"/>
    <n v="6.3339566110142584"/>
    <n v="0"/>
    <n v="-20.260635601532329"/>
    <m/>
    <n v="0"/>
    <n v="0"/>
    <n v="0"/>
    <n v="0"/>
    <n v="-3.1771274149527713"/>
    <n v="-0.52518990283631606"/>
    <n v="0"/>
    <n v="0"/>
    <m/>
    <m/>
    <m/>
    <n v="14646.073655109249"/>
    <n v="0"/>
    <n v="0"/>
    <n v="-9872.2687600000008"/>
    <n v="97.411080000000084"/>
    <n v="0"/>
    <n v="0"/>
    <n v="-9837.3966672145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63"/>
    <s v="Sistema de Compensação"/>
    <s v="Verde"/>
    <s v="A4"/>
    <s v="Industrial"/>
    <s v="Não se aplica"/>
    <s v="Não se aplica"/>
    <s v="Não se aplica"/>
    <s v="Ponta"/>
    <s v="CATIVO"/>
    <x v="7"/>
    <n v="0"/>
    <n v="0"/>
    <n v="0.15"/>
    <n v="0.15"/>
    <n v="0.15"/>
    <n v="0.15"/>
    <m/>
    <n v="3130.62"/>
    <n v="256.55"/>
    <m/>
    <n v="508.07549999999998"/>
    <n v="508.07549999999998"/>
    <n v="267.39449999999999"/>
    <n v="0"/>
    <n v="8.0224459224343789"/>
    <n v="0"/>
    <n v="0"/>
    <n v="0"/>
    <n v="96.632071090926587"/>
    <n v="360.62229945278847"/>
    <n v="38.482878259807798"/>
    <n v="0"/>
    <n v="0"/>
    <n v="0"/>
    <n v="0"/>
    <n v="0"/>
    <n v="1.425639563313303"/>
    <m/>
    <n v="0.20235824922220949"/>
    <n v="0"/>
    <n v="0"/>
    <n v="0"/>
    <n v="0"/>
    <n v="0"/>
    <n v="0"/>
    <n v="0"/>
    <n v="0"/>
    <n v="0"/>
    <n v="0"/>
    <n v="0"/>
    <n v="0"/>
    <m/>
    <n v="0"/>
    <n v="0"/>
    <n v="0.18480378258093599"/>
    <n v="0"/>
    <n v="0"/>
    <n v="2.5033932296392947"/>
    <n v="0"/>
    <n v="0"/>
    <n v="0"/>
    <n v="0"/>
    <n v="0"/>
    <m/>
    <m/>
    <m/>
    <m/>
    <m/>
    <m/>
    <m/>
    <m/>
    <m/>
    <n v="41.171075272028027"/>
    <m/>
    <m/>
    <m/>
    <m/>
    <m/>
    <m/>
    <m/>
    <m/>
    <m/>
    <m/>
    <m/>
    <m/>
    <n v="267.39449999999999"/>
    <n v="-240.71099999999996"/>
    <m/>
    <m/>
    <m/>
    <m/>
    <n v="-243.0795"/>
    <n v="2.3985000000000012"/>
    <n v="29"/>
    <n v="1.5380851781937395"/>
    <n v="0"/>
    <n v="0"/>
    <n v="0"/>
    <n v="0"/>
    <n v="0"/>
    <n v="0"/>
    <n v="0"/>
    <n v="-0.43678303903003268"/>
    <n v="0"/>
    <n v="0"/>
    <n v="2.3974244047494011"/>
    <n v="0"/>
    <n v="0"/>
    <n v="1.151299275117601E-2"/>
    <n v="0.15595756593108012"/>
    <n v="0"/>
    <n v="-0.49886660213884415"/>
    <m/>
    <n v="0"/>
    <n v="0"/>
    <n v="0"/>
    <n v="0"/>
    <n v="-7.8228678963052634E-2"/>
    <n v="-1.2931465105950002E-2"/>
    <n v="0"/>
    <n v="0"/>
    <m/>
    <m/>
    <m/>
    <n v="360.62229945278847"/>
    <n v="0"/>
    <n v="0"/>
    <n v="-243.07949999999997"/>
    <n v="2.3984999999999985"/>
    <n v="0"/>
    <n v="0"/>
    <n v="-242.22086344093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64"/>
    <s v="Regular"/>
    <s v="Verde"/>
    <s v="A4"/>
    <s v="Industrial"/>
    <s v="Não se aplica"/>
    <s v="Não se aplica"/>
    <s v="Não se aplica"/>
    <s v="Fora ponta"/>
    <s v="CATIVO"/>
    <x v="7"/>
    <n v="0"/>
    <n v="0"/>
    <n v="208.33"/>
    <n v="208.33"/>
    <n v="208.33"/>
    <n v="208.33"/>
    <m/>
    <n v="82.26"/>
    <n v="256.55"/>
    <m/>
    <n v="70584.287300000011"/>
    <n v="70584.287300000011"/>
    <n v="73327.993400000007"/>
    <n v="0"/>
    <n v="11142.10772680503"/>
    <n v="0"/>
    <n v="0"/>
    <n v="0"/>
    <n v="0"/>
    <n v="0"/>
    <n v="53447.586852438399"/>
    <n v="0"/>
    <n v="0"/>
    <n v="0"/>
    <n v="0"/>
    <n v="0"/>
    <n v="1980.0232681670695"/>
    <m/>
    <n v="281.04862706975268"/>
    <n v="0"/>
    <n v="0"/>
    <n v="0"/>
    <n v="0"/>
    <n v="0"/>
    <n v="0"/>
    <n v="0"/>
    <n v="0"/>
    <n v="0"/>
    <n v="0"/>
    <n v="0"/>
    <n v="0"/>
    <m/>
    <n v="0"/>
    <n v="0"/>
    <n v="256.66781350057602"/>
    <n v="0"/>
    <n v="0"/>
    <n v="3476.8794102050288"/>
    <n v="0"/>
    <n v="0"/>
    <n v="0"/>
    <n v="0"/>
    <n v="0"/>
    <m/>
    <m/>
    <m/>
    <m/>
    <m/>
    <m/>
    <m/>
    <m/>
    <m/>
    <n v="57181.134076144008"/>
    <m/>
    <m/>
    <m/>
    <m/>
    <m/>
    <m/>
    <m/>
    <m/>
    <m/>
    <m/>
    <m/>
    <m/>
    <n v="73327.993400000007"/>
    <n v="2743.6761000000115"/>
    <m/>
    <m/>
    <m/>
    <m/>
    <n v="-587.49060000000156"/>
    <n v="3331.1967000000022"/>
    <n v="29"/>
    <n v="2742.8286379615747"/>
    <n v="0"/>
    <n v="0"/>
    <n v="0"/>
    <n v="0"/>
    <n v="0"/>
    <n v="0"/>
    <n v="0"/>
    <n v="0"/>
    <n v="0"/>
    <n v="0"/>
    <n v="3329.7028416096218"/>
    <n v="0"/>
    <n v="0"/>
    <n v="15.9900118656833"/>
    <n v="216.60426473614598"/>
    <n v="0"/>
    <n v="-692.85919482390455"/>
    <m/>
    <n v="0"/>
    <n v="0"/>
    <n v="0"/>
    <n v="0"/>
    <n v="-108.64920458915162"/>
    <n v="-17.960080836817099"/>
    <n v="0"/>
    <n v="0"/>
    <m/>
    <m/>
    <m/>
    <n v="0"/>
    <n v="0"/>
    <n v="0"/>
    <n v="-587.49060000000463"/>
    <n v="3331.1967000000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65"/>
    <s v="Sistema de Compensação"/>
    <s v="Verde"/>
    <s v="A4"/>
    <s v="Industrial"/>
    <s v="Não se aplica"/>
    <s v="Não se aplica"/>
    <s v="Não se aplica"/>
    <s v="Fora ponta"/>
    <s v="CATIVO"/>
    <x v="7"/>
    <n v="0"/>
    <n v="0"/>
    <n v="1.278"/>
    <n v="1.278"/>
    <n v="1.278"/>
    <n v="1.278"/>
    <m/>
    <n v="82.26"/>
    <n v="256.55"/>
    <m/>
    <n v="432.99918000000002"/>
    <n v="432.99918000000002"/>
    <n v="449.83044000000001"/>
    <n v="0"/>
    <n v="68.351239259140925"/>
    <n v="0"/>
    <n v="0"/>
    <n v="0"/>
    <n v="0"/>
    <n v="0"/>
    <n v="327.87412277356248"/>
    <n v="0"/>
    <n v="0"/>
    <n v="0"/>
    <n v="0"/>
    <n v="0"/>
    <n v="12.146449079429342"/>
    <m/>
    <n v="1.7240922833732248"/>
    <n v="0"/>
    <n v="0"/>
    <n v="0"/>
    <n v="0"/>
    <n v="0"/>
    <n v="0"/>
    <n v="0"/>
    <n v="0"/>
    <n v="0"/>
    <n v="0"/>
    <n v="0"/>
    <n v="0"/>
    <m/>
    <n v="0"/>
    <n v="0"/>
    <n v="1.5745282275895749"/>
    <n v="0"/>
    <n v="0"/>
    <n v="21.328910316526795"/>
    <n v="0"/>
    <n v="0"/>
    <n v="0"/>
    <n v="0"/>
    <n v="0"/>
    <m/>
    <m/>
    <m/>
    <m/>
    <m/>
    <m/>
    <m/>
    <m/>
    <m/>
    <n v="350.77756131767882"/>
    <m/>
    <m/>
    <m/>
    <m/>
    <m/>
    <m/>
    <m/>
    <m/>
    <m/>
    <m/>
    <m/>
    <m/>
    <n v="450.53440000000001"/>
    <n v="17.505220000000008"/>
    <m/>
    <m/>
    <m/>
    <m/>
    <n v="-3.6039600000000096"/>
    <n v="20.435220000000012"/>
    <n v="29"/>
    <n v="16.82587721074691"/>
    <n v="0"/>
    <n v="0"/>
    <n v="0"/>
    <n v="0"/>
    <n v="0"/>
    <n v="0"/>
    <n v="0"/>
    <n v="0"/>
    <n v="0"/>
    <n v="0"/>
    <n v="20.426055928464905"/>
    <n v="0"/>
    <n v="0"/>
    <n v="9.8090698240019591E-2"/>
    <n v="1.3287584617328001"/>
    <n v="0"/>
    <n v="-4.2503434502229709"/>
    <m/>
    <n v="0"/>
    <n v="0"/>
    <n v="0"/>
    <n v="0"/>
    <n v="-0.66650834476520693"/>
    <n v="-0.11017608270269408"/>
    <n v="0"/>
    <n v="0"/>
    <m/>
    <m/>
    <m/>
    <n v="0"/>
    <n v="0"/>
    <n v="0"/>
    <n v="-3.6039600000000007"/>
    <n v="20.43522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66"/>
    <s v="Regular"/>
    <s v="Verde"/>
    <s v="A4"/>
    <s v="Industrial"/>
    <s v="Não se aplica"/>
    <s v="Não se aplica"/>
    <s v="Não se aplica"/>
    <s v="Não se aplica"/>
    <s v="CATIVO"/>
    <x v="7"/>
    <n v="1488"/>
    <n v="1488"/>
    <n v="0"/>
    <n v="0"/>
    <n v="0"/>
    <n v="0"/>
    <n v="47.39"/>
    <m/>
    <m/>
    <n v="70516.320000000007"/>
    <m/>
    <n v="70516.320000000007"/>
    <n v="47943.360000000001"/>
    <n v="0"/>
    <n v="0"/>
    <n v="0"/>
    <n v="0"/>
    <n v="0"/>
    <n v="37155.509067044964"/>
    <n v="33360.7624616454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.01"/>
    <n v="32672.31"/>
    <n v="10"/>
    <m/>
    <m/>
    <m/>
    <m/>
    <m/>
    <m/>
    <m/>
    <m/>
    <m/>
    <n v="0"/>
    <m/>
    <m/>
    <m/>
    <m/>
    <m/>
    <m/>
    <m/>
    <m/>
    <m/>
    <m/>
    <m/>
    <m/>
    <n v="47943.360000000001"/>
    <n v="-22572.989999999991"/>
    <m/>
    <m/>
    <m/>
    <m/>
    <n v="-22572.960000000003"/>
    <n v="0"/>
    <n v="29"/>
    <n v="-167.94523788840888"/>
    <n v="0"/>
    <n v="0"/>
    <n v="0"/>
    <n v="0"/>
    <m/>
    <m/>
    <m/>
    <n v="-167.945237888408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360.762461645492"/>
    <m/>
    <n v="0"/>
    <n v="0"/>
    <n v="-22572.960000000006"/>
    <m/>
    <n v="0"/>
    <m/>
    <n v="-22407.579067543546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67"/>
    <s v="Sistema de Compensação"/>
    <s v="Verde"/>
    <s v="A4"/>
    <s v="Industrial"/>
    <s v="Não se aplica"/>
    <s v="Não se aplica"/>
    <s v="Não se aplica"/>
    <s v="Não se aplica"/>
    <s v="CATIVO"/>
    <x v="7"/>
    <n v="726"/>
    <n v="726"/>
    <n v="0"/>
    <n v="0"/>
    <n v="0"/>
    <n v="0"/>
    <n v="47.39"/>
    <m/>
    <m/>
    <n v="34405.14"/>
    <m/>
    <n v="34405.14"/>
    <n v="23391.719999999998"/>
    <n v="0"/>
    <n v="0"/>
    <n v="0"/>
    <n v="0"/>
    <n v="0"/>
    <n v="18128.292730292098"/>
    <n v="16276.82362039961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.72"/>
    <n v="114.07"/>
    <n v="5390.14"/>
    <n v="5"/>
    <m/>
    <m/>
    <m/>
    <m/>
    <m/>
    <m/>
    <m/>
    <m/>
    <m/>
    <n v="0"/>
    <m/>
    <m/>
    <m/>
    <m/>
    <m/>
    <m/>
    <m/>
    <m/>
    <m/>
    <m/>
    <m/>
    <m/>
    <n v="23391.719999999998"/>
    <n v="-11013.450000000008"/>
    <m/>
    <m/>
    <m/>
    <m/>
    <n v="-11013.420000000002"/>
    <n v="0"/>
    <n v="29"/>
    <n v="-81.941023324583512"/>
    <n v="0"/>
    <n v="0"/>
    <n v="0"/>
    <n v="0"/>
    <m/>
    <m/>
    <m/>
    <n v="-81.9410233245835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276.823620399617"/>
    <m/>
    <n v="0"/>
    <n v="0"/>
    <n v="-11013.420000000002"/>
    <m/>
    <n v="0"/>
    <m/>
    <n v="-10932.73010956761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68"/>
    <s v="Regular"/>
    <s v="Convencional"/>
    <s v="B3"/>
    <s v="Comercial"/>
    <s v="Não se aplica"/>
    <s v="Não se aplica"/>
    <s v="Não se aplica"/>
    <s v="Não se aplica"/>
    <s v="CATIVO"/>
    <x v="7"/>
    <n v="0"/>
    <n v="0"/>
    <n v="419.85700000000003"/>
    <n v="419.85700000000003"/>
    <n v="419.85700000000003"/>
    <n v="419.85700000000003"/>
    <m/>
    <n v="710.91"/>
    <n v="256.55"/>
    <m/>
    <n v="406194.85321999999"/>
    <n v="406194.85321999999"/>
    <n v="277286.15851000004"/>
    <n v="0"/>
    <n v="25810.575307705225"/>
    <n v="0"/>
    <n v="0"/>
    <n v="0"/>
    <n v="51677.170878474361"/>
    <n v="200234.02776900461"/>
    <n v="107715.37211685417"/>
    <n v="0"/>
    <n v="0"/>
    <n v="0"/>
    <n v="0"/>
    <n v="0"/>
    <n v="3990.4316675602231"/>
    <m/>
    <n v="921.9239513891996"/>
    <n v="0"/>
    <n v="0"/>
    <n v="0"/>
    <n v="0"/>
    <n v="0"/>
    <n v="0"/>
    <n v="0"/>
    <n v="0"/>
    <n v="0"/>
    <n v="0"/>
    <n v="0"/>
    <n v="0"/>
    <m/>
    <n v="0"/>
    <n v="0"/>
    <n v="625.72142284130769"/>
    <n v="0"/>
    <n v="0"/>
    <n v="15221.244718909682"/>
    <n v="0"/>
    <n v="1.58"/>
    <n v="7.4"/>
    <n v="112297.79"/>
    <n v="964"/>
    <m/>
    <m/>
    <m/>
    <m/>
    <m/>
    <m/>
    <m/>
    <m/>
    <m/>
    <n v="123562.33825860516"/>
    <m/>
    <m/>
    <m/>
    <m/>
    <m/>
    <m/>
    <m/>
    <m/>
    <m/>
    <m/>
    <m/>
    <m/>
    <n v="277288.1398"/>
    <n v="-128906.74342000001"/>
    <m/>
    <m/>
    <m/>
    <m/>
    <n v="-135622.20814"/>
    <n v="6713.5134300000045"/>
    <n v="29"/>
    <n v="5581.2792381707404"/>
    <n v="0"/>
    <n v="0"/>
    <n v="0"/>
    <n v="0"/>
    <n v="0"/>
    <n v="0"/>
    <n v="0"/>
    <n v="-233.5840626196732"/>
    <n v="0"/>
    <n v="0"/>
    <n v="6710.5027886991302"/>
    <n v="0"/>
    <n v="0"/>
    <n v="38.981486768390823"/>
    <n v="948.26024481359673"/>
    <n v="0"/>
    <n v="-1605.0010342851165"/>
    <m/>
    <n v="0"/>
    <n v="0"/>
    <n v="0"/>
    <n v="0"/>
    <n v="-218.96572308926898"/>
    <n v="-58.914462116329446"/>
    <n v="0"/>
    <n v="0"/>
    <m/>
    <m/>
    <m/>
    <n v="200234.02776900461"/>
    <n v="0"/>
    <n v="0"/>
    <n v="-135622.20813999997"/>
    <n v="6713.5134300000063"/>
    <n v="0"/>
    <n v="0"/>
    <n v="-134492.12422542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69"/>
    <s v="Refaturamento - Regular"/>
    <s v="Convencional"/>
    <s v="B3"/>
    <s v="Comercial"/>
    <s v="Não se aplica"/>
    <s v="Não se aplica"/>
    <s v="Não se aplica"/>
    <s v="Não se aplica"/>
    <s v="CATIVO"/>
    <x v="7"/>
    <n v="0"/>
    <n v="0"/>
    <n v="-1.119"/>
    <n v="-1.119"/>
    <n v="-1.119"/>
    <n v="-1.119"/>
    <m/>
    <n v="710.91"/>
    <n v="256.55"/>
    <m/>
    <n v="-1082.5877399999999"/>
    <n v="-1082.5877399999999"/>
    <n v="-739.02116999999998"/>
    <n v="0"/>
    <n v="-68.790168484322393"/>
    <n v="0"/>
    <n v="0"/>
    <n v="0"/>
    <n v="-137.72964178997327"/>
    <n v="-533.66235902584958"/>
    <n v="-287.08227181816619"/>
    <n v="0"/>
    <n v="0"/>
    <n v="0"/>
    <n v="0"/>
    <n v="0"/>
    <n v="-10.63527114231724"/>
    <m/>
    <n v="-2.4571053992300098"/>
    <n v="0"/>
    <n v="0"/>
    <n v="0"/>
    <n v="0"/>
    <n v="0"/>
    <n v="0"/>
    <n v="0"/>
    <n v="0"/>
    <n v="0"/>
    <n v="0"/>
    <n v="0"/>
    <n v="0"/>
    <m/>
    <n v="0"/>
    <n v="0"/>
    <n v="-1.6676684493992555"/>
    <n v="0"/>
    <n v="0"/>
    <n v="-40.567557145551781"/>
    <n v="0"/>
    <n v="-1.24"/>
    <n v="-5.74"/>
    <n v="-301.63"/>
    <n v="0"/>
    <m/>
    <m/>
    <m/>
    <m/>
    <m/>
    <m/>
    <m/>
    <m/>
    <m/>
    <n v="-329.31749741311722"/>
    <m/>
    <m/>
    <m/>
    <m/>
    <m/>
    <m/>
    <m/>
    <m/>
    <m/>
    <m/>
    <m/>
    <m/>
    <n v="-739.68160000000012"/>
    <n v="342.87613999999985"/>
    <m/>
    <m/>
    <m/>
    <m/>
    <n v="361.45937999999995"/>
    <n v="-17.892810000000011"/>
    <n v="29"/>
    <n v="-14.875187188764244"/>
    <n v="0"/>
    <n v="0"/>
    <n v="0"/>
    <n v="0"/>
    <n v="0"/>
    <n v="0"/>
    <n v="0"/>
    <n v="0.62254664343197419"/>
    <n v="0"/>
    <n v="0"/>
    <n v="-17.884786059430553"/>
    <n v="0"/>
    <n v="0"/>
    <n v="-0.10389319147669185"/>
    <n v="-2.5272967080372908"/>
    <n v="0"/>
    <n v="4.2776377608687"/>
    <m/>
    <n v="0"/>
    <n v="0"/>
    <n v="0"/>
    <n v="0"/>
    <n v="0.583585945064371"/>
    <n v="0.15701842081511685"/>
    <n v="0"/>
    <n v="0"/>
    <m/>
    <m/>
    <m/>
    <n v="-533.66235902584958"/>
    <n v="0"/>
    <n v="0"/>
    <n v="361.45938000000001"/>
    <n v="-17.892809999999997"/>
    <n v="0"/>
    <n v="0"/>
    <n v="358.44748809298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70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15.893000000000001"/>
    <n v="15.893000000000001"/>
    <n v="15.893000000000001"/>
    <n v="15.893000000000001"/>
    <m/>
    <n v="710.91"/>
    <n v="256.55"/>
    <m/>
    <n v="15375.841780000001"/>
    <n v="15375.841780000001"/>
    <n v="10496.21399"/>
    <n v="0"/>
    <n v="977.01711145785146"/>
    <n v="0"/>
    <n v="0"/>
    <n v="0"/>
    <n v="1956.1547783449912"/>
    <n v="7579.5316103644573"/>
    <n v="4077.3892278875028"/>
    <n v="0"/>
    <n v="0"/>
    <n v="0"/>
    <n v="0"/>
    <n v="0"/>
    <n v="151.05126386492216"/>
    <m/>
    <n v="34.897923243934358"/>
    <n v="0"/>
    <n v="0"/>
    <n v="0"/>
    <n v="0"/>
    <n v="0"/>
    <n v="0"/>
    <n v="0"/>
    <n v="0"/>
    <n v="0"/>
    <n v="0"/>
    <n v="0"/>
    <n v="0"/>
    <m/>
    <n v="0"/>
    <n v="0"/>
    <n v="23.685661006525798"/>
    <n v="0"/>
    <n v="0"/>
    <n v="576.17532235411477"/>
    <n v="0"/>
    <n v="0"/>
    <n v="0"/>
    <n v="10145.469999999999"/>
    <n v="43"/>
    <m/>
    <m/>
    <m/>
    <m/>
    <m/>
    <m/>
    <m/>
    <m/>
    <m/>
    <n v="4677.2502112481434"/>
    <m/>
    <m/>
    <m/>
    <m/>
    <m/>
    <m/>
    <m/>
    <m/>
    <m/>
    <m/>
    <m/>
    <m/>
    <n v="10494.2327"/>
    <n v="-4881.6390800000008"/>
    <m/>
    <m/>
    <m/>
    <m/>
    <n v="-5133.7568599999995"/>
    <n v="254.12907000000016"/>
    <n v="29"/>
    <n v="211.27019659609687"/>
    <n v="0"/>
    <n v="0"/>
    <n v="0"/>
    <n v="0"/>
    <n v="0"/>
    <n v="0"/>
    <n v="0"/>
    <n v="-8.8419426309778828"/>
    <n v="0"/>
    <n v="0"/>
    <n v="254.01510709788181"/>
    <n v="0"/>
    <n v="0"/>
    <n v="1.4755804219294575"/>
    <n v="35.894840554813868"/>
    <n v="0"/>
    <n v="-60.754688948602393"/>
    <m/>
    <n v="0"/>
    <n v="0"/>
    <n v="0"/>
    <n v="0"/>
    <n v="-8.2885892983986196"/>
    <n v="-2.2301106005492883"/>
    <n v="0"/>
    <n v="0"/>
    <m/>
    <m/>
    <m/>
    <n v="7579.5316103644573"/>
    <n v="0"/>
    <n v="0"/>
    <n v="-5133.7568600000004"/>
    <n v="254.12907000000041"/>
    <n v="0"/>
    <n v="0"/>
    <n v="-5090.9793818246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71"/>
    <s v="Regular"/>
    <s v="Verde"/>
    <s v="A4"/>
    <s v="Comercial"/>
    <s v="Não se aplica"/>
    <s v="Não se aplica"/>
    <s v="Não se aplica"/>
    <s v="Ponta"/>
    <s v="CATIVO"/>
    <x v="7"/>
    <n v="0"/>
    <n v="0"/>
    <n v="14.048999999999999"/>
    <n v="14.048999999999999"/>
    <n v="14.048999999999999"/>
    <n v="14.048999999999999"/>
    <m/>
    <n v="3130.62"/>
    <n v="256.55"/>
    <m/>
    <n v="47586.351329999998"/>
    <n v="47586.351329999998"/>
    <n v="25044.168869999998"/>
    <n v="0"/>
    <n v="751.382285095204"/>
    <n v="0"/>
    <n v="0"/>
    <n v="0"/>
    <n v="9050.5597783761841"/>
    <n v="33775.884566748173"/>
    <n v="3604.3063778135988"/>
    <n v="0"/>
    <n v="0"/>
    <n v="0"/>
    <n v="0"/>
    <n v="0"/>
    <n v="133.52540149992396"/>
    <m/>
    <n v="18.95287362215214"/>
    <n v="0"/>
    <n v="0"/>
    <n v="0"/>
    <n v="0"/>
    <n v="0"/>
    <n v="0"/>
    <n v="0"/>
    <n v="0"/>
    <n v="0"/>
    <n v="0"/>
    <n v="0"/>
    <n v="0"/>
    <m/>
    <n v="0"/>
    <n v="0"/>
    <n v="17.308722276530464"/>
    <n v="0"/>
    <n v="0"/>
    <n v="234.46780988801635"/>
    <n v="0"/>
    <n v="0"/>
    <n v="0"/>
    <n v="0"/>
    <n v="0"/>
    <m/>
    <m/>
    <m/>
    <m/>
    <m/>
    <m/>
    <m/>
    <m/>
    <m/>
    <n v="3856.0829099781454"/>
    <m/>
    <m/>
    <m/>
    <m/>
    <m/>
    <m/>
    <m/>
    <m/>
    <m/>
    <m/>
    <m/>
    <m/>
    <n v="25045.951500000003"/>
    <n v="-22540.429830000001"/>
    <m/>
    <m/>
    <m/>
    <m/>
    <n v="-22766.825969999998"/>
    <n v="224.64351000000011"/>
    <n v="29"/>
    <n v="144.05705778962692"/>
    <n v="0"/>
    <n v="0"/>
    <n v="0"/>
    <n v="0"/>
    <n v="0"/>
    <n v="0"/>
    <n v="0"/>
    <n v="-40.909099435553799"/>
    <n v="0"/>
    <n v="0"/>
    <n v="224.5427697488285"/>
    <n v="0"/>
    <n v="0"/>
    <n v="1.0783069010751483"/>
    <n v="14.606985625104954"/>
    <n v="0"/>
    <n v="-46.723845956324226"/>
    <m/>
    <n v="0"/>
    <n v="0"/>
    <n v="0"/>
    <n v="0"/>
    <n v="-7.3268980716795085"/>
    <n v="-1.2111610218232762"/>
    <n v="0"/>
    <n v="0"/>
    <m/>
    <m/>
    <m/>
    <n v="33775.884566748173"/>
    <n v="0"/>
    <n v="0"/>
    <n v="-22766.825970000002"/>
    <n v="224.64350999999988"/>
    <n v="0"/>
    <n v="0"/>
    <n v="-22686.406069878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72"/>
    <s v="Sistema de Compensação"/>
    <s v="Verde"/>
    <s v="A4"/>
    <s v="Comercial"/>
    <s v="Não se aplica"/>
    <s v="Não se aplica"/>
    <s v="Não se aplica"/>
    <s v="Ponta"/>
    <s v="CATIVO"/>
    <x v="7"/>
    <n v="0"/>
    <n v="0"/>
    <n v="5.5E-2"/>
    <n v="5.5E-2"/>
    <n v="5.5E-2"/>
    <n v="5.5E-2"/>
    <m/>
    <n v="3130.62"/>
    <n v="256.55"/>
    <m/>
    <n v="186.29435000000001"/>
    <n v="186.29435000000001"/>
    <n v="98.04464999999999"/>
    <n v="0"/>
    <n v="2.9415635048926059"/>
    <n v="0"/>
    <n v="0"/>
    <n v="0"/>
    <n v="35.43175940000642"/>
    <n v="132.22817646602246"/>
    <n v="14.110388695262861"/>
    <n v="0"/>
    <n v="0"/>
    <n v="0"/>
    <n v="0"/>
    <n v="0"/>
    <n v="0.52273450654821108"/>
    <m/>
    <n v="7.4198024714810143E-2"/>
    <n v="0"/>
    <n v="0"/>
    <n v="0"/>
    <n v="0"/>
    <n v="0"/>
    <n v="0"/>
    <n v="0"/>
    <n v="0"/>
    <n v="0"/>
    <n v="0"/>
    <n v="0"/>
    <n v="0"/>
    <m/>
    <n v="0"/>
    <n v="0"/>
    <n v="6.7761386946343205E-2"/>
    <n v="0"/>
    <n v="0"/>
    <n v="0.91791085086774149"/>
    <n v="0"/>
    <n v="0"/>
    <n v="0"/>
    <n v="0"/>
    <n v="0"/>
    <m/>
    <m/>
    <m/>
    <m/>
    <m/>
    <m/>
    <m/>
    <m/>
    <m/>
    <n v="15.096060933076945"/>
    <m/>
    <m/>
    <m/>
    <m/>
    <m/>
    <m/>
    <m/>
    <m/>
    <m/>
    <m/>
    <m/>
    <m/>
    <n v="106.95779999999999"/>
    <n v="-79.366549999999989"/>
    <m/>
    <m/>
    <m/>
    <m/>
    <n v="-89.129149999999996"/>
    <n v="0.87945000000000051"/>
    <n v="29"/>
    <n v="0.56396456533770589"/>
    <n v="0"/>
    <n v="0"/>
    <n v="0"/>
    <n v="0"/>
    <n v="0"/>
    <n v="0"/>
    <n v="0"/>
    <n v="-0.16015378097768718"/>
    <n v="0"/>
    <n v="0"/>
    <n v="0.87905561507477969"/>
    <n v="0"/>
    <n v="0"/>
    <n v="4.2214306754311953E-3"/>
    <n v="5.7184440841395956E-2"/>
    <n v="0"/>
    <n v="-0.18291775411757616"/>
    <m/>
    <n v="0"/>
    <n v="0"/>
    <n v="0"/>
    <n v="0"/>
    <n v="-2.8683848953119262E-2"/>
    <n v="-4.7415372055149979E-3"/>
    <n v="0"/>
    <n v="0"/>
    <m/>
    <m/>
    <m/>
    <n v="132.22817646602246"/>
    <n v="0"/>
    <n v="0"/>
    <n v="-89.12915000000001"/>
    <n v="0.87945000000000029"/>
    <n v="0"/>
    <n v="0"/>
    <n v="-88.814316595009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73"/>
    <s v="Regular"/>
    <s v="Verde"/>
    <s v="A4"/>
    <s v="Comercial"/>
    <s v="Não se aplica"/>
    <s v="Não se aplica"/>
    <s v="Não se aplica"/>
    <s v="Fora ponta"/>
    <s v="CATIVO"/>
    <x v="7"/>
    <n v="0"/>
    <n v="0"/>
    <n v="112.458"/>
    <n v="112.458"/>
    <n v="112.458"/>
    <n v="112.458"/>
    <m/>
    <n v="82.26"/>
    <n v="256.55"/>
    <m/>
    <n v="38101.894979999997"/>
    <n v="38101.894979999997"/>
    <n v="39582.966840000001"/>
    <n v="0"/>
    <n v="6014.588156967503"/>
    <n v="0"/>
    <n v="0"/>
    <n v="0"/>
    <n v="0"/>
    <n v="0"/>
    <n v="28851.383488943105"/>
    <n v="0"/>
    <n v="0"/>
    <n v="0"/>
    <n v="0"/>
    <n v="0"/>
    <n v="1068.8304934072496"/>
    <m/>
    <n v="151.7120266068749"/>
    <n v="0"/>
    <n v="0"/>
    <n v="0"/>
    <n v="0"/>
    <n v="0"/>
    <n v="0"/>
    <n v="0"/>
    <n v="0"/>
    <n v="0"/>
    <n v="0"/>
    <n v="0"/>
    <n v="0"/>
    <m/>
    <n v="0"/>
    <n v="0"/>
    <n v="138.55109187657933"/>
    <n v="0"/>
    <n v="0"/>
    <n v="1876.8439721251723"/>
    <n v="0"/>
    <n v="0"/>
    <n v="0"/>
    <n v="0"/>
    <n v="0"/>
    <m/>
    <m/>
    <m/>
    <m/>
    <m/>
    <m/>
    <m/>
    <m/>
    <m/>
    <n v="30866.778552944856"/>
    <m/>
    <m/>
    <m/>
    <m/>
    <m/>
    <m/>
    <m/>
    <m/>
    <m/>
    <m/>
    <m/>
    <m/>
    <n v="39583.6708"/>
    <n v="1481.7458199999965"/>
    <m/>
    <m/>
    <m/>
    <m/>
    <n v="-317.13156000000083"/>
    <n v="1798.203420000001"/>
    <n v="29"/>
    <n v="1480.5981998170464"/>
    <n v="0"/>
    <n v="0"/>
    <n v="0"/>
    <n v="0"/>
    <n v="0"/>
    <n v="0"/>
    <n v="0"/>
    <n v="0"/>
    <n v="0"/>
    <n v="0"/>
    <n v="1797.3970247287216"/>
    <n v="0"/>
    <n v="0"/>
    <n v="8.631520925411678"/>
    <n v="116.92450632984901"/>
    <n v="0"/>
    <n v="-374.01026895553423"/>
    <m/>
    <n v="0"/>
    <n v="0"/>
    <n v="0"/>
    <n v="0"/>
    <n v="-58.64960519217982"/>
    <n v="-9.694978019232849"/>
    <n v="0"/>
    <n v="0"/>
    <m/>
    <m/>
    <m/>
    <n v="0"/>
    <n v="0"/>
    <n v="0"/>
    <n v="-317.13155999999981"/>
    <n v="1798.203420000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74"/>
    <s v="Regular"/>
    <s v="Verde"/>
    <s v="A4"/>
    <s v="Comercial"/>
    <s v="Não se aplica"/>
    <s v="Não se aplica"/>
    <s v="Não se aplica"/>
    <s v="Não se aplica"/>
    <s v="CATIVO"/>
    <x v="7"/>
    <n v="784"/>
    <n v="784"/>
    <n v="0"/>
    <n v="0"/>
    <n v="0"/>
    <n v="0"/>
    <n v="47.39"/>
    <m/>
    <m/>
    <n v="37153.760000000002"/>
    <m/>
    <n v="37153.760000000002"/>
    <n v="25260.48"/>
    <n v="0"/>
    <n v="0"/>
    <n v="0"/>
    <n v="0"/>
    <n v="0"/>
    <n v="19576.558540701109"/>
    <n v="17577.1759206519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5531.550000000003"/>
    <n v="10"/>
    <m/>
    <m/>
    <m/>
    <m/>
    <m/>
    <m/>
    <m/>
    <m/>
    <m/>
    <n v="0"/>
    <m/>
    <m/>
    <m/>
    <m/>
    <m/>
    <m/>
    <m/>
    <m/>
    <m/>
    <m/>
    <m/>
    <m/>
    <n v="25260.48"/>
    <n v="-11893.310000000009"/>
    <m/>
    <m/>
    <m/>
    <m/>
    <n v="-11893.28"/>
    <n v="0"/>
    <n v="29"/>
    <n v="-88.487275876686908"/>
    <n v="0"/>
    <n v="0"/>
    <n v="0"/>
    <n v="0"/>
    <m/>
    <m/>
    <m/>
    <n v="-88.4872758766869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577.175920651927"/>
    <m/>
    <n v="0"/>
    <n v="0"/>
    <n v="-11893.280000000002"/>
    <m/>
    <n v="0"/>
    <m/>
    <n v="-11806.14380978101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75"/>
    <s v="Sistema de Compensação"/>
    <s v="Verde"/>
    <s v="A4"/>
    <s v="Comercial"/>
    <s v="Não se aplica"/>
    <s v="Não se aplica"/>
    <s v="Não se aplica"/>
    <s v="Não se aplica"/>
    <s v="CATIVO"/>
    <x v="7"/>
    <n v="45"/>
    <n v="45"/>
    <n v="0"/>
    <n v="0"/>
    <n v="0"/>
    <n v="0"/>
    <n v="47.39"/>
    <m/>
    <m/>
    <n v="2132.5500000000002"/>
    <m/>
    <n v="2132.5500000000002"/>
    <n v="1449.8999999999999"/>
    <n v="0"/>
    <n v="0"/>
    <n v="0"/>
    <n v="0"/>
    <n v="0"/>
    <n v="1123.6545080759565"/>
    <n v="1008.89402605782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19.56"/>
    <n v="1"/>
    <m/>
    <m/>
    <m/>
    <m/>
    <m/>
    <m/>
    <m/>
    <m/>
    <m/>
    <n v="0"/>
    <m/>
    <m/>
    <m/>
    <m/>
    <m/>
    <m/>
    <m/>
    <m/>
    <m/>
    <m/>
    <m/>
    <m/>
    <n v="1449.8999999999999"/>
    <n v="-682.68000000000097"/>
    <m/>
    <m/>
    <m/>
    <m/>
    <n v="-682.65000000000009"/>
    <n v="0"/>
    <n v="29"/>
    <n v="-5.0789890490445941"/>
    <n v="0"/>
    <n v="0"/>
    <n v="0"/>
    <n v="0"/>
    <m/>
    <m/>
    <m/>
    <n v="-5.078989049044594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08.8940260578274"/>
    <m/>
    <n v="0"/>
    <n v="0"/>
    <n v="-682.65000000000032"/>
    <m/>
    <n v="0"/>
    <m/>
    <n v="-677.64856051038953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76"/>
    <s v="Regular"/>
    <s v="Convencional"/>
    <s v="B2"/>
    <s v="Rural"/>
    <s v="Não se aplica"/>
    <s v="Não se aplica"/>
    <s v="Não se aplica"/>
    <s v="Não se aplica"/>
    <s v="CATIVO"/>
    <x v="7"/>
    <n v="0"/>
    <n v="0"/>
    <n v="3572.7930000000001"/>
    <n v="3572.7930000000001"/>
    <n v="3572.7930000000001"/>
    <n v="3572.7930000000001"/>
    <m/>
    <n v="710.91"/>
    <n v="256.55"/>
    <m/>
    <n v="3456534.3157799998"/>
    <n v="3456534.3157799998"/>
    <n v="2359579.6809900003"/>
    <n v="0"/>
    <n v="219636.31137587814"/>
    <n v="0"/>
    <n v="0"/>
    <n v="0"/>
    <n v="439749.32982995885"/>
    <n v="1703900.9300188045"/>
    <n v="916609.05377662333"/>
    <n v="0"/>
    <n v="0"/>
    <n v="0"/>
    <n v="0"/>
    <n v="0"/>
    <n v="33956.767015525504"/>
    <m/>
    <n v="7845.155469732962"/>
    <n v="0"/>
    <n v="0"/>
    <n v="0"/>
    <n v="0"/>
    <n v="0"/>
    <n v="0"/>
    <n v="0"/>
    <n v="0"/>
    <n v="0"/>
    <n v="0"/>
    <n v="0"/>
    <n v="0"/>
    <m/>
    <n v="0"/>
    <n v="0"/>
    <n v="5324.6060431943833"/>
    <n v="0"/>
    <n v="0"/>
    <n v="129525.90187375101"/>
    <n v="0"/>
    <n v="53.77"/>
    <n v="250.15"/>
    <n v="148086.26999999999"/>
    <n v="8872"/>
    <m/>
    <m/>
    <m/>
    <m/>
    <m/>
    <n v="283143.8452499999"/>
    <m/>
    <m/>
    <m/>
    <n v="1051459.5616935687"/>
    <m/>
    <m/>
    <m/>
    <m/>
    <m/>
    <m/>
    <m/>
    <m/>
    <m/>
    <m/>
    <m/>
    <m/>
    <n v="2076434.0922000001"/>
    <n v="-965334.71420999966"/>
    <m/>
    <m/>
    <m/>
    <m/>
    <n v="-1154083.5948600001"/>
    <n v="57128.960070000037"/>
    <n v="29"/>
    <n v="47494.159661936341"/>
    <n v="0"/>
    <n v="0"/>
    <n v="0"/>
    <n v="0"/>
    <n v="0"/>
    <n v="0"/>
    <n v="0"/>
    <n v="-1987.6946289787302"/>
    <n v="0"/>
    <n v="0"/>
    <n v="57103.340875452152"/>
    <n v="0"/>
    <n v="0"/>
    <n v="331.71480541160327"/>
    <n v="8069.2654042883805"/>
    <n v="0"/>
    <n v="-13657.832214984199"/>
    <m/>
    <n v="0"/>
    <n v="0"/>
    <n v="0"/>
    <n v="0"/>
    <n v="-1863.2991773229405"/>
    <n v="-501.33540192967303"/>
    <n v="0"/>
    <n v="0"/>
    <m/>
    <m/>
    <m/>
    <n v="1703900.9300188045"/>
    <n v="0"/>
    <n v="0"/>
    <n v="-1154083.5948599998"/>
    <n v="57128.96007000003"/>
    <n v="0"/>
    <n v="0"/>
    <n v="-1144467.0923379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77"/>
    <s v="Refaturamento - Regular"/>
    <s v="Convencional"/>
    <s v="B2"/>
    <s v="Rural"/>
    <s v="Não se aplica"/>
    <s v="Não se aplica"/>
    <s v="Não se aplica"/>
    <s v="Não se aplica"/>
    <s v="CATIVO"/>
    <x v="7"/>
    <n v="0"/>
    <n v="0"/>
    <n v="5.7889999999999997"/>
    <n v="5.7889999999999997"/>
    <n v="5.7889999999999997"/>
    <n v="5.7889999999999997"/>
    <m/>
    <n v="710.91"/>
    <n v="256.55"/>
    <m/>
    <n v="5600.6259399999999"/>
    <n v="5600.6259399999999"/>
    <n v="3823.2292699999998"/>
    <n v="0"/>
    <n v="355.87693061281709"/>
    <n v="0"/>
    <n v="0"/>
    <n v="0"/>
    <n v="712.5262701717204"/>
    <n v="2760.8323470961959"/>
    <n v="1485.182548306849"/>
    <n v="0"/>
    <n v="0"/>
    <n v="0"/>
    <n v="0"/>
    <n v="0"/>
    <n v="55.020182880138073"/>
    <m/>
    <n v="12.71151309753577"/>
    <n v="0"/>
    <n v="0"/>
    <n v="0"/>
    <n v="0"/>
    <n v="0"/>
    <n v="0"/>
    <n v="0"/>
    <n v="0"/>
    <n v="0"/>
    <n v="0"/>
    <n v="0"/>
    <n v="0"/>
    <m/>
    <n v="0"/>
    <n v="0"/>
    <n v="8.6274643910386857"/>
    <n v="0"/>
    <n v="0"/>
    <n v="209.87094576907884"/>
    <n v="0"/>
    <n v="5.78"/>
    <n v="26.74"/>
    <n v="-244.87"/>
    <n v="0"/>
    <m/>
    <m/>
    <m/>
    <m/>
    <m/>
    <n v="458.77824999999979"/>
    <m/>
    <m/>
    <m/>
    <n v="1703.6809584669666"/>
    <m/>
    <m/>
    <m/>
    <m/>
    <m/>
    <m/>
    <m/>
    <m/>
    <m/>
    <m/>
    <m/>
    <m/>
    <n v="3365.0322000000001"/>
    <n v="-1563.5787300000006"/>
    <m/>
    <m/>
    <m/>
    <m/>
    <n v="-1869.9627799999998"/>
    <n v="92.566110000000052"/>
    <n v="29"/>
    <n v="76.954833454652999"/>
    <n v="0"/>
    <n v="0"/>
    <n v="0"/>
    <n v="0"/>
    <n v="0"/>
    <n v="0"/>
    <n v="0"/>
    <n v="-3.2206635556993888"/>
    <n v="0"/>
    <n v="0"/>
    <n v="92.524599193961876"/>
    <n v="0"/>
    <n v="0"/>
    <n v="0.53747782435975822"/>
    <n v="13.0746386441715"/>
    <n v="0"/>
    <n v="-22.129798925530736"/>
    <m/>
    <n v="0"/>
    <n v="0"/>
    <n v="0"/>
    <n v="0"/>
    <n v="-3.0191054834474116"/>
    <n v="-0.81231424316238865"/>
    <n v="0"/>
    <n v="0"/>
    <m/>
    <m/>
    <m/>
    <n v="2760.8323470961959"/>
    <n v="0"/>
    <n v="0"/>
    <n v="-1869.9627800000003"/>
    <n v="92.566109999999981"/>
    <n v="0"/>
    <n v="0"/>
    <n v="-1854.3811515373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78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130.018"/>
    <n v="130.018"/>
    <n v="130.018"/>
    <n v="130.018"/>
    <m/>
    <n v="710.91"/>
    <n v="256.55"/>
    <m/>
    <n v="125787.21428000001"/>
    <n v="125787.21428000001"/>
    <n v="85867.78774"/>
    <n v="0"/>
    <n v="7992.8151260005616"/>
    <n v="0"/>
    <n v="0"/>
    <n v="0"/>
    <n v="16002.97816465482"/>
    <n v="62006.892400199205"/>
    <n v="33356.445770557941"/>
    <n v="0"/>
    <n v="0"/>
    <n v="0"/>
    <n v="0"/>
    <n v="0"/>
    <n v="1235.7253649524603"/>
    <m/>
    <n v="285.49412850499323"/>
    <n v="0"/>
    <n v="0"/>
    <n v="0"/>
    <n v="0"/>
    <n v="0"/>
    <n v="0"/>
    <n v="0"/>
    <n v="0"/>
    <n v="0"/>
    <n v="0"/>
    <n v="0"/>
    <n v="0"/>
    <m/>
    <n v="0"/>
    <n v="0"/>
    <n v="193.76846868095836"/>
    <n v="0"/>
    <n v="0"/>
    <n v="4713.5948569708235"/>
    <n v="0"/>
    <n v="0.4"/>
    <n v="1.84"/>
    <n v="2365.58"/>
    <n v="195"/>
    <m/>
    <m/>
    <m/>
    <m/>
    <m/>
    <n v="10303.926499999998"/>
    <m/>
    <m/>
    <m/>
    <n v="38263.809096209719"/>
    <m/>
    <m/>
    <m/>
    <m/>
    <m/>
    <m/>
    <m/>
    <m/>
    <m/>
    <m/>
    <m/>
    <m/>
    <n v="75565.023600000015"/>
    <n v="-35128.431059999974"/>
    <m/>
    <m/>
    <m/>
    <m/>
    <n v="-41998.414359999995"/>
    <n v="2078.9878200000012"/>
    <n v="29"/>
    <n v="1728.3664771302647"/>
    <n v="0"/>
    <n v="0"/>
    <n v="0"/>
    <n v="0"/>
    <n v="0"/>
    <n v="0"/>
    <n v="0"/>
    <n v="-72.334467815671815"/>
    <n v="0"/>
    <n v="0"/>
    <n v="2078.0555083780491"/>
    <n v="0"/>
    <n v="0"/>
    <n v="12.071478971775264"/>
    <n v="293.64974386558788"/>
    <n v="0"/>
    <n v="-497.02404503362413"/>
    <m/>
    <n v="0"/>
    <n v="0"/>
    <n v="0"/>
    <n v="0"/>
    <n v="-67.807575876121064"/>
    <n v="-18.244165359731767"/>
    <n v="0"/>
    <n v="0"/>
    <m/>
    <m/>
    <m/>
    <n v="62006.892400199205"/>
    <n v="0"/>
    <n v="0"/>
    <n v="-41998.414360000002"/>
    <n v="2078.9878199999948"/>
    <n v="0"/>
    <n v="0"/>
    <n v="-41648.458898010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79"/>
    <s v="Regular"/>
    <s v="Verde"/>
    <s v="A4"/>
    <s v="Rural"/>
    <s v="Não se aplica"/>
    <s v="Não se aplica"/>
    <s v="Não se aplica"/>
    <s v="Ponta"/>
    <s v="CATIVO"/>
    <x v="7"/>
    <n v="0"/>
    <n v="0"/>
    <n v="13.686"/>
    <n v="13.13856"/>
    <n v="13.686"/>
    <n v="13.13856"/>
    <m/>
    <n v="3130.62"/>
    <n v="256.55"/>
    <m/>
    <n v="46356.808620000003"/>
    <n v="46356.808620000003"/>
    <n v="24397.07418"/>
    <n v="0"/>
    <n v="731.96796596291279"/>
    <n v="0"/>
    <n v="0"/>
    <n v="0"/>
    <n v="8816.7101663361427"/>
    <n v="32903.178602072425"/>
    <n v="3511.177812424864"/>
    <n v="0"/>
    <n v="0"/>
    <n v="0"/>
    <n v="0"/>
    <n v="0"/>
    <n v="130.07535375670577"/>
    <m/>
    <n v="18.463166659034393"/>
    <n v="0"/>
    <n v="0"/>
    <n v="0"/>
    <n v="0"/>
    <n v="0"/>
    <n v="0"/>
    <n v="0"/>
    <n v="0"/>
    <n v="0"/>
    <n v="0"/>
    <n v="0"/>
    <n v="0"/>
    <m/>
    <n v="0"/>
    <n v="0"/>
    <n v="16.8614971226846"/>
    <n v="0"/>
    <n v="0"/>
    <n v="228.40959827228926"/>
    <n v="0"/>
    <n v="0"/>
    <n v="0"/>
    <n v="0"/>
    <n v="0"/>
    <m/>
    <m/>
    <m/>
    <m/>
    <m/>
    <n v="975.88296719999983"/>
    <m/>
    <m/>
    <m/>
    <n v="3756.448907819838"/>
    <m/>
    <m/>
    <m/>
    <m/>
    <m/>
    <m/>
    <m/>
    <m/>
    <m/>
    <m/>
    <m/>
    <m/>
    <n v="23423.758200000004"/>
    <n v="-21078.808075200002"/>
    <m/>
    <m/>
    <m/>
    <m/>
    <n v="-22178.57358"/>
    <n v="218.83914000000013"/>
    <n v="29"/>
    <n v="140.33489165840183"/>
    <n v="0"/>
    <n v="0"/>
    <n v="0"/>
    <n v="0"/>
    <n v="0"/>
    <n v="0"/>
    <n v="0"/>
    <n v="-39.852084481100974"/>
    <n v="0"/>
    <n v="0"/>
    <n v="218.74100268933535"/>
    <n v="0"/>
    <n v="0"/>
    <n v="1.0504454586173004"/>
    <n v="14.229568315551745"/>
    <n v="0"/>
    <n v="-45.516588779148151"/>
    <m/>
    <n v="0"/>
    <n v="0"/>
    <n v="0"/>
    <n v="0"/>
    <n v="-7.1375846685889144"/>
    <n v="-1.1798668762668783"/>
    <n v="0"/>
    <n v="0"/>
    <m/>
    <m/>
    <m/>
    <n v="32903.178602072425"/>
    <n v="0"/>
    <n v="0"/>
    <n v="-22178.57358"/>
    <n v="218.83914000000004"/>
    <n v="0"/>
    <n v="0"/>
    <n v="-22100.231580350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80"/>
    <s v="Sistema de Compensação"/>
    <s v="Verde"/>
    <s v="A4"/>
    <s v="Rural"/>
    <s v="Não se aplica"/>
    <s v="Não se aplica"/>
    <s v="Não se aplica"/>
    <s v="Ponta"/>
    <s v="CATIVO"/>
    <x v="7"/>
    <n v="0"/>
    <n v="0"/>
    <n v="1.917"/>
    <n v="1.84032"/>
    <n v="1.917"/>
    <n v="1.84032"/>
    <m/>
    <n v="3130.62"/>
    <n v="256.55"/>
    <m/>
    <n v="6493.20489"/>
    <n v="6493.20489"/>
    <n v="3417.3017099999997"/>
    <n v="0"/>
    <n v="102.52685888871137"/>
    <n v="0"/>
    <n v="0"/>
    <n v="0"/>
    <n v="1234.957868542042"/>
    <n v="4608.7529870066373"/>
    <n v="491.81118416034371"/>
    <n v="0"/>
    <n v="0"/>
    <n v="0"/>
    <n v="0"/>
    <n v="0"/>
    <n v="18.219673619144011"/>
    <m/>
    <n v="2.5861384250598372"/>
    <n v="0"/>
    <n v="0"/>
    <n v="0"/>
    <n v="0"/>
    <n v="0"/>
    <n v="0"/>
    <n v="0"/>
    <n v="0"/>
    <n v="0"/>
    <n v="0"/>
    <n v="0"/>
    <n v="0"/>
    <m/>
    <n v="0"/>
    <n v="0"/>
    <n v="2.361792341384362"/>
    <n v="0"/>
    <n v="0"/>
    <n v="31.993365474790188"/>
    <n v="0"/>
    <n v="0"/>
    <n v="0"/>
    <n v="0"/>
    <n v="0"/>
    <m/>
    <m/>
    <m/>
    <m/>
    <m/>
    <n v="136.69206840000015"/>
    <m/>
    <m/>
    <m/>
    <n v="526.16634197651831"/>
    <m/>
    <m/>
    <m/>
    <m/>
    <m/>
    <m/>
    <m/>
    <m/>
    <m/>
    <m/>
    <m/>
    <m/>
    <n v="3280.0392000000002"/>
    <n v="-2953.4674943999999"/>
    <m/>
    <m/>
    <m/>
    <m/>
    <n v="-3106.5560099999998"/>
    <n v="30.652830000000019"/>
    <n v="29"/>
    <n v="19.656728577316471"/>
    <n v="0"/>
    <n v="0"/>
    <n v="0"/>
    <n v="0"/>
    <n v="0"/>
    <n v="0"/>
    <n v="0"/>
    <n v="-5.5820872388039788"/>
    <n v="0"/>
    <n v="0"/>
    <n v="30.639083892697386"/>
    <n v="0"/>
    <n v="0"/>
    <n v="0.14713604736002939"/>
    <n v="1.9931376925992055"/>
    <n v="0"/>
    <n v="-6.3755151753344421"/>
    <m/>
    <n v="0"/>
    <n v="0"/>
    <n v="0"/>
    <n v="0"/>
    <n v="-0.99976251714781128"/>
    <n v="-0.1652641240540409"/>
    <n v="0"/>
    <n v="0"/>
    <m/>
    <m/>
    <m/>
    <n v="4608.7529870066373"/>
    <n v="0"/>
    <n v="0"/>
    <n v="-3106.5560100000002"/>
    <n v="30.652830000000051"/>
    <n v="0"/>
    <n v="0"/>
    <n v="-3095.5826347751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81"/>
    <s v="Regular"/>
    <s v="Verde"/>
    <s v="A4"/>
    <s v="Rural"/>
    <s v="Não se aplica"/>
    <s v="Não se aplica"/>
    <s v="Não se aplica"/>
    <s v="Fora ponta"/>
    <s v="CATIVO"/>
    <x v="7"/>
    <n v="0"/>
    <n v="0"/>
    <n v="126.959"/>
    <n v="121.88064"/>
    <n v="126.959"/>
    <n v="121.88064"/>
    <m/>
    <n v="82.26"/>
    <n v="256.55"/>
    <m/>
    <n v="43014.978790000001"/>
    <n v="43014.978790000001"/>
    <n v="44687.028820000007"/>
    <n v="0"/>
    <n v="6790.1447457756431"/>
    <n v="0"/>
    <n v="0"/>
    <n v="0"/>
    <n v="0"/>
    <n v="0"/>
    <n v="32571.651606579591"/>
    <n v="0"/>
    <n v="0"/>
    <n v="0"/>
    <n v="0"/>
    <n v="0"/>
    <n v="1206.6518221246242"/>
    <m/>
    <n v="171.27467308668329"/>
    <n v="0"/>
    <n v="0"/>
    <n v="0"/>
    <n v="0"/>
    <n v="0"/>
    <n v="0"/>
    <n v="0"/>
    <n v="0"/>
    <n v="0"/>
    <n v="0"/>
    <n v="0"/>
    <n v="0"/>
    <m/>
    <n v="0"/>
    <n v="0"/>
    <n v="156.41668955128702"/>
    <n v="0"/>
    <n v="0"/>
    <n v="2118.8553402785019"/>
    <n v="0"/>
    <n v="0"/>
    <n v="0"/>
    <n v="0"/>
    <n v="0"/>
    <m/>
    <m/>
    <m/>
    <m/>
    <m/>
    <n v="1787.4811528000014"/>
    <m/>
    <m/>
    <m/>
    <n v="34846.923636409381"/>
    <m/>
    <m/>
    <m/>
    <m/>
    <m/>
    <m/>
    <m/>
    <m/>
    <m/>
    <m/>
    <m/>
    <m/>
    <n v="42899.322399999997"/>
    <n v="1604.9127615999896"/>
    <m/>
    <m/>
    <m/>
    <m/>
    <n v="-358.02438000000097"/>
    <n v="2030.0744100000013"/>
    <n v="29"/>
    <n v="1671.5152932701167"/>
    <n v="0"/>
    <n v="0"/>
    <n v="0"/>
    <n v="0"/>
    <n v="0"/>
    <n v="0"/>
    <n v="0"/>
    <n v="0"/>
    <n v="0"/>
    <n v="0"/>
    <n v="2029.1640333505311"/>
    <n v="0"/>
    <n v="0"/>
    <n v="9.7445203113103673"/>
    <n v="132.00144408695951"/>
    <n v="0"/>
    <n v="-422.23736627297058"/>
    <m/>
    <n v="0"/>
    <n v="0"/>
    <n v="0"/>
    <n v="0"/>
    <n v="-66.212232349801297"/>
    <n v="-10.945105855908707"/>
    <n v="0"/>
    <n v="0"/>
    <m/>
    <m/>
    <m/>
    <n v="0"/>
    <n v="0"/>
    <n v="0"/>
    <n v="-358.02438000000075"/>
    <n v="2030.0744100000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82"/>
    <s v="Sistema de Compensação"/>
    <s v="Verde"/>
    <s v="A4"/>
    <s v="Rural"/>
    <s v="Não se aplica"/>
    <s v="Não se aplica"/>
    <s v="Não se aplica"/>
    <s v="Fora ponta"/>
    <s v="CATIVO"/>
    <x v="7"/>
    <n v="0"/>
    <n v="0"/>
    <n v="11.250999999999999"/>
    <n v="10.80096"/>
    <n v="11.250999999999999"/>
    <n v="10.80096"/>
    <m/>
    <n v="82.26"/>
    <n v="256.55"/>
    <m/>
    <n v="3811.9513099999999"/>
    <n v="3811.9513099999999"/>
    <n v="3960.12698"/>
    <n v="0"/>
    <n v="601.73692715539471"/>
    <n v="0"/>
    <n v="0"/>
    <n v="0"/>
    <n v="0"/>
    <n v="0"/>
    <n v="2886.4724220073172"/>
    <n v="0"/>
    <n v="0"/>
    <n v="0"/>
    <n v="0"/>
    <n v="0"/>
    <n v="106.93247151225314"/>
    <m/>
    <n v="15.178217746660525"/>
    <n v="0"/>
    <n v="0"/>
    <n v="0"/>
    <n v="0"/>
    <n v="0"/>
    <n v="0"/>
    <n v="0"/>
    <n v="0"/>
    <n v="0"/>
    <n v="0"/>
    <n v="0"/>
    <n v="0"/>
    <m/>
    <n v="0"/>
    <n v="0"/>
    <n v="13.861515718787405"/>
    <n v="0"/>
    <n v="0"/>
    <n v="187.7711815111447"/>
    <n v="0"/>
    <n v="0"/>
    <n v="0"/>
    <n v="0"/>
    <n v="0"/>
    <m/>
    <m/>
    <m/>
    <m/>
    <m/>
    <n v="158.40507919999985"/>
    <m/>
    <m/>
    <m/>
    <n v="3088.1051192372493"/>
    <m/>
    <m/>
    <m/>
    <m/>
    <m/>
    <m/>
    <m/>
    <m/>
    <m/>
    <m/>
    <m/>
    <m/>
    <n v="3801.384"/>
    <n v="141.88074239999969"/>
    <m/>
    <m/>
    <m/>
    <m/>
    <n v="-31.727820000000083"/>
    <n v="179.90349000000009"/>
    <n v="29"/>
    <n v="148.1282820799006"/>
    <n v="0"/>
    <n v="0"/>
    <n v="0"/>
    <n v="0"/>
    <n v="0"/>
    <n v="0"/>
    <n v="0"/>
    <n v="0"/>
    <n v="0"/>
    <n v="0"/>
    <n v="179.82281318556988"/>
    <n v="0"/>
    <n v="0"/>
    <n v="0.86355120962320875"/>
    <n v="11.697857161937208"/>
    <n v="0"/>
    <n v="-37.418320937760996"/>
    <m/>
    <n v="0"/>
    <n v="0"/>
    <n v="0"/>
    <n v="0"/>
    <n v="-5.867672446755364"/>
    <n v="-0.96994609271362364"/>
    <n v="0"/>
    <n v="0"/>
    <m/>
    <m/>
    <m/>
    <n v="0"/>
    <n v="0"/>
    <n v="0"/>
    <n v="-31.727820000000065"/>
    <n v="179.90349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83"/>
    <s v="Regular"/>
    <s v="Verde"/>
    <s v="A4"/>
    <s v="Rural"/>
    <s v="Não se aplica"/>
    <s v="Não se aplica"/>
    <s v="Não se aplica"/>
    <s v="Não se aplica"/>
    <s v="CATIVO"/>
    <x v="7"/>
    <n v="732"/>
    <n v="702.72"/>
    <n v="0"/>
    <n v="0"/>
    <n v="0"/>
    <n v="0"/>
    <n v="47.39"/>
    <m/>
    <m/>
    <n v="34689.480000000003"/>
    <m/>
    <n v="34689.480000000003"/>
    <n v="23585.040000000001"/>
    <n v="0"/>
    <n v="0"/>
    <n v="0"/>
    <n v="0"/>
    <n v="0"/>
    <n v="18278.113331368892"/>
    <n v="16411.34282387399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.01"/>
    <n v="1426.22"/>
    <n v="6"/>
    <m/>
    <m/>
    <m/>
    <m/>
    <m/>
    <n v="943.40159999999912"/>
    <m/>
    <m/>
    <m/>
    <n v="0"/>
    <m/>
    <m/>
    <m/>
    <m/>
    <m/>
    <m/>
    <m/>
    <m/>
    <m/>
    <m/>
    <m/>
    <m/>
    <n v="22641.6384"/>
    <n v="-10660.292400000009"/>
    <m/>
    <m/>
    <m/>
    <m/>
    <n v="-11104.44"/>
    <n v="0"/>
    <n v="29"/>
    <n v="-82.618221864457155"/>
    <n v="0"/>
    <n v="0"/>
    <n v="0"/>
    <n v="0"/>
    <m/>
    <m/>
    <m/>
    <n v="-82.6182218644571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411.342823873994"/>
    <m/>
    <n v="0"/>
    <n v="0"/>
    <n v="-11104.440000000002"/>
    <m/>
    <n v="0"/>
    <m/>
    <n v="-11023.083250969004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84"/>
    <s v="Sistema de Compensação"/>
    <s v="Verde"/>
    <s v="A4"/>
    <s v="Rural"/>
    <s v="Não se aplica"/>
    <s v="Não se aplica"/>
    <s v="Não se aplica"/>
    <s v="Não se aplica"/>
    <s v="CATIVO"/>
    <x v="7"/>
    <n v="123"/>
    <n v="118.08"/>
    <n v="0"/>
    <n v="0"/>
    <n v="0"/>
    <n v="0"/>
    <n v="47.39"/>
    <m/>
    <m/>
    <n v="5828.97"/>
    <m/>
    <n v="5828.97"/>
    <n v="3963.06"/>
    <n v="0"/>
    <n v="0"/>
    <n v="0"/>
    <n v="0"/>
    <n v="0"/>
    <n v="3071.3223220742811"/>
    <n v="2757.643671224728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.65"/>
    <n v="1"/>
    <m/>
    <m/>
    <m/>
    <m/>
    <m/>
    <n v="158.52240000000006"/>
    <m/>
    <m/>
    <m/>
    <n v="0"/>
    <m/>
    <m/>
    <m/>
    <m/>
    <m/>
    <m/>
    <m/>
    <m/>
    <m/>
    <m/>
    <m/>
    <m/>
    <n v="3804.5375999999997"/>
    <n v="-1791.3036000000011"/>
    <m/>
    <m/>
    <m/>
    <m/>
    <n v="-1865.9100000000003"/>
    <n v="0"/>
    <n v="29"/>
    <n v="-13.882570067388315"/>
    <n v="0"/>
    <n v="0"/>
    <n v="0"/>
    <n v="0"/>
    <m/>
    <m/>
    <m/>
    <n v="-13.8825700673883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7.6436712247282"/>
    <m/>
    <n v="0"/>
    <n v="0"/>
    <n v="-1865.9100000000003"/>
    <m/>
    <n v="0"/>
    <m/>
    <n v="-1852.2393987283981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85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197.51300000000001"/>
    <n v="197.51300000000001"/>
    <n v="197.51300000000001"/>
    <n v="197.51300000000001"/>
    <m/>
    <n v="710.91"/>
    <n v="256.55"/>
    <m/>
    <n v="191085.92697999999"/>
    <n v="191085.92697999999"/>
    <n v="130443.51059000001"/>
    <n v="0"/>
    <n v="12142.048746956183"/>
    <n v="0"/>
    <n v="0"/>
    <n v="0"/>
    <n v="24310.451062433414"/>
    <n v="94195.937013648465"/>
    <n v="50672.458224862792"/>
    <n v="0"/>
    <n v="0"/>
    <n v="0"/>
    <n v="0"/>
    <n v="0"/>
    <n v="1877.2156471246694"/>
    <m/>
    <n v="433.69996310823677"/>
    <n v="0"/>
    <n v="0"/>
    <n v="0"/>
    <n v="0"/>
    <n v="0"/>
    <n v="0"/>
    <n v="0"/>
    <n v="0"/>
    <n v="0"/>
    <n v="0"/>
    <n v="0"/>
    <n v="0"/>
    <m/>
    <n v="0"/>
    <n v="0"/>
    <n v="294.35763936210469"/>
    <n v="0"/>
    <n v="0"/>
    <n v="7160.5182435115003"/>
    <n v="0"/>
    <n v="4.1100000000000003"/>
    <n v="19.03"/>
    <n v="50903.360000000001"/>
    <n v="302"/>
    <m/>
    <m/>
    <m/>
    <m/>
    <m/>
    <m/>
    <m/>
    <m/>
    <m/>
    <n v="58127.334107736395"/>
    <m/>
    <m/>
    <m/>
    <m/>
    <m/>
    <m/>
    <m/>
    <m/>
    <m/>
    <m/>
    <m/>
    <m/>
    <n v="130441.52929999999"/>
    <n v="-60644.427680000023"/>
    <m/>
    <m/>
    <m/>
    <m/>
    <n v="-63800.649259999998"/>
    <n v="3158.2328700000021"/>
    <n v="29"/>
    <n v="2625.5968250352162"/>
    <n v="0"/>
    <n v="0"/>
    <n v="0"/>
    <n v="0"/>
    <n v="0"/>
    <n v="0"/>
    <n v="0"/>
    <n v="-109.88476781427744"/>
    <n v="0"/>
    <n v="0"/>
    <n v="3156.8165763684519"/>
    <n v="0"/>
    <n v="0"/>
    <n v="18.338030320049882"/>
    <n v="446.08932501748859"/>
    <n v="0"/>
    <n v="-755.03938075286715"/>
    <m/>
    <n v="0"/>
    <n v="0"/>
    <n v="0"/>
    <n v="0"/>
    <n v="-103.00787378686255"/>
    <n v="-27.71508431676159"/>
    <n v="0"/>
    <n v="0"/>
    <m/>
    <m/>
    <m/>
    <n v="94195.937013648465"/>
    <n v="0"/>
    <n v="0"/>
    <n v="-63800.649259999991"/>
    <n v="3158.2328699999998"/>
    <n v="0"/>
    <n v="0"/>
    <n v="-63269.02476828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86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198.732"/>
    <n v="198.732"/>
    <n v="198.732"/>
    <n v="198.732"/>
    <m/>
    <n v="391"/>
    <n v="141.1"/>
    <m/>
    <n v="105745.2972"/>
    <n v="105745.2972"/>
    <n v="72185.424360000005"/>
    <n v="0"/>
    <n v="6719.3425109691798"/>
    <n v="0"/>
    <n v="0"/>
    <n v="0"/>
    <n v="13453.268940762047"/>
    <n v="52127.509708363476"/>
    <n v="28041.857661869868"/>
    <n v="0"/>
    <n v="0"/>
    <n v="0"/>
    <n v="0"/>
    <n v="0"/>
    <n v="1038.8407395533907"/>
    <m/>
    <n v="240.00715693465571"/>
    <n v="0"/>
    <n v="0"/>
    <n v="0"/>
    <n v="0"/>
    <n v="0"/>
    <n v="0"/>
    <n v="0"/>
    <n v="0"/>
    <n v="0"/>
    <n v="0"/>
    <n v="0"/>
    <n v="0"/>
    <m/>
    <n v="0"/>
    <n v="0"/>
    <n v="162.89588691448364"/>
    <n v="0"/>
    <n v="0"/>
    <n v="3962.591127486503"/>
    <n v="0"/>
    <n v="138.44"/>
    <n v="639.19000000000005"/>
    <n v="25295.53"/>
    <n v="27"/>
    <m/>
    <m/>
    <m/>
    <m/>
    <m/>
    <m/>
    <m/>
    <m/>
    <m/>
    <n v="32167.344676270855"/>
    <m/>
    <m/>
    <m/>
    <m/>
    <m/>
    <m/>
    <m/>
    <m/>
    <m/>
    <m/>
    <m/>
    <m/>
    <n v="72184.697899999999"/>
    <n v="-33560.629299999986"/>
    <m/>
    <m/>
    <m/>
    <m/>
    <n v="-35306.727119999996"/>
    <n v="1746.8542799999984"/>
    <n v="29"/>
    <n v="1452.9907374607938"/>
    <n v="0"/>
    <n v="0"/>
    <n v="0"/>
    <n v="0"/>
    <n v="0"/>
    <n v="0"/>
    <n v="0"/>
    <n v="-60.80962175906825"/>
    <n v="0"/>
    <n v="0"/>
    <n v="1746.9648049504503"/>
    <n v="0"/>
    <n v="0"/>
    <n v="10.148164388471884"/>
    <n v="246.86336117953761"/>
    <n v="0"/>
    <n v="-417.83461047464971"/>
    <m/>
    <n v="0"/>
    <n v="0"/>
    <n v="0"/>
    <n v="0"/>
    <n v="-57.003986701512417"/>
    <n v="-15.337374122420073"/>
    <n v="0"/>
    <n v="0"/>
    <m/>
    <m/>
    <m/>
    <n v="52127.509708363476"/>
    <n v="0"/>
    <n v="0"/>
    <n v="-35306.727119999996"/>
    <n v="1746.8542799999996"/>
    <n v="0"/>
    <n v="0"/>
    <n v="-35012.727803424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87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27.190999999999999"/>
    <n v="25.559539999999998"/>
    <n v="27.190999999999999"/>
    <n v="25.559539999999998"/>
    <m/>
    <n v="710.91"/>
    <n v="256.55"/>
    <m/>
    <n v="26306.204859999998"/>
    <n v="26306.204859999998"/>
    <n v="17957.752130000001"/>
    <n v="0"/>
    <n v="1671.5580618920553"/>
    <n v="0"/>
    <n v="0"/>
    <n v="0"/>
    <n v="3346.7441375434878"/>
    <n v="12967.661487284964"/>
    <n v="6975.9196184162256"/>
    <n v="0"/>
    <n v="0"/>
    <n v="0"/>
    <n v="0"/>
    <n v="0"/>
    <n v="258.43043577368013"/>
    <m/>
    <n v="59.706124138036813"/>
    <n v="0"/>
    <n v="0"/>
    <n v="0"/>
    <n v="0"/>
    <n v="0"/>
    <n v="0"/>
    <n v="0"/>
    <n v="0"/>
    <n v="0"/>
    <n v="0"/>
    <n v="0"/>
    <n v="0"/>
    <m/>
    <n v="0"/>
    <n v="0"/>
    <n v="40.523300096170829"/>
    <n v="0"/>
    <n v="0"/>
    <n v="985.76626125531584"/>
    <n v="0"/>
    <n v="0"/>
    <n v="0"/>
    <n v="7272.88"/>
    <n v="10"/>
    <m/>
    <m/>
    <m/>
    <m/>
    <n v="1077.4651278000003"/>
    <m/>
    <m/>
    <m/>
    <m/>
    <n v="8002.2091797677122"/>
    <m/>
    <m/>
    <m/>
    <m/>
    <m/>
    <m/>
    <m/>
    <m/>
    <m/>
    <m/>
    <m/>
    <m/>
    <n v="16880.590799999998"/>
    <n v="-7847.2717683999945"/>
    <m/>
    <m/>
    <m/>
    <m/>
    <n v="-8783.2368199999983"/>
    <n v="434.78409000000022"/>
    <n v="29"/>
    <n v="361.45774338667979"/>
    <n v="0"/>
    <n v="0"/>
    <n v="0"/>
    <n v="0"/>
    <n v="0"/>
    <n v="0"/>
    <n v="0"/>
    <n v="-15.127493996030807"/>
    <n v="0"/>
    <n v="0"/>
    <n v="434.58911326360703"/>
    <n v="0"/>
    <n v="0"/>
    <n v="2.5245395616110144"/>
    <n v="61.411729033281517"/>
    <n v="0"/>
    <n v="-103.94392167630076"/>
    <m/>
    <n v="0"/>
    <n v="0"/>
    <n v="0"/>
    <n v="0"/>
    <n v="-14.180773397895734"/>
    <n v="-3.8154494015941438"/>
    <n v="0"/>
    <n v="0"/>
    <m/>
    <m/>
    <m/>
    <n v="12967.661487284964"/>
    <n v="0"/>
    <n v="0"/>
    <n v="-8783.2368199999983"/>
    <n v="434.78409000000011"/>
    <n v="0"/>
    <n v="0"/>
    <n v="-8710.0497307741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88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1.2190000000000001"/>
    <n v="1.1458600000000001"/>
    <n v="1.2190000000000001"/>
    <n v="1.1458600000000001"/>
    <m/>
    <n v="3130.62"/>
    <n v="256.55"/>
    <m/>
    <n v="4128.9602300000006"/>
    <n v="4128.9602300000006"/>
    <n v="2173.0259700000001"/>
    <n v="0"/>
    <n v="65.195743862983406"/>
    <n v="0"/>
    <n v="0"/>
    <n v="0"/>
    <n v="785.29663106559678"/>
    <n v="2930.6572202196612"/>
    <n v="312.7375239913714"/>
    <n v="0"/>
    <n v="0"/>
    <n v="0"/>
    <n v="0"/>
    <n v="0"/>
    <n v="11.585697517859444"/>
    <m/>
    <n v="1.6444980386791559"/>
    <n v="0"/>
    <n v="0"/>
    <n v="0"/>
    <n v="0"/>
    <n v="0"/>
    <n v="0"/>
    <n v="0"/>
    <n v="0"/>
    <n v="0"/>
    <n v="0"/>
    <n v="0"/>
    <n v="0"/>
    <m/>
    <n v="0"/>
    <n v="0"/>
    <n v="1.5018387397744066"/>
    <n v="0"/>
    <n v="0"/>
    <n v="20.344242312868673"/>
    <n v="0"/>
    <n v="0"/>
    <n v="0"/>
    <n v="0"/>
    <n v="0"/>
    <m/>
    <m/>
    <m/>
    <m/>
    <n v="130.38155819999997"/>
    <m/>
    <m/>
    <m/>
    <m/>
    <n v="334.58360504401452"/>
    <m/>
    <m/>
    <m/>
    <m/>
    <m/>
    <m/>
    <m/>
    <m/>
    <m/>
    <m/>
    <m/>
    <m/>
    <n v="2050.0244999999995"/>
    <n v="-1831.2281162000013"/>
    <m/>
    <m/>
    <m/>
    <m/>
    <n v="-1975.4260700000002"/>
    <n v="19.491810000000012"/>
    <n v="29"/>
    <n v="12.499505548121306"/>
    <n v="0"/>
    <n v="0"/>
    <n v="0"/>
    <n v="0"/>
    <n v="0"/>
    <n v="0"/>
    <n v="0"/>
    <n v="-3.5495901638507803"/>
    <n v="0"/>
    <n v="0"/>
    <n v="19.483068995930182"/>
    <n v="0"/>
    <n v="0"/>
    <n v="9.3562254424557123E-2"/>
    <n v="1.267415152466576"/>
    <n v="0"/>
    <n v="-4.0541225867150175"/>
    <m/>
    <n v="0"/>
    <n v="0"/>
    <n v="0"/>
    <n v="0"/>
    <n v="-0.63573839770640816"/>
    <n v="-0.105089706427687"/>
    <n v="0"/>
    <n v="0"/>
    <m/>
    <m/>
    <m/>
    <n v="2930.6572202196612"/>
    <n v="0"/>
    <n v="0"/>
    <n v="-1975.4260700000002"/>
    <n v="19.491809999999987"/>
    <n v="0"/>
    <n v="0"/>
    <n v="-1968.4482168966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89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19.22"/>
    <n v="18.066800000000001"/>
    <n v="19.22"/>
    <n v="18.066800000000001"/>
    <m/>
    <n v="82.26"/>
    <n v="256.55"/>
    <m/>
    <n v="6511.9281999999994"/>
    <n v="6511.9281999999994"/>
    <n v="6765.0555999999997"/>
    <n v="0"/>
    <n v="1027.9427375279251"/>
    <n v="0"/>
    <n v="0"/>
    <n v="0"/>
    <n v="0"/>
    <n v="0"/>
    <n v="4930.9394676900392"/>
    <n v="0"/>
    <n v="0"/>
    <n v="0"/>
    <n v="0"/>
    <n v="0"/>
    <n v="182.67194937921121"/>
    <m/>
    <n v="25.928837000339108"/>
    <n v="0"/>
    <n v="0"/>
    <n v="0"/>
    <n v="0"/>
    <n v="0"/>
    <n v="0"/>
    <n v="0"/>
    <n v="0"/>
    <n v="0"/>
    <n v="0"/>
    <n v="0"/>
    <n v="0"/>
    <m/>
    <n v="0"/>
    <n v="0"/>
    <n v="23.679524674703931"/>
    <n v="0"/>
    <n v="0"/>
    <n v="320.76811915778165"/>
    <n v="0"/>
    <n v="0"/>
    <n v="0"/>
    <n v="0"/>
    <n v="0"/>
    <m/>
    <m/>
    <m/>
    <m/>
    <n v="405.9033359999994"/>
    <m/>
    <m/>
    <m/>
    <m/>
    <n v="5275.3871115225247"/>
    <m/>
    <m/>
    <m/>
    <m/>
    <m/>
    <m/>
    <m/>
    <m/>
    <m/>
    <m/>
    <m/>
    <m/>
    <n v="6360.2786000000006"/>
    <n v="239.03609200000028"/>
    <m/>
    <m/>
    <m/>
    <m/>
    <n v="-54.200400000000137"/>
    <n v="307.32780000000014"/>
    <n v="29"/>
    <n v="253.04644756694506"/>
    <n v="0"/>
    <n v="0"/>
    <n v="0"/>
    <n v="0"/>
    <n v="0"/>
    <n v="0"/>
    <n v="0"/>
    <n v="0"/>
    <n v="0"/>
    <n v="0"/>
    <n v="307.18998039522376"/>
    <n v="0"/>
    <n v="0"/>
    <n v="1.4751981378506862"/>
    <n v="19.983362781302333"/>
    <n v="0"/>
    <n v="-63.921440620723956"/>
    <m/>
    <n v="0"/>
    <n v="0"/>
    <n v="0"/>
    <n v="0"/>
    <n v="-10.02370139779913"/>
    <n v="-1.6569517289090605"/>
    <n v="0"/>
    <n v="0"/>
    <m/>
    <m/>
    <m/>
    <n v="0"/>
    <n v="0"/>
    <n v="0"/>
    <n v="-54.200400000000172"/>
    <n v="307.327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90"/>
    <s v="Regular"/>
    <s v="Verde"/>
    <s v="A4"/>
    <s v="Serviço público"/>
    <s v="Água, esgoto e saneamento"/>
    <s v="Não se aplica"/>
    <s v="Não se aplica"/>
    <s v="Não se aplica"/>
    <s v="CATIVO"/>
    <x v="7"/>
    <n v="79"/>
    <n v="74.260000000000005"/>
    <n v="0"/>
    <n v="0"/>
    <n v="0"/>
    <n v="0"/>
    <n v="47.39"/>
    <m/>
    <m/>
    <n v="3743.81"/>
    <m/>
    <n v="3743.81"/>
    <n v="2545.38"/>
    <n v="0"/>
    <n v="0"/>
    <n v="0"/>
    <n v="0"/>
    <n v="0"/>
    <n v="1972.6379141777902"/>
    <n v="1771.16951241263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666.37"/>
    <n v="1"/>
    <m/>
    <m/>
    <m/>
    <m/>
    <n v="152.72279999999984"/>
    <m/>
    <m/>
    <m/>
    <m/>
    <n v="0"/>
    <m/>
    <m/>
    <m/>
    <m/>
    <m/>
    <m/>
    <m/>
    <m/>
    <m/>
    <m/>
    <m/>
    <m/>
    <n v="2392.6572000000001"/>
    <n v="-1126.5542000000009"/>
    <m/>
    <m/>
    <m/>
    <m/>
    <n v="-1198.43"/>
    <n v="0"/>
    <n v="29"/>
    <n v="-8.9164474416556914"/>
    <n v="0"/>
    <n v="0"/>
    <n v="0"/>
    <n v="0"/>
    <m/>
    <m/>
    <m/>
    <n v="-8.91644744165569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71.1695124126304"/>
    <m/>
    <n v="0"/>
    <n v="0"/>
    <n v="-1198.4299999999998"/>
    <m/>
    <n v="0"/>
    <m/>
    <n v="-1189.6496951182394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291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1.171"/>
    <n v="1.171"/>
    <n v="1.171"/>
    <n v="1.171"/>
    <m/>
    <n v="710.91"/>
    <n v="256.55"/>
    <m/>
    <n v="1132.8956599999999"/>
    <n v="1132.8956599999999"/>
    <n v="773.36353000000008"/>
    <n v="0"/>
    <n v="71.986851917016551"/>
    <n v="0"/>
    <n v="0"/>
    <n v="0"/>
    <n v="144.1299468597486"/>
    <n v="558.46168223348513"/>
    <n v="300.42300294823292"/>
    <n v="0"/>
    <n v="0"/>
    <n v="0"/>
    <n v="0"/>
    <n v="0"/>
    <n v="11.129492857599185"/>
    <m/>
    <n v="2.5712872408385539"/>
    <n v="0"/>
    <n v="0"/>
    <n v="0"/>
    <n v="0"/>
    <n v="0"/>
    <n v="0"/>
    <n v="0"/>
    <n v="0"/>
    <n v="0"/>
    <n v="0"/>
    <n v="0"/>
    <n v="0"/>
    <m/>
    <n v="0"/>
    <n v="0"/>
    <n v="1.7451651065652622"/>
    <n v="0"/>
    <n v="0"/>
    <n v="42.452734063843728"/>
    <n v="0"/>
    <n v="0"/>
    <n v="0"/>
    <n v="313.18"/>
    <n v="5"/>
    <m/>
    <m/>
    <m/>
    <m/>
    <m/>
    <m/>
    <m/>
    <m/>
    <m/>
    <n v="344.62090211864188"/>
    <m/>
    <m/>
    <m/>
    <m/>
    <m/>
    <m/>
    <m/>
    <m/>
    <m/>
    <m/>
    <m/>
    <m/>
    <n v="772.70309999999995"/>
    <n v="-360.22255999999993"/>
    <m/>
    <m/>
    <m/>
    <m/>
    <n v="-378.25641999999999"/>
    <n v="18.724290000000011"/>
    <n v="29"/>
    <n v="15.566438067956369"/>
    <n v="0"/>
    <n v="0"/>
    <n v="0"/>
    <n v="0"/>
    <n v="0"/>
    <n v="0"/>
    <n v="0"/>
    <n v="-0.65147642489617397"/>
    <n v="0"/>
    <n v="0"/>
    <n v="18.715893186410312"/>
    <n v="0"/>
    <n v="0"/>
    <n v="0.10872111458374079"/>
    <n v="2.6447403441569932"/>
    <n v="0"/>
    <n v="-4.4764198552075385"/>
    <m/>
    <n v="0"/>
    <n v="0"/>
    <n v="0"/>
    <n v="0"/>
    <n v="-0.61070522043823061"/>
    <n v="-0.16431507665281675"/>
    <n v="0"/>
    <n v="0"/>
    <m/>
    <m/>
    <m/>
    <n v="558.46168223348513"/>
    <n v="0"/>
    <n v="0"/>
    <n v="-378.25641999999993"/>
    <n v="18.724290000000053"/>
    <n v="0"/>
    <n v="0"/>
    <n v="-375.10456528765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92"/>
    <s v="Regular"/>
    <s v="Convencional"/>
    <s v="B1"/>
    <s v="Residencial"/>
    <s v="Residencial"/>
    <s v="Não se aplica"/>
    <s v="Não se aplica"/>
    <s v="Não se aplica"/>
    <s v="CATIVO"/>
    <x v="8"/>
    <n v="0"/>
    <n v="0"/>
    <n v="814.87"/>
    <n v="814.87"/>
    <n v="814.87"/>
    <n v="814.87"/>
    <m/>
    <n v="710.91"/>
    <n v="256.55"/>
    <m/>
    <n v="788354.13020000001"/>
    <n v="788354.13020000001"/>
    <n v="538164.5941000001"/>
    <n v="0"/>
    <n v="50093.873630759415"/>
    <n v="0"/>
    <n v="0"/>
    <n v="0"/>
    <n v="100296.47292707374"/>
    <n v="388619.70196549961"/>
    <n v="209056.95338379723"/>
    <n v="0"/>
    <n v="0"/>
    <n v="0"/>
    <n v="0"/>
    <n v="0"/>
    <n v="7744.7394063807415"/>
    <m/>
    <n v="1789.2953321452708"/>
    <n v="0"/>
    <n v="0"/>
    <n v="0"/>
    <n v="0"/>
    <n v="0"/>
    <n v="0"/>
    <n v="0"/>
    <n v="0"/>
    <n v="0"/>
    <n v="0"/>
    <n v="0"/>
    <n v="0"/>
    <m/>
    <n v="0"/>
    <n v="0"/>
    <n v="1214.4173274012255"/>
    <n v="0"/>
    <n v="0"/>
    <n v="29541.809911703109"/>
    <n v="0"/>
    <n v="0"/>
    <n v="0"/>
    <n v="212090.22"/>
    <n v="5242"/>
    <m/>
    <m/>
    <m/>
    <m/>
    <m/>
    <m/>
    <m/>
    <m/>
    <m/>
    <n v="239813.18062290156"/>
    <m/>
    <m/>
    <m/>
    <m/>
    <m/>
    <m/>
    <m/>
    <m/>
    <m/>
    <m/>
    <m/>
    <m/>
    <n v="538164.5941000001"/>
    <n v="-250189.56609999994"/>
    <m/>
    <m/>
    <m/>
    <m/>
    <n v="-263219.30739999999"/>
    <n v="13029.771300000008"/>
    <n v="31"/>
    <n v="10832.30007552146"/>
    <n v="0"/>
    <n v="0"/>
    <n v="0"/>
    <n v="0"/>
    <n v="0"/>
    <n v="0"/>
    <n v="0"/>
    <n v="-453.34636580286315"/>
    <n v="0"/>
    <n v="0"/>
    <n v="13023.928164654295"/>
    <n v="0"/>
    <n v="0"/>
    <n v="75.656340427713758"/>
    <n v="1840.4095339395426"/>
    <n v="0"/>
    <n v="-3115.0301002672641"/>
    <m/>
    <n v="0"/>
    <n v="0"/>
    <n v="0"/>
    <n v="0"/>
    <n v="-424.97469084415116"/>
    <n v="-114.34280658589296"/>
    <n v="0"/>
    <n v="0"/>
    <m/>
    <m/>
    <m/>
    <n v="388619.70196549961"/>
    <n v="0"/>
    <n v="0"/>
    <n v="-263219.30739999999"/>
    <n v="13029.771300000022"/>
    <n v="0"/>
    <n v="0"/>
    <n v="-261026.00949269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93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10.611000000000001"/>
    <n v="10.611000000000001"/>
    <n v="10.611000000000001"/>
    <n v="10.611000000000001"/>
    <m/>
    <n v="710.91"/>
    <n v="256.55"/>
    <m/>
    <n v="10265.718060000001"/>
    <n v="10265.718060000001"/>
    <n v="7007.8227299999999"/>
    <n v="0"/>
    <n v="652.30784431380243"/>
    <n v="0"/>
    <n v="0"/>
    <n v="0"/>
    <n v="1306.0314826035803"/>
    <n v="5060.4926645427086"/>
    <n v="2722.2788080988039"/>
    <n v="0"/>
    <n v="0"/>
    <n v="0"/>
    <n v="0"/>
    <n v="0"/>
    <n v="100.84974270878305"/>
    <m/>
    <n v="23.29968310208189"/>
    <n v="0"/>
    <n v="0"/>
    <n v="0"/>
    <n v="0"/>
    <n v="0"/>
    <n v="0"/>
    <n v="0"/>
    <n v="0"/>
    <n v="0"/>
    <n v="0"/>
    <n v="0"/>
    <n v="0"/>
    <m/>
    <n v="0"/>
    <n v="0"/>
    <n v="15.813789022855676"/>
    <n v="0"/>
    <n v="0"/>
    <n v="384.68485153838242"/>
    <n v="0"/>
    <n v="0"/>
    <n v="0"/>
    <n v="6701.6"/>
    <n v="113"/>
    <m/>
    <m/>
    <m/>
    <m/>
    <m/>
    <m/>
    <m/>
    <m/>
    <m/>
    <n v="3122.777448660042"/>
    <m/>
    <m/>
    <m/>
    <m/>
    <m/>
    <m/>
    <m/>
    <m/>
    <m/>
    <m/>
    <m/>
    <m/>
    <n v="7007.1623"/>
    <n v="-3258.5857600000018"/>
    <m/>
    <m/>
    <m/>
    <m/>
    <n v="-3427.56522"/>
    <n v="169.66989000000009"/>
    <n v="31"/>
    <n v="141.05505921356416"/>
    <n v="0"/>
    <n v="0"/>
    <n v="0"/>
    <n v="0"/>
    <n v="0"/>
    <n v="0"/>
    <n v="0"/>
    <n v="-5.9033444445547048"/>
    <n v="0"/>
    <n v="0"/>
    <n v="169.59380239197299"/>
    <n v="0"/>
    <n v="0"/>
    <n v="0.98517484786342635"/>
    <n v="23.965277362809445"/>
    <n v="0"/>
    <n v="-40.563015442875553"/>
    <m/>
    <n v="0"/>
    <n v="0"/>
    <n v="0"/>
    <n v="0"/>
    <n v="-5.5338967498463347"/>
    <n v="-1.4889387518044721"/>
    <n v="0"/>
    <n v="0"/>
    <m/>
    <m/>
    <m/>
    <n v="5060.4926645427086"/>
    <n v="0"/>
    <n v="0"/>
    <n v="-3427.5652200000004"/>
    <n v="169.66988999999967"/>
    <n v="0"/>
    <n v="0"/>
    <n v="-3399.0047329353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94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5.49"/>
    <n v="5.49"/>
    <n v="5.49"/>
    <n v="5.49"/>
    <m/>
    <n v="639.92999999999995"/>
    <n v="256.55"/>
    <m/>
    <n v="4921.6751999999997"/>
    <n v="4921.6751999999997"/>
    <n v="3259.9620000000004"/>
    <n v="0"/>
    <n v="0"/>
    <n v="0"/>
    <n v="0"/>
    <n v="0"/>
    <n v="675.72451602051228"/>
    <n v="2618.2362386522918"/>
    <n v="1408.4733443089656"/>
    <n v="0"/>
    <n v="0"/>
    <n v="0"/>
    <n v="0"/>
    <n v="0"/>
    <n v="0"/>
    <m/>
    <n v="12.054967508286644"/>
    <n v="0"/>
    <n v="0"/>
    <n v="0"/>
    <n v="0"/>
    <n v="0"/>
    <n v="0"/>
    <n v="0"/>
    <n v="0"/>
    <n v="0"/>
    <n v="0"/>
    <n v="0"/>
    <n v="0"/>
    <m/>
    <n v="0"/>
    <n v="0"/>
    <n v="8.1818586123341497"/>
    <n v="0"/>
    <n v="0"/>
    <n v="199.03117848890017"/>
    <n v="0"/>
    <n v="0"/>
    <n v="0"/>
    <n v="364.05"/>
    <n v="6"/>
    <m/>
    <m/>
    <m/>
    <m/>
    <m/>
    <m/>
    <m/>
    <n v="2118.9753000000001"/>
    <m/>
    <n v="1615.6863814101998"/>
    <m/>
    <m/>
    <m/>
    <m/>
    <m/>
    <m/>
    <m/>
    <m/>
    <m/>
    <m/>
    <m/>
    <m/>
    <n v="1140.9866999999999"/>
    <n v="-581.64060000000018"/>
    <m/>
    <m/>
    <m/>
    <m/>
    <n v="-1749.4982999999997"/>
    <n v="87.785100000000057"/>
    <n v="31"/>
    <n v="96.830112432429814"/>
    <n v="0"/>
    <n v="0"/>
    <n v="0"/>
    <n v="0"/>
    <n v="0"/>
    <n v="0"/>
    <n v="0"/>
    <n v="-3.0543173122800908"/>
    <n v="0"/>
    <n v="0"/>
    <n v="87.745733213828089"/>
    <n v="0"/>
    <n v="0"/>
    <n v="0.50971726649422422"/>
    <n v="12.399337736483233"/>
    <n v="0"/>
    <n v="0"/>
    <m/>
    <n v="0"/>
    <n v="0"/>
    <n v="0"/>
    <n v="0"/>
    <n v="0"/>
    <n v="-0.77035847209561403"/>
    <n v="0"/>
    <n v="0"/>
    <m/>
    <m/>
    <m/>
    <n v="2618.2362386522918"/>
    <n v="0"/>
    <n v="0"/>
    <n v="-1749.4982999999997"/>
    <n v="87.785100000000057"/>
    <n v="0"/>
    <n v="0"/>
    <n v="-1758.6029576679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95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11.242000000000001"/>
    <n v="11.242000000000001"/>
    <n v="11.242000000000001"/>
    <n v="11.242000000000001"/>
    <m/>
    <n v="639.92999999999995"/>
    <n v="256.55"/>
    <m/>
    <n v="10078.228160000001"/>
    <n v="10078.228160000001"/>
    <n v="6675.499600000001"/>
    <n v="0"/>
    <n v="0"/>
    <n v="0"/>
    <n v="0"/>
    <n v="0"/>
    <n v="1383.6967229695081"/>
    <n v="5361.4229134661318"/>
    <n v="2884.163449311729"/>
    <n v="0"/>
    <n v="0"/>
    <n v="0"/>
    <n v="0"/>
    <n v="0"/>
    <n v="0"/>
    <m/>
    <n v="24.685235833908646"/>
    <n v="0"/>
    <n v="0"/>
    <n v="0"/>
    <n v="0"/>
    <n v="0"/>
    <n v="0"/>
    <n v="0"/>
    <n v="0"/>
    <n v="0"/>
    <n v="0"/>
    <n v="0"/>
    <n v="0"/>
    <m/>
    <n v="0"/>
    <n v="0"/>
    <n v="16.754181151158562"/>
    <n v="0"/>
    <n v="0"/>
    <n v="407.56074837380976"/>
    <n v="0"/>
    <n v="0"/>
    <n v="0"/>
    <n v="1328.89"/>
    <n v="50"/>
    <m/>
    <m/>
    <m/>
    <m/>
    <m/>
    <m/>
    <m/>
    <n v="2670.1998400000002"/>
    <m/>
    <n v="3308.4783788366976"/>
    <m/>
    <m/>
    <m/>
    <m/>
    <m/>
    <m/>
    <m/>
    <m/>
    <m/>
    <m/>
    <m/>
    <m/>
    <n v="4004.5871999999999"/>
    <n v="-2042.402180000001"/>
    <m/>
    <m/>
    <m/>
    <m/>
    <n v="-3582.4881399999999"/>
    <n v="179.75958000000011"/>
    <n v="31"/>
    <n v="198.28126119587887"/>
    <n v="0"/>
    <n v="0"/>
    <n v="0"/>
    <n v="0"/>
    <n v="0"/>
    <n v="0"/>
    <n v="0"/>
    <n v="-6.2543962157837996"/>
    <n v="0"/>
    <n v="0"/>
    <n v="179.67896772128506"/>
    <n v="0"/>
    <n v="0"/>
    <n v="1.0437598378739672"/>
    <n v="25.390410716492681"/>
    <n v="0"/>
    <n v="0"/>
    <m/>
    <n v="0"/>
    <n v="0"/>
    <n v="0"/>
    <n v="0"/>
    <n v="0"/>
    <n v="-1.5774808639888711"/>
    <n v="0"/>
    <n v="0"/>
    <m/>
    <m/>
    <m/>
    <n v="5361.4229134661318"/>
    <n v="0"/>
    <n v="0"/>
    <n v="-3582.4881399999999"/>
    <n v="179.75957999999991"/>
    <n v="0"/>
    <n v="0"/>
    <n v="-3601.1319581245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96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7.9530000000000003"/>
    <n v="7.9530000000000003"/>
    <n v="7.9530000000000003"/>
    <n v="7.9530000000000003"/>
    <m/>
    <n v="639.92999999999995"/>
    <n v="256.55"/>
    <m/>
    <n v="7129.7054400000006"/>
    <n v="7129.7054400000006"/>
    <n v="4722.4913999999999"/>
    <n v="0"/>
    <n v="0"/>
    <n v="0"/>
    <n v="0"/>
    <n v="0"/>
    <n v="978.87742730621756"/>
    <n v="3792.8657205831832"/>
    <n v="2040.3622053350098"/>
    <n v="0"/>
    <n v="0"/>
    <n v="0"/>
    <n v="0"/>
    <n v="0"/>
    <n v="0"/>
    <m/>
    <n v="17.463234352168246"/>
    <n v="0"/>
    <n v="0"/>
    <n v="0"/>
    <n v="0"/>
    <n v="0"/>
    <n v="0"/>
    <n v="0"/>
    <n v="0"/>
    <n v="0"/>
    <n v="0"/>
    <n v="0"/>
    <n v="0"/>
    <m/>
    <n v="0"/>
    <n v="0"/>
    <n v="11.85251758540865"/>
    <n v="0"/>
    <n v="0"/>
    <n v="288.32330829184389"/>
    <n v="0"/>
    <n v="0"/>
    <n v="0"/>
    <n v="1416.65"/>
    <n v="102"/>
    <m/>
    <m/>
    <m/>
    <m/>
    <m/>
    <m/>
    <m/>
    <n v="472.3286700000001"/>
    <m/>
    <n v="2340.5380312122625"/>
    <m/>
    <m/>
    <m/>
    <m/>
    <m/>
    <m/>
    <m/>
    <m/>
    <m/>
    <m/>
    <m/>
    <m/>
    <n v="4248.5595000000003"/>
    <n v="-2168.2690200000015"/>
    <m/>
    <m/>
    <m/>
    <m/>
    <n v="-2534.3825099999999"/>
    <n v="127.16847000000007"/>
    <n v="31"/>
    <n v="140.27138145266144"/>
    <n v="0"/>
    <n v="0"/>
    <n v="0"/>
    <n v="0"/>
    <n v="0"/>
    <n v="0"/>
    <n v="0"/>
    <n v="-4.424587538171977"/>
    <n v="0"/>
    <n v="0"/>
    <n v="127.1114419398134"/>
    <n v="0"/>
    <n v="0"/>
    <n v="0.73839370135310922"/>
    <n v="17.962100731921907"/>
    <n v="0"/>
    <n v="0"/>
    <m/>
    <n v="0"/>
    <n v="0"/>
    <n v="0"/>
    <n v="0"/>
    <n v="0"/>
    <n v="-1.1159673822543574"/>
    <n v="0"/>
    <n v="0"/>
    <m/>
    <m/>
    <m/>
    <n v="3792.8657205831832"/>
    <n v="0"/>
    <n v="0"/>
    <n v="-2534.3825100000004"/>
    <n v="127.16846999999984"/>
    <n v="0"/>
    <n v="0"/>
    <n v="-2547.5718255616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97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2.2669999999999999"/>
    <n v="2.2669999999999999"/>
    <n v="2.2669999999999999"/>
    <n v="2.2669999999999999"/>
    <m/>
    <n v="639.92999999999995"/>
    <n v="256.55"/>
    <m/>
    <n v="2032.3201599999998"/>
    <n v="2032.3201599999998"/>
    <n v="1346.1446000000001"/>
    <n v="0"/>
    <n v="0"/>
    <n v="0"/>
    <n v="0"/>
    <n v="0"/>
    <n v="279.02868448424431"/>
    <n v="1081.1551098405728"/>
    <n v="581.6045667665619"/>
    <n v="0"/>
    <n v="0"/>
    <n v="0"/>
    <n v="0"/>
    <n v="0"/>
    <n v="0"/>
    <m/>
    <n v="4.977889133203246"/>
    <n v="0"/>
    <n v="0"/>
    <n v="0"/>
    <n v="0"/>
    <n v="0"/>
    <n v="0"/>
    <n v="0"/>
    <n v="0"/>
    <n v="0"/>
    <n v="0"/>
    <n v="0"/>
    <n v="0"/>
    <m/>
    <n v="0"/>
    <n v="0"/>
    <n v="3.3785561883718609"/>
    <n v="0"/>
    <n v="0"/>
    <n v="82.18646295707407"/>
    <n v="0"/>
    <n v="0"/>
    <n v="0"/>
    <n v="448.6"/>
    <n v="25"/>
    <m/>
    <m/>
    <m/>
    <m/>
    <m/>
    <m/>
    <m/>
    <m/>
    <m/>
    <n v="667.16958591200773"/>
    <m/>
    <m/>
    <m/>
    <m/>
    <m/>
    <m/>
    <m/>
    <m/>
    <m/>
    <m/>
    <m/>
    <m/>
    <n v="1347.9259999999999"/>
    <n v="-684.4241599999998"/>
    <m/>
    <m/>
    <m/>
    <m/>
    <n v="-722.42488999999989"/>
    <n v="36.249330000000022"/>
    <n v="31"/>
    <n v="39.984310543591846"/>
    <n v="0"/>
    <n v="0"/>
    <n v="0"/>
    <n v="0"/>
    <n v="0"/>
    <n v="0"/>
    <n v="0"/>
    <n v="-1.2612272034497209"/>
    <n v="0"/>
    <n v="0"/>
    <n v="36.233074170445889"/>
    <n v="0"/>
    <n v="0"/>
    <n v="0.21047887853231462"/>
    <n v="5.1200908285259601"/>
    <n v="0"/>
    <n v="0"/>
    <m/>
    <n v="0"/>
    <n v="0"/>
    <n v="0"/>
    <n v="0"/>
    <n v="0"/>
    <n v="-0.31810613046279723"/>
    <n v="0"/>
    <n v="0"/>
    <m/>
    <m/>
    <m/>
    <n v="1081.1551098405728"/>
    <n v="0"/>
    <n v="0"/>
    <n v="-722.42489"/>
    <n v="36.2493300000001"/>
    <n v="0"/>
    <n v="0"/>
    <n v="-726.18450000607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98"/>
    <s v="Regular"/>
    <s v="Convencional"/>
    <s v="B3"/>
    <s v="Industrial"/>
    <s v="Não se aplica"/>
    <s v="Não se aplica"/>
    <s v="Não se aplica"/>
    <s v="Não se aplica"/>
    <s v="CATIVO"/>
    <x v="8"/>
    <n v="0"/>
    <n v="0"/>
    <n v="60.786999999999999"/>
    <n v="60.786999999999999"/>
    <n v="60.786999999999999"/>
    <n v="60.786999999999999"/>
    <m/>
    <n v="710.91"/>
    <n v="256.55"/>
    <m/>
    <n v="58808.991019999994"/>
    <n v="58808.991019999994"/>
    <n v="40145.558409999998"/>
    <n v="0"/>
    <n v="3736.8614581380743"/>
    <n v="0"/>
    <n v="0"/>
    <n v="0"/>
    <n v="7481.8335437775731"/>
    <n v="28989.931919664272"/>
    <n v="15595.058138526245"/>
    <n v="0"/>
    <n v="0"/>
    <n v="0"/>
    <n v="0"/>
    <n v="0"/>
    <n v="577.73568090083836"/>
    <m/>
    <n v="133.47637703574139"/>
    <n v="0"/>
    <n v="0"/>
    <n v="0"/>
    <n v="0"/>
    <n v="0"/>
    <n v="0"/>
    <n v="0"/>
    <n v="0"/>
    <n v="0"/>
    <n v="0"/>
    <n v="0"/>
    <n v="0"/>
    <m/>
    <n v="0"/>
    <n v="0"/>
    <n v="90.5921019067315"/>
    <n v="0"/>
    <n v="0"/>
    <n v="2203.7355640810151"/>
    <n v="0"/>
    <n v="0"/>
    <n v="0"/>
    <n v="10141.56"/>
    <n v="45"/>
    <m/>
    <m/>
    <m/>
    <m/>
    <m/>
    <m/>
    <m/>
    <m/>
    <m/>
    <n v="17889.385804513993"/>
    <m/>
    <m/>
    <m/>
    <m/>
    <m/>
    <m/>
    <m/>
    <m/>
    <m/>
    <m/>
    <m/>
    <m/>
    <n v="40147.539700000001"/>
    <n v="-18661.481319999999"/>
    <m/>
    <m/>
    <m/>
    <m/>
    <n v="-19635.416739999997"/>
    <n v="971.9841300000005"/>
    <n v="31"/>
    <n v="808.0589844891947"/>
    <n v="0"/>
    <n v="0"/>
    <n v="0"/>
    <n v="0"/>
    <n v="0"/>
    <n v="0"/>
    <n v="0"/>
    <n v="-33.818358189721948"/>
    <n v="0"/>
    <n v="0"/>
    <n v="971.5482486100118"/>
    <n v="0"/>
    <n v="0"/>
    <n v="5.6437492674652816"/>
    <n v="137.28935209246038"/>
    <n v="0"/>
    <n v="-232.37244554953122"/>
    <m/>
    <n v="0"/>
    <n v="0"/>
    <n v="0"/>
    <n v="0"/>
    <n v="-31.70191138751386"/>
    <n v="-8.5296503539665167"/>
    <n v="0"/>
    <n v="0"/>
    <m/>
    <m/>
    <m/>
    <n v="28989.931919664272"/>
    <n v="0"/>
    <n v="0"/>
    <n v="-19635.416739999997"/>
    <n v="971.98412999999891"/>
    <n v="0"/>
    <n v="0"/>
    <n v="-19471.80291216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299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5.1130000000000004"/>
    <n v="5.1130000000000004"/>
    <n v="5.1130000000000004"/>
    <n v="5.1130000000000004"/>
    <m/>
    <n v="710.91"/>
    <n v="256.55"/>
    <m/>
    <n v="4946.6229800000001"/>
    <n v="4946.6229800000001"/>
    <n v="3376.7785900000003"/>
    <n v="0"/>
    <n v="314.32004598779304"/>
    <n v="0"/>
    <n v="0"/>
    <n v="0"/>
    <n v="629.32230426464105"/>
    <n v="2438.4411453969342"/>
    <n v="1311.7530436159821"/>
    <n v="0"/>
    <n v="0"/>
    <n v="0"/>
    <n v="0"/>
    <n v="0"/>
    <n v="48.595300581472792"/>
    <m/>
    <n v="11.227149156624701"/>
    <n v="0"/>
    <n v="0"/>
    <n v="0"/>
    <n v="0"/>
    <n v="0"/>
    <n v="0"/>
    <n v="0"/>
    <n v="0"/>
    <n v="0"/>
    <n v="0"/>
    <n v="0"/>
    <n v="0"/>
    <m/>
    <n v="0"/>
    <n v="0"/>
    <n v="7.6200078478806024"/>
    <n v="0"/>
    <n v="0"/>
    <n v="185.36364583128352"/>
    <n v="0"/>
    <n v="0"/>
    <n v="0"/>
    <n v="1734.21"/>
    <n v="5"/>
    <m/>
    <m/>
    <m/>
    <m/>
    <m/>
    <m/>
    <m/>
    <m/>
    <m/>
    <n v="1504.7366972951461"/>
    <m/>
    <m/>
    <m/>
    <m/>
    <m/>
    <m/>
    <m/>
    <m/>
    <m/>
    <m/>
    <m/>
    <m/>
    <n v="3374.7973000000002"/>
    <n v="-1571.8556800000006"/>
    <m/>
    <m/>
    <m/>
    <m/>
    <n v="-1651.6012600000001"/>
    <n v="81.756870000000049"/>
    <n v="31"/>
    <n v="67.968572025158664"/>
    <n v="0"/>
    <n v="0"/>
    <n v="0"/>
    <n v="0"/>
    <n v="0"/>
    <n v="0"/>
    <n v="0"/>
    <n v="-2.844576396664479"/>
    <n v="0"/>
    <n v="0"/>
    <n v="81.720206543224549"/>
    <n v="0"/>
    <n v="0"/>
    <n v="0.47471482396811915"/>
    <n v="11.547871374615454"/>
    <n v="0"/>
    <n v="-19.545631699125693"/>
    <m/>
    <n v="0"/>
    <n v="0"/>
    <n v="0"/>
    <n v="0"/>
    <n v="-2.6665549035872473"/>
    <n v="-0.71745771727229091"/>
    <n v="0"/>
    <n v="0"/>
    <m/>
    <m/>
    <m/>
    <n v="2438.4411453969342"/>
    <n v="0"/>
    <n v="0"/>
    <n v="-1651.6012599999999"/>
    <n v="81.756870000000163"/>
    <n v="0"/>
    <n v="0"/>
    <n v="-1637.8391480066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00"/>
    <s v="Regular"/>
    <s v="Verde"/>
    <s v="A4"/>
    <s v="Industrial"/>
    <s v="Não se aplica"/>
    <s v="Não se aplica"/>
    <s v="Não se aplica"/>
    <s v="Ponta"/>
    <s v="CATIVO"/>
    <x v="8"/>
    <n v="0"/>
    <n v="0"/>
    <n v="6.82"/>
    <n v="6.82"/>
    <n v="6.82"/>
    <n v="6.82"/>
    <m/>
    <n v="3130.62"/>
    <n v="256.55"/>
    <m/>
    <n v="23100.499399999997"/>
    <n v="23100.499399999997"/>
    <n v="12157.536599999999"/>
    <n v="0"/>
    <n v="364.75387460668315"/>
    <n v="0"/>
    <n v="0"/>
    <n v="0"/>
    <n v="4393.5381656007958"/>
    <n v="16396.293881786783"/>
    <n v="1749.6881982125949"/>
    <n v="0"/>
    <n v="0"/>
    <n v="0"/>
    <n v="0"/>
    <n v="0"/>
    <n v="64.819078811978173"/>
    <m/>
    <n v="9.2005550646364576"/>
    <n v="0"/>
    <n v="0"/>
    <n v="0"/>
    <n v="0"/>
    <n v="0"/>
    <n v="0"/>
    <n v="0"/>
    <n v="0"/>
    <n v="0"/>
    <n v="0"/>
    <n v="0"/>
    <n v="0"/>
    <m/>
    <n v="0"/>
    <n v="0"/>
    <n v="8.4024119813465568"/>
    <n v="0"/>
    <n v="0"/>
    <n v="113.82094550759994"/>
    <n v="0"/>
    <n v="0"/>
    <n v="0"/>
    <n v="0"/>
    <n v="0"/>
    <m/>
    <m/>
    <m/>
    <m/>
    <m/>
    <m/>
    <m/>
    <m/>
    <m/>
    <n v="1871.9115557015414"/>
    <m/>
    <m/>
    <m/>
    <m/>
    <m/>
    <m/>
    <m/>
    <m/>
    <m/>
    <m/>
    <m/>
    <m/>
    <n v="12157.536599999999"/>
    <n v="-10942.992799999993"/>
    <m/>
    <m/>
    <m/>
    <m/>
    <n v="-11052.0146"/>
    <n v="109.05180000000007"/>
    <n v="31"/>
    <n v="69.931606101877151"/>
    <n v="0"/>
    <n v="0"/>
    <n v="0"/>
    <n v="0"/>
    <n v="0"/>
    <n v="0"/>
    <n v="0"/>
    <n v="-19.859068841232329"/>
    <n v="0"/>
    <n v="0"/>
    <n v="109.0028962692727"/>
    <n v="0"/>
    <n v="0"/>
    <n v="0.52345740375347027"/>
    <n v="7.0908706643330959"/>
    <n v="0"/>
    <n v="-22.681801510579476"/>
    <m/>
    <n v="0"/>
    <n v="0"/>
    <n v="0"/>
    <n v="0"/>
    <n v="-3.5567972701867845"/>
    <n v="-0.58795061348385858"/>
    <n v="0"/>
    <n v="0"/>
    <m/>
    <m/>
    <m/>
    <n v="16396.293881786783"/>
    <n v="0"/>
    <n v="0"/>
    <n v="-11052.014599999999"/>
    <n v="109.05180000000018"/>
    <n v="0"/>
    <n v="0"/>
    <n v="-11012.9752577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01"/>
    <s v="Sistema de Compensação"/>
    <s v="Verde"/>
    <s v="A4"/>
    <s v="Industrial"/>
    <s v="Não se aplica"/>
    <s v="Não se aplica"/>
    <s v="Não se aplica"/>
    <s v="Ponta"/>
    <s v="CATIVO"/>
    <x v="8"/>
    <n v="0"/>
    <n v="0"/>
    <n v="1.026"/>
    <n v="1.026"/>
    <n v="1.026"/>
    <n v="1.026"/>
    <m/>
    <n v="3130.62"/>
    <n v="256.55"/>
    <m/>
    <n v="3475.2364199999997"/>
    <n v="3475.2364199999997"/>
    <n v="1828.97838"/>
    <n v="0"/>
    <n v="54.87353010945116"/>
    <n v="0"/>
    <n v="0"/>
    <n v="0"/>
    <n v="660.96336626193795"/>
    <n v="2466.6565282570732"/>
    <n v="263.22288729708538"/>
    <n v="0"/>
    <n v="0"/>
    <n v="0"/>
    <n v="0"/>
    <n v="0"/>
    <n v="9.7513746130629926"/>
    <m/>
    <n v="1.3841304246799129"/>
    <n v="0"/>
    <n v="0"/>
    <n v="0"/>
    <n v="0"/>
    <n v="0"/>
    <n v="0"/>
    <n v="0"/>
    <n v="0"/>
    <n v="0"/>
    <n v="0"/>
    <n v="0"/>
    <n v="0"/>
    <m/>
    <n v="0"/>
    <n v="0"/>
    <n v="1.2640578728536023"/>
    <n v="0"/>
    <n v="0"/>
    <n v="17.123209690732779"/>
    <n v="0"/>
    <n v="0"/>
    <n v="0"/>
    <n v="0"/>
    <n v="0"/>
    <m/>
    <m/>
    <m/>
    <m/>
    <m/>
    <m/>
    <m/>
    <m/>
    <m/>
    <n v="281.61015486067174"/>
    <m/>
    <m/>
    <m/>
    <m/>
    <m/>
    <m/>
    <m/>
    <m/>
    <m/>
    <m/>
    <m/>
    <m/>
    <n v="1836.1088999999999"/>
    <n v="-1639.1575200000004"/>
    <m/>
    <m/>
    <m/>
    <m/>
    <n v="-1662.6637800000001"/>
    <n v="16.405740000000009"/>
    <n v="31"/>
    <n v="10.520502618845285"/>
    <n v="0"/>
    <n v="0"/>
    <n v="0"/>
    <n v="0"/>
    <n v="0"/>
    <n v="0"/>
    <n v="0"/>
    <n v="-2.9875959869655162"/>
    <n v="0"/>
    <n v="0"/>
    <n v="16.398382928485887"/>
    <n v="0"/>
    <n v="0"/>
    <n v="7.8748870418043904E-2"/>
    <n v="1.0667497509685866"/>
    <n v="0"/>
    <n v="-3.4122475586297014"/>
    <m/>
    <n v="0"/>
    <n v="0"/>
    <n v="0"/>
    <n v="0"/>
    <n v="-0.5350841641072801"/>
    <n v="-8.845122132469796E-2"/>
    <n v="0"/>
    <n v="0"/>
    <m/>
    <m/>
    <m/>
    <n v="2466.6565282570732"/>
    <n v="0"/>
    <n v="0"/>
    <n v="-1662.6637799999999"/>
    <n v="16.405740000000037"/>
    <n v="0"/>
    <n v="0"/>
    <n v="-1656.790705935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02"/>
    <s v="Regular"/>
    <s v="Verde"/>
    <s v="A4"/>
    <s v="Industrial"/>
    <s v="Não se aplica"/>
    <s v="Não se aplica"/>
    <s v="Não se aplica"/>
    <s v="Fora ponta"/>
    <s v="CATIVO"/>
    <x v="8"/>
    <n v="0"/>
    <n v="0"/>
    <n v="238.214"/>
    <n v="238.214"/>
    <n v="238.214"/>
    <n v="238.214"/>
    <m/>
    <n v="82.26"/>
    <n v="256.55"/>
    <m/>
    <n v="80709.285340000002"/>
    <n v="80709.285340000002"/>
    <n v="83846.563720000006"/>
    <n v="0"/>
    <n v="12740.392886445223"/>
    <n v="0"/>
    <n v="0"/>
    <n v="0"/>
    <n v="0"/>
    <n v="0"/>
    <n v="61114.40241187904"/>
    <n v="0"/>
    <n v="0"/>
    <n v="0"/>
    <n v="0"/>
    <n v="0"/>
    <n v="2264.0486862341008"/>
    <m/>
    <n v="321.36378653479608"/>
    <n v="0"/>
    <n v="0"/>
    <n v="0"/>
    <n v="0"/>
    <n v="0"/>
    <n v="0"/>
    <n v="0"/>
    <n v="0"/>
    <n v="0"/>
    <n v="0"/>
    <n v="0"/>
    <n v="0"/>
    <m/>
    <n v="0"/>
    <n v="0"/>
    <n v="293.48565509156725"/>
    <n v="0"/>
    <n v="0"/>
    <n v="3975.6220987019665"/>
    <n v="0"/>
    <n v="0"/>
    <n v="0"/>
    <n v="0"/>
    <n v="0"/>
    <m/>
    <m/>
    <m/>
    <m/>
    <m/>
    <m/>
    <m/>
    <m/>
    <m/>
    <n v="65383.510165672575"/>
    <m/>
    <m/>
    <m/>
    <m/>
    <m/>
    <m/>
    <m/>
    <m/>
    <m/>
    <m/>
    <m/>
    <m/>
    <n v="83845.155800000008"/>
    <n v="3135.8404600000067"/>
    <m/>
    <m/>
    <m/>
    <m/>
    <n v="-671.76348000000178"/>
    <n v="3809.0418600000021"/>
    <n v="31"/>
    <n v="3136.2750499850081"/>
    <n v="0"/>
    <n v="0"/>
    <n v="0"/>
    <n v="0"/>
    <n v="0"/>
    <n v="0"/>
    <n v="0"/>
    <n v="0"/>
    <n v="0"/>
    <n v="0"/>
    <n v="3807.3337143531535"/>
    <n v="0"/>
    <n v="0"/>
    <n v="18.283707034857628"/>
    <n v="247.6751707380422"/>
    <n v="0"/>
    <n v="-792.24672507935247"/>
    <m/>
    <n v="0"/>
    <n v="0"/>
    <n v="0"/>
    <n v="0"/>
    <n v="-124.2344435366972"/>
    <n v="-20.536373524991859"/>
    <n v="0"/>
    <n v="0"/>
    <m/>
    <m/>
    <m/>
    <n v="0"/>
    <n v="0"/>
    <n v="0"/>
    <n v="-671.76348000000144"/>
    <n v="3809.04185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03"/>
    <s v="Sistema de Compensação"/>
    <s v="Verde"/>
    <s v="A4"/>
    <s v="Industrial"/>
    <s v="Não se aplica"/>
    <s v="Não se aplica"/>
    <s v="Não se aplica"/>
    <s v="Fora ponta"/>
    <s v="CATIVO"/>
    <x v="8"/>
    <n v="0"/>
    <n v="0"/>
    <n v="10.927"/>
    <n v="10.927"/>
    <n v="10.927"/>
    <n v="10.927"/>
    <m/>
    <n v="82.26"/>
    <n v="256.55"/>
    <m/>
    <n v="3702.1768699999998"/>
    <n v="3702.1768699999998"/>
    <n v="3846.0854600000002"/>
    <n v="0"/>
    <n v="584.40844396293642"/>
    <n v="0"/>
    <n v="0"/>
    <n v="0"/>
    <n v="0"/>
    <n v="0"/>
    <n v="2803.3494049661322"/>
    <n v="0"/>
    <n v="0"/>
    <n v="0"/>
    <n v="0"/>
    <n v="0"/>
    <n v="103.85309005549641"/>
    <m/>
    <n v="14.741123928340553"/>
    <n v="0"/>
    <n v="0"/>
    <n v="0"/>
    <n v="0"/>
    <n v="0"/>
    <n v="0"/>
    <n v="0"/>
    <n v="0"/>
    <n v="0"/>
    <n v="0"/>
    <n v="0"/>
    <n v="0"/>
    <m/>
    <n v="0"/>
    <n v="0"/>
    <n v="13.462339548412585"/>
    <n v="0"/>
    <n v="0"/>
    <n v="182.36385213512384"/>
    <n v="0"/>
    <n v="0"/>
    <n v="0"/>
    <n v="0"/>
    <n v="0"/>
    <m/>
    <m/>
    <m/>
    <m/>
    <m/>
    <m/>
    <m/>
    <m/>
    <m/>
    <n v="2999.1755966496689"/>
    <m/>
    <m/>
    <m/>
    <m/>
    <m/>
    <m/>
    <m/>
    <m/>
    <m/>
    <m/>
    <m/>
    <m/>
    <n v="3847.1414"/>
    <n v="144.93453"/>
    <m/>
    <m/>
    <m/>
    <m/>
    <n v="-30.81414000000008"/>
    <n v="174.7227300000001"/>
    <n v="31"/>
    <n v="143.86256673069647"/>
    <n v="0"/>
    <n v="0"/>
    <n v="0"/>
    <n v="0"/>
    <n v="0"/>
    <n v="0"/>
    <n v="0"/>
    <n v="0"/>
    <n v="0"/>
    <n v="0"/>
    <n v="174.64437647131126"/>
    <n v="0"/>
    <n v="0"/>
    <n v="0.83868314528066712"/>
    <n v="11.360988819526057"/>
    <n v="0"/>
    <n v="-36.34076907714109"/>
    <m/>
    <n v="0"/>
    <n v="0"/>
    <n v="0"/>
    <n v="0"/>
    <n v="-5.6986985001951638"/>
    <n v="-0.94201412808477158"/>
    <n v="0"/>
    <n v="0"/>
    <m/>
    <m/>
    <m/>
    <n v="0"/>
    <n v="0"/>
    <n v="0"/>
    <n v="-30.814140000000066"/>
    <n v="174.7227300000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04"/>
    <s v="Regular"/>
    <s v="Verde"/>
    <s v="A4"/>
    <s v="Industrial"/>
    <s v="Não se aplica"/>
    <s v="Não se aplica"/>
    <s v="Não se aplica"/>
    <s v="Não se aplica"/>
    <s v="CATIVO"/>
    <x v="8"/>
    <n v="1530"/>
    <n v="1530"/>
    <n v="0"/>
    <n v="0"/>
    <n v="0"/>
    <n v="0"/>
    <n v="47.39"/>
    <m/>
    <m/>
    <n v="72506.7"/>
    <m/>
    <n v="72506.7"/>
    <n v="49296.6"/>
    <n v="0"/>
    <n v="0"/>
    <n v="0"/>
    <n v="0"/>
    <n v="0"/>
    <n v="38204.253274582523"/>
    <n v="34302.39688596613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5725.17"/>
    <n v="10"/>
    <m/>
    <m/>
    <m/>
    <m/>
    <m/>
    <m/>
    <m/>
    <m/>
    <m/>
    <n v="0"/>
    <m/>
    <m/>
    <m/>
    <m/>
    <m/>
    <m/>
    <m/>
    <m/>
    <m/>
    <m/>
    <m/>
    <m/>
    <n v="49296.6"/>
    <n v="-23210.129999999983"/>
    <m/>
    <m/>
    <m/>
    <m/>
    <n v="-23210.100000000002"/>
    <n v="0"/>
    <n v="31"/>
    <n v="-172.68562766750983"/>
    <n v="0"/>
    <n v="0"/>
    <n v="0"/>
    <n v="0"/>
    <m/>
    <m/>
    <m/>
    <n v="-172.685627667509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302.396885966133"/>
    <m/>
    <n v="0"/>
    <n v="0"/>
    <n v="-23210.1"/>
    <m/>
    <n v="0"/>
    <m/>
    <n v="-23040.05105735324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05"/>
    <s v="Sistema de Compensação"/>
    <s v="Verde"/>
    <s v="A4"/>
    <s v="Industrial"/>
    <s v="Não se aplica"/>
    <s v="Não se aplica"/>
    <s v="Não se aplica"/>
    <s v="Não se aplica"/>
    <s v="CATIVO"/>
    <x v="8"/>
    <n v="726"/>
    <n v="726"/>
    <n v="0"/>
    <n v="0"/>
    <n v="0"/>
    <n v="0"/>
    <n v="47.39"/>
    <m/>
    <m/>
    <n v="34405.14"/>
    <m/>
    <n v="34405.14"/>
    <n v="23391.719999999998"/>
    <n v="0"/>
    <n v="0"/>
    <n v="0"/>
    <n v="0"/>
    <n v="0"/>
    <n v="18128.292730292098"/>
    <n v="16276.82362039961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362.05"/>
    <n v="5"/>
    <m/>
    <m/>
    <m/>
    <m/>
    <m/>
    <m/>
    <m/>
    <m/>
    <m/>
    <n v="0"/>
    <m/>
    <m/>
    <m/>
    <m/>
    <m/>
    <m/>
    <m/>
    <m/>
    <m/>
    <m/>
    <m/>
    <m/>
    <n v="23391.719999999998"/>
    <n v="-11013.450000000008"/>
    <m/>
    <m/>
    <m/>
    <m/>
    <n v="-11013.420000000002"/>
    <n v="0"/>
    <n v="31"/>
    <n v="-81.941023324583512"/>
    <n v="0"/>
    <n v="0"/>
    <n v="0"/>
    <n v="0"/>
    <m/>
    <m/>
    <m/>
    <n v="-81.9410233245835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276.823620399617"/>
    <m/>
    <n v="0"/>
    <n v="0"/>
    <n v="-11013.420000000002"/>
    <m/>
    <n v="0"/>
    <m/>
    <n v="-10932.73010956761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06"/>
    <s v="Regular"/>
    <s v="Convencional"/>
    <s v="B3"/>
    <s v="Comercial"/>
    <s v="Não se aplica"/>
    <s v="Não se aplica"/>
    <s v="Não se aplica"/>
    <s v="Não se aplica"/>
    <s v="CATIVO"/>
    <x v="8"/>
    <n v="0"/>
    <n v="0"/>
    <n v="400.20699999999999"/>
    <n v="400.20699999999999"/>
    <n v="400.20699999999999"/>
    <n v="400.20699999999999"/>
    <m/>
    <n v="710.91"/>
    <n v="256.55"/>
    <m/>
    <n v="387184.26421999995"/>
    <n v="387184.26421999995"/>
    <n v="264308.70900999999"/>
    <n v="0"/>
    <n v="24602.597818235219"/>
    <n v="0"/>
    <n v="0"/>
    <n v="0"/>
    <n v="49258.594058838098"/>
    <n v="190862.74505688847"/>
    <n v="102674.11506481934"/>
    <n v="0"/>
    <n v="0"/>
    <n v="0"/>
    <n v="0"/>
    <n v="0"/>
    <n v="3803.6728847661802"/>
    <m/>
    <n v="878.77639008904782"/>
    <n v="0"/>
    <n v="0"/>
    <n v="0"/>
    <n v="0"/>
    <n v="0"/>
    <n v="0"/>
    <n v="0"/>
    <n v="0"/>
    <n v="0"/>
    <n v="0"/>
    <n v="0"/>
    <n v="0"/>
    <m/>
    <n v="0"/>
    <n v="0"/>
    <n v="596.4366283545379"/>
    <n v="0"/>
    <n v="0"/>
    <n v="14508.865364208972"/>
    <n v="0"/>
    <n v="0"/>
    <n v="0"/>
    <n v="107039.01"/>
    <n v="964"/>
    <m/>
    <m/>
    <m/>
    <m/>
    <m/>
    <m/>
    <m/>
    <m/>
    <m/>
    <n v="117779.41705738286"/>
    <m/>
    <m/>
    <m/>
    <m/>
    <m/>
    <m/>
    <m/>
    <m/>
    <m/>
    <m/>
    <m/>
    <m/>
    <n v="264310.69030000002"/>
    <n v="-122873.60391999997"/>
    <m/>
    <m/>
    <m/>
    <m/>
    <n v="-129274.86513999999"/>
    <n v="6399.309930000004"/>
    <n v="31"/>
    <n v="5320.0661655530275"/>
    <n v="0"/>
    <n v="0"/>
    <n v="0"/>
    <n v="0"/>
    <n v="0"/>
    <n v="0"/>
    <n v="0"/>
    <n v="-222.6519432779096"/>
    <n v="0"/>
    <n v="0"/>
    <n v="6396.4401916769566"/>
    <n v="0"/>
    <n v="0"/>
    <n v="37.15708890197709"/>
    <n v="903.88010154913536"/>
    <n v="0"/>
    <n v="-1529.8843390205329"/>
    <m/>
    <n v="0"/>
    <n v="0"/>
    <n v="0"/>
    <n v="0"/>
    <n v="-208.71776614510918"/>
    <n v="-56.157168131506296"/>
    <n v="0"/>
    <n v="0"/>
    <m/>
    <m/>
    <m/>
    <n v="190862.74505688847"/>
    <n v="0"/>
    <n v="0"/>
    <n v="-129274.86513999998"/>
    <n v="6399.3099300000031"/>
    <n v="0"/>
    <n v="0"/>
    <n v="-128197.6710162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07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16.405999999999999"/>
    <n v="16.405999999999999"/>
    <n v="16.405999999999999"/>
    <n v="16.405999999999999"/>
    <m/>
    <n v="710.91"/>
    <n v="256.55"/>
    <m/>
    <n v="15872.148759999996"/>
    <n v="15872.148759999996"/>
    <n v="10835.014579999999"/>
    <n v="0"/>
    <n v="1008.5536230150071"/>
    <n v="0"/>
    <n v="0"/>
    <n v="0"/>
    <n v="2019.2962495141207"/>
    <n v="7824.1864720090152"/>
    <n v="4209.000671536045"/>
    <n v="0"/>
    <n v="0"/>
    <n v="0"/>
    <n v="0"/>
    <n v="0"/>
    <n v="155.92695117145365"/>
    <m/>
    <n v="36.024371027495569"/>
    <n v="0"/>
    <n v="0"/>
    <n v="0"/>
    <n v="0"/>
    <n v="0"/>
    <n v="0"/>
    <n v="0"/>
    <n v="0"/>
    <n v="0"/>
    <n v="0"/>
    <n v="0"/>
    <n v="0"/>
    <m/>
    <n v="0"/>
    <n v="0"/>
    <n v="24.450195335875055"/>
    <n v="0"/>
    <n v="0"/>
    <n v="594.77331772111029"/>
    <n v="0"/>
    <n v="0"/>
    <n v="0"/>
    <n v="10502.61"/>
    <n v="46"/>
    <m/>
    <m/>
    <m/>
    <m/>
    <m/>
    <m/>
    <m/>
    <m/>
    <m/>
    <n v="4828.2241845930303"/>
    <m/>
    <m/>
    <m/>
    <m/>
    <m/>
    <m/>
    <m/>
    <m/>
    <m/>
    <m/>
    <m/>
    <m/>
    <n v="10837.656299999999"/>
    <n v="-5034.5224599999983"/>
    <m/>
    <m/>
    <m/>
    <m/>
    <n v="-5299.4661199999991"/>
    <n v="262.33194000000015"/>
    <n v="31"/>
    <n v="218.08965238504697"/>
    <n v="0"/>
    <n v="0"/>
    <n v="0"/>
    <n v="0"/>
    <n v="0"/>
    <n v="0"/>
    <n v="0"/>
    <n v="-9.1273460519612399"/>
    <n v="0"/>
    <n v="0"/>
    <n v="262.2142985621249"/>
    <n v="0"/>
    <n v="0"/>
    <n v="1.5232097402739981"/>
    <n v="37.053467195763915"/>
    <n v="0"/>
    <n v="-62.71575076390684"/>
    <m/>
    <n v="0"/>
    <n v="0"/>
    <n v="0"/>
    <n v="0"/>
    <n v="-8.556131380452257"/>
    <n v="-2.3020949167942888"/>
    <n v="0"/>
    <n v="0"/>
    <m/>
    <m/>
    <m/>
    <n v="7824.1864720090152"/>
    <n v="0"/>
    <n v="0"/>
    <n v="-5299.4661199999982"/>
    <n v="262.33194000000003"/>
    <n v="0"/>
    <n v="0"/>
    <n v="-5255.3078549182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08"/>
    <s v="Regular"/>
    <s v="Verde"/>
    <s v="A4"/>
    <s v="Comercial"/>
    <s v="Não se aplica"/>
    <s v="Não se aplica"/>
    <s v="Não se aplica"/>
    <s v="Ponta"/>
    <s v="CATIVO"/>
    <x v="8"/>
    <n v="0"/>
    <n v="0"/>
    <n v="15.238"/>
    <n v="15.238"/>
    <n v="15.238"/>
    <n v="15.238"/>
    <m/>
    <n v="3130.62"/>
    <n v="256.55"/>
    <m/>
    <n v="51613.696459999992"/>
    <n v="51613.696459999992"/>
    <n v="27163.715939999998"/>
    <n v="0"/>
    <n v="814.97353977370051"/>
    <n v="0"/>
    <n v="0"/>
    <n v="0"/>
    <n v="9816.5299952235964"/>
    <n v="36634.417327077274"/>
    <n v="3909.3473261530085"/>
    <n v="0"/>
    <n v="0"/>
    <n v="0"/>
    <n v="0"/>
    <n v="0"/>
    <n v="144.82597110512074"/>
    <m/>
    <n v="20.556900010986855"/>
    <n v="0"/>
    <n v="0"/>
    <n v="0"/>
    <n v="0"/>
    <n v="0"/>
    <n v="0"/>
    <n v="0"/>
    <n v="0"/>
    <n v="0"/>
    <n v="0"/>
    <n v="0"/>
    <n v="0"/>
    <m/>
    <n v="0"/>
    <n v="0"/>
    <n v="18.773600259788687"/>
    <n v="0"/>
    <n v="0"/>
    <n v="254.31137355495716"/>
    <n v="0"/>
    <n v="0"/>
    <n v="0"/>
    <n v="0"/>
    <n v="0"/>
    <m/>
    <m/>
    <m/>
    <m/>
    <m/>
    <m/>
    <m/>
    <m/>
    <m/>
    <n v="4182.4322999677543"/>
    <m/>
    <m/>
    <m/>
    <m/>
    <m/>
    <m/>
    <m/>
    <m/>
    <m/>
    <m/>
    <m/>
    <m/>
    <n v="27167.281200000001"/>
    <n v="-24446.445259999997"/>
    <m/>
    <m/>
    <m/>
    <m/>
    <n v="-24693.636139999999"/>
    <n v="243.65562000000014"/>
    <n v="31"/>
    <n v="156.24894630211202"/>
    <n v="0"/>
    <n v="0"/>
    <n v="0"/>
    <n v="0"/>
    <n v="0"/>
    <n v="0"/>
    <n v="0"/>
    <n v="-44.371332991599047"/>
    <n v="0"/>
    <n v="0"/>
    <n v="243.54635386380914"/>
    <n v="0"/>
    <n v="0"/>
    <n v="1.1695665569494658"/>
    <n v="15.843209264385308"/>
    <n v="0"/>
    <n v="-50.678195222611407"/>
    <m/>
    <n v="0"/>
    <n v="0"/>
    <n v="0"/>
    <n v="0"/>
    <n v="-7.9469907335933101"/>
    <n v="-1.3136644352297751"/>
    <n v="0"/>
    <n v="0"/>
    <m/>
    <m/>
    <m/>
    <n v="36634.417327077274"/>
    <n v="0"/>
    <n v="0"/>
    <n v="-24693.636139999999"/>
    <n v="243.65562000000045"/>
    <n v="0"/>
    <n v="0"/>
    <n v="-24606.410114086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09"/>
    <s v="Sistema de Compensação"/>
    <s v="Verde"/>
    <s v="A4"/>
    <s v="Comercial"/>
    <s v="Não se aplica"/>
    <s v="Não se aplica"/>
    <s v="Não se aplica"/>
    <s v="Ponta"/>
    <s v="CATIVO"/>
    <x v="8"/>
    <n v="0"/>
    <n v="0"/>
    <n v="1.0860000000000001"/>
    <n v="1.0860000000000001"/>
    <n v="1.0860000000000001"/>
    <n v="1.0860000000000001"/>
    <m/>
    <n v="3130.62"/>
    <n v="256.55"/>
    <m/>
    <n v="3678.4666200000001"/>
    <n v="3678.4666200000001"/>
    <n v="1935.9361800000001"/>
    <n v="0"/>
    <n v="58.082508478424913"/>
    <n v="0"/>
    <n v="0"/>
    <n v="0"/>
    <n v="699.61619469830862"/>
    <n v="2610.9054480381888"/>
    <n v="278.61603860100848"/>
    <n v="0"/>
    <n v="0"/>
    <n v="0"/>
    <n v="0"/>
    <n v="0"/>
    <n v="10.321630438388315"/>
    <m/>
    <n v="1.4650737243687968"/>
    <n v="0"/>
    <n v="0"/>
    <n v="0"/>
    <n v="0"/>
    <n v="0"/>
    <n v="0"/>
    <n v="0"/>
    <n v="0"/>
    <n v="0"/>
    <n v="0"/>
    <n v="0"/>
    <n v="0"/>
    <m/>
    <n v="0"/>
    <n v="0"/>
    <n v="1.3379793858859768"/>
    <n v="0"/>
    <n v="0"/>
    <n v="18.124566982588497"/>
    <n v="0"/>
    <n v="0"/>
    <n v="0"/>
    <n v="0"/>
    <n v="0"/>
    <m/>
    <m/>
    <m/>
    <m/>
    <m/>
    <m/>
    <m/>
    <m/>
    <m/>
    <n v="298.07858496948296"/>
    <m/>
    <m/>
    <m/>
    <m/>
    <m/>
    <m/>
    <m/>
    <m/>
    <m/>
    <m/>
    <m/>
    <m/>
    <n v="1943.0667000000001"/>
    <n v="-1735.4299200000007"/>
    <m/>
    <m/>
    <m/>
    <m/>
    <n v="-1759.8955800000001"/>
    <n v="17.365140000000011"/>
    <n v="31"/>
    <n v="11.13573669012294"/>
    <n v="0"/>
    <n v="0"/>
    <n v="0"/>
    <n v="0"/>
    <n v="0"/>
    <n v="0"/>
    <n v="0"/>
    <n v="-3.1623092025774895"/>
    <n v="0"/>
    <n v="0"/>
    <n v="17.35735269038571"/>
    <n v="0"/>
    <n v="0"/>
    <n v="8.3354067518514263E-2"/>
    <n v="1.1291327773410167"/>
    <n v="0"/>
    <n v="-3.6117941994852387"/>
    <m/>
    <n v="0"/>
    <n v="0"/>
    <n v="0"/>
    <n v="0"/>
    <n v="-0.56637563569250027"/>
    <n v="-9.3623807367078093E-2"/>
    <n v="0"/>
    <n v="0"/>
    <m/>
    <m/>
    <m/>
    <n v="2610.9054480381888"/>
    <n v="0"/>
    <n v="0"/>
    <n v="-1759.8955800000001"/>
    <n v="17.365139999999997"/>
    <n v="0"/>
    <n v="0"/>
    <n v="-1753.6790513123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10"/>
    <s v="Regular"/>
    <s v="Verde"/>
    <s v="A4"/>
    <s v="Comercial"/>
    <s v="Não se aplica"/>
    <s v="Não se aplica"/>
    <s v="Não se aplica"/>
    <s v="Fora ponta"/>
    <s v="CATIVO"/>
    <x v="8"/>
    <n v="0"/>
    <n v="0"/>
    <n v="118.729"/>
    <n v="118.729"/>
    <n v="118.729"/>
    <n v="118.729"/>
    <m/>
    <n v="82.26"/>
    <n v="256.55"/>
    <m/>
    <n v="40226.572489999999"/>
    <n v="40226.572489999999"/>
    <n v="41790.233420000004"/>
    <n v="0"/>
    <n v="6349.979879498077"/>
    <n v="0"/>
    <n v="0"/>
    <n v="0"/>
    <n v="0"/>
    <n v="0"/>
    <n v="30460.224352724803"/>
    <n v="0"/>
    <n v="0"/>
    <n v="0"/>
    <n v="0"/>
    <n v="0"/>
    <n v="1128.4317314175009"/>
    <m/>
    <n v="160.17195047935806"/>
    <n v="0"/>
    <n v="0"/>
    <n v="0"/>
    <n v="0"/>
    <n v="0"/>
    <n v="0"/>
    <n v="0"/>
    <n v="0"/>
    <n v="0"/>
    <n v="0"/>
    <n v="0"/>
    <n v="0"/>
    <m/>
    <n v="0"/>
    <n v="0"/>
    <n v="146.27712201367967"/>
    <n v="0"/>
    <n v="0"/>
    <n v="1981.5024984122922"/>
    <n v="0"/>
    <n v="0"/>
    <n v="0"/>
    <n v="0"/>
    <n v="0"/>
    <m/>
    <m/>
    <m/>
    <m/>
    <m/>
    <m/>
    <m/>
    <m/>
    <m/>
    <n v="32588.003973150775"/>
    <m/>
    <m/>
    <m/>
    <m/>
    <m/>
    <m/>
    <m/>
    <m/>
    <m/>
    <m/>
    <m/>
    <m/>
    <n v="41790.585400000004"/>
    <n v="1563.9829099999988"/>
    <m/>
    <m/>
    <m/>
    <m/>
    <n v="-334.81578000000087"/>
    <n v="1898.476710000001"/>
    <n v="31"/>
    <n v="1563.1608570851022"/>
    <n v="0"/>
    <n v="0"/>
    <n v="0"/>
    <n v="0"/>
    <n v="0"/>
    <n v="0"/>
    <n v="0"/>
    <n v="0"/>
    <n v="0"/>
    <n v="0"/>
    <n v="1897.6253476766105"/>
    <n v="0"/>
    <n v="0"/>
    <n v="9.1128407756958438"/>
    <n v="123.44457230287458"/>
    <n v="0"/>
    <n v="-394.86621870228646"/>
    <m/>
    <n v="0"/>
    <n v="0"/>
    <n v="0"/>
    <n v="0"/>
    <n v="-61.920085497361697"/>
    <n v="-10.235599470428923"/>
    <n v="0"/>
    <n v="0"/>
    <m/>
    <m/>
    <m/>
    <n v="0"/>
    <n v="0"/>
    <n v="0"/>
    <n v="-334.81578000000081"/>
    <n v="1898.47671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11"/>
    <s v="Sistema de Compensação"/>
    <s v="Verde"/>
    <s v="A4"/>
    <s v="Comercial"/>
    <s v="Não se aplica"/>
    <s v="Não se aplica"/>
    <s v="Não se aplica"/>
    <s v="Fora ponta"/>
    <s v="CATIVO"/>
    <x v="8"/>
    <n v="0"/>
    <n v="0"/>
    <n v="1"/>
    <n v="1"/>
    <n v="1"/>
    <n v="1"/>
    <m/>
    <n v="82.26"/>
    <n v="256.55"/>
    <m/>
    <n v="338.81"/>
    <n v="338.81"/>
    <n v="351.98"/>
    <n v="0"/>
    <n v="53.4829728162292"/>
    <n v="0"/>
    <n v="0"/>
    <n v="0"/>
    <n v="0"/>
    <n v="0"/>
    <n v="256.55252173205201"/>
    <n v="0"/>
    <n v="0"/>
    <n v="0"/>
    <n v="0"/>
    <n v="0"/>
    <n v="9.50426375542202"/>
    <m/>
    <n v="1.3490549948147299"/>
    <n v="0"/>
    <n v="0"/>
    <n v="0"/>
    <n v="0"/>
    <n v="0"/>
    <n v="0"/>
    <n v="0"/>
    <n v="0"/>
    <n v="0"/>
    <n v="0"/>
    <n v="0"/>
    <n v="0"/>
    <m/>
    <n v="0"/>
    <n v="0"/>
    <n v="1.23202521720624"/>
    <n v="0"/>
    <n v="0"/>
    <n v="16.6892881975953"/>
    <n v="0"/>
    <n v="0"/>
    <n v="0"/>
    <n v="0"/>
    <n v="0"/>
    <m/>
    <m/>
    <m/>
    <m/>
    <m/>
    <m/>
    <m/>
    <m/>
    <m/>
    <n v="274.47383514685356"/>
    <m/>
    <m/>
    <m/>
    <m/>
    <m/>
    <m/>
    <m/>
    <m/>
    <m/>
    <m/>
    <m/>
    <m/>
    <n v="351.98"/>
    <n v="13.139999999999986"/>
    <m/>
    <m/>
    <m/>
    <m/>
    <n v="-2.8200000000000074"/>
    <n v="15.990000000000009"/>
    <n v="31"/>
    <n v="13.165788114825375"/>
    <n v="0"/>
    <n v="0"/>
    <n v="0"/>
    <n v="0"/>
    <n v="0"/>
    <n v="0"/>
    <n v="0"/>
    <n v="0"/>
    <n v="0"/>
    <n v="0"/>
    <n v="15.982829364996007"/>
    <n v="0"/>
    <n v="0"/>
    <n v="7.6753285007840066E-2"/>
    <n v="1.039717106207199"/>
    <n v="0"/>
    <n v="-3.3257773475923003"/>
    <m/>
    <n v="0"/>
    <n v="0"/>
    <n v="0"/>
    <n v="0"/>
    <n v="-0.5215245264203503"/>
    <n v="-8.6209767373000012E-2"/>
    <n v="0"/>
    <n v="0"/>
    <m/>
    <m/>
    <m/>
    <n v="0"/>
    <n v="0"/>
    <n v="0"/>
    <n v="-2.8200000000000074"/>
    <n v="15.990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12"/>
    <s v="Regular"/>
    <s v="Verde"/>
    <s v="A4"/>
    <s v="Comercial"/>
    <s v="Não se aplica"/>
    <s v="Não se aplica"/>
    <s v="Não se aplica"/>
    <s v="Não se aplica"/>
    <s v="CATIVO"/>
    <x v="8"/>
    <n v="790"/>
    <n v="790"/>
    <n v="0"/>
    <n v="0"/>
    <n v="0"/>
    <n v="0"/>
    <n v="47.39"/>
    <m/>
    <m/>
    <n v="37438.1"/>
    <m/>
    <n v="37438.1"/>
    <n v="25453.8"/>
    <n v="0"/>
    <n v="0"/>
    <n v="0"/>
    <n v="0"/>
    <n v="0"/>
    <n v="19726.379141777903"/>
    <n v="17711.69512412630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7326.92"/>
    <n v="10"/>
    <m/>
    <m/>
    <m/>
    <m/>
    <m/>
    <m/>
    <m/>
    <m/>
    <m/>
    <n v="0"/>
    <m/>
    <m/>
    <m/>
    <m/>
    <m/>
    <m/>
    <m/>
    <m/>
    <m/>
    <m/>
    <m/>
    <m/>
    <n v="25453.8"/>
    <n v="-11984.330000000005"/>
    <m/>
    <m/>
    <m/>
    <m/>
    <n v="-11984.300000000001"/>
    <n v="0"/>
    <n v="31"/>
    <n v="-89.164474416556914"/>
    <n v="0"/>
    <n v="0"/>
    <n v="0"/>
    <n v="0"/>
    <m/>
    <m/>
    <m/>
    <n v="-89.1644744165569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711.695124126305"/>
    <m/>
    <n v="0"/>
    <n v="0"/>
    <n v="-11984.3"/>
    <m/>
    <n v="0"/>
    <m/>
    <n v="-11896.49695118239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13"/>
    <s v="Sistema de Compensação"/>
    <s v="Verde"/>
    <s v="A4"/>
    <s v="Comercial"/>
    <s v="Não se aplica"/>
    <s v="Não se aplica"/>
    <s v="Não se aplica"/>
    <s v="Não se aplica"/>
    <s v="CATIVO"/>
    <x v="8"/>
    <n v="45"/>
    <n v="45"/>
    <n v="0"/>
    <n v="0"/>
    <n v="0"/>
    <n v="0"/>
    <n v="47.39"/>
    <m/>
    <m/>
    <n v="2132.5500000000002"/>
    <m/>
    <n v="2132.5500000000002"/>
    <n v="1449.8999999999999"/>
    <n v="0"/>
    <n v="0"/>
    <n v="0"/>
    <n v="0"/>
    <n v="0"/>
    <n v="1123.6545080759565"/>
    <n v="1008.89402605782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23.53"/>
    <n v="1"/>
    <m/>
    <m/>
    <m/>
    <m/>
    <m/>
    <m/>
    <m/>
    <m/>
    <m/>
    <n v="0"/>
    <m/>
    <m/>
    <m/>
    <m/>
    <m/>
    <m/>
    <m/>
    <m/>
    <m/>
    <m/>
    <m/>
    <m/>
    <n v="1449.8999999999999"/>
    <n v="-682.68000000000097"/>
    <m/>
    <m/>
    <m/>
    <m/>
    <n v="-682.65000000000009"/>
    <n v="0"/>
    <n v="31"/>
    <n v="-5.0789890490445941"/>
    <n v="0"/>
    <n v="0"/>
    <n v="0"/>
    <n v="0"/>
    <m/>
    <m/>
    <m/>
    <n v="-5.078989049044594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08.8940260578274"/>
    <m/>
    <n v="0"/>
    <n v="0"/>
    <n v="-682.65000000000032"/>
    <m/>
    <n v="0"/>
    <m/>
    <n v="-677.64856051038953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14"/>
    <s v="Regular"/>
    <s v="Convencional"/>
    <s v="B2"/>
    <s v="Rural"/>
    <s v="Não se aplica"/>
    <s v="Não se aplica"/>
    <s v="Não se aplica"/>
    <s v="Não se aplica"/>
    <s v="CATIVO"/>
    <x v="8"/>
    <n v="0"/>
    <n v="0"/>
    <n v="3274.9630000000002"/>
    <n v="3274.9630000000002"/>
    <n v="3274.9630000000002"/>
    <n v="3274.9630000000002"/>
    <m/>
    <n v="710.91"/>
    <n v="256.55"/>
    <m/>
    <n v="3168395.7039800002"/>
    <n v="3168395.7039800002"/>
    <n v="2162883.8140900005"/>
    <n v="0"/>
    <n v="201327.30701512235"/>
    <n v="0"/>
    <n v="0"/>
    <n v="0"/>
    <n v="403091.5825428206"/>
    <n v="1561862.8063470719"/>
    <n v="840200.0162291663"/>
    <n v="0"/>
    <n v="0"/>
    <n v="0"/>
    <n v="0"/>
    <n v="0"/>
    <n v="31126.112141248166"/>
    <m/>
    <n v="7191.1789719200278"/>
    <n v="0"/>
    <n v="0"/>
    <n v="0"/>
    <n v="0"/>
    <n v="0"/>
    <n v="0"/>
    <n v="0"/>
    <n v="0"/>
    <n v="0"/>
    <n v="0"/>
    <n v="0"/>
    <n v="0"/>
    <m/>
    <n v="0"/>
    <n v="0"/>
    <n v="4880.7439392760807"/>
    <n v="0"/>
    <n v="0"/>
    <n v="118728.55107423387"/>
    <n v="0"/>
    <n v="0"/>
    <n v="0"/>
    <n v="138843.5"/>
    <n v="8874"/>
    <m/>
    <m/>
    <m/>
    <m/>
    <m/>
    <n v="259540.81774999993"/>
    <m/>
    <m/>
    <m/>
    <n v="963809.31124267622"/>
    <m/>
    <m/>
    <m/>
    <m/>
    <m/>
    <m/>
    <m/>
    <m/>
    <m/>
    <m/>
    <m/>
    <m/>
    <n v="1903341.2528000001"/>
    <n v="-884864.02651"/>
    <m/>
    <m/>
    <m/>
    <m/>
    <n v="-1057878.5482600001"/>
    <n v="52366.658370000034"/>
    <n v="31"/>
    <n v="43535.020251364913"/>
    <n v="0"/>
    <n v="0"/>
    <n v="0"/>
    <n v="0"/>
    <n v="0"/>
    <n v="0"/>
    <n v="0"/>
    <n v="-1821.9993056424428"/>
    <n v="0"/>
    <n v="0"/>
    <n v="52343.1748056754"/>
    <n v="0"/>
    <n v="0"/>
    <n v="304.06287581597917"/>
    <n v="7396.6069784128194"/>
    <n v="0"/>
    <n v="-12519.307769658451"/>
    <m/>
    <n v="0"/>
    <n v="0"/>
    <n v="0"/>
    <n v="0"/>
    <n v="-1707.9735276191677"/>
    <n v="-459.543805619247"/>
    <n v="0"/>
    <n v="0"/>
    <m/>
    <m/>
    <m/>
    <n v="1561862.8063470719"/>
    <n v="0"/>
    <n v="0"/>
    <n v="-1057878.5482600001"/>
    <n v="52366.658370000077"/>
    <n v="0"/>
    <n v="0"/>
    <n v="-1049063.6827055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15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105.14"/>
    <n v="105.14"/>
    <n v="105.14"/>
    <n v="105.14"/>
    <m/>
    <n v="710.91"/>
    <n v="256.55"/>
    <m/>
    <n v="101718.7444"/>
    <n v="101718.7444"/>
    <n v="69437.610199999996"/>
    <n v="0"/>
    <n v="6463.4480021819982"/>
    <n v="0"/>
    <n v="0"/>
    <n v="0"/>
    <n v="12940.924519926532"/>
    <n v="50142.323885592341"/>
    <n v="26973.932134907947"/>
    <n v="0"/>
    <n v="0"/>
    <n v="0"/>
    <n v="0"/>
    <n v="0"/>
    <n v="999.27829124507116"/>
    <m/>
    <n v="230.8669005138903"/>
    <n v="0"/>
    <n v="0"/>
    <n v="0"/>
    <n v="0"/>
    <n v="0"/>
    <n v="0"/>
    <n v="0"/>
    <n v="0"/>
    <n v="0"/>
    <n v="0"/>
    <n v="0"/>
    <n v="0"/>
    <m/>
    <n v="0"/>
    <n v="0"/>
    <n v="156.69227950834471"/>
    <n v="0"/>
    <n v="0"/>
    <n v="3811.6827151772245"/>
    <n v="0"/>
    <n v="0"/>
    <n v="0"/>
    <n v="2841.13"/>
    <n v="194"/>
    <m/>
    <m/>
    <m/>
    <m/>
    <m/>
    <n v="8332.3449999999975"/>
    <m/>
    <m/>
    <m/>
    <n v="30942.307129593515"/>
    <m/>
    <m/>
    <m/>
    <m/>
    <m/>
    <m/>
    <m/>
    <m/>
    <m/>
    <m/>
    <m/>
    <m/>
    <n v="61105.265200000009"/>
    <n v="-28407.806599999982"/>
    <m/>
    <m/>
    <m/>
    <m/>
    <n v="-33962.322800000002"/>
    <n v="1681.1886000000009"/>
    <n v="31"/>
    <n v="1397.656104581496"/>
    <n v="0"/>
    <n v="0"/>
    <n v="0"/>
    <n v="0"/>
    <n v="0"/>
    <n v="0"/>
    <n v="0"/>
    <n v="-58.493792752848094"/>
    <n v="0"/>
    <n v="0"/>
    <n v="1680.4346794356825"/>
    <n v="0"/>
    <n v="0"/>
    <n v="9.7616891437527897"/>
    <n v="237.4619981081687"/>
    <n v="0"/>
    <n v="-401.92210382281883"/>
    <m/>
    <n v="0"/>
    <n v="0"/>
    <n v="0"/>
    <n v="0"/>
    <n v="-54.8330887078356"/>
    <n v="-14.753276822610729"/>
    <n v="0"/>
    <n v="0"/>
    <m/>
    <m/>
    <m/>
    <n v="50142.323885592341"/>
    <n v="0"/>
    <n v="0"/>
    <n v="-33962.322799999994"/>
    <n v="1681.1886000000013"/>
    <n v="0"/>
    <n v="0"/>
    <n v="-33679.328773991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16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0.34300000000000003"/>
    <n v="0.34300000000000003"/>
    <n v="0.34300000000000003"/>
    <n v="0.34300000000000003"/>
    <m/>
    <n v="710.91"/>
    <n v="256.55"/>
    <m/>
    <n v="331.83878000000004"/>
    <n v="331.83878000000004"/>
    <n v="226.52749"/>
    <n v="0"/>
    <n v="21.085815719501859"/>
    <n v="0"/>
    <n v="0"/>
    <n v="0"/>
    <n v="42.217396902556601"/>
    <n v="163.58015115805756"/>
    <n v="87.997514954093845"/>
    <n v="0"/>
    <n v="0"/>
    <n v="0"/>
    <n v="0"/>
    <n v="0"/>
    <n v="3.259962468109753"/>
    <m/>
    <n v="0.75316099368712552"/>
    <n v="0"/>
    <n v="0"/>
    <n v="0"/>
    <n v="0"/>
    <n v="0"/>
    <n v="0"/>
    <n v="0"/>
    <n v="0"/>
    <n v="0"/>
    <n v="0"/>
    <n v="0"/>
    <n v="0"/>
    <m/>
    <n v="0"/>
    <n v="0"/>
    <n v="0.51117987322961989"/>
    <n v="0"/>
    <n v="0"/>
    <n v="12.434916980271904"/>
    <n v="0"/>
    <n v="0.34"/>
    <n v="1.58"/>
    <n v="11.02"/>
    <n v="1"/>
    <m/>
    <m/>
    <m/>
    <m/>
    <m/>
    <n v="27.182749999999992"/>
    <m/>
    <m/>
    <m/>
    <n v="100.94361180759537"/>
    <m/>
    <m/>
    <m/>
    <m/>
    <m/>
    <m/>
    <m/>
    <m/>
    <m/>
    <m/>
    <m/>
    <m/>
    <n v="197.60120000000001"/>
    <n v="-94.448710000000005"/>
    <m/>
    <m/>
    <m/>
    <m/>
    <n v="-110.79586"/>
    <n v="5.4845700000000033"/>
    <n v="31"/>
    <n v="4.5595971454389428"/>
    <n v="0"/>
    <n v="0"/>
    <n v="0"/>
    <n v="0"/>
    <n v="0"/>
    <n v="0"/>
    <n v="0"/>
    <n v="-0.19082528927360443"/>
    <n v="0"/>
    <n v="0"/>
    <n v="5.4821104721936393"/>
    <n v="0"/>
    <n v="0"/>
    <n v="3.1845723571497175E-2"/>
    <n v="0.77467629209722411"/>
    <n v="0"/>
    <n v="-1.3111972761197137"/>
    <m/>
    <n v="0"/>
    <n v="0"/>
    <n v="0"/>
    <n v="0"/>
    <n v="-0.17888291256218025"/>
    <n v="-4.812986446790446E-2"/>
    <n v="0"/>
    <n v="0"/>
    <m/>
    <m/>
    <m/>
    <n v="163.58015115805756"/>
    <n v="0"/>
    <n v="0"/>
    <n v="-110.79586"/>
    <n v="5.4845699999999908"/>
    <n v="0"/>
    <n v="0"/>
    <n v="-109.8726438033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17"/>
    <s v="Regular"/>
    <s v="Verde"/>
    <s v="A4"/>
    <s v="Rural"/>
    <s v="Não se aplica"/>
    <s v="Não se aplica"/>
    <s v="Não se aplica"/>
    <s v="Ponta"/>
    <s v="CATIVO"/>
    <x v="8"/>
    <n v="0"/>
    <n v="0"/>
    <n v="18.434999999999999"/>
    <n v="17.697600000000001"/>
    <n v="18.434999999999999"/>
    <n v="17.697600000000001"/>
    <m/>
    <n v="3130.62"/>
    <n v="256.55"/>
    <m/>
    <n v="62442.478949999997"/>
    <n v="62442.478949999997"/>
    <n v="32862.784050000002"/>
    <n v="0"/>
    <n v="985.95860386718527"/>
    <n v="0"/>
    <n v="0"/>
    <n v="0"/>
    <n v="11876.081537074877"/>
    <n v="44320.480602747703"/>
    <n v="4729.5457381303786"/>
    <n v="0"/>
    <n v="0"/>
    <n v="0"/>
    <n v="0"/>
    <n v="0"/>
    <n v="175.21110233120493"/>
    <m/>
    <n v="24.869828829409546"/>
    <n v="0"/>
    <n v="0"/>
    <n v="0"/>
    <n v="0"/>
    <n v="0"/>
    <n v="0"/>
    <n v="0"/>
    <n v="0"/>
    <n v="0"/>
    <n v="0"/>
    <n v="0"/>
    <n v="0"/>
    <m/>
    <n v="0"/>
    <n v="0"/>
    <n v="22.712384879197032"/>
    <n v="0"/>
    <n v="0"/>
    <n v="307.66702792266932"/>
    <n v="0"/>
    <n v="0"/>
    <n v="0"/>
    <n v="0"/>
    <n v="0"/>
    <m/>
    <m/>
    <m/>
    <m/>
    <m/>
    <n v="1314.5113619999954"/>
    <m/>
    <m/>
    <m/>
    <n v="5059.9251509322448"/>
    <m/>
    <m/>
    <m/>
    <m/>
    <m/>
    <m/>
    <m/>
    <m/>
    <m/>
    <m/>
    <m/>
    <m/>
    <n v="31552.550999999999"/>
    <n v="-28392.258792000015"/>
    <m/>
    <m/>
    <m/>
    <m/>
    <n v="-29874.470549999998"/>
    <n v="294.77565000000016"/>
    <n v="31"/>
    <n v="189.03066840000974"/>
    <n v="0"/>
    <n v="0"/>
    <n v="0"/>
    <n v="0"/>
    <n v="0"/>
    <n v="0"/>
    <n v="0"/>
    <n v="-53.680635496792092"/>
    <n v="0"/>
    <n v="0"/>
    <n v="294.64345934370158"/>
    <n v="0"/>
    <n v="0"/>
    <n v="1.4149468091195345"/>
    <n v="19.167184852929722"/>
    <n v="0"/>
    <n v="-61.310705402864073"/>
    <m/>
    <n v="0"/>
    <n v="0"/>
    <n v="0"/>
    <n v="0"/>
    <n v="-9.6143046445591551"/>
    <n v="-1.5892770615212584"/>
    <n v="0"/>
    <n v="0"/>
    <m/>
    <m/>
    <m/>
    <n v="44320.480602747703"/>
    <n v="0"/>
    <n v="0"/>
    <n v="-29874.470549999998"/>
    <n v="294.7756500000005"/>
    <n v="0"/>
    <n v="0"/>
    <n v="-29768.944116890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18"/>
    <s v="Sistema de Compensação"/>
    <s v="Verde"/>
    <s v="A4"/>
    <s v="Rural"/>
    <s v="Não se aplica"/>
    <s v="Não se aplica"/>
    <s v="Não se aplica"/>
    <s v="Ponta"/>
    <s v="CATIVO"/>
    <x v="8"/>
    <n v="0"/>
    <n v="0"/>
    <n v="2.8"/>
    <n v="2.6879999999999997"/>
    <n v="2.8"/>
    <n v="2.6879999999999997"/>
    <m/>
    <n v="3130.62"/>
    <n v="256.55"/>
    <m/>
    <n v="9484.0759999999991"/>
    <n v="9484.0759999999991"/>
    <n v="4991.3639999999996"/>
    <n v="0"/>
    <n v="149.75232388544174"/>
    <n v="0"/>
    <n v="0"/>
    <n v="0"/>
    <n v="1803.7986603639629"/>
    <n v="6731.6162564520519"/>
    <n v="718.34706084974562"/>
    <n v="0"/>
    <n v="0"/>
    <n v="0"/>
    <n v="0"/>
    <n v="0"/>
    <n v="26.611938515181656"/>
    <m/>
    <n v="3.7773539854812435"/>
    <n v="0"/>
    <n v="0"/>
    <n v="0"/>
    <n v="0"/>
    <n v="0"/>
    <n v="0"/>
    <n v="0"/>
    <n v="0"/>
    <n v="0"/>
    <n v="0"/>
    <n v="0"/>
    <n v="0"/>
    <m/>
    <n v="0"/>
    <n v="0"/>
    <n v="3.4496706081774717"/>
    <n v="0"/>
    <n v="0"/>
    <n v="46.730006953266837"/>
    <n v="0"/>
    <n v="0"/>
    <n v="0"/>
    <n v="0"/>
    <n v="0"/>
    <m/>
    <m/>
    <m/>
    <m/>
    <m/>
    <n v="199.65456000000017"/>
    <m/>
    <m/>
    <m/>
    <n v="768.52673841118997"/>
    <m/>
    <m/>
    <m/>
    <m/>
    <m/>
    <m/>
    <m/>
    <m/>
    <m/>
    <m/>
    <m/>
    <m/>
    <n v="4795.2746999999999"/>
    <n v="-4309.4682599999996"/>
    <m/>
    <m/>
    <m/>
    <m/>
    <n v="-4537.4839999999995"/>
    <n v="44.77200000000002"/>
    <n v="31"/>
    <n v="28.710923326284046"/>
    <n v="0"/>
    <n v="0"/>
    <n v="0"/>
    <n v="0"/>
    <n v="0"/>
    <n v="0"/>
    <n v="0"/>
    <n v="-8.1532833952273904"/>
    <n v="0"/>
    <n v="0"/>
    <n v="44.751922221988821"/>
    <n v="0"/>
    <n v="0"/>
    <n v="0.21490919802195219"/>
    <n v="2.9112078973801587"/>
    <n v="0"/>
    <n v="-9.3121765732584265"/>
    <m/>
    <n v="0"/>
    <n v="0"/>
    <n v="0"/>
    <n v="0"/>
    <n v="-1.4602686739769837"/>
    <n v="-0.24138734864440003"/>
    <n v="0"/>
    <n v="0"/>
    <m/>
    <m/>
    <m/>
    <n v="6731.6162564520519"/>
    <n v="0"/>
    <n v="0"/>
    <n v="-4537.4839999999995"/>
    <n v="44.771999999999935"/>
    <n v="0"/>
    <n v="0"/>
    <n v="-4521.4561175641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19"/>
    <s v="Regular"/>
    <s v="Verde"/>
    <s v="A4"/>
    <s v="Rural"/>
    <s v="Não se aplica"/>
    <s v="Não se aplica"/>
    <s v="Não se aplica"/>
    <s v="Fora ponta"/>
    <s v="CATIVO"/>
    <x v="8"/>
    <n v="0"/>
    <n v="0"/>
    <n v="175.08699999999999"/>
    <n v="168.08351999999999"/>
    <n v="175.08699999999999"/>
    <n v="168.08351999999999"/>
    <m/>
    <n v="82.26"/>
    <n v="256.55"/>
    <m/>
    <n v="59321.226470000001"/>
    <n v="59321.226470000001"/>
    <n v="61627.122260000004"/>
    <n v="0"/>
    <n v="9364.1732614751218"/>
    <n v="0"/>
    <n v="0"/>
    <n v="0"/>
    <n v="0"/>
    <n v="0"/>
    <n v="44919.011372499786"/>
    <n v="0"/>
    <n v="0"/>
    <n v="0"/>
    <n v="0"/>
    <n v="0"/>
    <n v="1664.0730281455751"/>
    <m/>
    <n v="236.2019918771266"/>
    <n v="0"/>
    <n v="0"/>
    <n v="0"/>
    <n v="0"/>
    <n v="0"/>
    <n v="0"/>
    <n v="0"/>
    <n v="0"/>
    <n v="0"/>
    <n v="0"/>
    <n v="0"/>
    <n v="0"/>
    <m/>
    <n v="0"/>
    <n v="0"/>
    <n v="215.71159920498894"/>
    <n v="0"/>
    <n v="0"/>
    <n v="2922.0774026523682"/>
    <n v="0"/>
    <n v="0"/>
    <n v="0"/>
    <n v="0"/>
    <n v="0"/>
    <m/>
    <m/>
    <m/>
    <m/>
    <m/>
    <n v="2465.0848903999986"/>
    <m/>
    <m/>
    <m/>
    <n v="48056.800374357139"/>
    <m/>
    <m/>
    <m/>
    <m/>
    <m/>
    <m/>
    <m/>
    <m/>
    <m/>
    <m/>
    <m/>
    <m/>
    <n v="59160.7984"/>
    <n v="2212.390988799998"/>
    <m/>
    <m/>
    <m/>
    <m/>
    <n v="-493.74534000000125"/>
    <n v="2799.6411300000013"/>
    <n v="31"/>
    <n v="2305.1583436604196"/>
    <n v="0"/>
    <n v="0"/>
    <n v="0"/>
    <n v="0"/>
    <n v="0"/>
    <n v="0"/>
    <n v="0"/>
    <n v="0"/>
    <n v="0"/>
    <n v="0"/>
    <n v="2798.385645029055"/>
    <n v="0"/>
    <n v="0"/>
    <n v="13.438502412167679"/>
    <n v="182.04094897449977"/>
    <n v="0"/>
    <n v="-582.30037845789411"/>
    <m/>
    <n v="0"/>
    <n v="0"/>
    <n v="0"/>
    <n v="0"/>
    <n v="-91.312164757359824"/>
    <n v="-15.094209540036445"/>
    <n v="0"/>
    <n v="0"/>
    <m/>
    <m/>
    <m/>
    <n v="0"/>
    <n v="0"/>
    <n v="0"/>
    <n v="-493.74534000000131"/>
    <n v="2799.6411300000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20"/>
    <s v="Sistema de Compensação"/>
    <s v="Verde"/>
    <s v="A4"/>
    <s v="Rural"/>
    <s v="Não se aplica"/>
    <s v="Não se aplica"/>
    <s v="Não se aplica"/>
    <s v="Fora ponta"/>
    <s v="CATIVO"/>
    <x v="8"/>
    <n v="0"/>
    <n v="0"/>
    <n v="18.282"/>
    <n v="17.550719999999998"/>
    <n v="18.282"/>
    <n v="17.550719999999998"/>
    <m/>
    <n v="82.26"/>
    <n v="256.55"/>
    <m/>
    <n v="6194.1244200000001"/>
    <n v="6194.1244200000001"/>
    <n v="6434.8983600000001"/>
    <n v="0"/>
    <n v="977.77570902630225"/>
    <n v="0"/>
    <n v="0"/>
    <n v="0"/>
    <n v="0"/>
    <n v="0"/>
    <n v="4690.2932023053745"/>
    <n v="0"/>
    <n v="0"/>
    <n v="0"/>
    <n v="0"/>
    <n v="0"/>
    <n v="173.75694997662538"/>
    <m/>
    <n v="24.663423415202892"/>
    <n v="0"/>
    <n v="0"/>
    <n v="0"/>
    <n v="0"/>
    <n v="0"/>
    <n v="0"/>
    <n v="0"/>
    <n v="0"/>
    <n v="0"/>
    <n v="0"/>
    <n v="0"/>
    <n v="0"/>
    <m/>
    <n v="0"/>
    <n v="0"/>
    <n v="22.523885020964482"/>
    <n v="0"/>
    <n v="0"/>
    <n v="305.11356682843729"/>
    <n v="0"/>
    <n v="0"/>
    <n v="0"/>
    <n v="0"/>
    <n v="0"/>
    <m/>
    <m/>
    <m/>
    <m/>
    <m/>
    <n v="257.39593440000061"/>
    <m/>
    <m/>
    <m/>
    <n v="5017.9306541547758"/>
    <m/>
    <m/>
    <m/>
    <m/>
    <m/>
    <m/>
    <m/>
    <m/>
    <m/>
    <m/>
    <m/>
    <m/>
    <n v="6177.2489999999998"/>
    <n v="230.85955680000006"/>
    <m/>
    <m/>
    <m/>
    <m/>
    <n v="-51.555240000000133"/>
    <n v="292.32918000000018"/>
    <n v="31"/>
    <n v="240.69693831523909"/>
    <n v="0"/>
    <n v="0"/>
    <n v="0"/>
    <n v="0"/>
    <n v="0"/>
    <n v="0"/>
    <n v="0"/>
    <n v="0"/>
    <n v="0"/>
    <n v="0"/>
    <n v="292.19808645085777"/>
    <n v="0"/>
    <n v="0"/>
    <n v="1.4032035565133292"/>
    <n v="19.008108135680004"/>
    <n v="0"/>
    <n v="-60.801861468682432"/>
    <m/>
    <n v="0"/>
    <n v="0"/>
    <n v="0"/>
    <n v="0"/>
    <n v="-9.5345113920168671"/>
    <n v="-1.5760869671131879"/>
    <n v="0"/>
    <n v="0"/>
    <m/>
    <m/>
    <m/>
    <n v="0"/>
    <n v="0"/>
    <n v="0"/>
    <n v="-51.55524000000014"/>
    <n v="292.329179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21"/>
    <s v="Regular"/>
    <s v="Verde"/>
    <s v="A4"/>
    <s v="Rural"/>
    <s v="Não se aplica"/>
    <s v="Não se aplica"/>
    <s v="Não se aplica"/>
    <s v="Não se aplica"/>
    <s v="CATIVO"/>
    <x v="8"/>
    <n v="740"/>
    <n v="710.4"/>
    <n v="0"/>
    <n v="0"/>
    <n v="0"/>
    <n v="0"/>
    <n v="47.39"/>
    <m/>
    <m/>
    <n v="35068.6"/>
    <m/>
    <n v="35068.6"/>
    <n v="23842.799999999999"/>
    <n v="0"/>
    <n v="0"/>
    <n v="0"/>
    <n v="0"/>
    <n v="0"/>
    <n v="18477.874132804616"/>
    <n v="16590.7017618398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76.02"/>
    <n v="6"/>
    <m/>
    <m/>
    <m/>
    <m/>
    <m/>
    <n v="953.71200000000067"/>
    <m/>
    <m/>
    <m/>
    <n v="0"/>
    <m/>
    <m/>
    <m/>
    <m/>
    <m/>
    <m/>
    <m/>
    <m/>
    <m/>
    <m/>
    <m/>
    <m/>
    <n v="22889.088"/>
    <n v="-10776.798000000006"/>
    <m/>
    <m/>
    <m/>
    <m/>
    <n v="-11225.800000000001"/>
    <n v="0"/>
    <n v="31"/>
    <n v="-83.521153250952921"/>
    <n v="0"/>
    <n v="0"/>
    <n v="0"/>
    <n v="0"/>
    <m/>
    <m/>
    <m/>
    <n v="-83.5211532509529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590.701761839828"/>
    <m/>
    <n v="0"/>
    <n v="0"/>
    <n v="-11225.8"/>
    <m/>
    <n v="0"/>
    <m/>
    <n v="-11143.5541061708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22"/>
    <s v="Sistema de Compensação"/>
    <s v="Verde"/>
    <s v="A4"/>
    <s v="Rural"/>
    <s v="Não se aplica"/>
    <s v="Não se aplica"/>
    <s v="Não se aplica"/>
    <s v="Não se aplica"/>
    <s v="CATIVO"/>
    <x v="8"/>
    <n v="166"/>
    <n v="159.35999999999999"/>
    <n v="0"/>
    <n v="0"/>
    <n v="0"/>
    <n v="0"/>
    <n v="47.39"/>
    <m/>
    <m/>
    <n v="7866.74"/>
    <m/>
    <n v="7866.74"/>
    <n v="5348.5199999999995"/>
    <n v="0"/>
    <n v="0"/>
    <n v="0"/>
    <n v="0"/>
    <n v="0"/>
    <n v="4145.036629791306"/>
    <n v="3721.697962791096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.26"/>
    <n v="1"/>
    <m/>
    <m/>
    <m/>
    <m/>
    <m/>
    <n v="213.94080000000048"/>
    <m/>
    <m/>
    <m/>
    <n v="0"/>
    <m/>
    <m/>
    <m/>
    <m/>
    <m/>
    <m/>
    <m/>
    <m/>
    <m/>
    <m/>
    <m/>
    <m/>
    <n v="5134.5792000000001"/>
    <n v="-2417.5212000000001"/>
    <m/>
    <m/>
    <m/>
    <m/>
    <n v="-2518.2200000000003"/>
    <n v="0"/>
    <n v="31"/>
    <n v="-18.735826269808058"/>
    <n v="0"/>
    <n v="0"/>
    <n v="0"/>
    <n v="0"/>
    <m/>
    <m/>
    <m/>
    <n v="-18.73582626980805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21.6979627910969"/>
    <m/>
    <n v="0"/>
    <n v="0"/>
    <n v="-2518.2200000000003"/>
    <m/>
    <n v="0"/>
    <m/>
    <n v="-2499.7702454383261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23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214.51"/>
    <n v="214.51"/>
    <n v="214.51"/>
    <n v="214.51"/>
    <m/>
    <n v="710.91"/>
    <n v="256.55"/>
    <m/>
    <n v="207529.84459999998"/>
    <n v="207529.84459999998"/>
    <n v="141668.83929999999"/>
    <n v="0"/>
    <n v="13186.933906677386"/>
    <n v="0"/>
    <n v="0"/>
    <n v="0"/>
    <n v="26402.489240721326"/>
    <n v="102301.97733211349"/>
    <n v="55033.081436742475"/>
    <n v="0"/>
    <n v="0"/>
    <n v="0"/>
    <n v="0"/>
    <n v="0"/>
    <n v="2038.7596181755773"/>
    <m/>
    <n v="471.02205468170632"/>
    <n v="0"/>
    <n v="0"/>
    <n v="0"/>
    <n v="0"/>
    <n v="0"/>
    <n v="0"/>
    <n v="0"/>
    <n v="0"/>
    <n v="0"/>
    <n v="0"/>
    <n v="0"/>
    <n v="0"/>
    <m/>
    <n v="0"/>
    <n v="0"/>
    <n v="319.68861401307799"/>
    <n v="0"/>
    <n v="0"/>
    <n v="7776.7173219770439"/>
    <n v="0"/>
    <n v="0"/>
    <n v="0"/>
    <n v="54914.84"/>
    <n v="305"/>
    <m/>
    <m/>
    <m/>
    <m/>
    <m/>
    <m/>
    <m/>
    <m/>
    <m/>
    <n v="63129.487372732598"/>
    <m/>
    <m/>
    <m/>
    <m/>
    <m/>
    <m/>
    <m/>
    <m/>
    <m/>
    <m/>
    <m/>
    <m/>
    <n v="141668.83929999999"/>
    <n v="-65861.035300000018"/>
    <m/>
    <m/>
    <m/>
    <m/>
    <n v="-69291.020199999999"/>
    <n v="3430.0149000000019"/>
    <n v="31"/>
    <n v="2851.5428095280076"/>
    <n v="0"/>
    <n v="0"/>
    <n v="0"/>
    <n v="0"/>
    <n v="0"/>
    <n v="0"/>
    <n v="0"/>
    <n v="-119.34091195942165"/>
    <n v="0"/>
    <n v="0"/>
    <n v="3428.4767270852899"/>
    <n v="0"/>
    <n v="0"/>
    <n v="19.916111263329014"/>
    <n v="484.47758430838167"/>
    <n v="0"/>
    <n v="-820.01436647358605"/>
    <m/>
    <n v="0"/>
    <n v="0"/>
    <n v="0"/>
    <n v="0"/>
    <n v="-111.87222616242934"/>
    <n v="-30.100108533557375"/>
    <n v="0"/>
    <n v="0"/>
    <m/>
    <m/>
    <m/>
    <n v="102301.97733211349"/>
    <n v="0"/>
    <n v="0"/>
    <n v="-69291.020199999984"/>
    <n v="3430.0149000000019"/>
    <n v="0"/>
    <n v="0"/>
    <n v="-68713.64671208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24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221.02199999999999"/>
    <n v="221.02199999999999"/>
    <n v="221.02199999999999"/>
    <n v="221.02199999999999"/>
    <m/>
    <n v="391"/>
    <n v="141.1"/>
    <m/>
    <n v="117605.80619999999"/>
    <n v="117605.80619999999"/>
    <n v="80281.821059999987"/>
    <n v="0"/>
    <n v="7472.991367567528"/>
    <n v="0"/>
    <n v="0"/>
    <n v="0"/>
    <n v="14962.202402356485"/>
    <n v="57974.188609594385"/>
    <n v="31187.063302043967"/>
    <n v="0"/>
    <n v="0"/>
    <n v="0"/>
    <n v="0"/>
    <n v="0"/>
    <n v="1155.3582610629869"/>
    <m/>
    <n v="266.9266239961932"/>
    <n v="0"/>
    <n v="0"/>
    <n v="0"/>
    <n v="0"/>
    <n v="0"/>
    <n v="0"/>
    <n v="0"/>
    <n v="0"/>
    <n v="0"/>
    <n v="0"/>
    <n v="0"/>
    <n v="0"/>
    <m/>
    <n v="0"/>
    <n v="0"/>
    <n v="181.16646900153472"/>
    <n v="0"/>
    <n v="0"/>
    <n v="4407.0397126749685"/>
    <n v="0"/>
    <n v="0"/>
    <n v="0"/>
    <n v="27916.52"/>
    <n v="28"/>
    <m/>
    <m/>
    <m/>
    <m/>
    <m/>
    <m/>
    <m/>
    <m/>
    <m/>
    <n v="35775.269483720469"/>
    <m/>
    <m/>
    <m/>
    <m/>
    <m/>
    <m/>
    <m/>
    <m/>
    <m/>
    <m/>
    <m/>
    <m/>
    <n v="80281.094600000011"/>
    <n v="-37324.741599999965"/>
    <m/>
    <m/>
    <m/>
    <m/>
    <n v="-39266.768519999998"/>
    <n v="1942.7833799999983"/>
    <n v="31"/>
    <n v="1615.9597788733663"/>
    <n v="0"/>
    <n v="0"/>
    <n v="0"/>
    <n v="0"/>
    <n v="0"/>
    <n v="0"/>
    <n v="0"/>
    <n v="-67.630095910233649"/>
    <n v="0"/>
    <n v="0"/>
    <n v="1942.9063015506217"/>
    <n v="0"/>
    <n v="0"/>
    <n v="11.286393683296268"/>
    <n v="274.5518276604862"/>
    <n v="0"/>
    <n v="-464.69940058132579"/>
    <m/>
    <n v="0"/>
    <n v="0"/>
    <n v="0"/>
    <n v="0"/>
    <n v="-63.39761663316267"/>
    <n v="-17.057630896310229"/>
    <n v="0"/>
    <n v="0"/>
    <m/>
    <m/>
    <m/>
    <n v="57974.188609594385"/>
    <n v="0"/>
    <n v="0"/>
    <n v="-39266.768519999998"/>
    <n v="1942.7833799999971"/>
    <n v="0"/>
    <n v="0"/>
    <n v="-38939.793916271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25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26.695"/>
    <n v="25.093299999999999"/>
    <n v="26.695"/>
    <n v="25.093299999999999"/>
    <m/>
    <n v="710.91"/>
    <n v="256.55"/>
    <m/>
    <n v="25826.344699999998"/>
    <n v="25826.344699999998"/>
    <n v="17630.17885"/>
    <n v="0"/>
    <n v="1641.0666199186651"/>
    <n v="0"/>
    <n v="0"/>
    <n v="0"/>
    <n v="3285.6950738010155"/>
    <n v="12731.114096689058"/>
    <n v="6848.6695676371282"/>
    <n v="0"/>
    <n v="0"/>
    <n v="0"/>
    <n v="0"/>
    <n v="0"/>
    <n v="253.71632095099082"/>
    <m/>
    <n v="58.617005033463016"/>
    <n v="0"/>
    <n v="0"/>
    <n v="0"/>
    <n v="0"/>
    <n v="0"/>
    <n v="0"/>
    <n v="0"/>
    <n v="0"/>
    <n v="0"/>
    <n v="0"/>
    <n v="0"/>
    <n v="0"/>
    <m/>
    <n v="0"/>
    <n v="0"/>
    <n v="39.784101212433541"/>
    <n v="0"/>
    <n v="0"/>
    <n v="967.78457372699268"/>
    <n v="0"/>
    <n v="0"/>
    <n v="0"/>
    <n v="7140.19"/>
    <n v="10"/>
    <m/>
    <m/>
    <m/>
    <m/>
    <n v="1057.8107310000007"/>
    <m/>
    <m/>
    <m/>
    <m/>
    <n v="7856.2382425765545"/>
    <m/>
    <m/>
    <m/>
    <m/>
    <m/>
    <m/>
    <m/>
    <m/>
    <m/>
    <m/>
    <m/>
    <m/>
    <n v="16570.188699999999"/>
    <n v="-7706.6053179999944"/>
    <m/>
    <m/>
    <m/>
    <m/>
    <n v="-8623.0188999999991"/>
    <n v="426.85305000000022"/>
    <n v="31"/>
    <n v="354.86427346208256"/>
    <n v="0"/>
    <n v="0"/>
    <n v="0"/>
    <n v="0"/>
    <n v="0"/>
    <n v="0"/>
    <n v="0"/>
    <n v="-14.851548388218362"/>
    <n v="0"/>
    <n v="0"/>
    <n v="426.66162989856912"/>
    <n v="0"/>
    <n v="0"/>
    <n v="2.4784886027437736"/>
    <n v="60.291497427216655"/>
    <n v="0"/>
    <n v="-102.04784631491498"/>
    <m/>
    <n v="0"/>
    <n v="0"/>
    <n v="0"/>
    <n v="0"/>
    <n v="-13.922097232791259"/>
    <n v="-3.7458505305268517"/>
    <n v="0"/>
    <n v="0"/>
    <m/>
    <m/>
    <m/>
    <n v="12731.114096689058"/>
    <n v="0"/>
    <n v="0"/>
    <n v="-8623.0188999999973"/>
    <n v="426.85304999999971"/>
    <n v="0"/>
    <n v="0"/>
    <n v="-8551.1668406096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26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1.8380000000000001"/>
    <n v="1.7277199999999999"/>
    <n v="1.8380000000000001"/>
    <n v="1.7277199999999999"/>
    <m/>
    <n v="3130.62"/>
    <n v="256.55"/>
    <m/>
    <n v="6225.6184600000006"/>
    <n v="6225.6184600000006"/>
    <n v="3276.4739399999999"/>
    <n v="0"/>
    <n v="98.301704036229268"/>
    <n v="0"/>
    <n v="0"/>
    <n v="0"/>
    <n v="1184.0649777674873"/>
    <n v="4418.8252426281688"/>
    <n v="471.54353494351164"/>
    <n v="0"/>
    <n v="0"/>
    <n v="0"/>
    <n v="0"/>
    <n v="0"/>
    <n v="17.468836782465672"/>
    <m/>
    <n v="2.4795630804694735"/>
    <n v="0"/>
    <n v="0"/>
    <n v="0"/>
    <n v="0"/>
    <n v="0"/>
    <n v="0"/>
    <n v="0"/>
    <n v="0"/>
    <n v="0"/>
    <n v="0"/>
    <n v="0"/>
    <n v="0"/>
    <m/>
    <n v="0"/>
    <n v="0"/>
    <n v="2.2644623492250693"/>
    <n v="0"/>
    <n v="0"/>
    <n v="30.674911707180161"/>
    <n v="0"/>
    <n v="0"/>
    <n v="0"/>
    <n v="0"/>
    <n v="0"/>
    <m/>
    <m/>
    <m/>
    <m/>
    <n v="196.58843640000026"/>
    <m/>
    <m/>
    <m/>
    <m/>
    <n v="504.4829089999169"/>
    <m/>
    <m/>
    <m/>
    <m/>
    <m/>
    <m/>
    <m/>
    <m/>
    <m/>
    <m/>
    <m/>
    <m/>
    <n v="3083.9499000000001"/>
    <n v="-2768.1614524000001"/>
    <m/>
    <m/>
    <m/>
    <m/>
    <n v="-2978.5341400000002"/>
    <n v="29.389620000000019"/>
    <n v="31"/>
    <n v="18.846670383467426"/>
    <n v="0"/>
    <n v="0"/>
    <n v="0"/>
    <n v="0"/>
    <n v="0"/>
    <n v="0"/>
    <n v="0"/>
    <n v="-5.3520481715816004"/>
    <n v="0"/>
    <n v="0"/>
    <n v="29.376440372862646"/>
    <n v="0"/>
    <n v="0"/>
    <n v="0.14107253784441021"/>
    <n v="1.9110000412088333"/>
    <n v="0"/>
    <n v="-6.1127787648746477"/>
    <m/>
    <n v="0"/>
    <n v="0"/>
    <n v="0"/>
    <n v="0"/>
    <n v="-0.95856207956060402"/>
    <n v="-0.158453552431574"/>
    <n v="0"/>
    <n v="0"/>
    <m/>
    <m/>
    <m/>
    <n v="4418.8252426281688"/>
    <n v="0"/>
    <n v="0"/>
    <n v="-2978.5341400000002"/>
    <n v="29.389619999999979"/>
    <n v="0"/>
    <n v="0"/>
    <n v="-2968.0129800295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27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20.344999999999999"/>
    <n v="19.124300000000002"/>
    <n v="20.344999999999999"/>
    <n v="19.124300000000002"/>
    <m/>
    <n v="82.26"/>
    <n v="256.55"/>
    <m/>
    <n v="6893.0894500000004"/>
    <n v="6893.0894500000004"/>
    <n v="7161.0330999999996"/>
    <n v="0"/>
    <n v="1088.111081946183"/>
    <n v="0"/>
    <n v="0"/>
    <n v="0"/>
    <n v="0"/>
    <n v="0"/>
    <n v="5219.5610546385979"/>
    <n v="0"/>
    <n v="0"/>
    <n v="0"/>
    <n v="0"/>
    <n v="0"/>
    <n v="193.36424610406098"/>
    <m/>
    <n v="27.446523869505679"/>
    <n v="0"/>
    <n v="0"/>
    <n v="0"/>
    <n v="0"/>
    <n v="0"/>
    <n v="0"/>
    <n v="0"/>
    <n v="0"/>
    <n v="0"/>
    <n v="0"/>
    <n v="0"/>
    <n v="0"/>
    <m/>
    <n v="0"/>
    <n v="0"/>
    <n v="25.065553044060952"/>
    <n v="0"/>
    <n v="0"/>
    <n v="339.54356838007635"/>
    <n v="0"/>
    <n v="0"/>
    <n v="0"/>
    <n v="0"/>
    <n v="0"/>
    <m/>
    <m/>
    <m/>
    <m/>
    <n v="429.66198599999905"/>
    <m/>
    <m/>
    <m/>
    <m/>
    <n v="5584.1701760627348"/>
    <m/>
    <m/>
    <m/>
    <m/>
    <m/>
    <m/>
    <m/>
    <m/>
    <m/>
    <m/>
    <m/>
    <m/>
    <n v="6729.8576000000012"/>
    <n v="250.32351700000072"/>
    <m/>
    <m/>
    <m/>
    <m/>
    <n v="-57.372900000000151"/>
    <n v="325.31655000000018"/>
    <n v="31"/>
    <n v="267.85795919612428"/>
    <n v="0"/>
    <n v="0"/>
    <n v="0"/>
    <n v="0"/>
    <n v="0"/>
    <n v="0"/>
    <n v="0"/>
    <n v="0"/>
    <n v="0"/>
    <n v="0"/>
    <n v="325.17066343084389"/>
    <n v="0"/>
    <n v="0"/>
    <n v="1.5615455834845058"/>
    <n v="21.153044525785447"/>
    <n v="0"/>
    <n v="-67.662940136765428"/>
    <m/>
    <n v="0"/>
    <n v="0"/>
    <n v="0"/>
    <n v="0"/>
    <n v="-10.610416490022033"/>
    <n v="-1.7539377172036872"/>
    <n v="0"/>
    <n v="0"/>
    <m/>
    <m/>
    <m/>
    <n v="0"/>
    <n v="0"/>
    <n v="0"/>
    <n v="-57.372900000000072"/>
    <n v="325.3165499999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28"/>
    <s v="Regular"/>
    <s v="Verde"/>
    <s v="A4"/>
    <s v="Serviço público"/>
    <s v="Água, esgoto e saneamento"/>
    <s v="Não se aplica"/>
    <s v="Não se aplica"/>
    <s v="Não se aplica"/>
    <s v="CATIVO"/>
    <x v="8"/>
    <n v="79"/>
    <n v="74.260000000000005"/>
    <n v="0"/>
    <n v="0"/>
    <n v="0"/>
    <n v="0"/>
    <n v="47.39"/>
    <m/>
    <m/>
    <n v="3743.81"/>
    <m/>
    <n v="3743.81"/>
    <n v="2545.38"/>
    <n v="0"/>
    <n v="0"/>
    <n v="0"/>
    <n v="0"/>
    <n v="0"/>
    <n v="1972.6379141777902"/>
    <n v="1771.16951241263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237.99"/>
    <n v="1"/>
    <m/>
    <m/>
    <m/>
    <m/>
    <n v="152.72279999999984"/>
    <m/>
    <m/>
    <m/>
    <m/>
    <n v="0"/>
    <m/>
    <m/>
    <m/>
    <m/>
    <m/>
    <m/>
    <m/>
    <m/>
    <m/>
    <m/>
    <m/>
    <m/>
    <n v="2392.6572000000001"/>
    <n v="-1126.5542000000009"/>
    <m/>
    <m/>
    <m/>
    <m/>
    <n v="-1198.43"/>
    <n v="0"/>
    <n v="31"/>
    <n v="-8.9164474416556914"/>
    <n v="0"/>
    <n v="0"/>
    <n v="0"/>
    <n v="0"/>
    <m/>
    <m/>
    <m/>
    <n v="-8.91644744165569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71.1695124126304"/>
    <m/>
    <n v="0"/>
    <n v="0"/>
    <n v="-1198.4299999999998"/>
    <m/>
    <n v="0"/>
    <m/>
    <n v="-1189.6496951182394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29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0.94499999999999995"/>
    <n v="0.94499999999999995"/>
    <n v="0.94499999999999995"/>
    <n v="0.94499999999999995"/>
    <m/>
    <n v="710.91"/>
    <n v="256.55"/>
    <m/>
    <n v="914.24969999999996"/>
    <n v="914.24969999999996"/>
    <n v="624.10635000000002"/>
    <n v="0"/>
    <n v="58.093573921076548"/>
    <n v="0"/>
    <n v="0"/>
    <n v="0"/>
    <n v="116.31323636418652"/>
    <n v="450.68000829260757"/>
    <n v="242.44213303678913"/>
    <n v="0"/>
    <n v="0"/>
    <n v="0"/>
    <n v="0"/>
    <n v="0"/>
    <n v="8.9815292488738088"/>
    <m/>
    <n v="2.0750353907706516"/>
    <n v="0"/>
    <n v="0"/>
    <n v="0"/>
    <n v="0"/>
    <n v="0"/>
    <n v="0"/>
    <n v="0"/>
    <n v="0"/>
    <n v="0"/>
    <n v="0"/>
    <n v="0"/>
    <n v="0"/>
    <m/>
    <n v="0"/>
    <n v="0"/>
    <n v="1.4083527119591568"/>
    <n v="0"/>
    <n v="0"/>
    <n v="34.259465149728712"/>
    <n v="0"/>
    <n v="0"/>
    <n v="0"/>
    <n v="252.73"/>
    <n v="5"/>
    <m/>
    <m/>
    <m/>
    <m/>
    <m/>
    <m/>
    <m/>
    <m/>
    <m/>
    <n v="278.109950898477"/>
    <m/>
    <m/>
    <m/>
    <m/>
    <m/>
    <m/>
    <m/>
    <m/>
    <m/>
    <m/>
    <m/>
    <m/>
    <n v="627.4085"/>
    <n v="-286.87119999999993"/>
    <m/>
    <m/>
    <m/>
    <m/>
    <n v="-305.25389999999999"/>
    <n v="15.110550000000007"/>
    <n v="31"/>
    <n v="12.562155400699055"/>
    <n v="0"/>
    <n v="0"/>
    <n v="0"/>
    <n v="0"/>
    <n v="0"/>
    <n v="0"/>
    <n v="0"/>
    <n v="-0.52574314391706878"/>
    <n v="0"/>
    <n v="0"/>
    <n v="15.103773749921231"/>
    <n v="0"/>
    <n v="0"/>
    <n v="8.7738218003104329E-2"/>
    <n v="2.1343122333290836"/>
    <n v="0"/>
    <n v="-3.6124822913502399"/>
    <m/>
    <n v="0"/>
    <n v="0"/>
    <n v="0"/>
    <n v="0"/>
    <n v="-0.49284067746723181"/>
    <n v="-0.13260268781973683"/>
    <n v="0"/>
    <n v="0"/>
    <m/>
    <m/>
    <m/>
    <n v="450.68000829260757"/>
    <n v="0"/>
    <n v="0"/>
    <n v="-305.25389999999999"/>
    <n v="15.110549999999989"/>
    <n v="0"/>
    <n v="0"/>
    <n v="-302.7103451723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30"/>
    <s v="Regular"/>
    <s v="Convencional"/>
    <s v="B1"/>
    <s v="Residencial"/>
    <s v="Residencial"/>
    <s v="Não se aplica"/>
    <s v="Não se aplica"/>
    <s v="Não se aplica"/>
    <s v="CATIVO"/>
    <x v="9"/>
    <n v="0"/>
    <n v="0"/>
    <n v="722.41700000000003"/>
    <n v="722.41700000000003"/>
    <n v="722.41700000000003"/>
    <n v="722.41700000000003"/>
    <m/>
    <n v="710.91"/>
    <n v="256.55"/>
    <m/>
    <n v="698909.55082"/>
    <n v="698909.55082"/>
    <n v="477105.85931000003"/>
    <n v="0"/>
    <n v="44410.354911473398"/>
    <n v="0"/>
    <n v="0"/>
    <n v="0"/>
    <n v="88917.099761382589"/>
    <n v="344527.93603250867"/>
    <n v="185337.90309210384"/>
    <n v="0"/>
    <n v="0"/>
    <n v="0"/>
    <n v="0"/>
    <n v="0"/>
    <n v="6866.0417094007098"/>
    <m/>
    <n v="1586.2866051792191"/>
    <n v="0"/>
    <n v="0"/>
    <n v="0"/>
    <n v="0"/>
    <n v="0"/>
    <n v="0"/>
    <n v="0"/>
    <n v="0"/>
    <n v="0"/>
    <n v="0"/>
    <n v="0"/>
    <n v="0"/>
    <m/>
    <n v="0"/>
    <n v="0"/>
    <n v="1076.6327419210563"/>
    <n v="0"/>
    <n v="0"/>
    <n v="26190.074111186845"/>
    <n v="0"/>
    <n v="1452.05"/>
    <n v="6828.78"/>
    <n v="189501.34"/>
    <n v="5243"/>
    <m/>
    <m/>
    <m/>
    <m/>
    <m/>
    <m/>
    <m/>
    <m/>
    <m/>
    <n v="212604.60994521173"/>
    <m/>
    <m/>
    <m/>
    <m/>
    <m/>
    <m/>
    <m/>
    <m/>
    <m/>
    <m/>
    <m/>
    <m/>
    <n v="477107.8406"/>
    <n v="-221801.74022000004"/>
    <m/>
    <m/>
    <m/>
    <m/>
    <n v="-233355.13933999999"/>
    <n v="11551.447830000006"/>
    <n v="30"/>
    <n v="9603.2958921765676"/>
    <n v="0"/>
    <n v="0"/>
    <n v="0"/>
    <n v="0"/>
    <n v="0"/>
    <n v="0"/>
    <n v="0"/>
    <n v="-401.91088338533882"/>
    <n v="0"/>
    <n v="0"/>
    <n v="11546.267641372309"/>
    <n v="0"/>
    <n v="0"/>
    <n v="67.072571677405904"/>
    <n v="1631.6015245131202"/>
    <n v="0"/>
    <n v="-2761.6070047305475"/>
    <m/>
    <n v="0"/>
    <n v="0"/>
    <n v="0"/>
    <n v="0"/>
    <n v="-376.75818380301007"/>
    <n v="-101.36977346737672"/>
    <n v="0"/>
    <n v="0"/>
    <m/>
    <m/>
    <m/>
    <n v="344527.93603250867"/>
    <n v="0"/>
    <n v="0"/>
    <n v="-233355.13933999999"/>
    <n v="11551.44782999999"/>
    <n v="0"/>
    <n v="0"/>
    <n v="-231410.68722579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31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3.2639999999999998"/>
    <n v="-3.2639999999999998"/>
    <n v="-3.2639999999999998"/>
    <n v="-3.2639999999999998"/>
    <m/>
    <n v="710.91"/>
    <n v="256.55"/>
    <m/>
    <n v="-3157.7894399999996"/>
    <n v="-3157.7894399999996"/>
    <n v="-2155.6435200000001"/>
    <n v="0"/>
    <n v="-200.65336008295645"/>
    <n v="0"/>
    <n v="0"/>
    <n v="0"/>
    <n v="-401.74222591820615"/>
    <n v="-1556.6344413408158"/>
    <n v="-837.3874309334177"/>
    <n v="0"/>
    <n v="0"/>
    <n v="0"/>
    <n v="0"/>
    <n v="0"/>
    <n v="-31.021916897697473"/>
    <m/>
    <n v="-7.1671063655824412"/>
    <n v="0"/>
    <n v="0"/>
    <n v="0"/>
    <n v="0"/>
    <n v="0"/>
    <n v="0"/>
    <n v="0"/>
    <n v="0"/>
    <n v="0"/>
    <n v="0"/>
    <n v="0"/>
    <n v="0"/>
    <m/>
    <n v="0"/>
    <n v="0"/>
    <n v="-4.8644055574970242"/>
    <n v="0"/>
    <n v="0"/>
    <n v="-118.33110502509473"/>
    <n v="0"/>
    <n v="0"/>
    <n v="0"/>
    <n v="-890.42"/>
    <n v="0"/>
    <m/>
    <m/>
    <m/>
    <m/>
    <m/>
    <m/>
    <m/>
    <m/>
    <m/>
    <n v="-960.58294151600944"/>
    <m/>
    <m/>
    <m/>
    <m/>
    <m/>
    <m/>
    <m/>
    <m/>
    <m/>
    <m/>
    <m/>
    <m/>
    <n v="-2153.0018"/>
    <n v="1004.7576399999989"/>
    <m/>
    <m/>
    <m/>
    <m/>
    <n v="1054.33728"/>
    <n v="-52.191360000000024"/>
    <n v="30"/>
    <n v="-43.389285955430523"/>
    <n v="0"/>
    <n v="0"/>
    <n v="0"/>
    <n v="0"/>
    <n v="0"/>
    <n v="0"/>
    <n v="0"/>
    <n v="1.8159001288310037"/>
    <n v="0"/>
    <n v="0"/>
    <n v="-52.167955047346936"/>
    <n v="0"/>
    <n v="0"/>
    <n v="-0.30304501964246811"/>
    <n v="-7.3718466979747319"/>
    <n v="0"/>
    <n v="12.477399152346209"/>
    <m/>
    <n v="0"/>
    <n v="0"/>
    <n v="0"/>
    <n v="0"/>
    <n v="1.7022560542360239"/>
    <n v="0.45800547412023374"/>
    <n v="0"/>
    <n v="0"/>
    <m/>
    <m/>
    <m/>
    <n v="-1556.6344413408158"/>
    <n v="0"/>
    <n v="0"/>
    <n v="1054.3372799999997"/>
    <n v="-52.191360000000032"/>
    <n v="0"/>
    <n v="0"/>
    <n v="1045.5519223731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32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9.9120000000000008"/>
    <n v="9.9120000000000008"/>
    <n v="9.9120000000000008"/>
    <n v="9.9120000000000008"/>
    <m/>
    <n v="710.91"/>
    <n v="256.55"/>
    <m/>
    <n v="9589.4635200000012"/>
    <n v="9589.4635200000012"/>
    <n v="6546.1821600000003"/>
    <n v="0"/>
    <n v="609.33704201662522"/>
    <n v="0"/>
    <n v="0"/>
    <n v="0"/>
    <n v="1219.9966125310234"/>
    <n v="4727.1325314246842"/>
    <n v="2542.9485954080997"/>
    <n v="0"/>
    <n v="0"/>
    <n v="0"/>
    <n v="0"/>
    <n v="0"/>
    <n v="94.206262343743063"/>
    <m/>
    <n v="21.764815654305504"/>
    <n v="0"/>
    <n v="0"/>
    <n v="0"/>
    <n v="0"/>
    <n v="0"/>
    <n v="0"/>
    <n v="0"/>
    <n v="0"/>
    <n v="0"/>
    <n v="0"/>
    <n v="0"/>
    <n v="0"/>
    <m/>
    <n v="0"/>
    <n v="0"/>
    <n v="14.772055112104935"/>
    <n v="0"/>
    <n v="0"/>
    <n v="359.34372334826566"/>
    <n v="0"/>
    <n v="19.97"/>
    <n v="93.68"/>
    <n v="5730.51"/>
    <n v="116"/>
    <m/>
    <m/>
    <m/>
    <m/>
    <m/>
    <m/>
    <m/>
    <m/>
    <m/>
    <n v="2917.0643738684703"/>
    <m/>
    <m/>
    <m/>
    <m/>
    <m/>
    <m/>
    <m/>
    <m/>
    <m/>
    <m/>
    <m/>
    <m/>
    <n v="6544.8613000000005"/>
    <n v="-3044.6322200000013"/>
    <m/>
    <m/>
    <m/>
    <m/>
    <n v="-3201.7742400000002"/>
    <n v="158.4928800000001"/>
    <n v="30"/>
    <n v="131.76305220288941"/>
    <n v="0"/>
    <n v="0"/>
    <n v="0"/>
    <n v="0"/>
    <n v="0"/>
    <n v="0"/>
    <n v="0"/>
    <n v="-5.5144614206412825"/>
    <n v="0"/>
    <n v="0"/>
    <n v="158.42180466584068"/>
    <n v="0"/>
    <n v="0"/>
    <n v="0.92027641994367215"/>
    <n v="22.386563869585018"/>
    <n v="0"/>
    <n v="-37.890925367051409"/>
    <m/>
    <n v="0"/>
    <n v="0"/>
    <n v="0"/>
    <n v="0"/>
    <n v="-5.1693511058785049"/>
    <n v="-1.3908548589092398"/>
    <n v="0"/>
    <n v="0"/>
    <m/>
    <m/>
    <m/>
    <n v="4727.1325314246842"/>
    <n v="0"/>
    <n v="0"/>
    <n v="-3201.7742400000002"/>
    <n v="158.49287999999979"/>
    <n v="0"/>
    <n v="0"/>
    <n v="-3175.0951760300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33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5.64"/>
    <n v="5.64"/>
    <n v="5.64"/>
    <n v="5.64"/>
    <m/>
    <n v="639.92999999999995"/>
    <n v="256.55"/>
    <m/>
    <n v="5056.1471999999994"/>
    <n v="5056.1471999999994"/>
    <n v="3349.0320000000002"/>
    <n v="0"/>
    <n v="0"/>
    <n v="0"/>
    <n v="0"/>
    <n v="0"/>
    <n v="694.18693449101806"/>
    <n v="2689.7727479050864"/>
    <n v="1446.9562225687732"/>
    <n v="0"/>
    <n v="0"/>
    <n v="0"/>
    <n v="0"/>
    <n v="0"/>
    <n v="0"/>
    <m/>
    <n v="12.384338205234366"/>
    <n v="0"/>
    <n v="0"/>
    <n v="0"/>
    <n v="0"/>
    <n v="0"/>
    <n v="0"/>
    <n v="0"/>
    <n v="0"/>
    <n v="0"/>
    <n v="0"/>
    <n v="0"/>
    <n v="0"/>
    <m/>
    <n v="0"/>
    <n v="0"/>
    <n v="8.405406661851476"/>
    <n v="0"/>
    <n v="0"/>
    <n v="204.46918883012691"/>
    <n v="0"/>
    <n v="1.88"/>
    <n v="13.16"/>
    <n v="372.48"/>
    <n v="6"/>
    <m/>
    <m/>
    <m/>
    <m/>
    <m/>
    <m/>
    <m/>
    <n v="2176.8708000000001"/>
    <m/>
    <n v="1659.8308180607517"/>
    <m/>
    <m/>
    <m/>
    <m/>
    <m/>
    <m/>
    <m/>
    <m/>
    <m/>
    <m/>
    <m/>
    <m/>
    <n v="1172.1612"/>
    <n v="-597.5315999999998"/>
    <m/>
    <m/>
    <m/>
    <m/>
    <n v="-1797.2987999999996"/>
    <n v="90.183600000000041"/>
    <n v="30"/>
    <n v="99.475743919655088"/>
    <n v="0"/>
    <n v="0"/>
    <n v="0"/>
    <n v="0"/>
    <n v="0"/>
    <n v="0"/>
    <n v="0"/>
    <n v="-3.1377686049654585"/>
    <n v="0"/>
    <n v="0"/>
    <n v="90.143157618577561"/>
    <n v="0"/>
    <n v="0"/>
    <n v="0.52364396776455813"/>
    <n v="12.738117456059285"/>
    <n v="0"/>
    <n v="0"/>
    <m/>
    <n v="0"/>
    <n v="0"/>
    <n v="0"/>
    <n v="0"/>
    <n v="0"/>
    <n v="-0.79140651778128657"/>
    <n v="0"/>
    <n v="0"/>
    <m/>
    <m/>
    <m/>
    <n v="2689.7727479050864"/>
    <n v="0"/>
    <n v="0"/>
    <n v="-1797.2987999999996"/>
    <n v="90.183600000000069"/>
    <n v="0"/>
    <n v="0"/>
    <n v="-1806.652218806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34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11.077999999999999"/>
    <n v="11.077999999999999"/>
    <n v="11.077999999999999"/>
    <n v="11.077999999999999"/>
    <m/>
    <n v="639.92999999999995"/>
    <n v="256.55"/>
    <m/>
    <n v="9931.2054399999997"/>
    <n v="9931.2054399999997"/>
    <n v="6578.1163999999999"/>
    <n v="0"/>
    <n v="0"/>
    <n v="0"/>
    <n v="0"/>
    <n v="0"/>
    <n v="1363.5111454417549"/>
    <n v="5283.2096633497422"/>
    <n v="2842.088835747672"/>
    <n v="0"/>
    <n v="0"/>
    <n v="0"/>
    <n v="0"/>
    <n v="0"/>
    <n v="0"/>
    <m/>
    <n v="24.325123871912464"/>
    <n v="0"/>
    <n v="0"/>
    <n v="0"/>
    <n v="0"/>
    <n v="0"/>
    <n v="0"/>
    <n v="0"/>
    <n v="0"/>
    <n v="0"/>
    <n v="0"/>
    <n v="0"/>
    <n v="0"/>
    <m/>
    <n v="0"/>
    <n v="0"/>
    <n v="16.509768617019617"/>
    <n v="0"/>
    <n v="0"/>
    <n v="401.61519040073512"/>
    <n v="0"/>
    <n v="9.68"/>
    <n v="47.52"/>
    <n v="1326.77"/>
    <n v="61"/>
    <m/>
    <m/>
    <m/>
    <m/>
    <m/>
    <m/>
    <m/>
    <n v="2631.24656"/>
    <m/>
    <n v="3260.2137947654269"/>
    <m/>
    <m/>
    <m/>
    <m/>
    <m/>
    <m/>
    <m/>
    <m/>
    <m/>
    <m/>
    <m/>
    <m/>
    <n v="3947.5824000000002"/>
    <n v="-2011.1930199999997"/>
    <m/>
    <m/>
    <m/>
    <m/>
    <n v="-3530.2262599999995"/>
    <n v="177.1372200000001"/>
    <n v="30"/>
    <n v="195.38870410318032"/>
    <n v="0"/>
    <n v="0"/>
    <n v="0"/>
    <n v="0"/>
    <n v="0"/>
    <n v="0"/>
    <n v="0"/>
    <n v="-6.1631561357812643"/>
    <n v="0"/>
    <n v="0"/>
    <n v="177.05778370542566"/>
    <n v="0"/>
    <n v="0"/>
    <n v="1.0285333111517367"/>
    <n v="25.020011556422844"/>
    <n v="0"/>
    <n v="0"/>
    <m/>
    <n v="0"/>
    <n v="0"/>
    <n v="0"/>
    <n v="0"/>
    <n v="0"/>
    <n v="-1.5544683340391998"/>
    <n v="0"/>
    <n v="0"/>
    <m/>
    <m/>
    <m/>
    <n v="5283.2096633497422"/>
    <n v="0"/>
    <n v="0"/>
    <n v="-3530.2262599999995"/>
    <n v="177.13722000000007"/>
    <n v="0"/>
    <n v="0"/>
    <n v="-3548.5980992797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35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7.3739999999999997"/>
    <n v="7.3739999999999997"/>
    <n v="7.3739999999999997"/>
    <n v="7.3739999999999997"/>
    <m/>
    <n v="639.92999999999995"/>
    <n v="256.55"/>
    <m/>
    <n v="6610.6435199999996"/>
    <n v="6610.6435199999996"/>
    <n v="4378.6812"/>
    <n v="0"/>
    <n v="0"/>
    <n v="0"/>
    <n v="0"/>
    <n v="0"/>
    <n v="907.61249201006501"/>
    <n v="3516.7347948673946"/>
    <n v="1891.8182952521515"/>
    <n v="0"/>
    <n v="0"/>
    <n v="0"/>
    <n v="0"/>
    <n v="0"/>
    <n v="0"/>
    <m/>
    <n v="16.191863461950039"/>
    <n v="0"/>
    <n v="0"/>
    <n v="0"/>
    <n v="0"/>
    <n v="0"/>
    <n v="0"/>
    <n v="0"/>
    <n v="0"/>
    <n v="0"/>
    <n v="0"/>
    <n v="0"/>
    <n v="0"/>
    <m/>
    <n v="0"/>
    <n v="0"/>
    <n v="10.98962211427177"/>
    <n v="0"/>
    <n v="0"/>
    <n v="267.33258837470851"/>
    <n v="0"/>
    <n v="10.35"/>
    <n v="46.5"/>
    <n v="1331.98"/>
    <n v="97"/>
    <m/>
    <m/>
    <m/>
    <m/>
    <m/>
    <m/>
    <m/>
    <n v="437.94186000000008"/>
    <m/>
    <n v="2170.1405057411316"/>
    <m/>
    <m/>
    <m/>
    <m/>
    <m/>
    <m/>
    <m/>
    <m/>
    <m/>
    <m/>
    <m/>
    <m/>
    <n v="3938.6017000000002"/>
    <n v="-2011.0664600000009"/>
    <m/>
    <m/>
    <m/>
    <m/>
    <n v="-2349.8725799999997"/>
    <n v="117.91026000000006"/>
    <n v="30"/>
    <n v="130.05924391197368"/>
    <n v="0"/>
    <n v="0"/>
    <n v="0"/>
    <n v="0"/>
    <n v="0"/>
    <n v="0"/>
    <n v="0"/>
    <n v="-4.1024655484068262"/>
    <n v="0"/>
    <n v="0"/>
    <n v="117.8573837374804"/>
    <n v="0"/>
    <n v="0"/>
    <n v="0.68463663444961931"/>
    <n v="16.654411014358345"/>
    <n v="0"/>
    <n v="0"/>
    <m/>
    <n v="0"/>
    <n v="0"/>
    <n v="0"/>
    <n v="0"/>
    <n v="0"/>
    <n v="-1.0347219259076628"/>
    <n v="0"/>
    <n v="0"/>
    <m/>
    <m/>
    <m/>
    <n v="3516.7347948673946"/>
    <n v="0"/>
    <n v="0"/>
    <n v="-2349.8725799999993"/>
    <n v="117.91026000000011"/>
    <n v="0"/>
    <n v="0"/>
    <n v="-2362.1016775671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36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1.337"/>
    <n v="1.337"/>
    <n v="1.337"/>
    <n v="1.337"/>
    <m/>
    <n v="639.92999999999995"/>
    <n v="256.55"/>
    <m/>
    <n v="1198.59376"/>
    <n v="1198.59376"/>
    <n v="793.91059999999993"/>
    <n v="0"/>
    <n v="0"/>
    <n v="0"/>
    <n v="0"/>
    <n v="0"/>
    <n v="164.56168996710835"/>
    <n v="637.62875247324473"/>
    <n v="343.01072155575355"/>
    <n v="0"/>
    <n v="0"/>
    <n v="0"/>
    <n v="0"/>
    <n v="0"/>
    <n v="0"/>
    <m/>
    <n v="2.9357908121273666"/>
    <n v="0"/>
    <n v="0"/>
    <n v="0"/>
    <n v="0"/>
    <n v="0"/>
    <n v="0"/>
    <n v="0"/>
    <n v="0"/>
    <n v="0"/>
    <n v="0"/>
    <n v="0"/>
    <n v="0"/>
    <m/>
    <n v="0"/>
    <n v="0"/>
    <n v="1.9925582813644367"/>
    <n v="0"/>
    <n v="0"/>
    <n v="48.470798841468032"/>
    <n v="0"/>
    <n v="2.1800000000000002"/>
    <n v="9.2899999999999991"/>
    <n v="268.43"/>
    <n v="24"/>
    <m/>
    <m/>
    <m/>
    <m/>
    <m/>
    <m/>
    <m/>
    <m/>
    <m/>
    <n v="393.47407867858601"/>
    <m/>
    <m/>
    <m/>
    <m/>
    <m/>
    <m/>
    <m/>
    <m/>
    <m/>
    <m/>
    <m/>
    <m/>
    <n v="795.69200000000001"/>
    <n v="-402.93175999999994"/>
    <m/>
    <m/>
    <m/>
    <m/>
    <n v="-426.06178999999992"/>
    <n v="21.378630000000012"/>
    <n v="30"/>
    <n v="23.581395322797562"/>
    <n v="0"/>
    <n v="0"/>
    <n v="0"/>
    <n v="0"/>
    <n v="0"/>
    <n v="0"/>
    <n v="0"/>
    <n v="-0.74382918880118609"/>
    <n v="0"/>
    <n v="0"/>
    <n v="21.369042860999627"/>
    <n v="0"/>
    <n v="0"/>
    <n v="0.12413333065624399"/>
    <n v="3.0196565671544775"/>
    <n v="0"/>
    <n v="0"/>
    <m/>
    <n v="0"/>
    <n v="0"/>
    <n v="0"/>
    <n v="0"/>
    <n v="0"/>
    <n v="-0.18760824721162761"/>
    <n v="0"/>
    <n v="0"/>
    <m/>
    <m/>
    <m/>
    <n v="637.62875247324473"/>
    <n v="0"/>
    <n v="0"/>
    <n v="-426.06178999999992"/>
    <n v="21.378629999999987"/>
    <n v="0"/>
    <n v="0"/>
    <n v="-428.27908094755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37"/>
    <s v="Regular"/>
    <s v="Convencional"/>
    <s v="B3"/>
    <s v="Industrial"/>
    <s v="Não se aplica"/>
    <s v="Não se aplica"/>
    <s v="Não se aplica"/>
    <s v="Não se aplica"/>
    <s v="CATIVO"/>
    <x v="9"/>
    <n v="0"/>
    <n v="0"/>
    <n v="60.029000000000003"/>
    <n v="60.029000000000003"/>
    <n v="60.029000000000003"/>
    <n v="60.029000000000003"/>
    <m/>
    <n v="710.91"/>
    <n v="256.55"/>
    <m/>
    <n v="58075.656340000001"/>
    <n v="58075.656340000001"/>
    <n v="39644.952470000004"/>
    <n v="0"/>
    <n v="3690.2636496384175"/>
    <n v="0"/>
    <n v="0"/>
    <n v="0"/>
    <n v="7388.536789106618"/>
    <n v="28628.434092906817"/>
    <n v="15400.591327053351"/>
    <n v="0"/>
    <n v="0"/>
    <n v="0"/>
    <n v="0"/>
    <n v="0"/>
    <n v="570.53144897422851"/>
    <m/>
    <n v="131.81195711383222"/>
    <n v="0"/>
    <n v="0"/>
    <n v="0"/>
    <n v="0"/>
    <n v="0"/>
    <n v="0"/>
    <n v="0"/>
    <n v="0"/>
    <n v="0"/>
    <n v="0"/>
    <n v="0"/>
    <n v="0"/>
    <m/>
    <n v="0"/>
    <n v="0"/>
    <n v="89.462439096503942"/>
    <n v="0"/>
    <n v="0"/>
    <n v="2176.2554851566829"/>
    <n v="0"/>
    <n v="121.5"/>
    <n v="564.17999999999995"/>
    <n v="10054.75"/>
    <n v="42"/>
    <m/>
    <m/>
    <m/>
    <m/>
    <m/>
    <m/>
    <m/>
    <m/>
    <m/>
    <n v="17666.309251306538"/>
    <m/>
    <m/>
    <m/>
    <m/>
    <m/>
    <m/>
    <m/>
    <m/>
    <m/>
    <m/>
    <m/>
    <m/>
    <n v="39645.6129"/>
    <n v="-18430.073440000007"/>
    <m/>
    <m/>
    <m/>
    <m/>
    <n v="-19390.567579999999"/>
    <n v="959.86371000000065"/>
    <n v="30"/>
    <n v="797.98267359637248"/>
    <n v="0"/>
    <n v="0"/>
    <n v="0"/>
    <n v="0"/>
    <n v="0"/>
    <n v="0"/>
    <n v="0"/>
    <n v="-33.396650990685885"/>
    <n v="0"/>
    <n v="0"/>
    <n v="959.433263951345"/>
    <n v="0"/>
    <n v="0"/>
    <n v="5.5733730037125468"/>
    <n v="135.57738524286924"/>
    <n v="0"/>
    <n v="-229.47481425128399"/>
    <m/>
    <n v="0"/>
    <n v="0"/>
    <n v="0"/>
    <n v="0"/>
    <n v="-31.306595796487272"/>
    <n v="-8.4232875631015531"/>
    <n v="0"/>
    <n v="0"/>
    <m/>
    <m/>
    <m/>
    <n v="28628.434092906817"/>
    <n v="0"/>
    <n v="0"/>
    <n v="-19390.567580000003"/>
    <n v="959.86370999999963"/>
    <n v="0"/>
    <n v="0"/>
    <n v="-19228.993979207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38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5.6539999999999999"/>
    <n v="5.6539999999999999"/>
    <n v="5.6539999999999999"/>
    <n v="5.6539999999999999"/>
    <m/>
    <n v="710.91"/>
    <n v="256.55"/>
    <m/>
    <n v="5470.0188399999997"/>
    <n v="5470.0188399999997"/>
    <n v="3734.0712199999998"/>
    <n v="0"/>
    <n v="347.57784862409187"/>
    <n v="0"/>
    <n v="0"/>
    <n v="0"/>
    <n v="695.91009354826519"/>
    <n v="2696.4494887686806"/>
    <n v="1450.5479578730221"/>
    <n v="0"/>
    <n v="0"/>
    <n v="0"/>
    <n v="0"/>
    <n v="0"/>
    <n v="53.737107273156099"/>
    <m/>
    <n v="12.415079470282819"/>
    <n v="0"/>
    <n v="0"/>
    <n v="0"/>
    <n v="0"/>
    <n v="0"/>
    <n v="0"/>
    <n v="0"/>
    <n v="0"/>
    <n v="0"/>
    <n v="0"/>
    <n v="0"/>
    <n v="0"/>
    <m/>
    <n v="0"/>
    <n v="0"/>
    <n v="8.4262711464730931"/>
    <n v="0"/>
    <n v="0"/>
    <n v="204.97673646197475"/>
    <n v="0"/>
    <n v="12.79"/>
    <n v="59.46"/>
    <n v="1783.17"/>
    <n v="6"/>
    <m/>
    <m/>
    <m/>
    <m/>
    <m/>
    <m/>
    <m/>
    <m/>
    <m/>
    <n v="1663.9509654814699"/>
    <m/>
    <m/>
    <m/>
    <m/>
    <m/>
    <m/>
    <m/>
    <m/>
    <m/>
    <m/>
    <m/>
    <m/>
    <n v="3731.4295000000002"/>
    <n v="-1738.6193400000002"/>
    <m/>
    <m/>
    <m/>
    <m/>
    <n v="-1826.3550799999998"/>
    <n v="90.407460000000043"/>
    <n v="30"/>
    <n v="75.160239825981989"/>
    <n v="0"/>
    <n v="0"/>
    <n v="0"/>
    <n v="0"/>
    <n v="0"/>
    <n v="0"/>
    <n v="0"/>
    <n v="-3.1455573922826261"/>
    <n v="0"/>
    <n v="0"/>
    <n v="90.36691722968726"/>
    <n v="0"/>
    <n v="0"/>
    <n v="0.52494379321645646"/>
    <n v="12.76973689655307"/>
    <n v="0"/>
    <n v="-21.613730026766405"/>
    <m/>
    <n v="0"/>
    <n v="0"/>
    <n v="0"/>
    <n v="0"/>
    <n v="-2.9486996723806627"/>
    <n v="-0.79337100204528177"/>
    <n v="0"/>
    <n v="0"/>
    <m/>
    <m/>
    <m/>
    <n v="2696.4494887686806"/>
    <n v="0"/>
    <n v="0"/>
    <n v="-1826.3550799999998"/>
    <n v="90.407460000000128"/>
    <n v="0"/>
    <n v="0"/>
    <n v="-1811.1368165127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39"/>
    <s v="Regular"/>
    <s v="Verde"/>
    <s v="A4"/>
    <s v="Industrial"/>
    <s v="Não se aplica"/>
    <s v="Não se aplica"/>
    <s v="Não se aplica"/>
    <s v="Ponta"/>
    <s v="CATIVO"/>
    <x v="9"/>
    <n v="0"/>
    <n v="0"/>
    <n v="5.9379999999999997"/>
    <n v="5.9379999999999997"/>
    <n v="5.9379999999999997"/>
    <n v="5.9379999999999997"/>
    <m/>
    <n v="3130.62"/>
    <n v="256.55"/>
    <m/>
    <n v="20113.015459999999"/>
    <n v="20113.015459999999"/>
    <n v="10585.256939999999"/>
    <n v="0"/>
    <n v="317.581892582769"/>
    <n v="0"/>
    <n v="0"/>
    <n v="0"/>
    <n v="3825.3415875861474"/>
    <n v="14275.834761004387"/>
    <n v="1523.4088740449247"/>
    <n v="0"/>
    <n v="0"/>
    <n v="0"/>
    <n v="0"/>
    <n v="0"/>
    <n v="56.436318179695952"/>
    <m/>
    <n v="8.010688559209866"/>
    <n v="0"/>
    <n v="0"/>
    <n v="0"/>
    <n v="0"/>
    <n v="0"/>
    <n v="0"/>
    <n v="0"/>
    <n v="0"/>
    <n v="0"/>
    <n v="0"/>
    <n v="0"/>
    <n v="0"/>
    <m/>
    <n v="0"/>
    <n v="0"/>
    <n v="7.3157657397706526"/>
    <n v="0"/>
    <n v="0"/>
    <n v="99.100993317320885"/>
    <n v="0"/>
    <n v="0"/>
    <n v="0"/>
    <n v="0"/>
    <n v="0"/>
    <m/>
    <m/>
    <m/>
    <m/>
    <m/>
    <m/>
    <m/>
    <m/>
    <m/>
    <n v="1629.8256331020161"/>
    <m/>
    <m/>
    <m/>
    <m/>
    <m/>
    <m/>
    <m/>
    <m/>
    <m/>
    <m/>
    <m/>
    <m/>
    <n v="10588.822200000001"/>
    <n v="-9524.2232599999934"/>
    <m/>
    <m/>
    <m/>
    <m/>
    <n v="-9622.7071399999986"/>
    <n v="94.948620000000048"/>
    <n v="30"/>
    <n v="60.887665254097556"/>
    <n v="0"/>
    <n v="0"/>
    <n v="0"/>
    <n v="0"/>
    <n v="0"/>
    <n v="0"/>
    <n v="0"/>
    <n v="-17.290784571735912"/>
    <n v="0"/>
    <n v="0"/>
    <n v="94.906040769346419"/>
    <n v="0"/>
    <n v="0"/>
    <n v="0.45576100637655426"/>
    <n v="6.1738401766583451"/>
    <n v="0"/>
    <n v="-19.748465890003104"/>
    <m/>
    <n v="0"/>
    <n v="0"/>
    <n v="0"/>
    <n v="0"/>
    <n v="-3.0968126378840424"/>
    <n v="-0.51191359866087449"/>
    <n v="0"/>
    <n v="0"/>
    <m/>
    <m/>
    <m/>
    <n v="14275.834761004387"/>
    <n v="0"/>
    <n v="0"/>
    <n v="-9622.7071400000004"/>
    <n v="94.948620000000119"/>
    <n v="0"/>
    <n v="0"/>
    <n v="-9588.7165807484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40"/>
    <s v="Sistema de Compensação"/>
    <s v="Verde"/>
    <s v="A4"/>
    <s v="Industrial"/>
    <s v="Não se aplica"/>
    <s v="Não se aplica"/>
    <s v="Não se aplica"/>
    <s v="Ponta"/>
    <s v="CATIVO"/>
    <x v="9"/>
    <n v="0"/>
    <n v="0"/>
    <n v="1.147"/>
    <n v="1.147"/>
    <n v="1.147"/>
    <n v="1.147"/>
    <m/>
    <n v="3130.62"/>
    <n v="256.55"/>
    <m/>
    <n v="3885.0839900000001"/>
    <n v="3885.0839900000001"/>
    <n v="2044.67661"/>
    <n v="0"/>
    <n v="61.344969820214892"/>
    <n v="0"/>
    <n v="0"/>
    <n v="0"/>
    <n v="738.91323694195205"/>
    <n v="2757.5585164823228"/>
    <n v="294.26574242666368"/>
    <n v="0"/>
    <n v="0"/>
    <n v="0"/>
    <n v="0"/>
    <n v="0"/>
    <n v="10.901390527469058"/>
    <m/>
    <n v="1.5473660790524952"/>
    <n v="0"/>
    <n v="0"/>
    <n v="0"/>
    <n v="0"/>
    <n v="0"/>
    <n v="0"/>
    <n v="0"/>
    <n v="0"/>
    <n v="0"/>
    <n v="0"/>
    <n v="0"/>
    <n v="0"/>
    <m/>
    <n v="0"/>
    <n v="0"/>
    <n v="1.4131329241355572"/>
    <n v="0"/>
    <n v="0"/>
    <n v="19.142613562641809"/>
    <n v="0"/>
    <n v="0"/>
    <n v="0"/>
    <n v="0"/>
    <n v="0"/>
    <m/>
    <m/>
    <m/>
    <m/>
    <m/>
    <m/>
    <m/>
    <m/>
    <m/>
    <n v="314.82148891344104"/>
    <m/>
    <m/>
    <m/>
    <m/>
    <m/>
    <m/>
    <m/>
    <m/>
    <m/>
    <m/>
    <m/>
    <m/>
    <n v="2050.0244999999995"/>
    <n v="-1835.0894900000012"/>
    <m/>
    <m/>
    <m/>
    <m/>
    <n v="-1858.74791"/>
    <n v="18.340530000000012"/>
    <n v="30"/>
    <n v="11.761224662588347"/>
    <n v="0"/>
    <n v="0"/>
    <n v="0"/>
    <n v="0"/>
    <n v="0"/>
    <n v="0"/>
    <n v="0"/>
    <n v="-3.3399343051164578"/>
    <n v="0"/>
    <n v="0"/>
    <n v="18.332305281650406"/>
    <n v="0"/>
    <n v="0"/>
    <n v="8.8036017903992736E-2"/>
    <n v="1.1925555208196563"/>
    <n v="0"/>
    <n v="-3.814666617688367"/>
    <m/>
    <n v="0"/>
    <n v="0"/>
    <n v="0"/>
    <n v="0"/>
    <n v="-0.59818863180414183"/>
    <n v="-9.8882603176831063E-2"/>
    <n v="0"/>
    <n v="0"/>
    <m/>
    <m/>
    <m/>
    <n v="2757.5585164823228"/>
    <n v="0"/>
    <n v="0"/>
    <n v="-1858.74791"/>
    <n v="18.340530000000001"/>
    <n v="0"/>
    <n v="0"/>
    <n v="-1852.1822024450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41"/>
    <s v="Regular"/>
    <s v="Verde"/>
    <s v="A4"/>
    <s v="Industrial"/>
    <s v="Não se aplica"/>
    <s v="Não se aplica"/>
    <s v="Não se aplica"/>
    <s v="Fora ponta"/>
    <s v="CATIVO"/>
    <x v="9"/>
    <n v="0"/>
    <n v="0"/>
    <n v="203.28899999999999"/>
    <n v="203.28899999999999"/>
    <n v="203.28899999999999"/>
    <n v="203.28899999999999"/>
    <m/>
    <n v="82.26"/>
    <n v="256.55"/>
    <m/>
    <n v="68876.346089999992"/>
    <n v="68876.346089999992"/>
    <n v="71553.662219999998"/>
    <n v="0"/>
    <n v="10872.500060838418"/>
    <n v="0"/>
    <n v="0"/>
    <n v="0"/>
    <n v="0"/>
    <n v="0"/>
    <n v="52154.305590387121"/>
    <n v="0"/>
    <n v="0"/>
    <n v="0"/>
    <n v="0"/>
    <n v="0"/>
    <n v="1932.1122745759869"/>
    <m/>
    <n v="274.24804084089163"/>
    <n v="0"/>
    <n v="0"/>
    <n v="0"/>
    <n v="0"/>
    <n v="0"/>
    <n v="0"/>
    <n v="0"/>
    <n v="0"/>
    <n v="0"/>
    <n v="0"/>
    <n v="0"/>
    <n v="0"/>
    <m/>
    <n v="0"/>
    <n v="0"/>
    <n v="250.45717438063932"/>
    <n v="0"/>
    <n v="0"/>
    <n v="3392.7487084009508"/>
    <n v="0"/>
    <n v="0"/>
    <n v="0"/>
    <n v="0"/>
    <n v="0"/>
    <m/>
    <m/>
    <m/>
    <m/>
    <m/>
    <m/>
    <m/>
    <m/>
    <m/>
    <n v="55797.511473168706"/>
    <m/>
    <m/>
    <m/>
    <m/>
    <m/>
    <m/>
    <m/>
    <m/>
    <m/>
    <m/>
    <m/>
    <m/>
    <n v="71554.014200000005"/>
    <n v="2677.6381100000144"/>
    <m/>
    <m/>
    <m/>
    <m/>
    <n v="-573.27498000000151"/>
    <n v="3250.5911100000017"/>
    <n v="30"/>
    <n v="2676.4599000747112"/>
    <n v="0"/>
    <n v="0"/>
    <n v="0"/>
    <n v="0"/>
    <n v="0"/>
    <n v="0"/>
    <n v="0"/>
    <n v="0"/>
    <n v="0"/>
    <n v="0"/>
    <n v="3249.133398780672"/>
    <n v="0"/>
    <n v="0"/>
    <n v="15.60309855595878"/>
    <n v="211.36305080375496"/>
    <n v="0"/>
    <n v="-676.09395121469242"/>
    <m/>
    <n v="0"/>
    <n v="0"/>
    <n v="0"/>
    <n v="0"/>
    <n v="-106.02019945146662"/>
    <n v="-17.525497399489836"/>
    <n v="0"/>
    <n v="0"/>
    <m/>
    <m/>
    <m/>
    <n v="0"/>
    <n v="0"/>
    <n v="0"/>
    <n v="-573.27498000000196"/>
    <n v="3250.5911100000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42"/>
    <s v="Sistema de Compensação"/>
    <s v="Verde"/>
    <s v="A4"/>
    <s v="Industrial"/>
    <s v="Não se aplica"/>
    <s v="Não se aplica"/>
    <s v="Não se aplica"/>
    <s v="Fora ponta"/>
    <s v="CATIVO"/>
    <x v="9"/>
    <n v="0"/>
    <n v="0"/>
    <n v="13.073"/>
    <n v="13.073"/>
    <n v="13.073"/>
    <n v="13.073"/>
    <m/>
    <n v="82.26"/>
    <n v="256.55"/>
    <m/>
    <n v="4429.2631300000003"/>
    <n v="4429.2631300000003"/>
    <n v="4601.4345400000002"/>
    <n v="0"/>
    <n v="699.18290362656433"/>
    <n v="0"/>
    <n v="0"/>
    <n v="0"/>
    <n v="0"/>
    <n v="0"/>
    <n v="3353.9111166031162"/>
    <n v="0"/>
    <n v="0"/>
    <n v="0"/>
    <n v="0"/>
    <n v="0"/>
    <n v="124.24924007463207"/>
    <m/>
    <n v="17.636195947212965"/>
    <n v="0"/>
    <n v="0"/>
    <n v="0"/>
    <n v="0"/>
    <n v="0"/>
    <n v="0"/>
    <n v="0"/>
    <n v="0"/>
    <n v="0"/>
    <n v="0"/>
    <n v="0"/>
    <n v="0"/>
    <m/>
    <n v="0"/>
    <n v="0"/>
    <n v="16.106265664537176"/>
    <n v="0"/>
    <n v="0"/>
    <n v="218.17906460716335"/>
    <n v="0"/>
    <n v="0"/>
    <n v="0"/>
    <n v="0"/>
    <n v="0"/>
    <m/>
    <m/>
    <m/>
    <m/>
    <m/>
    <m/>
    <m/>
    <m/>
    <m/>
    <n v="3588.1964468748165"/>
    <m/>
    <m/>
    <m/>
    <m/>
    <m/>
    <m/>
    <m/>
    <m/>
    <m/>
    <m/>
    <m/>
    <m/>
    <n v="4600.3786"/>
    <n v="171.08546999999908"/>
    <m/>
    <m/>
    <m/>
    <m/>
    <n v="-36.865860000000097"/>
    <n v="209.03727000000012"/>
    <n v="30"/>
    <n v="172.11634802511253"/>
    <n v="0"/>
    <n v="0"/>
    <n v="0"/>
    <n v="0"/>
    <n v="0"/>
    <n v="0"/>
    <n v="0"/>
    <n v="0"/>
    <n v="0"/>
    <n v="0"/>
    <n v="208.94352828859292"/>
    <n v="0"/>
    <n v="0"/>
    <n v="1.0033956949074927"/>
    <n v="13.59222172944672"/>
    <n v="0"/>
    <n v="-43.47788726507406"/>
    <m/>
    <n v="0"/>
    <n v="0"/>
    <n v="0"/>
    <n v="0"/>
    <n v="-6.8178901338932434"/>
    <n v="-1.1270202888672287"/>
    <n v="0"/>
    <n v="0"/>
    <m/>
    <m/>
    <m/>
    <n v="0"/>
    <n v="0"/>
    <n v="0"/>
    <n v="-36.865860000000112"/>
    <n v="209.03726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43"/>
    <s v="Regular"/>
    <s v="Verde"/>
    <s v="A4"/>
    <s v="Industrial"/>
    <s v="Não se aplica"/>
    <s v="Não se aplica"/>
    <s v="Não se aplica"/>
    <s v="Não se aplica"/>
    <s v="CATIVO"/>
    <x v="9"/>
    <n v="1534"/>
    <n v="1534"/>
    <n v="0"/>
    <n v="0"/>
    <n v="0"/>
    <n v="0"/>
    <n v="47.39"/>
    <m/>
    <m/>
    <n v="72696.259999999995"/>
    <m/>
    <n v="72696.259999999995"/>
    <n v="49425.479999999996"/>
    <n v="0"/>
    <n v="0"/>
    <n v="0"/>
    <n v="0"/>
    <n v="0"/>
    <n v="38304.133675300385"/>
    <n v="34392.07635494905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73.18"/>
    <n v="1730.12"/>
    <n v="29065.03"/>
    <n v="10"/>
    <m/>
    <m/>
    <m/>
    <m/>
    <m/>
    <m/>
    <m/>
    <m/>
    <m/>
    <n v="0"/>
    <m/>
    <m/>
    <m/>
    <m/>
    <m/>
    <m/>
    <m/>
    <m/>
    <m/>
    <m/>
    <m/>
    <m/>
    <n v="49425.479999999996"/>
    <n v="-23270.809999999983"/>
    <m/>
    <m/>
    <m/>
    <m/>
    <n v="-23270.780000000002"/>
    <n v="0"/>
    <n v="30"/>
    <n v="-173.13709336076136"/>
    <n v="0"/>
    <n v="0"/>
    <n v="0"/>
    <n v="0"/>
    <m/>
    <m/>
    <m/>
    <n v="-173.1370933607613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392.076354949051"/>
    <m/>
    <n v="0"/>
    <n v="0"/>
    <n v="-23270.78"/>
    <m/>
    <n v="0"/>
    <m/>
    <n v="-23100.286484954166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44"/>
    <s v="Sistema de Compensação"/>
    <s v="Verde"/>
    <s v="A4"/>
    <s v="Industrial"/>
    <s v="Não se aplica"/>
    <s v="Não se aplica"/>
    <s v="Não se aplica"/>
    <s v="Não se aplica"/>
    <s v="CATIVO"/>
    <x v="9"/>
    <n v="729"/>
    <n v="729"/>
    <n v="0"/>
    <n v="0"/>
    <n v="0"/>
    <n v="0"/>
    <n v="47.39"/>
    <m/>
    <m/>
    <n v="34547.31"/>
    <m/>
    <n v="34547.31"/>
    <n v="23488.379999999997"/>
    <n v="0"/>
    <n v="0"/>
    <n v="0"/>
    <n v="0"/>
    <n v="0"/>
    <n v="18203.203030830497"/>
    <n v="16344.08322213680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3.26"/>
    <n v="386.09"/>
    <n v="6221.94"/>
    <n v="5"/>
    <m/>
    <m/>
    <m/>
    <m/>
    <m/>
    <m/>
    <m/>
    <m/>
    <m/>
    <n v="0"/>
    <m/>
    <m/>
    <m/>
    <m/>
    <m/>
    <m/>
    <m/>
    <m/>
    <m/>
    <m/>
    <m/>
    <m/>
    <n v="23488.379999999997"/>
    <n v="-11058.960000000006"/>
    <m/>
    <m/>
    <m/>
    <m/>
    <n v="-11058.930000000002"/>
    <n v="0"/>
    <n v="30"/>
    <n v="-82.279622594520333"/>
    <n v="0"/>
    <n v="0"/>
    <n v="0"/>
    <n v="0"/>
    <m/>
    <m/>
    <m/>
    <n v="-82.27962259452033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344.083222136805"/>
    <m/>
    <n v="0"/>
    <n v="0"/>
    <n v="-11058.93"/>
    <m/>
    <n v="0"/>
    <m/>
    <n v="-10977.906680268312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45"/>
    <s v="Regular"/>
    <s v="Convencional"/>
    <s v="B3"/>
    <s v="Comercial"/>
    <s v="Não se aplica"/>
    <s v="Não se aplica"/>
    <s v="Não se aplica"/>
    <s v="Não se aplica"/>
    <s v="CATIVO"/>
    <x v="9"/>
    <n v="0"/>
    <n v="0"/>
    <n v="367.40800000000002"/>
    <n v="367.40800000000002"/>
    <n v="367.40800000000002"/>
    <n v="367.40800000000002"/>
    <m/>
    <n v="710.91"/>
    <n v="256.55"/>
    <m/>
    <n v="355452.54368"/>
    <n v="355452.54368"/>
    <n v="242647.26544000002"/>
    <n v="0"/>
    <n v="22586.289743063378"/>
    <n v="0"/>
    <n v="0"/>
    <n v="0"/>
    <n v="45221.601636077299"/>
    <n v="175220.57194367234"/>
    <n v="94259.448904529767"/>
    <n v="0"/>
    <n v="0"/>
    <n v="0"/>
    <n v="0"/>
    <n v="0"/>
    <n v="3491.9425378520937"/>
    <m/>
    <n v="806.7561934944589"/>
    <n v="0"/>
    <n v="0"/>
    <n v="0"/>
    <n v="0"/>
    <n v="0"/>
    <n v="0"/>
    <n v="0"/>
    <n v="0"/>
    <n v="0"/>
    <n v="0"/>
    <n v="0"/>
    <n v="0"/>
    <m/>
    <n v="0"/>
    <n v="0"/>
    <n v="547.55561184707926"/>
    <n v="0"/>
    <n v="0"/>
    <n v="13319.790022996325"/>
    <n v="0"/>
    <n v="746"/>
    <n v="3470.11"/>
    <n v="99468.63"/>
    <n v="963"/>
    <m/>
    <m/>
    <m/>
    <m/>
    <m/>
    <m/>
    <m/>
    <m/>
    <m/>
    <n v="108126.79453937318"/>
    <m/>
    <m/>
    <m/>
    <m/>
    <m/>
    <m/>
    <m/>
    <m/>
    <m/>
    <m/>
    <m/>
    <m/>
    <n v="242648.58630000002"/>
    <n v="-112803.98738000001"/>
    <m/>
    <m/>
    <m/>
    <m/>
    <n v="-118680.13215999999"/>
    <n v="5874.8539200000032"/>
    <n v="30"/>
    <n v="4884.0596735027211"/>
    <n v="0"/>
    <n v="0"/>
    <n v="0"/>
    <n v="0"/>
    <n v="0"/>
    <n v="0"/>
    <n v="0"/>
    <n v="-204.40448361934978"/>
    <n v="0"/>
    <n v="0"/>
    <n v="5872.2193713344604"/>
    <n v="0"/>
    <n v="0"/>
    <n v="34.111876402205894"/>
    <n v="829.80252806663702"/>
    <n v="0"/>
    <n v="-1404.5025330163044"/>
    <m/>
    <n v="0"/>
    <n v="0"/>
    <n v="0"/>
    <n v="0"/>
    <n v="-191.61228320304826"/>
    <n v="-51.554802461877102"/>
    <n v="0"/>
    <n v="0"/>
    <m/>
    <m/>
    <m/>
    <n v="175220.57194367234"/>
    <n v="0"/>
    <n v="0"/>
    <n v="-118680.13215999998"/>
    <n v="5874.8539200000087"/>
    <n v="0"/>
    <n v="0"/>
    <n v="-117691.2195757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46"/>
    <s v="Refaturamento - Regular"/>
    <s v="Convencional"/>
    <s v="B3"/>
    <s v="Comercial"/>
    <s v="Não se aplica"/>
    <s v="Não se aplica"/>
    <s v="Não se aplica"/>
    <s v="Não se aplica"/>
    <s v="CATIVO"/>
    <x v="9"/>
    <n v="0"/>
    <n v="0"/>
    <n v="-0.54400000000000004"/>
    <n v="-0.54400000000000004"/>
    <n v="-0.54400000000000004"/>
    <n v="-0.54400000000000004"/>
    <m/>
    <n v="710.91"/>
    <n v="256.55"/>
    <m/>
    <n v="-526.29824000000008"/>
    <n v="-526.29824000000008"/>
    <n v="-359.27391999999998"/>
    <n v="0"/>
    <n v="-33.442226680492745"/>
    <n v="0"/>
    <n v="0"/>
    <n v="0"/>
    <n v="-66.957037653034376"/>
    <n v="-259.43907355680267"/>
    <n v="-139.5645718222363"/>
    <n v="0"/>
    <n v="0"/>
    <n v="0"/>
    <n v="0"/>
    <n v="0"/>
    <n v="-5.1703194829495791"/>
    <m/>
    <n v="-1.1945177275970738"/>
    <n v="0"/>
    <n v="0"/>
    <n v="0"/>
    <n v="0"/>
    <n v="0"/>
    <n v="0"/>
    <n v="0"/>
    <n v="0"/>
    <n v="0"/>
    <n v="0"/>
    <n v="0"/>
    <n v="0"/>
    <m/>
    <n v="0"/>
    <n v="0"/>
    <n v="-0.8107342595828374"/>
    <n v="0"/>
    <n v="0"/>
    <n v="-19.721850837515792"/>
    <n v="0"/>
    <n v="0"/>
    <n v="0"/>
    <n v="-145.52000000000001"/>
    <n v="0"/>
    <m/>
    <m/>
    <m/>
    <m/>
    <m/>
    <m/>
    <m/>
    <m/>
    <m/>
    <n v="-160.09715691933494"/>
    <m/>
    <m/>
    <m/>
    <m/>
    <m/>
    <m/>
    <m/>
    <m/>
    <m/>
    <m/>
    <m/>
    <m/>
    <n v="-356.63220000000001"/>
    <n v="169.63604000000009"/>
    <m/>
    <m/>
    <m/>
    <m/>
    <n v="175.72288"/>
    <n v="-8.6985600000000058"/>
    <n v="30"/>
    <n v="-7.2315476592384016"/>
    <n v="0"/>
    <n v="0"/>
    <n v="0"/>
    <n v="0"/>
    <n v="0"/>
    <n v="0"/>
    <n v="0"/>
    <n v="0.30265002147184816"/>
    <n v="0"/>
    <n v="0"/>
    <n v="-8.6946591745578417"/>
    <n v="0"/>
    <n v="0"/>
    <n v="-5.0507503273744758E-2"/>
    <n v="-1.228641116329122"/>
    <n v="0"/>
    <n v="2.0795665253910336"/>
    <m/>
    <n v="0"/>
    <n v="0"/>
    <n v="0"/>
    <n v="0"/>
    <n v="0.28370934237267065"/>
    <n v="7.6334245686705771E-2"/>
    <n v="0"/>
    <n v="0"/>
    <m/>
    <m/>
    <m/>
    <n v="-259.43907355680267"/>
    <n v="0"/>
    <n v="0"/>
    <n v="175.72288000000003"/>
    <n v="-8.6985599999999863"/>
    <n v="0"/>
    <n v="0"/>
    <n v="174.25865372885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47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12.577"/>
    <n v="12.577"/>
    <n v="12.577"/>
    <n v="12.577"/>
    <m/>
    <n v="710.91"/>
    <n v="256.55"/>
    <m/>
    <n v="12167.744419999999"/>
    <n v="12167.744419999999"/>
    <n v="8306.22811"/>
    <n v="0"/>
    <n v="773.16706794220079"/>
    <n v="0"/>
    <n v="0"/>
    <n v="0"/>
    <n v="1548.0122473570095"/>
    <n v="5998.0978458160052"/>
    <n v="3226.6610658240184"/>
    <n v="0"/>
    <n v="0"/>
    <n v="0"/>
    <n v="0"/>
    <n v="0"/>
    <n v="119.53512525194274"/>
    <m/>
    <n v="27.616635036743372"/>
    <n v="0"/>
    <n v="0"/>
    <n v="0"/>
    <n v="0"/>
    <n v="0"/>
    <n v="0"/>
    <n v="0"/>
    <n v="0"/>
    <n v="0"/>
    <n v="0"/>
    <n v="0"/>
    <n v="0"/>
    <m/>
    <n v="0"/>
    <n v="0"/>
    <n v="18.743758791862767"/>
    <n v="0"/>
    <n v="0"/>
    <n v="455.95904041072811"/>
    <n v="0"/>
    <n v="25.72"/>
    <n v="120.03"/>
    <n v="8519.8799999999992"/>
    <n v="47"/>
    <m/>
    <m/>
    <m/>
    <m/>
    <m/>
    <m/>
    <m/>
    <m/>
    <m/>
    <n v="3701.3638650266089"/>
    <m/>
    <m/>
    <m/>
    <m/>
    <m/>
    <m/>
    <m/>
    <m/>
    <m/>
    <m/>
    <m/>
    <m/>
    <n v="8308.2093999999997"/>
    <n v="-3859.56502"/>
    <m/>
    <m/>
    <m/>
    <m/>
    <n v="-4062.6225399999998"/>
    <n v="201.10623000000012"/>
    <n v="30"/>
    <n v="167.18965976147501"/>
    <n v="0"/>
    <n v="0"/>
    <n v="0"/>
    <n v="0"/>
    <n v="0"/>
    <n v="0"/>
    <n v="0"/>
    <n v="-6.9971127206824804"/>
    <n v="0"/>
    <n v="0"/>
    <n v="201.01604492355455"/>
    <n v="0"/>
    <n v="0"/>
    <n v="1.1677074791799384"/>
    <n v="28.405550220719419"/>
    <n v="0"/>
    <n v="-48.078507701917374"/>
    <m/>
    <n v="0"/>
    <n v="0"/>
    <n v="0"/>
    <n v="0"/>
    <n v="-6.5592139687887396"/>
    <n v="-1.7648084705913547"/>
    <n v="0"/>
    <n v="0"/>
    <m/>
    <m/>
    <m/>
    <n v="5998.0978458160052"/>
    <n v="0"/>
    <n v="0"/>
    <n v="-4062.6225400000003"/>
    <n v="201.10622999999987"/>
    <n v="0"/>
    <n v="0"/>
    <n v="-4028.7703822568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48"/>
    <s v="Regular"/>
    <s v="Verde"/>
    <s v="A4"/>
    <s v="Comercial"/>
    <s v="Não se aplica"/>
    <s v="Não se aplica"/>
    <s v="Não se aplica"/>
    <s v="Ponta"/>
    <s v="CATIVO"/>
    <x v="9"/>
    <n v="0"/>
    <n v="0"/>
    <n v="12.964"/>
    <n v="12.964"/>
    <n v="12.964"/>
    <n v="12.964"/>
    <m/>
    <n v="3130.62"/>
    <n v="256.55"/>
    <m/>
    <n v="43911.27188"/>
    <n v="43911.27188"/>
    <n v="23110.015319999999"/>
    <n v="0"/>
    <n v="693.35325958959538"/>
    <n v="0"/>
    <n v="0"/>
    <n v="0"/>
    <n v="8351.5877974851501"/>
    <n v="31167.383267373003"/>
    <n v="3325.9468917343224"/>
    <n v="0"/>
    <n v="0"/>
    <n v="0"/>
    <n v="0"/>
    <n v="0"/>
    <n v="123.21327532529106"/>
    <m/>
    <n v="17.489148952778159"/>
    <n v="0"/>
    <n v="0"/>
    <n v="0"/>
    <n v="0"/>
    <n v="0"/>
    <n v="0"/>
    <n v="0"/>
    <n v="0"/>
    <n v="0"/>
    <n v="0"/>
    <n v="0"/>
    <n v="0"/>
    <m/>
    <n v="0"/>
    <n v="0"/>
    <n v="15.971974915861697"/>
    <n v="0"/>
    <n v="0"/>
    <n v="216.35993219362547"/>
    <n v="0"/>
    <n v="0"/>
    <n v="0"/>
    <n v="0"/>
    <n v="0"/>
    <m/>
    <m/>
    <m/>
    <m/>
    <m/>
    <m/>
    <m/>
    <m/>
    <m/>
    <n v="3558.2787988438095"/>
    <m/>
    <m/>
    <m/>
    <m/>
    <m/>
    <m/>
    <m/>
    <m/>
    <m/>
    <m/>
    <m/>
    <m/>
    <n v="23102.8848"/>
    <n v="-20808.417080000007"/>
    <m/>
    <m/>
    <m/>
    <m/>
    <n v="-21008.550920000001"/>
    <n v="207.29436000000013"/>
    <n v="30"/>
    <n v="132.93157500069174"/>
    <n v="0"/>
    <n v="0"/>
    <n v="0"/>
    <n v="0"/>
    <n v="0"/>
    <n v="0"/>
    <n v="0"/>
    <n v="-37.749702119903304"/>
    <n v="0"/>
    <n v="0"/>
    <n v="207.20139988780829"/>
    <n v="0"/>
    <n v="0"/>
    <n v="0.995029586841639"/>
    <n v="13.478892564870137"/>
    <n v="0"/>
    <n v="-43.115377534186564"/>
    <m/>
    <n v="0"/>
    <n v="0"/>
    <n v="0"/>
    <n v="0"/>
    <n v="-6.7610439605134189"/>
    <n v="-1.1176234242235736"/>
    <n v="0"/>
    <n v="0"/>
    <m/>
    <m/>
    <m/>
    <n v="31167.383267373003"/>
    <n v="0"/>
    <n v="0"/>
    <n v="-21008.550920000001"/>
    <n v="207.29436000000032"/>
    <n v="0"/>
    <n v="0"/>
    <n v="-20934.341824321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49"/>
    <s v="Sistema de Compensação"/>
    <s v="Verde"/>
    <s v="A4"/>
    <s v="Comercial"/>
    <s v="Não se aplica"/>
    <s v="Não se aplica"/>
    <s v="Não se aplica"/>
    <s v="Ponta"/>
    <s v="CATIVO"/>
    <x v="9"/>
    <n v="0"/>
    <n v="0"/>
    <n v="0.86"/>
    <n v="0.86"/>
    <n v="0.86"/>
    <n v="0.86"/>
    <m/>
    <n v="3130.62"/>
    <n v="256.55"/>
    <m/>
    <n v="2912.9661999999998"/>
    <n v="2912.9661999999998"/>
    <n v="1533.0617999999999"/>
    <n v="0"/>
    <n v="45.995356621957114"/>
    <n v="0"/>
    <n v="0"/>
    <n v="0"/>
    <n v="554.02387425464576"/>
    <n v="2067.5678501959874"/>
    <n v="220.63516868956472"/>
    <n v="0"/>
    <n v="0"/>
    <n v="0"/>
    <n v="0"/>
    <n v="0"/>
    <n v="8.1736668296629365"/>
    <m/>
    <n v="1.1601872955406678"/>
    <n v="0"/>
    <n v="0"/>
    <n v="0"/>
    <n v="0"/>
    <n v="0"/>
    <n v="0"/>
    <n v="0"/>
    <n v="0"/>
    <n v="0"/>
    <n v="0"/>
    <n v="0"/>
    <n v="0"/>
    <m/>
    <n v="0"/>
    <n v="0"/>
    <n v="1.0595416867973664"/>
    <n v="0"/>
    <n v="0"/>
    <n v="14.352787849931957"/>
    <n v="0"/>
    <n v="0"/>
    <n v="0"/>
    <n v="0"/>
    <n v="0"/>
    <m/>
    <m/>
    <m/>
    <m/>
    <m/>
    <m/>
    <m/>
    <m/>
    <m/>
    <n v="236.04749822629404"/>
    <m/>
    <m/>
    <m/>
    <m/>
    <m/>
    <m/>
    <m/>
    <m/>
    <m/>
    <m/>
    <m/>
    <m/>
    <n v="1533.0617999999999"/>
    <n v="-1379.9344000000006"/>
    <m/>
    <m/>
    <m/>
    <m/>
    <n v="-1393.6558"/>
    <n v="13.751400000000007"/>
    <n v="30"/>
    <n v="8.8183550216442654"/>
    <n v="0"/>
    <n v="0"/>
    <n v="0"/>
    <n v="0"/>
    <n v="0"/>
    <n v="0"/>
    <n v="0"/>
    <n v="-2.5042227571055946"/>
    <n v="0"/>
    <n v="0"/>
    <n v="13.745233253896572"/>
    <n v="0"/>
    <n v="0"/>
    <n v="6.6007825106742413E-2"/>
    <n v="0.89415671133819075"/>
    <n v="0"/>
    <n v="-2.8601685189293846"/>
    <m/>
    <n v="0"/>
    <n v="0"/>
    <n v="0"/>
    <n v="0"/>
    <n v="-0.44851109272150058"/>
    <n v="-7.4140399940780144E-2"/>
    <n v="0"/>
    <n v="0"/>
    <m/>
    <m/>
    <m/>
    <n v="2067.5678501959874"/>
    <n v="0"/>
    <n v="0"/>
    <n v="-1393.6558000000002"/>
    <n v="13.751400000000018"/>
    <n v="0"/>
    <n v="0"/>
    <n v="-1388.7329503946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50"/>
    <s v="Regular"/>
    <s v="Verde"/>
    <s v="A4"/>
    <s v="Comercial"/>
    <s v="Não se aplica"/>
    <s v="Não se aplica"/>
    <s v="Não se aplica"/>
    <s v="Fora ponta"/>
    <s v="CATIVO"/>
    <x v="9"/>
    <n v="0"/>
    <n v="0"/>
    <n v="111.074"/>
    <n v="111.074"/>
    <n v="111.074"/>
    <n v="111.074"/>
    <m/>
    <n v="82.26"/>
    <n v="256.55"/>
    <m/>
    <n v="37632.981939999998"/>
    <n v="37632.981939999998"/>
    <n v="39095.826520000002"/>
    <n v="0"/>
    <n v="5940.5677225898417"/>
    <n v="0"/>
    <n v="0"/>
    <n v="0"/>
    <n v="0"/>
    <n v="0"/>
    <n v="28496.314798865944"/>
    <n v="0"/>
    <n v="0"/>
    <n v="0"/>
    <n v="0"/>
    <n v="0"/>
    <n v="1055.6765923697453"/>
    <m/>
    <n v="149.8449344940513"/>
    <n v="0"/>
    <n v="0"/>
    <n v="0"/>
    <n v="0"/>
    <n v="0"/>
    <n v="0"/>
    <n v="0"/>
    <n v="0"/>
    <n v="0"/>
    <n v="0"/>
    <n v="0"/>
    <n v="0"/>
    <m/>
    <n v="0"/>
    <n v="0"/>
    <n v="136.84596897596589"/>
    <n v="0"/>
    <n v="0"/>
    <n v="1853.7459972597003"/>
    <n v="0"/>
    <n v="0"/>
    <n v="0"/>
    <n v="0"/>
    <n v="0"/>
    <m/>
    <m/>
    <m/>
    <m/>
    <m/>
    <m/>
    <m/>
    <m/>
    <m/>
    <n v="30486.906765101608"/>
    <m/>
    <m/>
    <m/>
    <m/>
    <m/>
    <m/>
    <m/>
    <m/>
    <m/>
    <m/>
    <m/>
    <m/>
    <n v="39094.418600000005"/>
    <n v="1461.4066600000006"/>
    <m/>
    <m/>
    <m/>
    <m/>
    <n v="-313.22868000000079"/>
    <n v="1776.073260000001"/>
    <n v="30"/>
    <n v="1462.3767490661194"/>
    <n v="0"/>
    <n v="0"/>
    <n v="0"/>
    <n v="0"/>
    <n v="0"/>
    <n v="0"/>
    <n v="0"/>
    <n v="0"/>
    <n v="0"/>
    <n v="0"/>
    <n v="1775.2767888875678"/>
    <n v="0"/>
    <n v="0"/>
    <n v="8.5252943789608366"/>
    <n v="115.48553785485842"/>
    <n v="0"/>
    <n v="-369.40739310646677"/>
    <m/>
    <n v="0"/>
    <n v="0"/>
    <n v="0"/>
    <n v="0"/>
    <n v="-57.927815247613921"/>
    <n v="-9.5756637011886028"/>
    <n v="0"/>
    <n v="0"/>
    <m/>
    <m/>
    <m/>
    <n v="0"/>
    <n v="0"/>
    <n v="0"/>
    <n v="-313.22868000000017"/>
    <n v="1776.0732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51"/>
    <s v="Sistema de Compensação"/>
    <s v="Verde"/>
    <s v="A4"/>
    <s v="Comercial"/>
    <s v="Não se aplica"/>
    <s v="Não se aplica"/>
    <s v="Não se aplica"/>
    <s v="Fora ponta"/>
    <s v="CATIVO"/>
    <x v="9"/>
    <n v="0"/>
    <n v="0"/>
    <n v="1.415"/>
    <n v="1.415"/>
    <n v="1.415"/>
    <n v="1.415"/>
    <m/>
    <n v="82.26"/>
    <n v="256.55"/>
    <m/>
    <n v="479.41615000000002"/>
    <n v="479.41615000000002"/>
    <n v="498.05170000000004"/>
    <n v="0"/>
    <n v="75.678406534964324"/>
    <n v="0"/>
    <n v="0"/>
    <n v="0"/>
    <n v="0"/>
    <n v="0"/>
    <n v="363.02181825085358"/>
    <n v="0"/>
    <n v="0"/>
    <n v="0"/>
    <n v="0"/>
    <n v="0"/>
    <n v="13.448533213922159"/>
    <m/>
    <n v="1.9089128176628429"/>
    <n v="0"/>
    <n v="0"/>
    <n v="0"/>
    <n v="0"/>
    <n v="0"/>
    <n v="0"/>
    <n v="0"/>
    <n v="0"/>
    <n v="0"/>
    <n v="0"/>
    <n v="0"/>
    <n v="0"/>
    <m/>
    <n v="0"/>
    <n v="0"/>
    <n v="1.7433156823468297"/>
    <n v="0"/>
    <n v="0"/>
    <n v="23.61534279959735"/>
    <n v="0"/>
    <n v="0"/>
    <n v="0"/>
    <n v="0"/>
    <n v="0"/>
    <m/>
    <m/>
    <m/>
    <m/>
    <m/>
    <m/>
    <m/>
    <m/>
    <m/>
    <n v="388.38047673279772"/>
    <m/>
    <m/>
    <m/>
    <m/>
    <m/>
    <m/>
    <m/>
    <m/>
    <m/>
    <m/>
    <m/>
    <m/>
    <n v="499.8116"/>
    <n v="20.365449999999953"/>
    <m/>
    <m/>
    <m/>
    <m/>
    <n v="-3.9903000000000106"/>
    <n v="22.625850000000014"/>
    <n v="30"/>
    <n v="18.629590182478012"/>
    <n v="0"/>
    <n v="0"/>
    <n v="0"/>
    <n v="0"/>
    <n v="0"/>
    <n v="0"/>
    <n v="0"/>
    <n v="0"/>
    <n v="0"/>
    <n v="0"/>
    <n v="22.61570355146938"/>
    <n v="0"/>
    <n v="0"/>
    <n v="0.10860589828609379"/>
    <n v="1.4711997052831869"/>
    <n v="0"/>
    <n v="-4.7059749468431136"/>
    <m/>
    <n v="0"/>
    <n v="0"/>
    <n v="0"/>
    <n v="0"/>
    <n v="-0.73795720488479688"/>
    <n v="-0.121986820832795"/>
    <n v="0"/>
    <n v="0"/>
    <m/>
    <m/>
    <m/>
    <n v="0"/>
    <n v="0"/>
    <n v="0"/>
    <n v="-3.9903000000000048"/>
    <n v="22.625850000000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52"/>
    <s v="Regular"/>
    <s v="Verde"/>
    <s v="A4"/>
    <s v="Comercial"/>
    <s v="Não se aplica"/>
    <s v="Não se aplica"/>
    <s v="Não se aplica"/>
    <s v="Não se aplica"/>
    <s v="CATIVO"/>
    <x v="9"/>
    <n v="864"/>
    <n v="864"/>
    <n v="0"/>
    <n v="0"/>
    <n v="0"/>
    <n v="0"/>
    <n v="47.39"/>
    <m/>
    <m/>
    <n v="40944.959999999999"/>
    <m/>
    <n v="40944.959999999999"/>
    <n v="27838.079999999998"/>
    <n v="0"/>
    <n v="0"/>
    <n v="0"/>
    <n v="0"/>
    <n v="0"/>
    <n v="21574.166555058364"/>
    <n v="19370.7653003102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7.02999999999997"/>
    <n v="1238.0899999999999"/>
    <n v="33717.18"/>
    <n v="10"/>
    <m/>
    <m/>
    <m/>
    <m/>
    <m/>
    <m/>
    <m/>
    <m/>
    <m/>
    <n v="0"/>
    <m/>
    <m/>
    <m/>
    <m/>
    <m/>
    <m/>
    <m/>
    <m/>
    <m/>
    <m/>
    <m/>
    <m/>
    <n v="27838.079999999998"/>
    <n v="-13106.910000000007"/>
    <m/>
    <m/>
    <m/>
    <m/>
    <n v="-13106.880000000001"/>
    <n v="0"/>
    <n v="30"/>
    <n v="-97.516589741651842"/>
    <n v="0"/>
    <n v="0"/>
    <n v="0"/>
    <n v="0"/>
    <m/>
    <m/>
    <m/>
    <n v="-97.5165897416518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370.765300310286"/>
    <m/>
    <n v="0"/>
    <n v="0"/>
    <n v="-13106.880000000001"/>
    <m/>
    <n v="0"/>
    <m/>
    <n v="-13010.852361799478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53"/>
    <s v="Sistema de Compensação"/>
    <s v="Verde"/>
    <s v="A4"/>
    <s v="Comercial"/>
    <s v="Não se aplica"/>
    <s v="Não se aplica"/>
    <s v="Não se aplica"/>
    <s v="Não se aplica"/>
    <s v="CATIVO"/>
    <x v="9"/>
    <n v="45"/>
    <n v="45"/>
    <n v="0"/>
    <n v="0"/>
    <n v="0"/>
    <n v="0"/>
    <n v="47.39"/>
    <m/>
    <m/>
    <n v="2132.5500000000002"/>
    <m/>
    <n v="2132.5500000000002"/>
    <n v="1449.8999999999999"/>
    <n v="0"/>
    <n v="0"/>
    <n v="0"/>
    <n v="0"/>
    <n v="0"/>
    <n v="1123.6545080759565"/>
    <n v="1008.89402605782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.3699999999999992"/>
    <n v="43.48"/>
    <n v="1161.73"/>
    <n v="1"/>
    <m/>
    <m/>
    <m/>
    <m/>
    <m/>
    <m/>
    <m/>
    <m/>
    <m/>
    <n v="0"/>
    <m/>
    <m/>
    <m/>
    <m/>
    <m/>
    <m/>
    <m/>
    <m/>
    <m/>
    <m/>
    <m/>
    <m/>
    <n v="1449.8999999999999"/>
    <n v="-682.68000000000097"/>
    <m/>
    <m/>
    <m/>
    <m/>
    <n v="-682.65000000000009"/>
    <n v="0"/>
    <n v="30"/>
    <n v="-5.0789890490445941"/>
    <n v="0"/>
    <n v="0"/>
    <n v="0"/>
    <n v="0"/>
    <m/>
    <m/>
    <m/>
    <n v="-5.078989049044594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08.8940260578274"/>
    <m/>
    <n v="0"/>
    <n v="0"/>
    <n v="-682.65000000000032"/>
    <m/>
    <n v="0"/>
    <m/>
    <n v="-677.64856051038953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54"/>
    <s v="Regular"/>
    <s v="Convencional"/>
    <s v="B2"/>
    <s v="Rural"/>
    <s v="Não se aplica"/>
    <s v="Não se aplica"/>
    <s v="Não se aplica"/>
    <s v="Não se aplica"/>
    <s v="CATIVO"/>
    <x v="9"/>
    <n v="0"/>
    <n v="0"/>
    <n v="2940.6080000000002"/>
    <n v="2940.6080000000002"/>
    <n v="2940.6080000000002"/>
    <n v="2940.6080000000002"/>
    <m/>
    <n v="710.91"/>
    <n v="256.55"/>
    <m/>
    <n v="2844920.6156799998"/>
    <n v="2844920.6156799998"/>
    <n v="1942065.7414400002"/>
    <n v="0"/>
    <n v="180772.93991630591"/>
    <n v="0"/>
    <n v="0"/>
    <n v="0"/>
    <n v="361938.23635811411"/>
    <n v="1402405.5426722839"/>
    <n v="754420.3978254461"/>
    <n v="0"/>
    <n v="0"/>
    <n v="0"/>
    <n v="0"/>
    <n v="0"/>
    <n v="27948.314033304036"/>
    <m/>
    <n v="6457.0007094003231"/>
    <n v="0"/>
    <n v="0"/>
    <n v="0"/>
    <n v="0"/>
    <n v="0"/>
    <n v="0"/>
    <n v="0"/>
    <n v="0"/>
    <n v="0"/>
    <n v="0"/>
    <n v="0"/>
    <n v="0"/>
    <m/>
    <n v="0"/>
    <n v="0"/>
    <n v="4382.4478853003093"/>
    <n v="0"/>
    <n v="0"/>
    <n v="106607.04475662801"/>
    <n v="0"/>
    <n v="5353.93"/>
    <n v="25000.080000000002"/>
    <n v="136665.48000000001"/>
    <n v="8869"/>
    <m/>
    <m/>
    <m/>
    <m/>
    <m/>
    <n v="233043.18399999995"/>
    <m/>
    <m/>
    <m/>
    <n v="865409.89046737435"/>
    <m/>
    <m/>
    <m/>
    <m/>
    <m/>
    <m/>
    <m/>
    <m/>
    <m/>
    <m/>
    <m/>
    <m/>
    <n v="1709023.7198000001"/>
    <n v="-794521.74316000007"/>
    <m/>
    <m/>
    <m/>
    <m/>
    <n v="-949875.19616000005"/>
    <n v="47020.321920000031"/>
    <n v="30"/>
    <n v="39090.343564591603"/>
    <n v="0"/>
    <n v="0"/>
    <n v="0"/>
    <n v="0"/>
    <n v="0"/>
    <n v="0"/>
    <n v="0"/>
    <n v="-1635.9835925372317"/>
    <n v="0"/>
    <n v="0"/>
    <n v="46999.235893342178"/>
    <n v="0"/>
    <n v="0"/>
    <n v="273.01979446102905"/>
    <n v="6641.4556908204831"/>
    <n v="0"/>
    <n v="-11241.158016722591"/>
    <m/>
    <n v="0"/>
    <n v="0"/>
    <n v="0"/>
    <n v="0"/>
    <n v="-1533.5991945878923"/>
    <n v="-412.6270101843611"/>
    <n v="0"/>
    <n v="0"/>
    <m/>
    <m/>
    <m/>
    <n v="1402405.5426722839"/>
    <n v="0"/>
    <n v="0"/>
    <n v="-949875.19615999982"/>
    <n v="47020.321920000017"/>
    <n v="0"/>
    <n v="0"/>
    <n v="-941960.27798582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55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-16.818999999999999"/>
    <n v="-16.818999999999999"/>
    <n v="-16.818999999999999"/>
    <n v="-16.818999999999999"/>
    <m/>
    <n v="710.91"/>
    <n v="256.55"/>
    <m/>
    <n v="-16271.709739999998"/>
    <n v="-16271.709739999998"/>
    <n v="-11107.77217"/>
    <n v="0"/>
    <n v="-1033.9426664323667"/>
    <n v="0"/>
    <n v="0"/>
    <n v="0"/>
    <n v="-2070.1294417029135"/>
    <n v="-8021.1503274850438"/>
    <n v="-4314.9568630113827"/>
    <n v="0"/>
    <n v="0"/>
    <n v="0"/>
    <n v="0"/>
    <n v="0"/>
    <n v="-159.85221210244293"/>
    <m/>
    <n v="-36.931238346424962"/>
    <n v="0"/>
    <n v="0"/>
    <n v="0"/>
    <n v="0"/>
    <n v="0"/>
    <n v="0"/>
    <n v="0"/>
    <n v="0"/>
    <n v="0"/>
    <n v="0"/>
    <n v="0"/>
    <n v="0"/>
    <m/>
    <n v="0"/>
    <n v="0"/>
    <n v="-25.06569763221276"/>
    <n v="0"/>
    <n v="0"/>
    <n v="-609.74597286062135"/>
    <n v="0"/>
    <n v="0.43"/>
    <n v="2.02"/>
    <n v="-197.81"/>
    <n v="0"/>
    <m/>
    <m/>
    <m/>
    <m/>
    <m/>
    <n v="-1332.9057499999994"/>
    <m/>
    <m/>
    <m/>
    <n v="-4949.768533504217"/>
    <m/>
    <m/>
    <m/>
    <m/>
    <m/>
    <m/>
    <m/>
    <m/>
    <m/>
    <m/>
    <m/>
    <m/>
    <n v="-9775.4476000000013"/>
    <n v="4543.7144299999964"/>
    <m/>
    <m/>
    <m/>
    <m/>
    <n v="5432.8733799999991"/>
    <n v="-268.93581000000012"/>
    <n v="30"/>
    <n v="-223.57977956016657"/>
    <n v="0"/>
    <n v="0"/>
    <n v="0"/>
    <n v="0"/>
    <n v="0"/>
    <n v="0"/>
    <n v="0"/>
    <n v="9.3571152778213218"/>
    <n v="0"/>
    <n v="0"/>
    <n v="-268.81520708986773"/>
    <n v="0"/>
    <n v="0"/>
    <n v="-1.5615545911049828"/>
    <n v="-37.986240690330078"/>
    <n v="0"/>
    <n v="64.294539320867443"/>
    <m/>
    <n v="0"/>
    <n v="0"/>
    <n v="0"/>
    <n v="0"/>
    <n v="8.7715210098638465"/>
    <n v="2.360047202582173"/>
    <n v="0"/>
    <n v="0"/>
    <m/>
    <m/>
    <m/>
    <n v="-8021.1503274850438"/>
    <n v="0"/>
    <n v="0"/>
    <n v="5432.8733799999991"/>
    <n v="-268.93580999999995"/>
    <n v="0"/>
    <n v="0"/>
    <n v="5387.6034872528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56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122.191"/>
    <n v="122.191"/>
    <n v="122.191"/>
    <n v="122.191"/>
    <m/>
    <n v="710.91"/>
    <n v="256.55"/>
    <m/>
    <n v="118214.90486"/>
    <n v="118214.90486"/>
    <n v="80698.602129999999"/>
    <n v="0"/>
    <n v="7511.6527946986926"/>
    <n v="0"/>
    <n v="0"/>
    <n v="0"/>
    <n v="15039.609168863828"/>
    <n v="58274.117347388375"/>
    <n v="31348.409182961168"/>
    <n v="0"/>
    <n v="0"/>
    <n v="0"/>
    <n v="0"/>
    <n v="0"/>
    <n v="1161.3354925387721"/>
    <m/>
    <n v="268.30756553826109"/>
    <n v="0"/>
    <n v="0"/>
    <n v="0"/>
    <n v="0"/>
    <n v="0"/>
    <n v="0"/>
    <n v="0"/>
    <n v="0"/>
    <n v="0"/>
    <n v="0"/>
    <n v="0"/>
    <n v="0"/>
    <m/>
    <n v="0"/>
    <n v="0"/>
    <n v="182.10373145714428"/>
    <n v="0"/>
    <n v="0"/>
    <n v="4429.83947736561"/>
    <n v="0"/>
    <n v="220.35"/>
    <n v="1025.26"/>
    <n v="3604.51"/>
    <n v="208"/>
    <m/>
    <m/>
    <m/>
    <m/>
    <m/>
    <n v="9683.6367499999978"/>
    <m/>
    <m/>
    <m/>
    <n v="35960.352391783919"/>
    <m/>
    <m/>
    <m/>
    <m/>
    <m/>
    <m/>
    <m/>
    <m/>
    <m/>
    <m/>
    <m/>
    <m/>
    <n v="71014.3842"/>
    <n v="-33015.397469999982"/>
    <m/>
    <m/>
    <m/>
    <m/>
    <n v="-39470.13682"/>
    <n v="1953.8340900000012"/>
    <n v="30"/>
    <n v="1624.3199265257499"/>
    <n v="0"/>
    <n v="0"/>
    <n v="0"/>
    <n v="0"/>
    <n v="0"/>
    <n v="0"/>
    <n v="0"/>
    <n v="-67.979979363355596"/>
    <n v="0"/>
    <n v="0"/>
    <n v="1952.9579029382257"/>
    <n v="0"/>
    <n v="0"/>
    <n v="11.344783699489227"/>
    <n v="275.97221809810981"/>
    <n v="0"/>
    <n v="-467.10351710304349"/>
    <m/>
    <n v="0"/>
    <n v="0"/>
    <n v="0"/>
    <n v="0"/>
    <n v="-63.725603407829112"/>
    <n v="-17.145878335853411"/>
    <n v="0"/>
    <n v="0"/>
    <m/>
    <m/>
    <m/>
    <n v="58274.117347388375"/>
    <n v="0"/>
    <n v="0"/>
    <n v="-39470.13682"/>
    <n v="1953.8340900000003"/>
    <n v="0"/>
    <n v="0"/>
    <n v="-39141.248451805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57"/>
    <s v="Regular"/>
    <s v="Verde"/>
    <s v="A4"/>
    <s v="Rural"/>
    <s v="Não se aplica"/>
    <s v="Não se aplica"/>
    <s v="Não se aplica"/>
    <s v="Ponta"/>
    <s v="CATIVO"/>
    <x v="9"/>
    <n v="0"/>
    <n v="0"/>
    <n v="13.397"/>
    <n v="12.86112"/>
    <n v="13.397"/>
    <n v="12.86112"/>
    <m/>
    <n v="3130.62"/>
    <n v="256.55"/>
    <m/>
    <n v="45377.916490000003"/>
    <n v="45377.916490000003"/>
    <n v="23881.894110000001"/>
    <n v="0"/>
    <n v="716.51138681902262"/>
    <n v="0"/>
    <n v="0"/>
    <n v="0"/>
    <n v="8630.5323760342908"/>
    <n v="32208.37963846005"/>
    <n v="3437.0341336443007"/>
    <n v="0"/>
    <n v="0"/>
    <n v="0"/>
    <n v="0"/>
    <n v="0"/>
    <n v="127.32862153138881"/>
    <m/>
    <n v="18.073289765532937"/>
    <n v="0"/>
    <n v="0"/>
    <n v="0"/>
    <n v="0"/>
    <n v="0"/>
    <n v="0"/>
    <n v="0"/>
    <n v="0"/>
    <n v="0"/>
    <n v="0"/>
    <n v="0"/>
    <n v="0"/>
    <m/>
    <n v="0"/>
    <n v="0"/>
    <n v="16.505441834911998"/>
    <n v="0"/>
    <n v="0"/>
    <n v="223.58639398318422"/>
    <n v="0"/>
    <n v="0"/>
    <n v="0"/>
    <n v="0"/>
    <n v="0"/>
    <m/>
    <m/>
    <m/>
    <m/>
    <m/>
    <n v="955.27576440000098"/>
    <m/>
    <m/>
    <m/>
    <n v="3677.1259694623968"/>
    <m/>
    <m/>
    <m/>
    <m/>
    <m/>
    <m/>
    <m/>
    <m/>
    <m/>
    <m/>
    <m/>
    <m/>
    <n v="22924.621799999997"/>
    <n v="-20638.208030400008"/>
    <m/>
    <m/>
    <m/>
    <m/>
    <n v="-21710.240409999999"/>
    <n v="214.21803000000011"/>
    <n v="30"/>
    <n v="137.37151421507951"/>
    <n v="0"/>
    <n v="0"/>
    <n v="0"/>
    <n v="0"/>
    <n v="0"/>
    <n v="0"/>
    <n v="0"/>
    <n v="-39.010549159236689"/>
    <n v="0"/>
    <n v="0"/>
    <n v="214.12196500285154"/>
    <n v="0"/>
    <n v="0"/>
    <n v="1.0282637592500343"/>
    <n v="13.929090071857843"/>
    <n v="0"/>
    <n v="-44.555439125694079"/>
    <m/>
    <n v="0"/>
    <n v="0"/>
    <n v="0"/>
    <n v="0"/>
    <n v="-6.9868640804534294"/>
    <n v="-1.1549522534960808"/>
    <n v="0"/>
    <n v="0"/>
    <m/>
    <m/>
    <m/>
    <n v="32208.37963846005"/>
    <n v="0"/>
    <n v="0"/>
    <n v="-21710.240410000002"/>
    <n v="214.21803"/>
    <n v="0"/>
    <n v="0"/>
    <n v="-21633.552716788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58"/>
    <s v="Sistema de Compensação"/>
    <s v="Verde"/>
    <s v="A4"/>
    <s v="Rural"/>
    <s v="Não se aplica"/>
    <s v="Não se aplica"/>
    <s v="Não se aplica"/>
    <s v="Ponta"/>
    <s v="CATIVO"/>
    <x v="9"/>
    <n v="0"/>
    <n v="0"/>
    <n v="2.407"/>
    <n v="2.3107199999999999"/>
    <n v="2.407"/>
    <n v="2.3107199999999999"/>
    <m/>
    <n v="3130.62"/>
    <n v="256.55"/>
    <m/>
    <n v="8152.9181899999994"/>
    <n v="8152.9181899999994"/>
    <n v="4290.7904099999996"/>
    <n v="0"/>
    <n v="128.73351556866368"/>
    <n v="0"/>
    <n v="0"/>
    <n v="0"/>
    <n v="1550.6226341057354"/>
    <n v="5786.7858318857461"/>
    <n v="617.52191980904922"/>
    <n v="0"/>
    <n v="0"/>
    <n v="0"/>
    <n v="0"/>
    <n v="0"/>
    <n v="22.876762859300801"/>
    <m/>
    <n v="3.2471753725190551"/>
    <n v="0"/>
    <n v="0"/>
    <n v="0"/>
    <n v="0"/>
    <n v="0"/>
    <n v="0"/>
    <n v="0"/>
    <n v="0"/>
    <n v="0"/>
    <n v="0"/>
    <n v="0"/>
    <n v="0"/>
    <m/>
    <n v="0"/>
    <n v="0"/>
    <n v="2.9654846978154197"/>
    <n v="0"/>
    <n v="0"/>
    <n v="40.171116691611886"/>
    <n v="0"/>
    <n v="0"/>
    <n v="0"/>
    <n v="0"/>
    <n v="0"/>
    <m/>
    <m/>
    <m/>
    <m/>
    <m/>
    <n v="171.63161640000024"/>
    <m/>
    <m/>
    <m/>
    <n v="660.65852119847659"/>
    <m/>
    <m/>
    <m/>
    <m/>
    <m/>
    <m/>
    <m/>
    <m/>
    <m/>
    <m/>
    <m/>
    <m/>
    <n v="4117.8752999999997"/>
    <n v="-3708.9561624000007"/>
    <m/>
    <m/>
    <m/>
    <m/>
    <n v="-3900.61571"/>
    <n v="38.48793000000002"/>
    <n v="30"/>
    <n v="24.681140159415463"/>
    <n v="0"/>
    <n v="0"/>
    <n v="0"/>
    <n v="0"/>
    <n v="0"/>
    <n v="0"/>
    <n v="0"/>
    <n v="-7.0089118329688063"/>
    <n v="0"/>
    <n v="0"/>
    <n v="38.470670281545381"/>
    <n v="0"/>
    <n v="0"/>
    <n v="0.18474515701387118"/>
    <n v="2.5025990746407274"/>
    <n v="0"/>
    <n v="-8.0051460756546646"/>
    <m/>
    <n v="0"/>
    <n v="0"/>
    <n v="0"/>
    <n v="0"/>
    <n v="-1.2553095350937831"/>
    <n v="-0.20750691006681121"/>
    <n v="0"/>
    <n v="0"/>
    <m/>
    <m/>
    <m/>
    <n v="5786.7858318857461"/>
    <n v="0"/>
    <n v="0"/>
    <n v="-3900.6157099999996"/>
    <n v="38.487930000000006"/>
    <n v="0"/>
    <n v="0"/>
    <n v="-3886.8374553488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59"/>
    <s v="Regular"/>
    <s v="Verde"/>
    <s v="A4"/>
    <s v="Rural"/>
    <s v="Não se aplica"/>
    <s v="Não se aplica"/>
    <s v="Não se aplica"/>
    <s v="Fora ponta"/>
    <s v="CATIVO"/>
    <x v="9"/>
    <n v="0"/>
    <n v="0"/>
    <n v="137.667"/>
    <n v="132.16032000000001"/>
    <n v="137.667"/>
    <n v="132.16032000000001"/>
    <m/>
    <n v="82.26"/>
    <n v="256.55"/>
    <m/>
    <n v="46642.95627000001"/>
    <n v="46642.95627000001"/>
    <n v="48456.030660000004"/>
    <n v="0"/>
    <n v="7362.8404186918251"/>
    <n v="0"/>
    <n v="0"/>
    <n v="0"/>
    <n v="0"/>
    <n v="0"/>
    <n v="35318.816009286405"/>
    <n v="0"/>
    <n v="0"/>
    <n v="0"/>
    <n v="0"/>
    <n v="0"/>
    <n v="1308.4234784176833"/>
    <m/>
    <n v="185.72035397115943"/>
    <n v="0"/>
    <n v="0"/>
    <n v="0"/>
    <n v="0"/>
    <n v="0"/>
    <n v="0"/>
    <n v="0"/>
    <n v="0"/>
    <n v="0"/>
    <n v="0"/>
    <n v="0"/>
    <n v="0"/>
    <m/>
    <n v="0"/>
    <n v="0"/>
    <n v="169.60921557713144"/>
    <n v="0"/>
    <n v="0"/>
    <n v="2297.5642382983519"/>
    <n v="0"/>
    <n v="0"/>
    <n v="0"/>
    <n v="0"/>
    <n v="0"/>
    <m/>
    <m/>
    <m/>
    <m/>
    <m/>
    <n v="1938.2412263999961"/>
    <m/>
    <m/>
    <m/>
    <n v="37785.989463161888"/>
    <m/>
    <m/>
    <m/>
    <m/>
    <m/>
    <m/>
    <m/>
    <m/>
    <m/>
    <m/>
    <m/>
    <m/>
    <n v="46517.676800000001"/>
    <n v="1740.4087807999895"/>
    <m/>
    <m/>
    <m/>
    <m/>
    <n v="-388.22094000000101"/>
    <n v="2201.2953300000013"/>
    <n v="30"/>
    <n v="1812.4945524036666"/>
    <n v="0"/>
    <n v="0"/>
    <n v="0"/>
    <n v="0"/>
    <n v="0"/>
    <n v="0"/>
    <n v="0"/>
    <n v="0"/>
    <n v="0"/>
    <n v="0"/>
    <n v="2200.3081701909032"/>
    <n v="0"/>
    <n v="0"/>
    <n v="10.566394487174335"/>
    <n v="143.13473486022667"/>
    <n v="0"/>
    <n v="-457.84979011098858"/>
    <m/>
    <n v="0"/>
    <n v="0"/>
    <n v="0"/>
    <n v="0"/>
    <n v="-71.796716978710492"/>
    <n v="-11.868240044938801"/>
    <n v="0"/>
    <n v="0"/>
    <m/>
    <m/>
    <m/>
    <n v="0"/>
    <n v="0"/>
    <n v="0"/>
    <n v="-388.22094000000106"/>
    <n v="2201.29533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60"/>
    <s v="Sistema de Compensação"/>
    <s v="Verde"/>
    <s v="A4"/>
    <s v="Rural"/>
    <s v="Não se aplica"/>
    <s v="Não se aplica"/>
    <s v="Não se aplica"/>
    <s v="Fora ponta"/>
    <s v="CATIVO"/>
    <x v="9"/>
    <n v="0"/>
    <n v="0"/>
    <n v="23.324000000000002"/>
    <n v="22.39104"/>
    <n v="23.324000000000002"/>
    <n v="22.39104"/>
    <m/>
    <n v="82.26"/>
    <n v="256.55"/>
    <m/>
    <n v="7902.4044400000002"/>
    <n v="7902.4044400000002"/>
    <n v="8209.5815200000015"/>
    <n v="0"/>
    <n v="1247.43685796573"/>
    <n v="0"/>
    <n v="0"/>
    <n v="0"/>
    <n v="0"/>
    <n v="0"/>
    <n v="5983.8310168783819"/>
    <n v="0"/>
    <n v="0"/>
    <n v="0"/>
    <n v="0"/>
    <n v="0"/>
    <n v="221.67744783146321"/>
    <m/>
    <n v="31.465358699058761"/>
    <n v="0"/>
    <n v="0"/>
    <n v="0"/>
    <n v="0"/>
    <n v="0"/>
    <n v="0"/>
    <n v="0"/>
    <n v="0"/>
    <n v="0"/>
    <n v="0"/>
    <n v="0"/>
    <n v="0"/>
    <m/>
    <n v="0"/>
    <n v="0"/>
    <n v="28.735756166118346"/>
    <n v="0"/>
    <n v="0"/>
    <n v="389.26095792071277"/>
    <n v="0"/>
    <n v="0"/>
    <n v="0"/>
    <n v="0"/>
    <n v="0"/>
    <m/>
    <m/>
    <m/>
    <m/>
    <m/>
    <n v="328.38326080000047"/>
    <m/>
    <m/>
    <m/>
    <n v="6401.827730965213"/>
    <m/>
    <m/>
    <m/>
    <m/>
    <m/>
    <m/>
    <m/>
    <m/>
    <m/>
    <m/>
    <m/>
    <m/>
    <n v="7880.8322000000007"/>
    <n v="294.49393760000021"/>
    <m/>
    <m/>
    <m/>
    <m/>
    <n v="-65.773680000000184"/>
    <n v="372.95076000000023"/>
    <n v="30"/>
    <n v="307.07884199018736"/>
    <n v="0"/>
    <n v="0"/>
    <n v="0"/>
    <n v="0"/>
    <n v="0"/>
    <n v="0"/>
    <n v="0"/>
    <n v="0"/>
    <n v="0"/>
    <n v="0"/>
    <n v="372.78351210916662"/>
    <n v="0"/>
    <n v="0"/>
    <n v="1.79019361952286"/>
    <n v="24.250361785176722"/>
    <n v="0"/>
    <n v="-77.570430855242876"/>
    <m/>
    <n v="0"/>
    <n v="0"/>
    <n v="0"/>
    <n v="0"/>
    <n v="-12.164038054228257"/>
    <n v="-2.0107566142078497"/>
    <n v="0"/>
    <n v="0"/>
    <m/>
    <m/>
    <m/>
    <n v="0"/>
    <n v="0"/>
    <n v="0"/>
    <n v="-65.77368000000024"/>
    <n v="372.95076000000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61"/>
    <s v="Regular"/>
    <s v="Verde"/>
    <s v="A4"/>
    <s v="Rural"/>
    <s v="Não se aplica"/>
    <s v="Não se aplica"/>
    <s v="Não se aplica"/>
    <s v="Não se aplica"/>
    <s v="CATIVO"/>
    <x v="9"/>
    <n v="735"/>
    <n v="705.6"/>
    <n v="0"/>
    <n v="0"/>
    <n v="0"/>
    <n v="0"/>
    <n v="47.39"/>
    <m/>
    <m/>
    <n v="34831.65"/>
    <m/>
    <n v="34831.65"/>
    <n v="23681.7"/>
    <n v="0"/>
    <n v="0"/>
    <n v="0"/>
    <n v="0"/>
    <n v="0"/>
    <n v="18353.02363190729"/>
    <n v="16478.60242561118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2.97000000000003"/>
    <n v="1219.22"/>
    <n v="1474.31"/>
    <n v="6"/>
    <m/>
    <m/>
    <m/>
    <m/>
    <m/>
    <n v="947.26799999999923"/>
    <m/>
    <m/>
    <m/>
    <n v="0"/>
    <m/>
    <m/>
    <m/>
    <m/>
    <m/>
    <m/>
    <m/>
    <m/>
    <m/>
    <m/>
    <m/>
    <m/>
    <n v="22734.432000000001"/>
    <n v="-10703.982000000004"/>
    <m/>
    <m/>
    <m/>
    <m/>
    <n v="-11149.95"/>
    <n v="0"/>
    <n v="30"/>
    <n v="-82.956821134393977"/>
    <n v="0"/>
    <n v="0"/>
    <n v="0"/>
    <n v="0"/>
    <m/>
    <m/>
    <m/>
    <n v="-82.95682113439397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478.602425611181"/>
    <m/>
    <n v="0"/>
    <n v="0"/>
    <n v="-11149.95"/>
    <m/>
    <n v="0"/>
    <m/>
    <n v="-11068.25982166969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62"/>
    <s v="Sistema de Compensação"/>
    <s v="Verde"/>
    <s v="A4"/>
    <s v="Rural"/>
    <s v="Não se aplica"/>
    <s v="Não se aplica"/>
    <s v="Não se aplica"/>
    <s v="Não se aplica"/>
    <s v="CATIVO"/>
    <x v="9"/>
    <n v="168"/>
    <n v="161.28"/>
    <n v="0"/>
    <n v="0"/>
    <n v="0"/>
    <n v="0"/>
    <n v="47.39"/>
    <m/>
    <m/>
    <n v="7961.52"/>
    <m/>
    <n v="7961.52"/>
    <n v="5412.96"/>
    <n v="0"/>
    <n v="0"/>
    <n v="0"/>
    <n v="0"/>
    <n v="0"/>
    <n v="4194.9768301502372"/>
    <n v="3766.53769728255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8.77"/>
    <n v="272.45"/>
    <n v="8.61"/>
    <n v="1"/>
    <m/>
    <m/>
    <m/>
    <m/>
    <m/>
    <n v="216.51839999999996"/>
    <m/>
    <m/>
    <m/>
    <n v="0"/>
    <m/>
    <m/>
    <m/>
    <m/>
    <m/>
    <m/>
    <m/>
    <m/>
    <m/>
    <m/>
    <m/>
    <m/>
    <n v="5196.4416000000001"/>
    <n v="-2446.6476000000002"/>
    <m/>
    <m/>
    <m/>
    <m/>
    <n v="-2548.5600000000004"/>
    <n v="0"/>
    <n v="30"/>
    <n v="-18.961559116431999"/>
    <n v="0"/>
    <n v="0"/>
    <n v="0"/>
    <n v="0"/>
    <m/>
    <m/>
    <m/>
    <n v="-18.9615591164319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66.5376972825557"/>
    <m/>
    <n v="0"/>
    <n v="0"/>
    <n v="-2548.5600000000004"/>
    <m/>
    <n v="0"/>
    <m/>
    <n v="-2529.887959238787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63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200.72900000000001"/>
    <n v="200.72900000000001"/>
    <n v="200.72900000000001"/>
    <n v="200.72900000000001"/>
    <m/>
    <n v="710.91"/>
    <n v="256.55"/>
    <m/>
    <n v="194197.27834000002"/>
    <n v="194197.27834000002"/>
    <n v="132567.45347000001"/>
    <n v="0"/>
    <n v="12339.751322332037"/>
    <n v="0"/>
    <n v="0"/>
    <n v="0"/>
    <n v="24706.285314441058"/>
    <n v="95729.679772028394"/>
    <n v="51497.531134753073"/>
    <n v="0"/>
    <n v="0"/>
    <n v="0"/>
    <n v="0"/>
    <n v="0"/>
    <n v="1907.7813593621067"/>
    <m/>
    <n v="440.76167085079595"/>
    <n v="0"/>
    <n v="0"/>
    <n v="0"/>
    <n v="0"/>
    <n v="0"/>
    <n v="0"/>
    <n v="0"/>
    <n v="0"/>
    <n v="0"/>
    <n v="0"/>
    <n v="0"/>
    <n v="0"/>
    <m/>
    <n v="0"/>
    <n v="0"/>
    <n v="299.15050954375619"/>
    <n v="0"/>
    <n v="0"/>
    <n v="7277.109185227403"/>
    <n v="0"/>
    <n v="404.16"/>
    <n v="1852.69"/>
    <n v="51320.800000000003"/>
    <n v="304"/>
    <m/>
    <m/>
    <m/>
    <m/>
    <m/>
    <m/>
    <m/>
    <m/>
    <m/>
    <n v="59073.790829524231"/>
    <m/>
    <m/>
    <m/>
    <m/>
    <m/>
    <m/>
    <m/>
    <m/>
    <m/>
    <m/>
    <m/>
    <m/>
    <n v="132568.1139"/>
    <n v="-61629.19444000005"/>
    <m/>
    <m/>
    <m/>
    <m/>
    <n v="-64839.48158"/>
    <n v="3209.656710000002"/>
    <n v="30"/>
    <n v="2668.3480332560139"/>
    <n v="0"/>
    <n v="0"/>
    <n v="0"/>
    <n v="0"/>
    <n v="0"/>
    <n v="0"/>
    <n v="0"/>
    <n v="-111.6739635294507"/>
    <n v="0"/>
    <n v="0"/>
    <n v="3208.2173556062844"/>
    <n v="0"/>
    <n v="0"/>
    <n v="18.63661879528587"/>
    <n v="453.35276220519881"/>
    <n v="0"/>
    <n v="-767.33328874120707"/>
    <m/>
    <n v="0"/>
    <n v="0"/>
    <n v="0"/>
    <n v="0"/>
    <n v="-104.68509666383056"/>
    <n v="-28.166354416262379"/>
    <n v="0"/>
    <n v="0"/>
    <m/>
    <m/>
    <m/>
    <n v="95729.679772028394"/>
    <n v="0"/>
    <n v="0"/>
    <n v="-64839.481579999992"/>
    <n v="3209.6567100000029"/>
    <n v="0"/>
    <n v="0"/>
    <n v="-64299.200927092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64"/>
    <s v="Sistema de Compensação"/>
    <s v="Convencional"/>
    <s v="B3"/>
    <s v="Poder público"/>
    <s v="Não se aplica"/>
    <s v="Não se aplica"/>
    <s v="Não se aplica"/>
    <s v="Não se aplica"/>
    <s v="CATIVO"/>
    <x v="9"/>
    <n v="0"/>
    <n v="0"/>
    <n v="1.59"/>
    <n v="1.59"/>
    <n v="1.59"/>
    <n v="1.59"/>
    <m/>
    <n v="710.91"/>
    <n v="256.55"/>
    <m/>
    <n v="1538.2614000000001"/>
    <n v="1538.2614000000001"/>
    <n v="1050.0837000000001"/>
    <n v="0"/>
    <n v="97.744743422763719"/>
    <n v="0"/>
    <n v="0"/>
    <n v="0"/>
    <n v="195.70163578736148"/>
    <n v="758.2869980796255"/>
    <n v="407.91850955396274"/>
    <n v="0"/>
    <n v="0"/>
    <n v="0"/>
    <n v="0"/>
    <n v="0"/>
    <n v="15.111779371121013"/>
    <m/>
    <n v="3.4913293876458584"/>
    <n v="0"/>
    <n v="0"/>
    <n v="0"/>
    <n v="0"/>
    <n v="0"/>
    <n v="0"/>
    <n v="0"/>
    <n v="0"/>
    <n v="0"/>
    <n v="0"/>
    <n v="0"/>
    <n v="0"/>
    <m/>
    <n v="0"/>
    <n v="0"/>
    <n v="2.3696093248836609"/>
    <n v="0"/>
    <n v="0"/>
    <n v="57.642909617003873"/>
    <n v="0"/>
    <n v="3.25"/>
    <n v="15.07"/>
    <n v="0"/>
    <n v="1"/>
    <m/>
    <m/>
    <m/>
    <m/>
    <m/>
    <m/>
    <m/>
    <m/>
    <m/>
    <n v="467.93102849585023"/>
    <m/>
    <m/>
    <m/>
    <m/>
    <m/>
    <m/>
    <m/>
    <m/>
    <m/>
    <m/>
    <m/>
    <m/>
    <n v="1050.0837000000001"/>
    <n v="-488.20769999999993"/>
    <m/>
    <m/>
    <m/>
    <m/>
    <n v="-513.60180000000003"/>
    <n v="25.424100000000017"/>
    <n v="30"/>
    <n v="21.136324959906688"/>
    <n v="0"/>
    <n v="0"/>
    <n v="0"/>
    <n v="0"/>
    <n v="0"/>
    <n v="0"/>
    <n v="0"/>
    <n v="-0.88458370246365803"/>
    <n v="0"/>
    <n v="0"/>
    <n v="25.412698690343632"/>
    <n v="0"/>
    <n v="0"/>
    <n v="0.1476230334655404"/>
    <n v="3.591065027506076"/>
    <n v="0"/>
    <n v="-6.0781448076686502"/>
    <m/>
    <n v="0"/>
    <n v="0"/>
    <n v="0"/>
    <n v="0"/>
    <n v="-0.82922399700835747"/>
    <n v="-0.22310928426812859"/>
    <n v="0"/>
    <n v="0"/>
    <m/>
    <m/>
    <m/>
    <n v="758.2869980796255"/>
    <n v="0"/>
    <n v="0"/>
    <n v="-513.60180000000003"/>
    <n v="25.42410000000001"/>
    <n v="0"/>
    <n v="0"/>
    <n v="-509.32216806777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65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215.095"/>
    <n v="215.095"/>
    <n v="215.095"/>
    <n v="215.095"/>
    <m/>
    <n v="391"/>
    <n v="141.1"/>
    <m/>
    <n v="114452.04949999999"/>
    <n v="114452.04949999999"/>
    <n v="78128.956849999988"/>
    <n v="0"/>
    <n v="7272.5931274123732"/>
    <n v="0"/>
    <n v="0"/>
    <n v="0"/>
    <n v="14560.970970015964"/>
    <n v="56419.533345009564"/>
    <n v="30350.740564075739"/>
    <n v="0"/>
    <n v="0"/>
    <n v="0"/>
    <n v="0"/>
    <n v="0"/>
    <n v="1124.3757868598746"/>
    <m/>
    <n v="259.768630219893"/>
    <n v="0"/>
    <n v="0"/>
    <n v="0"/>
    <n v="0"/>
    <n v="0"/>
    <n v="0"/>
    <n v="0"/>
    <n v="0"/>
    <n v="0"/>
    <n v="0"/>
    <n v="0"/>
    <n v="0"/>
    <m/>
    <n v="0"/>
    <n v="0"/>
    <n v="176.30824827340768"/>
    <n v="0"/>
    <n v="0"/>
    <n v="4288.8590592693145"/>
    <n v="0"/>
    <n v="237.95"/>
    <n v="1103.82"/>
    <n v="23688.98"/>
    <n v="29"/>
    <m/>
    <m/>
    <m/>
    <m/>
    <m/>
    <m/>
    <m/>
    <m/>
    <m/>
    <n v="34815.907871618459"/>
    <m/>
    <m/>
    <m/>
    <m/>
    <m/>
    <m/>
    <m/>
    <m/>
    <m/>
    <m/>
    <m/>
    <m/>
    <n v="78130.773000000001"/>
    <n v="-36321.306499999977"/>
    <m/>
    <m/>
    <m/>
    <m/>
    <n v="-38213.777699999999"/>
    <n v="1890.6850499999982"/>
    <n v="30"/>
    <n v="1572.6256600554043"/>
    <n v="0"/>
    <n v="0"/>
    <n v="0"/>
    <n v="0"/>
    <n v="0"/>
    <n v="0"/>
    <n v="0"/>
    <n v="-65.816504600499684"/>
    <n v="0"/>
    <n v="0"/>
    <n v="1890.8046752451373"/>
    <n v="0"/>
    <n v="0"/>
    <n v="10.983733969055606"/>
    <n v="267.18935386808607"/>
    <n v="0"/>
    <n v="-452.23786576920065"/>
    <m/>
    <n v="0"/>
    <n v="0"/>
    <n v="0"/>
    <n v="0"/>
    <n v="-61.697524905711361"/>
    <n v="-16.600207751453979"/>
    <n v="0"/>
    <n v="0"/>
    <m/>
    <m/>
    <m/>
    <n v="56419.533345009564"/>
    <n v="0"/>
    <n v="0"/>
    <n v="-38213.777700000006"/>
    <n v="1890.68505"/>
    <n v="0"/>
    <n v="0"/>
    <n v="-37895.571356790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66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22.399000000000001"/>
    <n v="21.055060000000001"/>
    <n v="22.399000000000001"/>
    <n v="21.055060000000001"/>
    <m/>
    <n v="710.91"/>
    <n v="256.55"/>
    <m/>
    <n v="21670.13654"/>
    <n v="21670.13654"/>
    <n v="14792.971570000002"/>
    <n v="0"/>
    <n v="1376.9713886330092"/>
    <n v="0"/>
    <n v="0"/>
    <n v="0"/>
    <n v="2756.9314088057295"/>
    <n v="10682.308471689013"/>
    <n v="5746.5199342762335"/>
    <n v="0"/>
    <n v="0"/>
    <n v="0"/>
    <n v="0"/>
    <n v="0"/>
    <n v="212.88600385769783"/>
    <m/>
    <n v="49.183828272880241"/>
    <n v="0"/>
    <n v="0"/>
    <n v="0"/>
    <n v="0"/>
    <n v="0"/>
    <n v="0"/>
    <n v="0"/>
    <n v="0"/>
    <n v="0"/>
    <n v="0"/>
    <n v="0"/>
    <n v="0"/>
    <m/>
    <n v="0"/>
    <n v="0"/>
    <n v="33.381685074257305"/>
    <n v="0"/>
    <n v="0"/>
    <n v="812.03995755425763"/>
    <n v="0"/>
    <n v="43.51"/>
    <n v="201.88"/>
    <n v="6077.17"/>
    <n v="9"/>
    <m/>
    <m/>
    <m/>
    <m/>
    <n v="887.57829419999985"/>
    <m/>
    <m/>
    <m/>
    <m/>
    <n v="6591.9415769047482"/>
    <m/>
    <m/>
    <m/>
    <m/>
    <m/>
    <m/>
    <m/>
    <m/>
    <m/>
    <m/>
    <m/>
    <m/>
    <n v="13908.6558"/>
    <n v="-6461.3025476000003"/>
    <m/>
    <m/>
    <m/>
    <m/>
    <n v="-7235.3249800000003"/>
    <n v="358.16001000000023"/>
    <n v="30"/>
    <n v="297.75631621191496"/>
    <n v="0"/>
    <n v="0"/>
    <n v="0"/>
    <n v="0"/>
    <n v="0"/>
    <n v="0"/>
    <n v="0"/>
    <n v="-12.461503365712815"/>
    <n v="0"/>
    <n v="0"/>
    <n v="357.99939494654518"/>
    <n v="0"/>
    <n v="0"/>
    <n v="2.0796278783614142"/>
    <n v="50.588846258558874"/>
    <n v="0"/>
    <n v="-85.625387136459267"/>
    <m/>
    <n v="0"/>
    <n v="0"/>
    <n v="0"/>
    <n v="0"/>
    <n v="-11.681627867289421"/>
    <n v="-3.1430345020891863"/>
    <n v="0"/>
    <n v="0"/>
    <m/>
    <m/>
    <m/>
    <n v="10682.308471689013"/>
    <n v="0"/>
    <n v="0"/>
    <n v="-7235.3249799999994"/>
    <n v="358.16001000000051"/>
    <n v="0"/>
    <n v="0"/>
    <n v="-7175.0360016038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67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1.609"/>
    <n v="1.5124599999999999"/>
    <n v="1.609"/>
    <n v="1.5124599999999999"/>
    <m/>
    <n v="3130.62"/>
    <n v="256.55"/>
    <m/>
    <n v="5449.9565299999995"/>
    <n v="5449.9565299999995"/>
    <n v="2868.2516700000001"/>
    <n v="0"/>
    <n v="86.054103261312775"/>
    <n v="0"/>
    <n v="0"/>
    <n v="0"/>
    <n v="1036.540015902006"/>
    <n v="3868.2751987969114"/>
    <n v="412.7930074668717"/>
    <n v="0"/>
    <n v="0"/>
    <n v="0"/>
    <n v="0"/>
    <n v="0"/>
    <n v="15.29236038247403"/>
    <m/>
    <n v="2.1706294866569005"/>
    <n v="0"/>
    <n v="0"/>
    <n v="0"/>
    <n v="0"/>
    <n v="0"/>
    <n v="0"/>
    <n v="0"/>
    <n v="0"/>
    <n v="0"/>
    <n v="0"/>
    <n v="0"/>
    <n v="0"/>
    <m/>
    <n v="0"/>
    <n v="0"/>
    <n v="1.9823285744848402"/>
    <n v="0"/>
    <n v="0"/>
    <n v="26.853064709930837"/>
    <n v="0"/>
    <n v="0"/>
    <n v="0"/>
    <n v="0"/>
    <n v="0"/>
    <m/>
    <m/>
    <m/>
    <m/>
    <n v="172.09510020000013"/>
    <m/>
    <m/>
    <m/>
    <m/>
    <n v="441.62840075128736"/>
    <m/>
    <m/>
    <m/>
    <m/>
    <m/>
    <m/>
    <m/>
    <m/>
    <m/>
    <m/>
    <m/>
    <m/>
    <n v="2691.7712999999999"/>
    <n v="-2431.2178382000006"/>
    <m/>
    <m/>
    <m/>
    <m/>
    <n v="-2607.4327699999999"/>
    <n v="25.727910000000016"/>
    <n v="30"/>
    <n v="16.49852701142504"/>
    <n v="0"/>
    <n v="0"/>
    <n v="0"/>
    <n v="0"/>
    <n v="0"/>
    <n v="0"/>
    <n v="0"/>
    <n v="-4.6852260653290614"/>
    <n v="0"/>
    <n v="0"/>
    <n v="25.716372448278548"/>
    <n v="0"/>
    <n v="0"/>
    <n v="0.12349603557761468"/>
    <n v="1.6729048238873823"/>
    <n v="0"/>
    <n v="-5.3511757522760064"/>
    <m/>
    <n v="0"/>
    <n v="0"/>
    <n v="0"/>
    <n v="0"/>
    <n v="-0.83913296301034279"/>
    <n v="-0.13871151570315732"/>
    <n v="0"/>
    <n v="0"/>
    <m/>
    <m/>
    <m/>
    <n v="3868.2751987969114"/>
    <n v="0"/>
    <n v="0"/>
    <n v="-2607.4327699999994"/>
    <n v="25.727910000000008"/>
    <n v="0"/>
    <n v="0"/>
    <n v="-2598.22246184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68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20.632999999999999"/>
    <n v="19.395019999999999"/>
    <n v="20.632999999999999"/>
    <n v="19.395019999999999"/>
    <m/>
    <n v="82.26"/>
    <n v="256.55"/>
    <m/>
    <n v="6990.6667299999999"/>
    <n v="6990.6667299999999"/>
    <n v="7262.4033399999998"/>
    <n v="0"/>
    <n v="1103.514178117257"/>
    <n v="0"/>
    <n v="0"/>
    <n v="0"/>
    <n v="0"/>
    <n v="0"/>
    <n v="5293.4481808974288"/>
    <n v="0"/>
    <n v="0"/>
    <n v="0"/>
    <n v="0"/>
    <n v="0"/>
    <n v="196.10147406562254"/>
    <m/>
    <n v="27.835051708012323"/>
    <n v="0"/>
    <n v="0"/>
    <n v="0"/>
    <n v="0"/>
    <n v="0"/>
    <n v="0"/>
    <n v="0"/>
    <n v="0"/>
    <n v="0"/>
    <n v="0"/>
    <n v="0"/>
    <n v="0"/>
    <m/>
    <n v="0"/>
    <n v="0"/>
    <n v="25.420376306616351"/>
    <n v="0"/>
    <n v="0"/>
    <n v="344.35008338098379"/>
    <n v="0"/>
    <n v="0"/>
    <n v="0"/>
    <n v="0"/>
    <n v="0"/>
    <m/>
    <m/>
    <m/>
    <m/>
    <n v="435.74420040000012"/>
    <m/>
    <m/>
    <m/>
    <m/>
    <n v="5663.2186405850289"/>
    <m/>
    <m/>
    <m/>
    <m/>
    <m/>
    <m/>
    <m/>
    <m/>
    <m/>
    <m/>
    <m/>
    <m/>
    <n v="6828.4119999999994"/>
    <n v="257.15527379999912"/>
    <m/>
    <m/>
    <m/>
    <m/>
    <n v="-58.185060000000149"/>
    <n v="329.92167000000018"/>
    <n v="30"/>
    <n v="271.64970617319159"/>
    <n v="0"/>
    <n v="0"/>
    <n v="0"/>
    <n v="0"/>
    <n v="0"/>
    <n v="0"/>
    <n v="0"/>
    <n v="0"/>
    <n v="0"/>
    <n v="0"/>
    <n v="329.77371828796277"/>
    <n v="0"/>
    <n v="0"/>
    <n v="1.5836505295667607"/>
    <n v="21.452483052373168"/>
    <n v="0"/>
    <n v="-68.620764012871859"/>
    <m/>
    <n v="0"/>
    <n v="0"/>
    <n v="0"/>
    <n v="0"/>
    <n v="-10.760615553631084"/>
    <n v="-1.7787661302071101"/>
    <n v="0"/>
    <n v="0"/>
    <m/>
    <m/>
    <m/>
    <n v="0"/>
    <n v="0"/>
    <n v="0"/>
    <n v="-58.185060000000249"/>
    <n v="329.92167000000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69"/>
    <s v="Regular"/>
    <s v="Verde"/>
    <s v="A4"/>
    <s v="Serviço público"/>
    <s v="Água, esgoto e saneamento"/>
    <s v="Não se aplica"/>
    <s v="Não se aplica"/>
    <s v="Não se aplica"/>
    <s v="CATIVO"/>
    <x v="9"/>
    <n v="79"/>
    <n v="74.260000000000005"/>
    <n v="0"/>
    <n v="0"/>
    <n v="0"/>
    <n v="0"/>
    <n v="47.39"/>
    <m/>
    <m/>
    <n v="3743.81"/>
    <m/>
    <n v="3743.81"/>
    <n v="2545.38"/>
    <n v="0"/>
    <n v="0"/>
    <n v="0"/>
    <n v="0"/>
    <n v="0"/>
    <n v="1972.6379141777902"/>
    <n v="1771.16951241263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4.39"/>
    <n v="159.44999999999999"/>
    <n v="4689.2"/>
    <n v="1"/>
    <m/>
    <m/>
    <m/>
    <m/>
    <n v="152.72279999999984"/>
    <m/>
    <m/>
    <m/>
    <m/>
    <n v="0"/>
    <m/>
    <m/>
    <m/>
    <m/>
    <m/>
    <m/>
    <m/>
    <m/>
    <m/>
    <m/>
    <m/>
    <m/>
    <n v="2392.6572000000001"/>
    <n v="-1126.5542000000009"/>
    <m/>
    <m/>
    <m/>
    <m/>
    <n v="-1198.43"/>
    <n v="0"/>
    <n v="30"/>
    <n v="-8.9164474416556914"/>
    <n v="0"/>
    <n v="0"/>
    <n v="0"/>
    <n v="0"/>
    <m/>
    <m/>
    <m/>
    <n v="-8.91644744165569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71.1695124126304"/>
    <m/>
    <n v="0"/>
    <n v="0"/>
    <n v="-1198.4299999999998"/>
    <m/>
    <n v="0"/>
    <m/>
    <n v="-1189.6496951182394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70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0.749"/>
    <n v="0.749"/>
    <n v="0.749"/>
    <n v="0.749"/>
    <m/>
    <n v="710.91"/>
    <n v="256.55"/>
    <m/>
    <n v="724.62753999999995"/>
    <n v="724.62753999999995"/>
    <n v="494.66206999999997"/>
    <n v="0"/>
    <n v="46.044536367075487"/>
    <n v="0"/>
    <n v="0"/>
    <n v="0"/>
    <n v="92.18900956272563"/>
    <n v="357.20563620228899"/>
    <n v="192.15783877730695"/>
    <n v="0"/>
    <n v="0"/>
    <n v="0"/>
    <n v="0"/>
    <n v="0"/>
    <n v="7.1186935528110933"/>
    <m/>
    <n v="1.6446576800922943"/>
    <n v="0"/>
    <n v="0"/>
    <n v="0"/>
    <n v="0"/>
    <n v="0"/>
    <n v="0"/>
    <n v="0"/>
    <n v="0"/>
    <n v="0"/>
    <n v="0"/>
    <n v="0"/>
    <n v="0"/>
    <m/>
    <n v="0"/>
    <n v="0"/>
    <n v="1.1162499272565169"/>
    <n v="0"/>
    <n v="0"/>
    <n v="27.153798303859055"/>
    <n v="0"/>
    <n v="1.51"/>
    <n v="7.1"/>
    <n v="203.17"/>
    <n v="5"/>
    <m/>
    <m/>
    <m/>
    <m/>
    <m/>
    <m/>
    <m/>
    <m/>
    <m/>
    <n v="220.42788700842252"/>
    <m/>
    <m/>
    <m/>
    <m/>
    <m/>
    <m/>
    <m/>
    <m/>
    <m/>
    <m/>
    <m/>
    <m/>
    <n v="495.32250000000005"/>
    <n v="-229.33503999999988"/>
    <m/>
    <m/>
    <m/>
    <m/>
    <n v="-241.94197999999997"/>
    <n v="11.976510000000006"/>
    <n v="30"/>
    <n v="9.9566713175911445"/>
    <n v="0"/>
    <n v="0"/>
    <n v="0"/>
    <n v="0"/>
    <n v="0"/>
    <n v="0"/>
    <n v="0"/>
    <n v="-0.41670012147501723"/>
    <n v="0"/>
    <n v="0"/>
    <n v="11.971139194382005"/>
    <n v="0"/>
    <n v="0"/>
    <n v="6.9540661676534388E-2"/>
    <n v="1.6916400664163831"/>
    <n v="0"/>
    <n v="-2.8632267049961158"/>
    <m/>
    <n v="0"/>
    <n v="0"/>
    <n v="0"/>
    <n v="0"/>
    <n v="-0.3906218702888431"/>
    <n v="-0.10509990812379133"/>
    <n v="0"/>
    <n v="0"/>
    <m/>
    <m/>
    <m/>
    <n v="357.20563620228899"/>
    <n v="0"/>
    <n v="0"/>
    <n v="-241.94198"/>
    <n v="11.97650999999999"/>
    <n v="0"/>
    <n v="0"/>
    <n v="-239.92597728475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71"/>
    <s v="Regular"/>
    <s v="Convencional"/>
    <s v="B1"/>
    <s v="Residencial"/>
    <s v="Residencial"/>
    <s v="Não se aplica"/>
    <s v="Não se aplica"/>
    <s v="Não se aplica"/>
    <s v="CATIVO"/>
    <x v="10"/>
    <n v="0"/>
    <n v="0"/>
    <n v="737.65300000000002"/>
    <n v="737.65300000000002"/>
    <n v="737.65300000000002"/>
    <n v="737.65300000000002"/>
    <m/>
    <n v="710.91"/>
    <n v="256.55"/>
    <m/>
    <n v="713649.77138000005"/>
    <n v="713649.77138000005"/>
    <n v="487168.17079"/>
    <n v="0"/>
    <n v="45346.983157252784"/>
    <n v="0"/>
    <n v="0"/>
    <n v="0"/>
    <n v="90792.389146826768"/>
    <n v="351794.1377323459"/>
    <n v="189246.73731321338"/>
    <n v="0"/>
    <n v="0"/>
    <n v="0"/>
    <n v="0"/>
    <n v="0"/>
    <n v="7010.8486719783195"/>
    <m/>
    <n v="1619.7418847705223"/>
    <n v="0"/>
    <n v="0"/>
    <n v="0"/>
    <n v="0"/>
    <n v="0"/>
    <n v="0"/>
    <n v="0"/>
    <n v="0"/>
    <n v="0"/>
    <n v="0"/>
    <n v="0"/>
    <n v="0"/>
    <m/>
    <n v="0"/>
    <n v="0"/>
    <n v="1099.3392624706962"/>
    <n v="0"/>
    <n v="0"/>
    <n v="26742.430948246387"/>
    <n v="0"/>
    <n v="5573.74"/>
    <n v="5598.61"/>
    <n v="170606.74"/>
    <n v="5207"/>
    <m/>
    <m/>
    <m/>
    <m/>
    <m/>
    <m/>
    <m/>
    <m/>
    <m/>
    <n v="217088.50752393046"/>
    <m/>
    <m/>
    <m/>
    <m/>
    <m/>
    <m/>
    <m/>
    <m/>
    <m/>
    <m/>
    <m/>
    <m/>
    <n v="487166.18949999998"/>
    <n v="-226483.6118800001"/>
    <m/>
    <m/>
    <m/>
    <m/>
    <n v="-238276.67205999998"/>
    <n v="11795.071470000006"/>
    <n v="31"/>
    <n v="9805.8323997798143"/>
    <n v="0"/>
    <n v="0"/>
    <n v="0"/>
    <n v="0"/>
    <n v="0"/>
    <n v="0"/>
    <n v="0"/>
    <n v="-410.3873093543516"/>
    <n v="0"/>
    <n v="0"/>
    <n v="11789.782029577385"/>
    <n v="0"/>
    <n v="0"/>
    <n v="68.487153147771323"/>
    <n v="1666.0125098961871"/>
    <n v="0"/>
    <n v="-2819.8501583718244"/>
    <m/>
    <n v="0"/>
    <n v="0"/>
    <n v="0"/>
    <n v="0"/>
    <n v="-384.70413148755051"/>
    <n v="-103.50769362782262"/>
    <n v="0"/>
    <n v="0"/>
    <m/>
    <m/>
    <m/>
    <n v="351794.1377323459"/>
    <n v="0"/>
    <n v="0"/>
    <n v="-238276.67205999995"/>
    <n v="11795.071469999995"/>
    <n v="0"/>
    <n v="0"/>
    <n v="-236291.2108438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72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1.6319999999999999"/>
    <n v="-1.6319999999999999"/>
    <n v="-1.6319999999999999"/>
    <n v="-1.6319999999999999"/>
    <m/>
    <n v="710.91"/>
    <n v="256.55"/>
    <m/>
    <n v="-1578.8947199999998"/>
    <n v="-1578.8947199999998"/>
    <n v="-1077.82176"/>
    <n v="0"/>
    <n v="-100.32668004147823"/>
    <n v="0"/>
    <n v="0"/>
    <n v="0"/>
    <n v="-200.87111295910307"/>
    <n v="-778.31722067040789"/>
    <n v="-418.69371546670885"/>
    <n v="0"/>
    <n v="0"/>
    <n v="0"/>
    <n v="0"/>
    <n v="0"/>
    <n v="-15.510958448848736"/>
    <m/>
    <n v="-3.5835531827912206"/>
    <n v="0"/>
    <n v="0"/>
    <n v="0"/>
    <n v="0"/>
    <n v="0"/>
    <n v="0"/>
    <n v="0"/>
    <n v="0"/>
    <n v="0"/>
    <n v="0"/>
    <n v="0"/>
    <n v="0"/>
    <m/>
    <n v="0"/>
    <n v="0"/>
    <n v="-2.4322027787485121"/>
    <n v="0"/>
    <n v="0"/>
    <n v="-59.165552512547364"/>
    <n v="0"/>
    <n v="-3.32"/>
    <n v="-15.5"/>
    <n v="-458.19"/>
    <n v="0"/>
    <m/>
    <m/>
    <m/>
    <m/>
    <m/>
    <m/>
    <m/>
    <m/>
    <m/>
    <n v="-480.29147075800472"/>
    <m/>
    <m/>
    <m/>
    <m/>
    <m/>
    <m/>
    <m/>
    <m/>
    <m/>
    <m/>
    <m/>
    <m/>
    <n v="-1076.5009"/>
    <n v="502.36381999999981"/>
    <m/>
    <m/>
    <m/>
    <m/>
    <n v="527.16863999999998"/>
    <n v="-26.095680000000012"/>
    <n v="31"/>
    <n v="-21.694642977715262"/>
    <n v="0"/>
    <n v="0"/>
    <n v="0"/>
    <n v="0"/>
    <n v="0"/>
    <n v="0"/>
    <n v="0"/>
    <n v="0.90795006441550186"/>
    <n v="0"/>
    <n v="0"/>
    <n v="-26.083977523673468"/>
    <n v="0"/>
    <n v="0"/>
    <n v="-0.15152250982123405"/>
    <n v="-3.685923348987366"/>
    <n v="0"/>
    <n v="6.2386995761731043"/>
    <m/>
    <n v="0"/>
    <n v="0"/>
    <n v="0"/>
    <n v="0"/>
    <n v="0.85112802711801194"/>
    <n v="0.22900273706011687"/>
    <n v="0"/>
    <n v="0"/>
    <m/>
    <m/>
    <m/>
    <n v="-778.31722067040789"/>
    <n v="0"/>
    <n v="0"/>
    <n v="527.16863999999987"/>
    <n v="-26.095680000000016"/>
    <n v="0"/>
    <n v="0"/>
    <n v="522.77596118655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73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10.586"/>
    <n v="10.586"/>
    <n v="10.586"/>
    <n v="10.586"/>
    <m/>
    <n v="710.91"/>
    <n v="256.55"/>
    <m/>
    <n v="10241.531559999999"/>
    <n v="10241.531559999999"/>
    <n v="6991.3119800000004"/>
    <n v="0"/>
    <n v="650.77097727885325"/>
    <n v="0"/>
    <n v="0"/>
    <n v="0"/>
    <n v="1302.954412858496"/>
    <n v="5048.5699130005751"/>
    <n v="2715.8649950555027"/>
    <n v="0"/>
    <n v="0"/>
    <n v="0"/>
    <n v="0"/>
    <n v="0"/>
    <n v="100.61213611489751"/>
    <m/>
    <n v="23.244787985923935"/>
    <n v="0"/>
    <n v="0"/>
    <n v="0"/>
    <n v="0"/>
    <n v="0"/>
    <n v="0"/>
    <n v="0"/>
    <n v="0"/>
    <n v="0"/>
    <n v="0"/>
    <n v="0"/>
    <n v="0"/>
    <m/>
    <n v="0"/>
    <n v="0"/>
    <n v="15.776531014602789"/>
    <n v="0"/>
    <n v="0"/>
    <n v="383.7785164815113"/>
    <n v="0"/>
    <n v="80.41"/>
    <n v="80.930000000000007"/>
    <n v="5997.9"/>
    <n v="124"/>
    <m/>
    <m/>
    <m/>
    <m/>
    <m/>
    <m/>
    <m/>
    <m/>
    <m/>
    <n v="3115.4200425516169"/>
    <m/>
    <m/>
    <m/>
    <m/>
    <m/>
    <m/>
    <m/>
    <m/>
    <m/>
    <m/>
    <m/>
    <m/>
    <n v="6993.9537"/>
    <n v="-3247.6078600000001"/>
    <m/>
    <m/>
    <m/>
    <m/>
    <n v="-3419.48972"/>
    <n v="169.27014000000011"/>
    <n v="31"/>
    <n v="140.7227270601079"/>
    <n v="0"/>
    <n v="0"/>
    <n v="0"/>
    <n v="0"/>
    <n v="0"/>
    <n v="0"/>
    <n v="0"/>
    <n v="-5.8894358957736586"/>
    <n v="0"/>
    <n v="0"/>
    <n v="169.19423165784792"/>
    <n v="0"/>
    <n v="0"/>
    <n v="0.98285373098503825"/>
    <n v="23.908814076213389"/>
    <n v="0"/>
    <n v="-40.46744712828945"/>
    <m/>
    <n v="0"/>
    <n v="0"/>
    <n v="0"/>
    <n v="0"/>
    <n v="-5.5208586366858299"/>
    <n v="-1.4854307441901931"/>
    <n v="0"/>
    <n v="0"/>
    <m/>
    <m/>
    <m/>
    <n v="5048.5699130005751"/>
    <n v="0"/>
    <n v="0"/>
    <n v="-3419.4897200000005"/>
    <n v="169.27014000000008"/>
    <n v="0"/>
    <n v="0"/>
    <n v="-3390.9965227456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74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-1.0649999999999999"/>
    <n v="-1.0649999999999999"/>
    <n v="-1.0649999999999999"/>
    <n v="-1.0649999999999999"/>
    <m/>
    <n v="710.91"/>
    <n v="256.55"/>
    <m/>
    <n v="-1030.3448999999998"/>
    <n v="-1030.3448999999998"/>
    <n v="-703.35795000000007"/>
    <n v="0"/>
    <n v="-65.4705356888323"/>
    <n v="0"/>
    <n v="0"/>
    <n v="0"/>
    <n v="-131.08317114059116"/>
    <n v="-507.9092156948434"/>
    <n v="-273.2284356446354"/>
    <n v="0"/>
    <n v="0"/>
    <n v="0"/>
    <n v="0"/>
    <n v="0"/>
    <n v="-10.122040899524452"/>
    <m/>
    <n v="-2.3385319483288298"/>
    <n v="0"/>
    <n v="0"/>
    <n v="0"/>
    <n v="0"/>
    <n v="0"/>
    <n v="0"/>
    <n v="0"/>
    <n v="0"/>
    <n v="0"/>
    <n v="0"/>
    <n v="0"/>
    <n v="0"/>
    <m/>
    <n v="0"/>
    <n v="0"/>
    <n v="-1.5871911515730179"/>
    <n v="0"/>
    <n v="0"/>
    <n v="-38.609873422710137"/>
    <n v="0"/>
    <n v="-2.1800000000000002"/>
    <n v="-10.09"/>
    <n v="-288.95"/>
    <n v="2"/>
    <m/>
    <m/>
    <m/>
    <m/>
    <m/>
    <m/>
    <m/>
    <m/>
    <m/>
    <n v="-313.4255002189185"/>
    <m/>
    <m/>
    <m/>
    <m/>
    <m/>
    <m/>
    <m/>
    <m/>
    <m/>
    <m/>
    <m/>
    <m/>
    <n v="-706.66010000000006"/>
    <n v="323.6547999999998"/>
    <m/>
    <m/>
    <m/>
    <m/>
    <n v="344.01629999999994"/>
    <n v="-17.029350000000008"/>
    <n v="31"/>
    <n v="-14.157349737295817"/>
    <n v="0"/>
    <n v="0"/>
    <n v="0"/>
    <n v="0"/>
    <n v="0"/>
    <n v="0"/>
    <n v="0"/>
    <n v="0.59250417806526912"/>
    <n v="0"/>
    <n v="0"/>
    <n v="-17.021713273720707"/>
    <n v="0"/>
    <n v="0"/>
    <n v="-9.88795790193715E-2"/>
    <n v="-2.4053360089899201"/>
    <n v="0"/>
    <n v="4.0712102013629661"/>
    <m/>
    <n v="0"/>
    <n v="0"/>
    <n v="0"/>
    <n v="0"/>
    <n v="0.55542362063767392"/>
    <n v="0.14944112436827517"/>
    <n v="0"/>
    <n v="0"/>
    <m/>
    <m/>
    <m/>
    <n v="-507.9092156948434"/>
    <n v="0"/>
    <n v="0"/>
    <n v="344.01629999999989"/>
    <n v="-17.029350000000022"/>
    <n v="0"/>
    <n v="0"/>
    <n v="341.14975408313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75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5.82"/>
    <n v="5.82"/>
    <n v="5.82"/>
    <n v="5.82"/>
    <m/>
    <n v="639.92999999999995"/>
    <n v="256.55"/>
    <m/>
    <n v="5217.5136000000002"/>
    <n v="5217.5136000000002"/>
    <n v="3455.9160000000002"/>
    <n v="0"/>
    <n v="0"/>
    <n v="0"/>
    <n v="0"/>
    <n v="0"/>
    <n v="716.341836655625"/>
    <n v="2775.6165590084406"/>
    <n v="1493.1356764805428"/>
    <n v="0"/>
    <n v="0"/>
    <n v="0"/>
    <n v="0"/>
    <n v="0"/>
    <n v="0"/>
    <m/>
    <n v="12.779583041571634"/>
    <n v="0"/>
    <n v="0"/>
    <n v="0"/>
    <n v="0"/>
    <n v="0"/>
    <n v="0"/>
    <n v="0"/>
    <n v="0"/>
    <n v="0"/>
    <n v="0"/>
    <n v="0"/>
    <n v="0"/>
    <m/>
    <n v="0"/>
    <n v="0"/>
    <n v="8.6736643212722679"/>
    <n v="0"/>
    <n v="0"/>
    <n v="210.99480123959907"/>
    <n v="0"/>
    <n v="12.41"/>
    <n v="12.58"/>
    <n v="386.02"/>
    <n v="9"/>
    <m/>
    <m/>
    <m/>
    <m/>
    <m/>
    <m/>
    <m/>
    <n v="2246.3454000000002"/>
    <m/>
    <n v="1712.8041420414143"/>
    <m/>
    <m/>
    <m/>
    <m/>
    <m/>
    <m/>
    <m/>
    <m/>
    <m/>
    <m/>
    <m/>
    <m/>
    <n v="1209.5706"/>
    <n v="-616.60079999999994"/>
    <m/>
    <m/>
    <m/>
    <m/>
    <n v="-1854.6593999999998"/>
    <n v="93.061800000000062"/>
    <n v="31"/>
    <n v="102.65050170432414"/>
    <n v="0"/>
    <n v="0"/>
    <n v="0"/>
    <n v="0"/>
    <n v="0"/>
    <n v="0"/>
    <n v="0"/>
    <n v="-3.2379101561876951"/>
    <n v="0"/>
    <n v="0"/>
    <n v="93.020066904276746"/>
    <n v="0"/>
    <n v="0"/>
    <n v="0.54035600928895988"/>
    <n v="13.144653119550554"/>
    <n v="0"/>
    <n v="0"/>
    <m/>
    <n v="0"/>
    <n v="0"/>
    <n v="0"/>
    <n v="0"/>
    <n v="0"/>
    <n v="-0.81666417260409396"/>
    <n v="0"/>
    <n v="0"/>
    <m/>
    <m/>
    <m/>
    <n v="2775.6165590084406"/>
    <n v="0"/>
    <n v="0"/>
    <n v="-1854.6593999999996"/>
    <n v="93.061800000000176"/>
    <n v="0"/>
    <n v="0"/>
    <n v="-1864.3113321726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76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11.327"/>
    <n v="11.327"/>
    <n v="11.327"/>
    <n v="11.327"/>
    <m/>
    <n v="639.92999999999995"/>
    <n v="256.55"/>
    <m/>
    <n v="10154.428959999999"/>
    <n v="10154.428959999999"/>
    <n v="6725.9726000000001"/>
    <n v="0"/>
    <n v="0"/>
    <n v="0"/>
    <n v="0"/>
    <n v="0"/>
    <n v="1394.1587601027945"/>
    <n v="5401.960268709382"/>
    <n v="2905.970413658953"/>
    <n v="0"/>
    <n v="0"/>
    <n v="0"/>
    <n v="0"/>
    <n v="0"/>
    <n v="0"/>
    <m/>
    <n v="24.871879228845685"/>
    <n v="0"/>
    <n v="0"/>
    <n v="0"/>
    <n v="0"/>
    <n v="0"/>
    <n v="0"/>
    <n v="0"/>
    <n v="0"/>
    <n v="0"/>
    <n v="0"/>
    <n v="0"/>
    <n v="0"/>
    <m/>
    <n v="0"/>
    <n v="0"/>
    <n v="16.880858379218381"/>
    <n v="0"/>
    <n v="0"/>
    <n v="410.64228756717159"/>
    <n v="0"/>
    <n v="43.31"/>
    <n v="43.62"/>
    <n v="1364.53"/>
    <n v="62"/>
    <m/>
    <m/>
    <m/>
    <m/>
    <m/>
    <m/>
    <m/>
    <n v="2690.38904"/>
    <m/>
    <n v="3333.4935596053429"/>
    <m/>
    <m/>
    <m/>
    <m/>
    <m/>
    <m/>
    <m/>
    <m/>
    <m/>
    <m/>
    <m/>
    <m/>
    <n v="4036.6523999999999"/>
    <n v="-2056.0576300000002"/>
    <m/>
    <m/>
    <m/>
    <m/>
    <n v="-3609.5750899999994"/>
    <n v="181.11873000000011"/>
    <n v="31"/>
    <n v="199.78045237197421"/>
    <n v="0"/>
    <n v="0"/>
    <n v="0"/>
    <n v="0"/>
    <n v="0"/>
    <n v="0"/>
    <n v="0"/>
    <n v="-6.3016852816388109"/>
    <n v="0"/>
    <n v="0"/>
    <n v="181.03750821731001"/>
    <n v="0"/>
    <n v="0"/>
    <n v="1.0516516352604874"/>
    <n v="25.582385890919056"/>
    <n v="0"/>
    <n v="0"/>
    <m/>
    <n v="0"/>
    <n v="0"/>
    <n v="0"/>
    <n v="0"/>
    <n v="0"/>
    <n v="-1.5894080898774163"/>
    <n v="0"/>
    <n v="0"/>
    <m/>
    <m/>
    <m/>
    <n v="5401.960268709382"/>
    <n v="0"/>
    <n v="0"/>
    <n v="-3609.5750899999994"/>
    <n v="181.11873000000014"/>
    <n v="0"/>
    <n v="0"/>
    <n v="-3628.3598727696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77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7.8040000000000003"/>
    <n v="7.8040000000000003"/>
    <n v="7.8040000000000003"/>
    <n v="7.8040000000000003"/>
    <m/>
    <n v="639.92999999999995"/>
    <n v="256.55"/>
    <m/>
    <n v="6996.1299200000003"/>
    <n v="6996.1299200000003"/>
    <n v="4634.0151999999998"/>
    <n v="0"/>
    <n v="0"/>
    <n v="0"/>
    <n v="0"/>
    <n v="0"/>
    <n v="960.53809162551511"/>
    <n v="3721.8061213920737"/>
    <n v="2002.135879596934"/>
    <n v="0"/>
    <n v="0"/>
    <n v="0"/>
    <n v="0"/>
    <n v="0"/>
    <n v="0"/>
    <m/>
    <n v="17.136059459866843"/>
    <n v="0"/>
    <n v="0"/>
    <n v="0"/>
    <n v="0"/>
    <n v="0"/>
    <n v="0"/>
    <n v="0"/>
    <n v="0"/>
    <n v="0"/>
    <n v="0"/>
    <n v="0"/>
    <n v="0"/>
    <m/>
    <n v="0"/>
    <n v="0"/>
    <n v="11.630459856221441"/>
    <n v="0"/>
    <n v="0"/>
    <n v="282.92155135289192"/>
    <n v="0"/>
    <n v="45.18"/>
    <n v="45.57"/>
    <n v="1419.84"/>
    <n v="94"/>
    <m/>
    <m/>
    <m/>
    <m/>
    <m/>
    <m/>
    <m/>
    <n v="463.47956000000011"/>
    <m/>
    <n v="2296.6878908060476"/>
    <m/>
    <m/>
    <m/>
    <m/>
    <m/>
    <m/>
    <m/>
    <m/>
    <m/>
    <m/>
    <m/>
    <m/>
    <n v="4168.3980000000001"/>
    <n v="-2128.2113600000021"/>
    <m/>
    <m/>
    <m/>
    <m/>
    <n v="-2486.9006799999997"/>
    <n v="124.78596000000007"/>
    <n v="31"/>
    <n v="137.64338750868546"/>
    <n v="0"/>
    <n v="0"/>
    <n v="0"/>
    <n v="0"/>
    <n v="0"/>
    <n v="0"/>
    <n v="0"/>
    <n v="-4.3416925874379331"/>
    <n v="0"/>
    <n v="0"/>
    <n v="124.73000036442863"/>
    <n v="0"/>
    <n v="0"/>
    <n v="0.72455984475790913"/>
    <n v="17.625579543809749"/>
    <n v="0"/>
    <n v="0"/>
    <m/>
    <n v="0"/>
    <n v="0"/>
    <n v="0"/>
    <n v="0"/>
    <n v="0"/>
    <n v="-1.0950596568732536"/>
    <n v="0"/>
    <n v="0"/>
    <m/>
    <m/>
    <m/>
    <n v="3721.8061213920737"/>
    <n v="0"/>
    <n v="0"/>
    <n v="-2486.9006799999997"/>
    <n v="124.78595999999993"/>
    <n v="0"/>
    <n v="0"/>
    <n v="-2499.842892830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78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2.0859999999999999"/>
    <n v="2.0859999999999999"/>
    <n v="2.0859999999999999"/>
    <n v="2.0859999999999999"/>
    <m/>
    <n v="639.92999999999995"/>
    <n v="256.55"/>
    <m/>
    <n v="1870.0572799999998"/>
    <n v="1870.0572799999998"/>
    <n v="1238.6668"/>
    <n v="0"/>
    <n v="0"/>
    <n v="0"/>
    <n v="0"/>
    <n v="0"/>
    <n v="256.75069952983398"/>
    <n v="994.83438867553366"/>
    <n v="535.16856033306044"/>
    <n v="0"/>
    <n v="0"/>
    <n v="0"/>
    <n v="0"/>
    <n v="0"/>
    <n v="0"/>
    <m/>
    <n v="4.5804484922196602"/>
    <n v="0"/>
    <n v="0"/>
    <n v="0"/>
    <n v="0"/>
    <n v="0"/>
    <n v="0"/>
    <n v="0"/>
    <n v="0"/>
    <n v="0"/>
    <n v="0"/>
    <n v="0"/>
    <n v="0"/>
    <m/>
    <n v="0"/>
    <n v="0"/>
    <n v="3.1088082086209536"/>
    <n v="0"/>
    <n v="0"/>
    <n v="75.624597145327087"/>
    <n v="0"/>
    <n v="13.33"/>
    <n v="13.49"/>
    <n v="421.67"/>
    <n v="29"/>
    <m/>
    <m/>
    <m/>
    <m/>
    <m/>
    <m/>
    <m/>
    <m/>
    <m/>
    <n v="613.90196568700856"/>
    <m/>
    <m/>
    <m/>
    <m/>
    <m/>
    <m/>
    <m/>
    <m/>
    <m/>
    <m/>
    <m/>
    <m/>
    <n v="1241.0419999999999"/>
    <n v="-629.04527999999982"/>
    <m/>
    <m/>
    <m/>
    <m/>
    <n v="-664.74561999999992"/>
    <n v="33.35514000000002"/>
    <n v="31"/>
    <n v="36.791915215673498"/>
    <n v="0"/>
    <n v="0"/>
    <n v="0"/>
    <n v="0"/>
    <n v="0"/>
    <n v="0"/>
    <n v="0"/>
    <n v="-1.1605293102762175"/>
    <n v="0"/>
    <n v="0"/>
    <n v="33.340182055381661"/>
    <n v="0"/>
    <n v="0"/>
    <n v="0.19367399233277816"/>
    <n v="4.7112966335708535"/>
    <n v="0"/>
    <n v="0"/>
    <m/>
    <n v="0"/>
    <n v="0"/>
    <n v="0"/>
    <n v="0"/>
    <n v="0"/>
    <n v="-0.2927081553354185"/>
    <n v="0"/>
    <n v="0"/>
    <m/>
    <m/>
    <m/>
    <n v="994.83438867553366"/>
    <n v="0"/>
    <n v="0"/>
    <n v="-664.74561999999992"/>
    <n v="33.355140000000119"/>
    <n v="0"/>
    <n v="0"/>
    <n v="-668.20505823231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79"/>
    <s v="Regular"/>
    <s v="Convencional"/>
    <s v="B3"/>
    <s v="Industrial"/>
    <s v="Não se aplica"/>
    <s v="Não se aplica"/>
    <s v="Não se aplica"/>
    <s v="Não se aplica"/>
    <s v="CATIVO"/>
    <x v="10"/>
    <n v="0"/>
    <n v="0"/>
    <n v="54.448999999999998"/>
    <n v="54.448999999999998"/>
    <n v="54.448999999999998"/>
    <n v="54.448999999999998"/>
    <m/>
    <n v="710.91"/>
    <n v="256.55"/>
    <m/>
    <n v="52677.22954"/>
    <n v="52677.22954"/>
    <n v="35959.753069999999"/>
    <n v="0"/>
    <n v="3347.2349274377743"/>
    <n v="0"/>
    <n v="0"/>
    <n v="0"/>
    <n v="6701.7348220038011"/>
    <n v="25967.275948702845"/>
    <n v="13969.0282557885"/>
    <n v="0"/>
    <n v="0"/>
    <n v="0"/>
    <n v="0"/>
    <n v="0"/>
    <n v="517.49765721897359"/>
    <m/>
    <n v="119.55936718737695"/>
    <n v="0"/>
    <n v="0"/>
    <n v="0"/>
    <n v="0"/>
    <n v="0"/>
    <n v="0"/>
    <n v="0"/>
    <n v="0"/>
    <n v="0"/>
    <n v="0"/>
    <n v="0"/>
    <n v="0"/>
    <m/>
    <n v="0"/>
    <n v="0"/>
    <n v="81.146451654459398"/>
    <n v="0"/>
    <n v="0"/>
    <n v="1973.9615004630461"/>
    <n v="0"/>
    <n v="412.86"/>
    <n v="413.08"/>
    <n v="8100.38"/>
    <n v="42"/>
    <m/>
    <m/>
    <m/>
    <m/>
    <m/>
    <m/>
    <m/>
    <m/>
    <m/>
    <n v="16024.136207906007"/>
    <m/>
    <m/>
    <m/>
    <m/>
    <m/>
    <m/>
    <m/>
    <m/>
    <m/>
    <m/>
    <m/>
    <m/>
    <n v="35960.413500000002"/>
    <n v="-16716.846040000004"/>
    <m/>
    <m/>
    <m/>
    <m/>
    <n v="-17588.115979999999"/>
    <n v="870.63951000000043"/>
    <n v="31"/>
    <n v="723.80613694462227"/>
    <n v="0"/>
    <n v="0"/>
    <n v="0"/>
    <n v="0"/>
    <n v="0"/>
    <n v="0"/>
    <n v="0"/>
    <n v="-30.292262902794391"/>
    <n v="0"/>
    <n v="0"/>
    <n v="870.24907609466754"/>
    <n v="0"/>
    <n v="0"/>
    <n v="5.0552997164561049"/>
    <n v="122.97477967464033"/>
    <n v="0"/>
    <n v="-208.14396643569171"/>
    <m/>
    <n v="0"/>
    <n v="0"/>
    <n v="0"/>
    <n v="0"/>
    <n v="-28.396488939061669"/>
    <n v="-7.6403002635945541"/>
    <n v="0"/>
    <n v="0"/>
    <m/>
    <m/>
    <m/>
    <n v="25967.275948702845"/>
    <n v="0"/>
    <n v="0"/>
    <n v="-17588.115980000002"/>
    <n v="870.63950999999906"/>
    <n v="0"/>
    <n v="0"/>
    <n v="-17441.56146485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80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5.1189999999999998"/>
    <n v="5.1189999999999998"/>
    <n v="5.1189999999999998"/>
    <n v="5.1189999999999998"/>
    <m/>
    <n v="710.91"/>
    <n v="256.55"/>
    <m/>
    <n v="4952.4277399999992"/>
    <n v="4952.4277399999992"/>
    <n v="3380.7411700000002"/>
    <n v="0"/>
    <n v="314.68889407618076"/>
    <n v="0"/>
    <n v="0"/>
    <n v="0"/>
    <n v="630.06080100346117"/>
    <n v="2441.3026057670454"/>
    <n v="1313.2923587463742"/>
    <n v="0"/>
    <n v="0"/>
    <n v="0"/>
    <n v="0"/>
    <n v="0"/>
    <n v="48.652326164005316"/>
    <m/>
    <n v="11.240323984502609"/>
    <n v="0"/>
    <n v="0"/>
    <n v="0"/>
    <n v="0"/>
    <n v="0"/>
    <n v="0"/>
    <n v="0"/>
    <n v="0"/>
    <n v="0"/>
    <n v="0"/>
    <n v="0"/>
    <n v="0"/>
    <m/>
    <n v="0"/>
    <n v="0"/>
    <n v="7.6289497698612951"/>
    <n v="0"/>
    <n v="0"/>
    <n v="185.58116624493258"/>
    <n v="0"/>
    <n v="43.12"/>
    <n v="43.16"/>
    <n v="1649.43"/>
    <n v="6"/>
    <m/>
    <m/>
    <m/>
    <m/>
    <m/>
    <m/>
    <m/>
    <m/>
    <m/>
    <n v="1506.5024747611681"/>
    <m/>
    <m/>
    <m/>
    <m/>
    <m/>
    <m/>
    <m/>
    <m/>
    <m/>
    <m/>
    <m/>
    <m/>
    <n v="3381.4016000000001"/>
    <n v="-1571.0561399999997"/>
    <m/>
    <m/>
    <m/>
    <m/>
    <n v="-1653.5393799999999"/>
    <n v="81.852810000000048"/>
    <n v="31"/>
    <n v="68.048331741988477"/>
    <n v="0"/>
    <n v="0"/>
    <n v="0"/>
    <n v="0"/>
    <n v="0"/>
    <n v="0"/>
    <n v="0"/>
    <n v="-2.8479144483718528"/>
    <n v="0"/>
    <n v="0"/>
    <n v="81.816103519414582"/>
    <n v="0"/>
    <n v="0"/>
    <n v="0.47527189201893094"/>
    <n v="11.56142256339848"/>
    <n v="0"/>
    <n v="-19.568568094626301"/>
    <m/>
    <n v="0"/>
    <n v="0"/>
    <n v="0"/>
    <n v="0"/>
    <n v="-2.6696840507457722"/>
    <n v="-0.71829963909971717"/>
    <n v="0"/>
    <n v="0"/>
    <m/>
    <m/>
    <m/>
    <n v="2441.3026057670454"/>
    <n v="0"/>
    <n v="0"/>
    <n v="-1653.5393799999997"/>
    <n v="81.85281000000009"/>
    <n v="0"/>
    <n v="0"/>
    <n v="-1639.7611184521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81"/>
    <s v="Regular"/>
    <s v="Verde"/>
    <s v="A4"/>
    <s v="Industrial"/>
    <s v="Não se aplica"/>
    <s v="Não se aplica"/>
    <s v="Não se aplica"/>
    <s v="Ponta"/>
    <s v="CATIVO"/>
    <x v="10"/>
    <n v="0"/>
    <n v="0"/>
    <n v="4.6920000000000002"/>
    <n v="4.6920000000000002"/>
    <n v="4.6920000000000002"/>
    <n v="4.6920000000000002"/>
    <m/>
    <n v="3130.62"/>
    <n v="256.55"/>
    <m/>
    <n v="15892.601639999999"/>
    <n v="15892.601639999999"/>
    <n v="8364.0999599999996"/>
    <n v="0"/>
    <n v="250.94210845374741"/>
    <n v="0"/>
    <n v="0"/>
    <n v="0"/>
    <n v="3022.6511837241837"/>
    <n v="11280.265526883224"/>
    <n v="1203.7444319667882"/>
    <n v="0"/>
    <n v="0"/>
    <n v="0"/>
    <n v="0"/>
    <n v="0"/>
    <n v="44.594005540440122"/>
    <m/>
    <n v="6.3297660356707128"/>
    <n v="0"/>
    <n v="0"/>
    <n v="0"/>
    <n v="0"/>
    <n v="0"/>
    <n v="0"/>
    <n v="0"/>
    <n v="0"/>
    <n v="0"/>
    <n v="0"/>
    <n v="0"/>
    <n v="0"/>
    <m/>
    <n v="0"/>
    <n v="0"/>
    <n v="5.7806623191316788"/>
    <n v="0"/>
    <n v="0"/>
    <n v="78.306140223117154"/>
    <n v="0"/>
    <n v="0"/>
    <n v="0"/>
    <n v="0"/>
    <n v="0"/>
    <m/>
    <m/>
    <m/>
    <m/>
    <m/>
    <m/>
    <m/>
    <m/>
    <m/>
    <n v="1287.8312345090369"/>
    <m/>
    <m/>
    <m/>
    <m/>
    <m/>
    <m/>
    <m/>
    <m/>
    <m/>
    <m/>
    <m/>
    <m/>
    <n v="8360.5347000000002"/>
    <n v="-7532.0969399999994"/>
    <m/>
    <m/>
    <m/>
    <m/>
    <n v="-7603.5267599999997"/>
    <n v="75.025080000000045"/>
    <n v="31"/>
    <n v="48.111304373901476"/>
    <n v="0"/>
    <n v="0"/>
    <n v="0"/>
    <n v="0"/>
    <n v="0"/>
    <n v="0"/>
    <n v="0"/>
    <n v="-13.662573460859676"/>
    <n v="0"/>
    <n v="0"/>
    <n v="74.991435380561143"/>
    <n v="0"/>
    <n v="0"/>
    <n v="0.3601264132567854"/>
    <n v="4.8783526623241755"/>
    <n v="0"/>
    <n v="-15.604547314903073"/>
    <m/>
    <n v="0"/>
    <n v="0"/>
    <n v="0"/>
    <n v="0"/>
    <n v="-2.4469930779642866"/>
    <n v="-0.40449622851411604"/>
    <n v="0"/>
    <n v="0"/>
    <m/>
    <m/>
    <m/>
    <n v="11280.265526883224"/>
    <n v="0"/>
    <n v="0"/>
    <n v="-7603.5267599999997"/>
    <n v="75.025080000000116"/>
    <n v="0"/>
    <n v="0"/>
    <n v="-7576.668608432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82"/>
    <s v="Sistema de Compensação"/>
    <s v="Verde"/>
    <s v="A4"/>
    <s v="Industrial"/>
    <s v="Não se aplica"/>
    <s v="Não se aplica"/>
    <s v="Não se aplica"/>
    <s v="Ponta"/>
    <s v="CATIVO"/>
    <x v="10"/>
    <n v="0"/>
    <n v="0"/>
    <n v="1.206"/>
    <n v="1.206"/>
    <n v="1.206"/>
    <n v="1.206"/>
    <m/>
    <n v="3130.62"/>
    <n v="256.55"/>
    <m/>
    <n v="4084.9270199999996"/>
    <n v="4084.9270199999996"/>
    <n v="2149.85178"/>
    <n v="0"/>
    <n v="64.500465216372419"/>
    <n v="0"/>
    <n v="0"/>
    <n v="0"/>
    <n v="776.92185157104973"/>
    <n v="2899.4032876004194"/>
    <n v="309.40234120885469"/>
    <n v="0"/>
    <n v="0"/>
    <n v="0"/>
    <n v="0"/>
    <n v="0"/>
    <n v="11.462142089038956"/>
    <m/>
    <n v="1.6269603237465642"/>
    <n v="0"/>
    <n v="0"/>
    <n v="0"/>
    <n v="0"/>
    <n v="0"/>
    <n v="0"/>
    <n v="0"/>
    <n v="0"/>
    <n v="0"/>
    <n v="0"/>
    <n v="0"/>
    <n v="0"/>
    <m/>
    <n v="0"/>
    <n v="0"/>
    <n v="1.4858224119507255"/>
    <n v="0"/>
    <n v="0"/>
    <n v="20.127281566299931"/>
    <n v="0"/>
    <n v="0"/>
    <n v="0"/>
    <n v="0"/>
    <n v="0"/>
    <m/>
    <m/>
    <m/>
    <m/>
    <m/>
    <m/>
    <m/>
    <m/>
    <m/>
    <n v="331.01544518710534"/>
    <m/>
    <m/>
    <m/>
    <m/>
    <m/>
    <m/>
    <m/>
    <m/>
    <m/>
    <m/>
    <m/>
    <m/>
    <n v="2156.9822999999997"/>
    <n v="-1927.9747200000006"/>
    <m/>
    <m/>
    <m/>
    <m/>
    <n v="-1954.3591799999999"/>
    <n v="19.283940000000012"/>
    <n v="31"/>
    <n v="12.366204832678022"/>
    <n v="0"/>
    <n v="0"/>
    <n v="0"/>
    <n v="0"/>
    <n v="0"/>
    <n v="0"/>
    <n v="0"/>
    <n v="-3.5117356338014361"/>
    <n v="0"/>
    <n v="0"/>
    <n v="19.275292214185185"/>
    <n v="0"/>
    <n v="0"/>
    <n v="9.2564461719454982E-2"/>
    <n v="1.2538988300858804"/>
    <n v="0"/>
    <n v="-4.0108874811963204"/>
    <m/>
    <n v="0"/>
    <n v="0"/>
    <n v="0"/>
    <n v="0"/>
    <n v="-0.62895857886294237"/>
    <n v="-0.10396897945183792"/>
    <n v="0"/>
    <n v="0"/>
    <m/>
    <m/>
    <m/>
    <n v="2899.4032876004194"/>
    <n v="0"/>
    <n v="0"/>
    <n v="-1954.3591799999997"/>
    <n v="19.28394000000003"/>
    <n v="0"/>
    <n v="0"/>
    <n v="-1947.4557420651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83"/>
    <s v="Regular"/>
    <s v="Verde"/>
    <s v="A4"/>
    <s v="Industrial"/>
    <s v="Não se aplica"/>
    <s v="Não se aplica"/>
    <s v="Não se aplica"/>
    <s v="Fora ponta"/>
    <s v="CATIVO"/>
    <x v="10"/>
    <n v="0"/>
    <n v="0"/>
    <n v="209.45400000000001"/>
    <n v="209.45400000000001"/>
    <n v="209.45400000000001"/>
    <n v="209.45400000000001"/>
    <m/>
    <n v="82.26"/>
    <n v="256.55"/>
    <m/>
    <n v="70965.109740000014"/>
    <n v="70965.109740000014"/>
    <n v="73723.618920000008"/>
    <n v="0"/>
    <n v="11202.222588250472"/>
    <n v="0"/>
    <n v="0"/>
    <n v="0"/>
    <n v="0"/>
    <n v="0"/>
    <n v="53735.951886865223"/>
    <n v="0"/>
    <n v="0"/>
    <n v="0"/>
    <n v="0"/>
    <n v="0"/>
    <n v="1990.7060606281639"/>
    <m/>
    <n v="282.56496488392446"/>
    <n v="0"/>
    <n v="0"/>
    <n v="0"/>
    <n v="0"/>
    <n v="0"/>
    <n v="0"/>
    <n v="0"/>
    <n v="0"/>
    <n v="0"/>
    <n v="0"/>
    <n v="0"/>
    <n v="0"/>
    <m/>
    <n v="0"/>
    <n v="0"/>
    <n v="258.05260984471579"/>
    <n v="0"/>
    <n v="0"/>
    <n v="3495.638170139126"/>
    <n v="0"/>
    <n v="0"/>
    <n v="0"/>
    <n v="0"/>
    <n v="0"/>
    <m/>
    <m/>
    <m/>
    <m/>
    <m/>
    <m/>
    <m/>
    <m/>
    <m/>
    <n v="57489.642666849068"/>
    <m/>
    <m/>
    <m/>
    <m/>
    <m/>
    <m/>
    <m/>
    <m/>
    <m/>
    <m/>
    <m/>
    <m/>
    <n v="73722.21100000001"/>
    <n v="2757.0712600000115"/>
    <m/>
    <m/>
    <m/>
    <m/>
    <n v="-590.66028000000153"/>
    <n v="3349.1694600000019"/>
    <n v="31"/>
    <n v="2757.6269838026346"/>
    <n v="0"/>
    <n v="0"/>
    <n v="0"/>
    <n v="0"/>
    <n v="0"/>
    <n v="0"/>
    <n v="0"/>
    <n v="0"/>
    <n v="0"/>
    <n v="0"/>
    <n v="3347.6675418158775"/>
    <n v="0"/>
    <n v="0"/>
    <n v="16.076282558032176"/>
    <n v="217.77290676352277"/>
    <n v="0"/>
    <n v="-696.59736856259769"/>
    <m/>
    <n v="0"/>
    <n v="0"/>
    <n v="0"/>
    <n v="0"/>
    <n v="-109.23539815684808"/>
    <n v="-18.056980615344344"/>
    <n v="0"/>
    <n v="0"/>
    <m/>
    <m/>
    <m/>
    <n v="0"/>
    <n v="0"/>
    <n v="0"/>
    <n v="-590.66028000000006"/>
    <n v="3349.169459999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84"/>
    <s v="Sistema de Compensação"/>
    <s v="Verde"/>
    <s v="A4"/>
    <s v="Industrial"/>
    <s v="Não se aplica"/>
    <s v="Não se aplica"/>
    <s v="Não se aplica"/>
    <s v="Fora ponta"/>
    <s v="CATIVO"/>
    <x v="10"/>
    <n v="0"/>
    <n v="0"/>
    <n v="19.434999999999999"/>
    <n v="19.434999999999999"/>
    <n v="19.434999999999999"/>
    <n v="19.434999999999999"/>
    <m/>
    <n v="82.26"/>
    <n v="256.55"/>
    <m/>
    <n v="6584.7723500000002"/>
    <n v="6584.7723500000002"/>
    <n v="6840.7313000000004"/>
    <n v="0"/>
    <n v="1039.4415766834145"/>
    <n v="0"/>
    <n v="0"/>
    <n v="0"/>
    <n v="0"/>
    <n v="0"/>
    <n v="4986.0982598624305"/>
    <n v="0"/>
    <n v="0"/>
    <n v="0"/>
    <n v="0"/>
    <n v="0"/>
    <n v="184.71536608662694"/>
    <m/>
    <n v="26.218883824224275"/>
    <n v="0"/>
    <n v="0"/>
    <n v="0"/>
    <n v="0"/>
    <n v="0"/>
    <n v="0"/>
    <n v="0"/>
    <n v="0"/>
    <n v="0"/>
    <n v="0"/>
    <n v="0"/>
    <n v="0"/>
    <m/>
    <n v="0"/>
    <n v="0"/>
    <n v="23.944410096403274"/>
    <n v="0"/>
    <n v="0"/>
    <n v="324.35631612026464"/>
    <n v="0"/>
    <n v="0"/>
    <n v="0"/>
    <n v="0"/>
    <n v="0"/>
    <m/>
    <m/>
    <m/>
    <m/>
    <m/>
    <m/>
    <m/>
    <m/>
    <m/>
    <n v="5334.398986079098"/>
    <m/>
    <m/>
    <m/>
    <m/>
    <m/>
    <m/>
    <m/>
    <m/>
    <m/>
    <m/>
    <m/>
    <m/>
    <n v="6842.4912000000004"/>
    <n v="257.68885000000046"/>
    <m/>
    <m/>
    <m/>
    <m/>
    <n v="-54.806700000000141"/>
    <n v="310.76565000000016"/>
    <n v="31"/>
    <n v="255.87709201163216"/>
    <n v="0"/>
    <n v="0"/>
    <n v="0"/>
    <n v="0"/>
    <n v="0"/>
    <n v="0"/>
    <n v="0"/>
    <n v="0"/>
    <n v="0"/>
    <n v="0"/>
    <n v="310.62628870869776"/>
    <n v="0"/>
    <n v="0"/>
    <n v="1.4917000941273706"/>
    <n v="20.206901959136928"/>
    <n v="0"/>
    <n v="-64.636482750456366"/>
    <m/>
    <n v="0"/>
    <n v="0"/>
    <n v="0"/>
    <n v="0"/>
    <n v="-10.135829170979491"/>
    <n v="-1.6754868288942575"/>
    <n v="0"/>
    <n v="0"/>
    <m/>
    <m/>
    <m/>
    <n v="0"/>
    <n v="0"/>
    <n v="0"/>
    <n v="-54.806700000000092"/>
    <n v="310.76565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85"/>
    <s v="Regular"/>
    <s v="Verde"/>
    <s v="A4"/>
    <s v="Industrial"/>
    <s v="Não se aplica"/>
    <s v="Não se aplica"/>
    <s v="Não se aplica"/>
    <s v="Não se aplica"/>
    <s v="CATIVO"/>
    <x v="10"/>
    <n v="1545"/>
    <n v="1545"/>
    <n v="0"/>
    <n v="0"/>
    <n v="0"/>
    <n v="0"/>
    <n v="47.39"/>
    <m/>
    <m/>
    <n v="73217.55"/>
    <m/>
    <n v="73217.55"/>
    <n v="49779.9"/>
    <n v="0"/>
    <n v="0"/>
    <n v="0"/>
    <n v="0"/>
    <n v="0"/>
    <n v="38578.804777274505"/>
    <n v="34638.69489465207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53.71"/>
    <n v="1435.55"/>
    <n v="26068.720000000001"/>
    <n v="10"/>
    <m/>
    <m/>
    <m/>
    <m/>
    <m/>
    <m/>
    <m/>
    <m/>
    <m/>
    <n v="0"/>
    <m/>
    <m/>
    <m/>
    <m/>
    <m/>
    <m/>
    <m/>
    <m/>
    <m/>
    <m/>
    <m/>
    <m/>
    <n v="49779.9"/>
    <n v="-23437.679999999986"/>
    <m/>
    <m/>
    <m/>
    <m/>
    <n v="-23437.65"/>
    <n v="0"/>
    <n v="31"/>
    <n v="-174.3786240171903"/>
    <n v="0"/>
    <n v="0"/>
    <n v="0"/>
    <n v="0"/>
    <m/>
    <m/>
    <m/>
    <n v="-174.37862401719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638.694894652079"/>
    <m/>
    <n v="0"/>
    <n v="0"/>
    <n v="-23437.65"/>
    <m/>
    <n v="0"/>
    <m/>
    <n v="-23265.933910856711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86"/>
    <s v="Sistema de Compensação"/>
    <s v="Verde"/>
    <s v="A4"/>
    <s v="Industrial"/>
    <s v="Não se aplica"/>
    <s v="Não se aplica"/>
    <s v="Não se aplica"/>
    <s v="Não se aplica"/>
    <s v="CATIVO"/>
    <x v="10"/>
    <n v="755"/>
    <n v="755"/>
    <n v="0"/>
    <n v="0"/>
    <n v="0"/>
    <n v="0"/>
    <n v="47.39"/>
    <m/>
    <m/>
    <n v="35779.449999999997"/>
    <m/>
    <n v="35779.449999999997"/>
    <n v="24326.1"/>
    <n v="0"/>
    <n v="0"/>
    <n v="0"/>
    <n v="0"/>
    <n v="0"/>
    <n v="18852.425635496602"/>
    <n v="16926.9997705257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87.91"/>
    <n v="387.93"/>
    <n v="7467.67"/>
    <n v="5"/>
    <m/>
    <m/>
    <m/>
    <m/>
    <m/>
    <m/>
    <m/>
    <m/>
    <m/>
    <n v="0"/>
    <m/>
    <m/>
    <m/>
    <m/>
    <m/>
    <m/>
    <m/>
    <m/>
    <m/>
    <m/>
    <m/>
    <m/>
    <n v="24326.1"/>
    <n v="-11453.380000000005"/>
    <m/>
    <m/>
    <m/>
    <m/>
    <n v="-11453.350000000002"/>
    <n v="0"/>
    <n v="31"/>
    <n v="-85.214149600633391"/>
    <n v="0"/>
    <n v="0"/>
    <n v="0"/>
    <n v="0"/>
    <m/>
    <m/>
    <m/>
    <n v="-85.2141496006333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926.99977052577"/>
    <m/>
    <n v="0"/>
    <n v="0"/>
    <n v="-11453.349999999999"/>
    <m/>
    <n v="0"/>
    <m/>
    <n v="-11369.436959674313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87"/>
    <s v="Regular"/>
    <s v="Convencional"/>
    <s v="B3"/>
    <s v="Comercial"/>
    <s v="Não se aplica"/>
    <s v="Não se aplica"/>
    <s v="Não se aplica"/>
    <s v="Não se aplica"/>
    <s v="CATIVO"/>
    <x v="10"/>
    <n v="0"/>
    <n v="0"/>
    <n v="353.30799999999999"/>
    <n v="353.30799999999999"/>
    <n v="353.30799999999999"/>
    <n v="353.30799999999999"/>
    <m/>
    <n v="710.91"/>
    <n v="256.55"/>
    <m/>
    <n v="341811.35768000002"/>
    <n v="341811.35768000002"/>
    <n v="233335.20244000002"/>
    <n v="0"/>
    <n v="21719.496735352077"/>
    <n v="0"/>
    <n v="0"/>
    <n v="0"/>
    <n v="43486.134299849749"/>
    <n v="168496.14007390963"/>
    <n v="90642.058348107836"/>
    <n v="0"/>
    <n v="0"/>
    <n v="0"/>
    <n v="0"/>
    <n v="0"/>
    <n v="3357.9324189006429"/>
    <m/>
    <n v="775.79534798137297"/>
    <n v="0"/>
    <n v="0"/>
    <n v="0"/>
    <n v="0"/>
    <n v="0"/>
    <n v="0"/>
    <n v="0"/>
    <n v="0"/>
    <n v="0"/>
    <n v="0"/>
    <n v="0"/>
    <n v="0"/>
    <m/>
    <n v="0"/>
    <n v="0"/>
    <n v="526.54209519245057"/>
    <n v="0"/>
    <n v="0"/>
    <n v="12808.617050921008"/>
    <n v="0"/>
    <n v="2660.5"/>
    <n v="2663.68"/>
    <n v="84304.97"/>
    <n v="960"/>
    <m/>
    <m/>
    <m/>
    <m/>
    <m/>
    <m/>
    <m/>
    <m/>
    <m/>
    <n v="103977.21749422129"/>
    <m/>
    <m/>
    <m/>
    <m/>
    <m/>
    <m/>
    <m/>
    <m/>
    <m/>
    <m/>
    <m/>
    <m/>
    <n v="233336.5233"/>
    <n v="-108474.86438000004"/>
    <m/>
    <m/>
    <m/>
    <m/>
    <n v="-114125.55015999998"/>
    <n v="5649.3949200000034"/>
    <n v="31"/>
    <n v="4696.6243389526499"/>
    <n v="0"/>
    <n v="0"/>
    <n v="0"/>
    <n v="0"/>
    <n v="0"/>
    <n v="0"/>
    <n v="0"/>
    <n v="-196.56006210693158"/>
    <n v="0"/>
    <n v="0"/>
    <n v="5646.8614772880101"/>
    <n v="0"/>
    <n v="0"/>
    <n v="32.802766482794482"/>
    <n v="797.95723442648887"/>
    <n v="0"/>
    <n v="-1350.6020035898073"/>
    <m/>
    <n v="0"/>
    <n v="0"/>
    <n v="0"/>
    <n v="0"/>
    <n v="-184.25878738052097"/>
    <n v="-49.576286167423973"/>
    <n v="0"/>
    <n v="0"/>
    <m/>
    <m/>
    <m/>
    <n v="168496.14007390963"/>
    <n v="0"/>
    <n v="0"/>
    <n v="-114125.55015999998"/>
    <n v="5649.3949200000061"/>
    <n v="0"/>
    <n v="0"/>
    <n v="-113174.58902873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88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23.265000000000001"/>
    <n v="23.265000000000001"/>
    <n v="23.265000000000001"/>
    <n v="23.265000000000001"/>
    <m/>
    <n v="710.91"/>
    <n v="256.55"/>
    <m/>
    <n v="22507.956900000001"/>
    <n v="22507.956900000001"/>
    <n v="15364.90395"/>
    <n v="0"/>
    <n v="1430.2084627236466"/>
    <n v="0"/>
    <n v="0"/>
    <n v="0"/>
    <n v="2863.5211047754497"/>
    <n v="11095.312585108482"/>
    <n v="5968.69441809619"/>
    <n v="0"/>
    <n v="0"/>
    <n v="0"/>
    <n v="0"/>
    <n v="0"/>
    <n v="221.11669626989331"/>
    <m/>
    <n v="51.08539509659176"/>
    <n v="0"/>
    <n v="0"/>
    <n v="0"/>
    <n v="0"/>
    <n v="0"/>
    <n v="0"/>
    <n v="0"/>
    <n v="0"/>
    <n v="0"/>
    <n v="0"/>
    <n v="0"/>
    <n v="0"/>
    <m/>
    <n v="0"/>
    <n v="0"/>
    <n v="34.67230248013734"/>
    <n v="0"/>
    <n v="0"/>
    <n v="843.4354039242736"/>
    <n v="0"/>
    <n v="178.07"/>
    <n v="178.33"/>
    <n v="10738.48"/>
    <n v="49"/>
    <m/>
    <m/>
    <m/>
    <m/>
    <m/>
    <m/>
    <m/>
    <m/>
    <m/>
    <n v="6846.8021245006012"/>
    <m/>
    <m/>
    <m/>
    <m/>
    <m/>
    <m/>
    <m/>
    <m/>
    <m/>
    <m/>
    <m/>
    <m/>
    <n v="15368.206099999999"/>
    <n v="-7139.7807999999968"/>
    <m/>
    <m/>
    <m/>
    <m/>
    <n v="-7515.0603000000001"/>
    <n v="372.0073500000002"/>
    <n v="31"/>
    <n v="309.26830200768927"/>
    <n v="0"/>
    <n v="0"/>
    <n v="0"/>
    <n v="0"/>
    <n v="0"/>
    <n v="0"/>
    <n v="0"/>
    <n v="-12.943295495482289"/>
    <n v="0"/>
    <n v="0"/>
    <n v="371.84052517663258"/>
    <n v="0"/>
    <n v="0"/>
    <n v="2.1600313670288003"/>
    <n v="52.544734506244595"/>
    <n v="0"/>
    <n v="-88.935873553717784"/>
    <m/>
    <n v="0"/>
    <n v="0"/>
    <n v="0"/>
    <n v="0"/>
    <n v="-12.133268107169471"/>
    <n v="-3.2645518858478084"/>
    <n v="0"/>
    <n v="0"/>
    <m/>
    <m/>
    <m/>
    <n v="11095.312585108482"/>
    <n v="0"/>
    <n v="0"/>
    <n v="-7515.0602999999992"/>
    <n v="372.00734999999986"/>
    <n v="0"/>
    <n v="0"/>
    <n v="-7452.4404025766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89"/>
    <s v="Regular"/>
    <s v="Verde"/>
    <s v="A4"/>
    <s v="Comercial"/>
    <s v="Não se aplica"/>
    <s v="Não se aplica"/>
    <s v="Não se aplica"/>
    <s v="Ponta"/>
    <s v="CATIVO"/>
    <x v="10"/>
    <n v="0"/>
    <n v="0"/>
    <n v="13.712999999999999"/>
    <n v="13.712999999999999"/>
    <n v="13.712999999999999"/>
    <n v="13.712999999999999"/>
    <m/>
    <n v="3130.62"/>
    <n v="256.55"/>
    <m/>
    <n v="46448.262209999994"/>
    <n v="46448.262209999994"/>
    <n v="24445.205189999997"/>
    <n v="0"/>
    <n v="733.41200622895099"/>
    <n v="0"/>
    <n v="0"/>
    <n v="0"/>
    <n v="8834.1039391325085"/>
    <n v="32968.090615973924"/>
    <n v="3518.104730511629"/>
    <n v="0"/>
    <n v="0"/>
    <n v="0"/>
    <n v="0"/>
    <n v="0"/>
    <n v="130.33196887810215"/>
    <m/>
    <n v="18.499591143894389"/>
    <n v="0"/>
    <n v="0"/>
    <n v="0"/>
    <n v="0"/>
    <n v="0"/>
    <n v="0"/>
    <n v="0"/>
    <n v="0"/>
    <n v="0"/>
    <n v="0"/>
    <n v="0"/>
    <n v="0"/>
    <m/>
    <n v="0"/>
    <n v="0"/>
    <n v="16.894761803549169"/>
    <n v="0"/>
    <n v="0"/>
    <n v="228.86020905362432"/>
    <n v="0"/>
    <n v="0"/>
    <n v="0"/>
    <n v="0"/>
    <n v="0"/>
    <m/>
    <m/>
    <m/>
    <m/>
    <m/>
    <m/>
    <m/>
    <m/>
    <m/>
    <n v="3763.8597013688022"/>
    <m/>
    <m/>
    <m/>
    <m/>
    <m/>
    <m/>
    <m/>
    <m/>
    <m/>
    <m/>
    <m/>
    <m/>
    <n v="24439.857300000003"/>
    <n v="-22008.434909999996"/>
    <m/>
    <m/>
    <m/>
    <m/>
    <n v="-22222.327889999997"/>
    <n v="219.27087000000012"/>
    <n v="31"/>
    <n v="140.61174699047115"/>
    <n v="0"/>
    <n v="0"/>
    <n v="0"/>
    <n v="0"/>
    <n v="0"/>
    <n v="0"/>
    <n v="0"/>
    <n v="-39.930705428127112"/>
    <n v="0"/>
    <n v="0"/>
    <n v="219.17253908219027"/>
    <n v="0"/>
    <n v="0"/>
    <n v="1.052517797312511"/>
    <n v="14.257640677419346"/>
    <n v="0"/>
    <n v="-45.6063847675332"/>
    <m/>
    <n v="0"/>
    <n v="0"/>
    <n v="0"/>
    <n v="0"/>
    <n v="-7.1516658308022585"/>
    <n v="-1.1821945399859466"/>
    <n v="0"/>
    <n v="0"/>
    <m/>
    <m/>
    <m/>
    <n v="32968.090615973924"/>
    <n v="0"/>
    <n v="0"/>
    <n v="-22222.327889999997"/>
    <n v="219.27086999999983"/>
    <n v="0"/>
    <n v="0"/>
    <n v="-22143.831335770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90"/>
    <s v="Sistema de Compensação"/>
    <s v="Verde"/>
    <s v="A4"/>
    <s v="Comercial"/>
    <s v="Não se aplica"/>
    <s v="Não se aplica"/>
    <s v="Não se aplica"/>
    <s v="Ponta"/>
    <s v="CATIVO"/>
    <x v="10"/>
    <n v="0"/>
    <n v="0"/>
    <n v="0.88"/>
    <n v="0.88"/>
    <n v="0.88"/>
    <n v="0.88"/>
    <m/>
    <n v="3130.62"/>
    <n v="256.55"/>
    <m/>
    <n v="2980.7096000000001"/>
    <n v="2980.7096000000001"/>
    <n v="1568.7143999999998"/>
    <n v="0"/>
    <n v="47.065016078281694"/>
    <n v="0"/>
    <n v="0"/>
    <n v="0"/>
    <n v="566.90815040010273"/>
    <n v="2115.6508234563594"/>
    <n v="225.76621912420578"/>
    <n v="0"/>
    <n v="0"/>
    <n v="0"/>
    <n v="0"/>
    <n v="0"/>
    <n v="8.3637521047713772"/>
    <m/>
    <n v="1.1871683954369623"/>
    <n v="0"/>
    <n v="0"/>
    <n v="0"/>
    <n v="0"/>
    <n v="0"/>
    <n v="0"/>
    <n v="0"/>
    <n v="0"/>
    <n v="0"/>
    <n v="0"/>
    <n v="0"/>
    <n v="0"/>
    <m/>
    <n v="0"/>
    <n v="0"/>
    <n v="1.0841821911414913"/>
    <n v="0"/>
    <n v="0"/>
    <n v="14.686573613883864"/>
    <n v="0"/>
    <n v="0"/>
    <n v="0"/>
    <n v="0"/>
    <n v="0"/>
    <m/>
    <m/>
    <m/>
    <m/>
    <m/>
    <m/>
    <m/>
    <m/>
    <m/>
    <n v="241.53697492923112"/>
    <m/>
    <m/>
    <m/>
    <m/>
    <m/>
    <m/>
    <m/>
    <m/>
    <m/>
    <m/>
    <m/>
    <m/>
    <n v="1568.7143999999998"/>
    <n v="-1412.025200000001"/>
    <m/>
    <m/>
    <m/>
    <m/>
    <n v="-1426.0663999999999"/>
    <n v="14.071200000000008"/>
    <n v="31"/>
    <n v="9.0234330454032943"/>
    <n v="0"/>
    <n v="0"/>
    <n v="0"/>
    <n v="0"/>
    <n v="0"/>
    <n v="0"/>
    <n v="0"/>
    <n v="-2.5624604956429948"/>
    <n v="0"/>
    <n v="0"/>
    <n v="14.064889841196475"/>
    <n v="0"/>
    <n v="0"/>
    <n v="6.7542890806899125E-2"/>
    <n v="0.9149510534623353"/>
    <n v="0"/>
    <n v="-2.9266840658812185"/>
    <m/>
    <n v="0"/>
    <n v="0"/>
    <n v="0"/>
    <n v="0"/>
    <n v="-0.45894158324990819"/>
    <n v="-7.5864595288239967E-2"/>
    <n v="0"/>
    <n v="0"/>
    <m/>
    <m/>
    <m/>
    <n v="2115.6508234563594"/>
    <n v="0"/>
    <n v="0"/>
    <n v="-1426.0664000000002"/>
    <n v="14.071200000000005"/>
    <n v="0"/>
    <n v="0"/>
    <n v="-1421.0290655201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91"/>
    <s v="Regular"/>
    <s v="Verde"/>
    <s v="A4"/>
    <s v="Comercial"/>
    <s v="Não se aplica"/>
    <s v="Não se aplica"/>
    <s v="Não se aplica"/>
    <s v="Fora ponta"/>
    <s v="CATIVO"/>
    <x v="10"/>
    <n v="0"/>
    <n v="0"/>
    <n v="112.327"/>
    <n v="112.327"/>
    <n v="112.327"/>
    <n v="112.327"/>
    <m/>
    <n v="82.26"/>
    <n v="256.55"/>
    <m/>
    <n v="38057.510869999998"/>
    <n v="38057.510869999998"/>
    <n v="39536.857459999999"/>
    <n v="0"/>
    <n v="6007.5818875285777"/>
    <n v="0"/>
    <n v="0"/>
    <n v="0"/>
    <n v="0"/>
    <n v="0"/>
    <n v="28817.775108596205"/>
    <n v="0"/>
    <n v="0"/>
    <n v="0"/>
    <n v="0"/>
    <n v="0"/>
    <n v="1067.5854348552891"/>
    <m/>
    <n v="151.53530040255416"/>
    <n v="0"/>
    <n v="0"/>
    <n v="0"/>
    <n v="0"/>
    <n v="0"/>
    <n v="0"/>
    <n v="0"/>
    <n v="0"/>
    <n v="0"/>
    <n v="0"/>
    <n v="0"/>
    <n v="0"/>
    <m/>
    <n v="0"/>
    <n v="0"/>
    <n v="138.38969657312532"/>
    <n v="0"/>
    <n v="0"/>
    <n v="1874.6576753712873"/>
    <n v="0"/>
    <n v="0"/>
    <n v="0"/>
    <n v="0"/>
    <n v="0"/>
    <m/>
    <m/>
    <m/>
    <m/>
    <m/>
    <m/>
    <m/>
    <m/>
    <m/>
    <n v="30830.822480540617"/>
    <m/>
    <m/>
    <m/>
    <m/>
    <m/>
    <m/>
    <m/>
    <m/>
    <m/>
    <m/>
    <m/>
    <m/>
    <n v="39537.913399999998"/>
    <n v="1480.3725299999933"/>
    <m/>
    <m/>
    <m/>
    <m/>
    <n v="-316.76214000000084"/>
    <n v="1796.1087300000011"/>
    <n v="31"/>
    <n v="1478.8734815739954"/>
    <n v="0"/>
    <n v="0"/>
    <n v="0"/>
    <n v="0"/>
    <n v="0"/>
    <n v="0"/>
    <n v="0"/>
    <n v="0"/>
    <n v="0"/>
    <n v="0"/>
    <n v="1795.3032740819071"/>
    <n v="0"/>
    <n v="0"/>
    <n v="8.6214662450756521"/>
    <n v="116.7883033889359"/>
    <n v="0"/>
    <n v="-373.57459212300091"/>
    <m/>
    <n v="0"/>
    <n v="0"/>
    <n v="0"/>
    <n v="0"/>
    <n v="-58.581285479218536"/>
    <n v="-9.6836845397069737"/>
    <n v="0"/>
    <n v="0"/>
    <m/>
    <m/>
    <m/>
    <n v="0"/>
    <n v="0"/>
    <n v="0"/>
    <n v="-316.76214000000073"/>
    <n v="1796.1087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92"/>
    <s v="Sistema de Compensação"/>
    <s v="Verde"/>
    <s v="A4"/>
    <s v="Comercial"/>
    <s v="Não se aplica"/>
    <s v="Não se aplica"/>
    <s v="Não se aplica"/>
    <s v="Fora ponta"/>
    <s v="CATIVO"/>
    <x v="10"/>
    <n v="0"/>
    <n v="0"/>
    <n v="3.4729999999999999"/>
    <n v="3.4729999999999999"/>
    <n v="3.4729999999999999"/>
    <n v="3.4729999999999999"/>
    <m/>
    <n v="82.26"/>
    <n v="256.55"/>
    <m/>
    <n v="1176.68713"/>
    <n v="1176.68713"/>
    <n v="1222.4265399999999"/>
    <n v="0"/>
    <n v="185.74636459076402"/>
    <n v="0"/>
    <n v="0"/>
    <n v="0"/>
    <n v="0"/>
    <n v="0"/>
    <n v="891.00690797541665"/>
    <n v="0"/>
    <n v="0"/>
    <n v="0"/>
    <n v="0"/>
    <n v="0"/>
    <n v="33.008308022580671"/>
    <m/>
    <n v="4.6852679969915565"/>
    <n v="0"/>
    <n v="0"/>
    <n v="0"/>
    <n v="0"/>
    <n v="0"/>
    <n v="0"/>
    <n v="0"/>
    <n v="0"/>
    <n v="0"/>
    <n v="0"/>
    <n v="0"/>
    <n v="0"/>
    <m/>
    <n v="0"/>
    <n v="0"/>
    <n v="4.2788235793572715"/>
    <n v="0"/>
    <n v="0"/>
    <n v="57.961897910248474"/>
    <n v="0"/>
    <n v="0"/>
    <n v="0"/>
    <n v="0"/>
    <n v="0"/>
    <m/>
    <m/>
    <m/>
    <m/>
    <m/>
    <m/>
    <m/>
    <m/>
    <m/>
    <n v="953.24762946502244"/>
    <m/>
    <m/>
    <m/>
    <m/>
    <m/>
    <m/>
    <m/>
    <m/>
    <m/>
    <m/>
    <m/>
    <m/>
    <n v="1221.3706000000002"/>
    <n v="44.653470000000198"/>
    <m/>
    <m/>
    <m/>
    <m/>
    <n v="-9.7938600000000253"/>
    <n v="55.53327000000003"/>
    <n v="31"/>
    <n v="45.724782122788383"/>
    <n v="0"/>
    <n v="0"/>
    <n v="0"/>
    <n v="0"/>
    <n v="0"/>
    <n v="0"/>
    <n v="0"/>
    <n v="0"/>
    <n v="0"/>
    <n v="0"/>
    <n v="55.508366384631131"/>
    <n v="0"/>
    <n v="0"/>
    <n v="0.26656415883222806"/>
    <n v="3.6109375098575995"/>
    <n v="0"/>
    <n v="-11.550424728188062"/>
    <m/>
    <n v="0"/>
    <n v="0"/>
    <n v="0"/>
    <n v="0"/>
    <n v="-1.8112546802578748"/>
    <n v="-0.29940652208642859"/>
    <n v="0"/>
    <n v="0"/>
    <m/>
    <m/>
    <m/>
    <n v="0"/>
    <n v="0"/>
    <n v="0"/>
    <n v="-9.793860000000052"/>
    <n v="55.53327000000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93"/>
    <s v="Regular"/>
    <s v="Verde"/>
    <s v="A4"/>
    <s v="Comercial"/>
    <s v="Não se aplica"/>
    <s v="Não se aplica"/>
    <s v="Não se aplica"/>
    <s v="Não se aplica"/>
    <s v="CATIVO"/>
    <x v="10"/>
    <n v="807"/>
    <n v="807"/>
    <n v="0"/>
    <n v="0"/>
    <n v="0"/>
    <n v="0"/>
    <n v="47.39"/>
    <m/>
    <m/>
    <n v="38243.730000000003"/>
    <m/>
    <n v="38243.730000000003"/>
    <n v="26001.54"/>
    <n v="0"/>
    <n v="0"/>
    <n v="0"/>
    <n v="0"/>
    <n v="0"/>
    <n v="20150.87084482882"/>
    <n v="18092.8328673037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73.49"/>
    <n v="1047.04"/>
    <n v="31776.49"/>
    <n v="10"/>
    <m/>
    <m/>
    <m/>
    <m/>
    <m/>
    <m/>
    <m/>
    <m/>
    <m/>
    <n v="0"/>
    <m/>
    <m/>
    <m/>
    <m/>
    <m/>
    <m/>
    <m/>
    <m/>
    <m/>
    <m/>
    <m/>
    <m/>
    <n v="26001.54"/>
    <n v="-12242.220000000008"/>
    <m/>
    <m/>
    <m/>
    <m/>
    <n v="-12242.19"/>
    <n v="0"/>
    <n v="31"/>
    <n v="-91.083203612863144"/>
    <n v="0"/>
    <n v="0"/>
    <n v="0"/>
    <n v="0"/>
    <m/>
    <m/>
    <m/>
    <n v="-91.0832036128631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092.832867303707"/>
    <m/>
    <n v="0"/>
    <n v="0"/>
    <n v="-12242.190000000002"/>
    <m/>
    <n v="0"/>
    <m/>
    <n v="-12152.497518486321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94"/>
    <s v="Sistema de Compensação"/>
    <s v="Verde"/>
    <s v="A4"/>
    <s v="Comercial"/>
    <s v="Não se aplica"/>
    <s v="Não se aplica"/>
    <s v="Não se aplica"/>
    <s v="Não se aplica"/>
    <s v="CATIVO"/>
    <x v="10"/>
    <n v="45"/>
    <n v="45"/>
    <n v="0"/>
    <n v="0"/>
    <n v="0"/>
    <n v="0"/>
    <n v="47.39"/>
    <m/>
    <m/>
    <n v="2132.5500000000002"/>
    <m/>
    <n v="2132.5500000000002"/>
    <n v="1449.8999999999999"/>
    <n v="0"/>
    <n v="0"/>
    <n v="0"/>
    <n v="0"/>
    <n v="0"/>
    <n v="1123.6545080759565"/>
    <n v="1008.89402605782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6.49"/>
    <n v="46.49"/>
    <n v="1354.64"/>
    <n v="1"/>
    <m/>
    <m/>
    <m/>
    <m/>
    <m/>
    <m/>
    <m/>
    <m/>
    <m/>
    <n v="0"/>
    <m/>
    <m/>
    <m/>
    <m/>
    <m/>
    <m/>
    <m/>
    <m/>
    <m/>
    <m/>
    <m/>
    <m/>
    <n v="1449.8999999999999"/>
    <n v="-682.68000000000097"/>
    <m/>
    <m/>
    <m/>
    <m/>
    <n v="-682.65000000000009"/>
    <n v="0"/>
    <n v="31"/>
    <n v="-5.0789890490445941"/>
    <n v="0"/>
    <n v="0"/>
    <n v="0"/>
    <n v="0"/>
    <m/>
    <m/>
    <m/>
    <n v="-5.078989049044594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08.8940260578274"/>
    <m/>
    <n v="0"/>
    <n v="0"/>
    <n v="-682.65000000000032"/>
    <m/>
    <n v="0"/>
    <m/>
    <n v="-677.64856051038953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395"/>
    <s v="Regular"/>
    <s v="Convencional"/>
    <s v="B2"/>
    <s v="Rural"/>
    <s v="Não se aplica"/>
    <s v="Não se aplica"/>
    <s v="Não se aplica"/>
    <s v="Não se aplica"/>
    <s v="CATIVO"/>
    <x v="10"/>
    <n v="0"/>
    <n v="0"/>
    <n v="2507.0859999999998"/>
    <n v="2507.0859999999998"/>
    <n v="2507.0859999999998"/>
    <n v="2507.0859999999998"/>
    <m/>
    <n v="710.91"/>
    <n v="256.55"/>
    <m/>
    <n v="2425505.4215599997"/>
    <n v="2425505.4215599997"/>
    <n v="1655754.8069799999"/>
    <n v="0"/>
    <n v="154122.31308729746"/>
    <n v="0"/>
    <n v="0"/>
    <n v="0"/>
    <n v="308579.13915697666"/>
    <n v="1195654.5389103494"/>
    <n v="643199.23549912334"/>
    <n v="0"/>
    <n v="0"/>
    <n v="0"/>
    <n v="0"/>
    <n v="0"/>
    <n v="23828.006601525969"/>
    <m/>
    <n v="5505.0710875191853"/>
    <n v="0"/>
    <n v="0"/>
    <n v="0"/>
    <n v="0"/>
    <n v="0"/>
    <n v="0"/>
    <n v="0"/>
    <n v="0"/>
    <n v="0"/>
    <n v="0"/>
    <n v="0"/>
    <n v="0"/>
    <m/>
    <n v="0"/>
    <n v="0"/>
    <n v="3736.3612351479728"/>
    <n v="0"/>
    <n v="0"/>
    <n v="90890.397295632545"/>
    <n v="0"/>
    <n v="16896.93"/>
    <n v="16900.28"/>
    <n v="117118.62"/>
    <n v="8846"/>
    <m/>
    <m/>
    <m/>
    <m/>
    <m/>
    <n v="198686.56549999991"/>
    <m/>
    <m/>
    <m/>
    <n v="737825.99402990378"/>
    <m/>
    <m/>
    <m/>
    <m/>
    <m/>
    <m/>
    <m/>
    <m/>
    <m/>
    <m/>
    <m/>
    <m/>
    <n v="1457070.5662000002"/>
    <n v="-677387.27161999932"/>
    <m/>
    <m/>
    <m/>
    <m/>
    <n v="-809838.91971999989"/>
    <n v="40088.305140000019"/>
    <n v="31"/>
    <n v="33327.411571341101"/>
    <n v="0"/>
    <n v="0"/>
    <n v="0"/>
    <n v="0"/>
    <n v="0"/>
    <n v="0"/>
    <n v="0"/>
    <n v="-1394.7971171539393"/>
    <n v="0"/>
    <n v="0"/>
    <n v="40070.327741370304"/>
    <n v="0"/>
    <n v="0"/>
    <n v="232.76958520691096"/>
    <n v="5662.3326135535171"/>
    <n v="0"/>
    <n v="-9583.9193416847556"/>
    <m/>
    <n v="0"/>
    <n v="0"/>
    <n v="0"/>
    <n v="0"/>
    <n v="-1307.5068388450927"/>
    <n v="-351.79507110606664"/>
    <n v="0"/>
    <n v="0"/>
    <m/>
    <m/>
    <m/>
    <n v="1195654.5389103494"/>
    <n v="0"/>
    <n v="0"/>
    <n v="-809838.91971999989"/>
    <n v="40088.305139999953"/>
    <n v="0"/>
    <n v="0"/>
    <n v="-803090.86607067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96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-28.065000000000001"/>
    <n v="-28.065000000000001"/>
    <n v="-28.065000000000001"/>
    <n v="-28.065000000000001"/>
    <m/>
    <n v="710.91"/>
    <n v="256.55"/>
    <m/>
    <n v="-27151.764899999998"/>
    <n v="-27151.764899999998"/>
    <n v="-18534.967950000002"/>
    <n v="0"/>
    <n v="-1725.2869334338766"/>
    <n v="0"/>
    <n v="0"/>
    <n v="0"/>
    <n v="-3454.3184958316351"/>
    <n v="-13384.480881197918"/>
    <n v="-7200.1465224100402"/>
    <n v="0"/>
    <n v="0"/>
    <n v="0"/>
    <n v="0"/>
    <n v="0"/>
    <n v="-266.73716229591901"/>
    <m/>
    <n v="-61.625257398918883"/>
    <n v="0"/>
    <n v="0"/>
    <n v="0"/>
    <n v="0"/>
    <n v="0"/>
    <n v="0"/>
    <n v="0"/>
    <n v="0"/>
    <n v="0"/>
    <n v="0"/>
    <n v="0"/>
    <n v="0"/>
    <m/>
    <n v="0"/>
    <n v="0"/>
    <n v="-41.825840064691789"/>
    <n v="0"/>
    <n v="0"/>
    <n v="-1017.4517348435306"/>
    <n v="0"/>
    <n v="-50.64"/>
    <n v="-234.61"/>
    <n v="-346.42"/>
    <n v="0"/>
    <m/>
    <m/>
    <m/>
    <m/>
    <m/>
    <n v="-2224.1512499999994"/>
    <m/>
    <m/>
    <m/>
    <n v="-8259.4240973182623"/>
    <m/>
    <m/>
    <m/>
    <m/>
    <m/>
    <m/>
    <m/>
    <m/>
    <m/>
    <m/>
    <m/>
    <m/>
    <n v="-16313.722600000001"/>
    <n v="7579.9464500000031"/>
    <m/>
    <m/>
    <m/>
    <m/>
    <n v="9065.5563000000002"/>
    <n v="-448.75935000000027"/>
    <n v="31"/>
    <n v="-373.07607547155931"/>
    <n v="0"/>
    <n v="0"/>
    <n v="0"/>
    <n v="0"/>
    <n v="0"/>
    <n v="0"/>
    <n v="0"/>
    <n v="15.613736861409961"/>
    <n v="0"/>
    <n v="0"/>
    <n v="-448.55810612861296"/>
    <n v="0"/>
    <n v="0"/>
    <n v="-2.6056858076794924"/>
    <n v="-63.385685532678053"/>
    <n v="0"/>
    <n v="107.28498995422683"/>
    <m/>
    <n v="0"/>
    <n v="0"/>
    <n v="0"/>
    <n v="0"/>
    <n v="14.636585833987141"/>
    <n v="3.9380893477893295"/>
    <n v="0"/>
    <n v="0"/>
    <m/>
    <m/>
    <m/>
    <n v="-13384.480881197918"/>
    <n v="0"/>
    <n v="0"/>
    <n v="9065.5562999999984"/>
    <n v="-448.75935000000027"/>
    <n v="0"/>
    <n v="0"/>
    <n v="8990.0167590076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97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167.48"/>
    <n v="167.48"/>
    <n v="167.48"/>
    <n v="167.48"/>
    <m/>
    <n v="710.91"/>
    <n v="256.55"/>
    <m/>
    <n v="162030.20079999999"/>
    <n v="162030.20079999999"/>
    <n v="110608.81639999998"/>
    <n v="0"/>
    <n v="10295.779640531111"/>
    <n v="0"/>
    <n v="0"/>
    <n v="0"/>
    <n v="20613.905636268741"/>
    <n v="79872.897131053876"/>
    <n v="42967.416339684067"/>
    <n v="0"/>
    <n v="0"/>
    <n v="0"/>
    <n v="0"/>
    <n v="0"/>
    <n v="1591.7740937580797"/>
    <m/>
    <n v="367.75336216536374"/>
    <n v="0"/>
    <n v="0"/>
    <n v="0"/>
    <n v="0"/>
    <n v="0"/>
    <n v="0"/>
    <n v="0"/>
    <n v="0"/>
    <n v="0"/>
    <n v="0"/>
    <n v="0"/>
    <n v="0"/>
    <m/>
    <n v="0"/>
    <n v="0"/>
    <n v="249.59884888774559"/>
    <n v="0"/>
    <n v="0"/>
    <n v="6071.7198129910739"/>
    <n v="0"/>
    <n v="1100.8800000000001"/>
    <n v="1101.51"/>
    <n v="3151.6"/>
    <n v="219"/>
    <m/>
    <m/>
    <m/>
    <m/>
    <m/>
    <n v="13272.789999999994"/>
    <m/>
    <m/>
    <m/>
    <n v="49288.735001562891"/>
    <m/>
    <m/>
    <m/>
    <m/>
    <m/>
    <m/>
    <m/>
    <m/>
    <m/>
    <m/>
    <m/>
    <m/>
    <n v="97336.026400000002"/>
    <n v="-45251.451199999981"/>
    <m/>
    <m/>
    <m/>
    <m/>
    <n v="-54099.389599999995"/>
    <n v="2678.0052000000014"/>
    <n v="31"/>
    <n v="2226.359562443482"/>
    <n v="0"/>
    <n v="0"/>
    <n v="0"/>
    <n v="0"/>
    <n v="0"/>
    <n v="0"/>
    <n v="0"/>
    <n v="-93.176149992836145"/>
    <n v="0"/>
    <n v="0"/>
    <n v="2676.8042620495326"/>
    <n v="0"/>
    <n v="0"/>
    <n v="15.549626191703567"/>
    <n v="378.25884956397294"/>
    <n v="0"/>
    <n v="-640.23125307443115"/>
    <m/>
    <n v="0"/>
    <n v="0"/>
    <n v="0"/>
    <n v="0"/>
    <n v="-87.344927684880304"/>
    <n v="-23.500844609576234"/>
    <n v="0"/>
    <n v="0"/>
    <m/>
    <m/>
    <m/>
    <n v="79872.897131053876"/>
    <n v="0"/>
    <n v="0"/>
    <n v="-54099.389599999995"/>
    <n v="2678.0051999999996"/>
    <n v="0"/>
    <n v="0"/>
    <n v="-53648.601703139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98"/>
    <s v="Regular"/>
    <s v="Verde"/>
    <s v="A4"/>
    <s v="Rural"/>
    <s v="Não se aplica"/>
    <s v="Não se aplica"/>
    <s v="Não se aplica"/>
    <s v="Ponta"/>
    <s v="CATIVO"/>
    <x v="10"/>
    <n v="0"/>
    <n v="0"/>
    <n v="15.243"/>
    <n v="14.633279999999999"/>
    <n v="15.243"/>
    <n v="14.633279999999999"/>
    <m/>
    <n v="3130.62"/>
    <n v="256.55"/>
    <m/>
    <n v="51630.632310000001"/>
    <n v="51630.632310000001"/>
    <n v="27172.629089999999"/>
    <n v="0"/>
    <n v="815.24095463778167"/>
    <n v="0"/>
    <n v="0"/>
    <n v="0"/>
    <n v="9819.7510642599609"/>
    <n v="36646.438070392367"/>
    <n v="3910.630088761669"/>
    <n v="0"/>
    <n v="0"/>
    <n v="0"/>
    <n v="0"/>
    <n v="0"/>
    <n v="144.87349242389786"/>
    <m/>
    <n v="20.563645285960927"/>
    <n v="0"/>
    <n v="0"/>
    <n v="0"/>
    <n v="0"/>
    <n v="0"/>
    <n v="0"/>
    <n v="0"/>
    <n v="0"/>
    <n v="0"/>
    <n v="0"/>
    <n v="0"/>
    <n v="0"/>
    <m/>
    <n v="0"/>
    <n v="0"/>
    <n v="18.779760385874717"/>
    <n v="0"/>
    <n v="0"/>
    <n v="254.39481999594517"/>
    <n v="0"/>
    <n v="0"/>
    <n v="0"/>
    <n v="0"/>
    <n v="0"/>
    <m/>
    <m/>
    <m/>
    <m/>
    <m/>
    <n v="1086.905163600002"/>
    <m/>
    <m/>
    <m/>
    <n v="4183.8046691434893"/>
    <m/>
    <m/>
    <m/>
    <m/>
    <m/>
    <m/>
    <m/>
    <m/>
    <m/>
    <m/>
    <m/>
    <m/>
    <n v="26079.876899999999"/>
    <n v="-23485.560117600002"/>
    <m/>
    <m/>
    <m/>
    <m/>
    <n v="-24701.738789999999"/>
    <n v="243.73557000000014"/>
    <n v="31"/>
    <n v="156.30021580805078"/>
    <n v="0"/>
    <n v="0"/>
    <n v="0"/>
    <n v="0"/>
    <n v="0"/>
    <n v="0"/>
    <n v="0"/>
    <n v="-44.385892426233113"/>
    <n v="0"/>
    <n v="0"/>
    <n v="243.62626801063379"/>
    <n v="0"/>
    <n v="0"/>
    <n v="1.1699503233745077"/>
    <n v="15.848407849916327"/>
    <n v="0"/>
    <n v="-50.694824109349383"/>
    <m/>
    <n v="0"/>
    <n v="0"/>
    <n v="0"/>
    <n v="0"/>
    <n v="-7.9495983562254082"/>
    <n v="-1.3140954840666375"/>
    <n v="0"/>
    <n v="0"/>
    <m/>
    <m/>
    <m/>
    <n v="36646.438070392367"/>
    <n v="0"/>
    <n v="0"/>
    <n v="-24701.738789999999"/>
    <n v="243.73556999999983"/>
    <n v="0"/>
    <n v="0"/>
    <n v="-24614.484142867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399"/>
    <s v="Sistema de Compensação"/>
    <s v="Verde"/>
    <s v="A4"/>
    <s v="Rural"/>
    <s v="Não se aplica"/>
    <s v="Não se aplica"/>
    <s v="Não se aplica"/>
    <s v="Ponta"/>
    <s v="CATIVO"/>
    <x v="10"/>
    <n v="0"/>
    <n v="0"/>
    <n v="2.2080000000000002"/>
    <n v="2.1196800000000002"/>
    <n v="2.2080000000000002"/>
    <n v="2.1196800000000002"/>
    <m/>
    <n v="3130.62"/>
    <n v="256.55"/>
    <m/>
    <n v="7478.871360000001"/>
    <n v="7478.871360000001"/>
    <n v="3936.0470400000004"/>
    <n v="0"/>
    <n v="118.09040397823408"/>
    <n v="0"/>
    <n v="0"/>
    <n v="0"/>
    <n v="1422.4240864584397"/>
    <n v="5308.3602479450474"/>
    <n v="566.46796798437094"/>
    <n v="0"/>
    <n v="0"/>
    <n v="0"/>
    <n v="0"/>
    <n v="0"/>
    <n v="20.985414371971821"/>
    <m/>
    <n v="2.978713428550924"/>
    <n v="0"/>
    <n v="0"/>
    <n v="0"/>
    <n v="0"/>
    <n v="0"/>
    <n v="0"/>
    <n v="0"/>
    <n v="0"/>
    <n v="0"/>
    <n v="0"/>
    <n v="0"/>
    <n v="0"/>
    <m/>
    <n v="0"/>
    <n v="0"/>
    <n v="2.7203116795913784"/>
    <n v="0"/>
    <n v="0"/>
    <n v="36.849948340290425"/>
    <n v="0"/>
    <n v="0"/>
    <n v="0"/>
    <n v="0"/>
    <n v="0"/>
    <m/>
    <m/>
    <m/>
    <m/>
    <m/>
    <n v="157.44188159999993"/>
    <m/>
    <m/>
    <m/>
    <n v="606.0382280042528"/>
    <m/>
    <m/>
    <m/>
    <m/>
    <m/>
    <m/>
    <m/>
    <m/>
    <m/>
    <m/>
    <m/>
    <m/>
    <n v="3779.1756"/>
    <n v="-3400.5709056000019"/>
    <m/>
    <m/>
    <m/>
    <m/>
    <n v="-3578.1302400000004"/>
    <n v="35.305920000000022"/>
    <n v="31"/>
    <n v="22.640613823012245"/>
    <n v="0"/>
    <n v="0"/>
    <n v="0"/>
    <n v="0"/>
    <n v="0"/>
    <n v="0"/>
    <n v="0"/>
    <n v="-6.4294463345222539"/>
    <n v="0"/>
    <n v="0"/>
    <n v="35.290087237911166"/>
    <n v="0"/>
    <n v="0"/>
    <n v="0.16947125329731083"/>
    <n v="2.2956953705054985"/>
    <n v="0"/>
    <n v="-7.3433163834837956"/>
    <m/>
    <n v="0"/>
    <n v="0"/>
    <n v="0"/>
    <n v="0"/>
    <n v="-1.1515261543361319"/>
    <n v="-0.19035116635958405"/>
    <n v="0"/>
    <n v="0"/>
    <m/>
    <m/>
    <m/>
    <n v="5308.3602479450474"/>
    <n v="0"/>
    <n v="0"/>
    <n v="-3578.1302400000004"/>
    <n v="35.305920000000015"/>
    <n v="0"/>
    <n v="0"/>
    <n v="-3565.4911098505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00"/>
    <s v="Regular"/>
    <s v="Verde"/>
    <s v="A4"/>
    <s v="Rural"/>
    <s v="Não se aplica"/>
    <s v="Não se aplica"/>
    <s v="Não se aplica"/>
    <s v="Fora ponta"/>
    <s v="CATIVO"/>
    <x v="10"/>
    <n v="0"/>
    <n v="0"/>
    <n v="200.6"/>
    <n v="192.57599999999999"/>
    <n v="200.6"/>
    <n v="192.57599999999999"/>
    <m/>
    <n v="82.26"/>
    <n v="256.55"/>
    <m/>
    <n v="67965.285999999993"/>
    <n v="67965.285999999993"/>
    <n v="70607.188000000009"/>
    <n v="0"/>
    <n v="10728.684346935577"/>
    <n v="0"/>
    <n v="0"/>
    <n v="0"/>
    <n v="0"/>
    <n v="0"/>
    <n v="51464.43585944963"/>
    <n v="0"/>
    <n v="0"/>
    <n v="0"/>
    <n v="0"/>
    <n v="0"/>
    <n v="1906.555309337657"/>
    <m/>
    <n v="270.62043195983483"/>
    <n v="0"/>
    <n v="0"/>
    <n v="0"/>
    <n v="0"/>
    <n v="0"/>
    <n v="0"/>
    <n v="0"/>
    <n v="0"/>
    <n v="0"/>
    <n v="0"/>
    <n v="0"/>
    <n v="0"/>
    <m/>
    <n v="0"/>
    <n v="0"/>
    <n v="247.14425857157175"/>
    <n v="0"/>
    <n v="0"/>
    <n v="3347.871212437617"/>
    <n v="0"/>
    <n v="0"/>
    <n v="0"/>
    <n v="0"/>
    <n v="0"/>
    <m/>
    <m/>
    <m/>
    <m/>
    <m/>
    <n v="2824.2875200000008"/>
    <m/>
    <m/>
    <m/>
    <n v="55059.451330458818"/>
    <m/>
    <m/>
    <m/>
    <m/>
    <m/>
    <m/>
    <m/>
    <m/>
    <m/>
    <m/>
    <m/>
    <m/>
    <n v="67784.308400000009"/>
    <n v="2537.6038400000107"/>
    <m/>
    <m/>
    <m/>
    <m/>
    <n v="-565.69200000000149"/>
    <n v="3207.5940000000019"/>
    <n v="31"/>
    <n v="2641.0570958339958"/>
    <n v="0"/>
    <n v="0"/>
    <n v="0"/>
    <n v="0"/>
    <n v="0"/>
    <n v="0"/>
    <n v="0"/>
    <n v="0"/>
    <n v="0"/>
    <n v="0"/>
    <n v="3206.1555706182044"/>
    <n v="0"/>
    <n v="0"/>
    <n v="15.396708972572696"/>
    <n v="208.56725150516422"/>
    <n v="0"/>
    <n v="-667.15093592701487"/>
    <m/>
    <n v="0"/>
    <n v="0"/>
    <n v="0"/>
    <n v="0"/>
    <n v="-104.61781999992218"/>
    <n v="-17.293679335023825"/>
    <n v="0"/>
    <n v="0"/>
    <m/>
    <m/>
    <m/>
    <n v="0"/>
    <n v="0"/>
    <n v="0"/>
    <n v="-565.69200000000092"/>
    <n v="3207.5940000000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01"/>
    <s v="Sistema de Compensação"/>
    <s v="Verde"/>
    <s v="A4"/>
    <s v="Rural"/>
    <s v="Não se aplica"/>
    <s v="Não se aplica"/>
    <s v="Não se aplica"/>
    <s v="Fora ponta"/>
    <s v="CATIVO"/>
    <x v="10"/>
    <n v="0"/>
    <n v="0"/>
    <n v="21.032"/>
    <n v="20.190719999999999"/>
    <n v="21.032"/>
    <n v="20.190719999999999"/>
    <m/>
    <n v="82.26"/>
    <n v="256.55"/>
    <m/>
    <n v="7125.851920000001"/>
    <n v="7125.851920000001"/>
    <n v="7402.8433600000008"/>
    <n v="0"/>
    <n v="1124.8538842709324"/>
    <n v="0"/>
    <n v="0"/>
    <n v="0"/>
    <n v="0"/>
    <n v="0"/>
    <n v="5395.8126370685177"/>
    <n v="0"/>
    <n v="0"/>
    <n v="0"/>
    <n v="0"/>
    <n v="0"/>
    <n v="199.89367530403592"/>
    <m/>
    <n v="28.373324650943399"/>
    <n v="0"/>
    <n v="0"/>
    <n v="0"/>
    <n v="0"/>
    <n v="0"/>
    <n v="0"/>
    <n v="0"/>
    <n v="0"/>
    <n v="0"/>
    <n v="0"/>
    <n v="0"/>
    <n v="0"/>
    <m/>
    <n v="0"/>
    <n v="0"/>
    <n v="25.911954368281641"/>
    <n v="0"/>
    <n v="0"/>
    <n v="351.00910937182437"/>
    <n v="0"/>
    <n v="0"/>
    <n v="0"/>
    <n v="0"/>
    <n v="0"/>
    <m/>
    <m/>
    <m/>
    <m/>
    <m/>
    <n v="296.11373440000045"/>
    <m/>
    <m/>
    <m/>
    <n v="5772.7337008086242"/>
    <m/>
    <m/>
    <m/>
    <m/>
    <m/>
    <m/>
    <m/>
    <m/>
    <m/>
    <m/>
    <m/>
    <m/>
    <n v="7106.476200000001"/>
    <n v="265.62835680000171"/>
    <m/>
    <m/>
    <m/>
    <m/>
    <n v="-59.310240000000157"/>
    <n v="336.3016800000002"/>
    <n v="31"/>
    <n v="276.9028556310077"/>
    <n v="0"/>
    <n v="0"/>
    <n v="0"/>
    <n v="0"/>
    <n v="0"/>
    <n v="0"/>
    <n v="0"/>
    <n v="0"/>
    <n v="0"/>
    <n v="0"/>
    <n v="336.15086720459658"/>
    <n v="0"/>
    <n v="0"/>
    <n v="1.6142750902848917"/>
    <n v="21.867330177749807"/>
    <n v="0"/>
    <n v="-69.947749174561068"/>
    <m/>
    <n v="0"/>
    <n v="0"/>
    <n v="0"/>
    <n v="0"/>
    <n v="-10.968703839672798"/>
    <n v="-1.8131638273889372"/>
    <n v="0"/>
    <n v="0"/>
    <m/>
    <m/>
    <m/>
    <n v="0"/>
    <n v="0"/>
    <n v="0"/>
    <n v="-59.310240000000249"/>
    <n v="336.30168000000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02"/>
    <s v="Regular"/>
    <s v="Verde"/>
    <s v="A4"/>
    <s v="Rural"/>
    <s v="Não se aplica"/>
    <s v="Não se aplica"/>
    <s v="Não se aplica"/>
    <s v="Não se aplica"/>
    <s v="CATIVO"/>
    <x v="10"/>
    <n v="835"/>
    <n v="801.6"/>
    <n v="0"/>
    <n v="0"/>
    <n v="0"/>
    <n v="0"/>
    <n v="47.39"/>
    <m/>
    <m/>
    <n v="39570.65"/>
    <m/>
    <n v="39570.65"/>
    <n v="26903.7"/>
    <n v="0"/>
    <n v="0"/>
    <n v="0"/>
    <n v="0"/>
    <n v="0"/>
    <n v="20850.03364985386"/>
    <n v="18720.5891501841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30.75"/>
    <n v="1329.45"/>
    <n v="4799.33"/>
    <n v="8"/>
    <m/>
    <m/>
    <m/>
    <m/>
    <m/>
    <n v="1076.1479999999992"/>
    <m/>
    <m/>
    <m/>
    <n v="0"/>
    <m/>
    <m/>
    <m/>
    <m/>
    <m/>
    <m/>
    <m/>
    <m/>
    <m/>
    <m/>
    <m/>
    <m/>
    <n v="25827.552"/>
    <n v="-12160.302000000007"/>
    <m/>
    <m/>
    <m/>
    <m/>
    <n v="-12666.95"/>
    <n v="0"/>
    <n v="31"/>
    <n v="-94.243463465601963"/>
    <n v="0"/>
    <n v="0"/>
    <n v="0"/>
    <n v="0"/>
    <m/>
    <m/>
    <m/>
    <n v="-94.24346346560196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720.589150184132"/>
    <m/>
    <n v="0"/>
    <n v="0"/>
    <n v="-12666.95"/>
    <m/>
    <n v="0"/>
    <m/>
    <n v="-12574.14551169278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03"/>
    <s v="Sistema de Compensação"/>
    <s v="Verde"/>
    <s v="A4"/>
    <s v="Rural"/>
    <s v="Não se aplica"/>
    <s v="Não se aplica"/>
    <s v="Não se aplica"/>
    <s v="Não se aplica"/>
    <s v="CATIVO"/>
    <x v="10"/>
    <n v="175"/>
    <n v="168"/>
    <n v="0"/>
    <n v="0"/>
    <n v="0"/>
    <n v="0"/>
    <n v="47.39"/>
    <m/>
    <m/>
    <n v="8293.25"/>
    <m/>
    <n v="8293.25"/>
    <n v="5638.5"/>
    <n v="0"/>
    <n v="0"/>
    <n v="0"/>
    <n v="0"/>
    <n v="0"/>
    <n v="4369.7675314064973"/>
    <n v="3923.476768002662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1.7"/>
    <n v="221.7"/>
    <n v="6.89"/>
    <n v="1"/>
    <m/>
    <m/>
    <m/>
    <m/>
    <m/>
    <n v="225.54"/>
    <m/>
    <m/>
    <m/>
    <n v="0"/>
    <m/>
    <m/>
    <m/>
    <m/>
    <m/>
    <m/>
    <m/>
    <m/>
    <m/>
    <m/>
    <m/>
    <m/>
    <n v="5412.96"/>
    <n v="-2548.5900000000011"/>
    <m/>
    <m/>
    <m/>
    <m/>
    <n v="-2654.7500000000005"/>
    <n v="0"/>
    <n v="31"/>
    <n v="-19.751624079616704"/>
    <n v="0"/>
    <n v="0"/>
    <n v="0"/>
    <n v="0"/>
    <m/>
    <m/>
    <m/>
    <n v="-19.75162407961670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23.4767680026625"/>
    <m/>
    <n v="0"/>
    <n v="0"/>
    <n v="-2654.75"/>
    <m/>
    <n v="0"/>
    <m/>
    <n v="-2635.2999575404037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04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187.58099999999999"/>
    <n v="187.58099999999999"/>
    <n v="187.58099999999999"/>
    <n v="187.58099999999999"/>
    <m/>
    <n v="710.91"/>
    <n v="256.55"/>
    <m/>
    <n v="181477.11425999997"/>
    <n v="181477.11425999997"/>
    <n v="123884.11983"/>
    <n v="0"/>
    <n v="11531.482211311597"/>
    <n v="0"/>
    <n v="0"/>
    <n v="0"/>
    <n v="23087.992794106322"/>
    <n v="89459.266280990065"/>
    <n v="48124.378579020049"/>
    <n v="0"/>
    <n v="0"/>
    <n v="0"/>
    <n v="0"/>
    <n v="0"/>
    <n v="1782.8192995058178"/>
    <m/>
    <n v="411.89123136100488"/>
    <n v="0"/>
    <n v="0"/>
    <n v="0"/>
    <n v="0"/>
    <n v="0"/>
    <n v="0"/>
    <n v="0"/>
    <n v="0"/>
    <n v="0"/>
    <n v="0"/>
    <n v="0"/>
    <n v="0"/>
    <m/>
    <n v="0"/>
    <n v="0"/>
    <n v="279.55577784339744"/>
    <n v="0"/>
    <n v="0"/>
    <n v="6800.4494521177376"/>
    <n v="0"/>
    <n v="1421.21"/>
    <n v="1422.63"/>
    <n v="42236.17"/>
    <n v="306"/>
    <m/>
    <m/>
    <m/>
    <m/>
    <m/>
    <m/>
    <m/>
    <m/>
    <m/>
    <n v="55204.383808981183"/>
    <m/>
    <m/>
    <m/>
    <m/>
    <m/>
    <m/>
    <m/>
    <m/>
    <m/>
    <m/>
    <m/>
    <m/>
    <n v="123883.45940000001"/>
    <n v="-57593.684859999994"/>
    <m/>
    <m/>
    <m/>
    <m/>
    <n v="-60592.414619999996"/>
    <n v="2999.4201900000016"/>
    <n v="31"/>
    <n v="2493.5679071095801"/>
    <n v="0"/>
    <n v="0"/>
    <n v="0"/>
    <n v="0"/>
    <n v="0"/>
    <n v="0"/>
    <n v="0"/>
    <n v="-104.35917955461264"/>
    <n v="0"/>
    <n v="0"/>
    <n v="2998.0751151153163"/>
    <n v="0"/>
    <n v="0"/>
    <n v="17.415897006603473"/>
    <n v="423.65759051862642"/>
    <n v="0"/>
    <n v="-717.07200073414606"/>
    <m/>
    <n v="0"/>
    <n v="0"/>
    <n v="0"/>
    <n v="0"/>
    <n v="-97.828092190455664"/>
    <n v="-26.321423051760917"/>
    <n v="0"/>
    <n v="0"/>
    <m/>
    <m/>
    <m/>
    <n v="89459.266280990065"/>
    <n v="0"/>
    <n v="0"/>
    <n v="-60592.414619999981"/>
    <n v="2999.4201900000044"/>
    <n v="0"/>
    <n v="0"/>
    <n v="-60087.523024101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05"/>
    <s v="Refaturamento - Regular"/>
    <s v="Convencional"/>
    <s v="B3"/>
    <s v="Poder público"/>
    <s v="Não se aplica"/>
    <s v="Não se aplica"/>
    <s v="Não se aplica"/>
    <s v="Não se aplica"/>
    <s v="CATIVO"/>
    <x v="10"/>
    <n v="0"/>
    <n v="0"/>
    <n v="-2.0369999999999999"/>
    <n v="-2.0369999999999999"/>
    <n v="-2.0369999999999999"/>
    <n v="-2.0369999999999999"/>
    <m/>
    <n v="710.91"/>
    <n v="256.55"/>
    <m/>
    <n v="-1970.7160199999998"/>
    <n v="-1970.7160199999998"/>
    <n v="-1345.2959099999998"/>
    <n v="0"/>
    <n v="-125.22392600765389"/>
    <n v="0"/>
    <n v="0"/>
    <n v="0"/>
    <n v="-250.71964282946874"/>
    <n v="-971.46579565295406"/>
    <n v="-522.59748676818992"/>
    <n v="0"/>
    <n v="0"/>
    <n v="0"/>
    <n v="0"/>
    <n v="0"/>
    <n v="-19.360185269794655"/>
    <m/>
    <n v="-4.472854064550071"/>
    <n v="0"/>
    <n v="0"/>
    <n v="0"/>
    <n v="0"/>
    <n v="0"/>
    <n v="0"/>
    <n v="0"/>
    <n v="0"/>
    <n v="0"/>
    <n v="0"/>
    <n v="0"/>
    <n v="0"/>
    <m/>
    <n v="0"/>
    <n v="0"/>
    <n v="-3.0357825124452935"/>
    <n v="0"/>
    <n v="0"/>
    <n v="-73.848180433859667"/>
    <n v="0"/>
    <n v="-4.17"/>
    <n v="-19.309999999999999"/>
    <n v="-552.67999999999995"/>
    <n v="0"/>
    <m/>
    <m/>
    <m/>
    <m/>
    <m/>
    <m/>
    <m/>
    <m/>
    <m/>
    <n v="-599.48144971449483"/>
    <m/>
    <m/>
    <m/>
    <m/>
    <m/>
    <m/>
    <m/>
    <m/>
    <m/>
    <m/>
    <m/>
    <m/>
    <n v="-1347.2772"/>
    <n v="623.40881999999988"/>
    <m/>
    <m/>
    <m/>
    <m/>
    <n v="657.99173999999994"/>
    <n v="-32.57163000000002"/>
    <n v="31"/>
    <n v="-27.07842386372954"/>
    <n v="0"/>
    <n v="0"/>
    <n v="0"/>
    <n v="0"/>
    <n v="0"/>
    <n v="0"/>
    <n v="0"/>
    <n v="1.1332685546656762"/>
    <n v="0"/>
    <n v="0"/>
    <n v="-32.557023416496918"/>
    <n v="0"/>
    <n v="0"/>
    <n v="-0.18912460325113578"/>
    <n v="-4.6006285918426926"/>
    <n v="0"/>
    <n v="7.7869062724660694"/>
    <m/>
    <n v="0"/>
    <n v="0"/>
    <n v="0"/>
    <n v="0"/>
    <n v="1.0623454603182552"/>
    <n v="0.28583246041143262"/>
    <n v="0"/>
    <n v="0"/>
    <m/>
    <m/>
    <m/>
    <n v="-971.46579565295406"/>
    <n v="0"/>
    <n v="0"/>
    <n v="657.99174000000005"/>
    <n v="-32.571630000000027"/>
    <n v="0"/>
    <n v="0"/>
    <n v="652.50896626041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06"/>
    <s v="Sistema de Compensação"/>
    <s v="Convencional"/>
    <s v="B3"/>
    <s v="Poder público"/>
    <s v="Não se aplica"/>
    <s v="Não se aplica"/>
    <s v="Não se aplica"/>
    <s v="Não se aplica"/>
    <s v="CATIVO"/>
    <x v="10"/>
    <n v="0"/>
    <n v="0"/>
    <n v="0.1"/>
    <n v="0.1"/>
    <n v="0.1"/>
    <n v="0.1"/>
    <m/>
    <n v="710.91"/>
    <n v="256.55"/>
    <m/>
    <n v="96.745999999999995"/>
    <n v="96.745999999999995"/>
    <n v="66.043000000000006"/>
    <n v="0"/>
    <n v="6.1474681397964606"/>
    <n v="0"/>
    <n v="0"/>
    <n v="0"/>
    <n v="12.308278980337199"/>
    <n v="47.691006168529903"/>
    <n v="25.655252173205202"/>
    <n v="0"/>
    <n v="0"/>
    <n v="0"/>
    <n v="0"/>
    <n v="0"/>
    <n v="0.950426375542202"/>
    <m/>
    <n v="0.21958046463181502"/>
    <n v="0"/>
    <n v="0"/>
    <n v="0"/>
    <n v="0"/>
    <n v="0"/>
    <n v="0"/>
    <n v="0"/>
    <n v="0"/>
    <n v="0"/>
    <n v="0"/>
    <n v="0"/>
    <n v="0"/>
    <m/>
    <n v="0"/>
    <n v="0"/>
    <n v="0.14903203301155099"/>
    <n v="0"/>
    <n v="0"/>
    <n v="3.6253402274845201"/>
    <n v="0"/>
    <n v="0.75"/>
    <n v="0.75"/>
    <n v="0"/>
    <n v="1"/>
    <m/>
    <m/>
    <m/>
    <m/>
    <m/>
    <m/>
    <m/>
    <m/>
    <m/>
    <n v="29.429624433701274"/>
    <m/>
    <m/>
    <m/>
    <m/>
    <m/>
    <m/>
    <m/>
    <m/>
    <m/>
    <m/>
    <m/>
    <m/>
    <n v="66.043000000000006"/>
    <n v="-30.733000000000004"/>
    <m/>
    <m/>
    <m/>
    <m/>
    <n v="-32.302"/>
    <n v="1.5990000000000011"/>
    <n v="31"/>
    <n v="1.3293286138305902"/>
    <n v="0"/>
    <n v="0"/>
    <n v="0"/>
    <n v="0"/>
    <n v="0"/>
    <n v="0"/>
    <n v="0"/>
    <n v="-5.5634195123499097E-2"/>
    <n v="0"/>
    <n v="0"/>
    <n v="1.5982829364996007"/>
    <n v="0"/>
    <n v="0"/>
    <n v="9.2844675135560217E-3"/>
    <n v="0.22585314638403009"/>
    <n v="0"/>
    <n v="-0.38227325834394055"/>
    <m/>
    <n v="0"/>
    <n v="0"/>
    <n v="0"/>
    <n v="0"/>
    <n v="-5.2152452642034941E-2"/>
    <n v="-1.4032030457115013E-2"/>
    <n v="0"/>
    <n v="0"/>
    <m/>
    <m/>
    <m/>
    <n v="47.691006168529903"/>
    <n v="0"/>
    <n v="0"/>
    <n v="-32.301999999999992"/>
    <n v="1.5990000000000038"/>
    <n v="0"/>
    <n v="0"/>
    <n v="-32.032840758979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07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222.03"/>
    <n v="222.03"/>
    <n v="222.03"/>
    <n v="222.03"/>
    <m/>
    <n v="391"/>
    <n v="141.1"/>
    <m/>
    <n v="118142.163"/>
    <n v="118142.163"/>
    <n v="80647.95689999999"/>
    <n v="0"/>
    <n v="7507.0729309345597"/>
    <n v="0"/>
    <n v="0"/>
    <n v="0"/>
    <n v="15030.439501023475"/>
    <n v="58238.587547792718"/>
    <n v="31329.296020092221"/>
    <n v="0"/>
    <n v="0"/>
    <n v="0"/>
    <n v="0"/>
    <n v="0"/>
    <n v="1160.6274248889929"/>
    <m/>
    <n v="268.14397809211204"/>
    <n v="0"/>
    <n v="0"/>
    <n v="0"/>
    <n v="0"/>
    <n v="0"/>
    <n v="0"/>
    <n v="0"/>
    <n v="0"/>
    <n v="0"/>
    <n v="0"/>
    <n v="0"/>
    <n v="0"/>
    <m/>
    <n v="0"/>
    <n v="0"/>
    <n v="181.99270259255078"/>
    <n v="0"/>
    <n v="0"/>
    <n v="4427.1385988961429"/>
    <n v="0"/>
    <n v="875.98"/>
    <n v="876.14"/>
    <n v="20599.87"/>
    <n v="28"/>
    <m/>
    <m/>
    <m/>
    <m/>
    <m/>
    <m/>
    <m/>
    <m/>
    <m/>
    <n v="35938.427321580915"/>
    <m/>
    <m/>
    <m/>
    <m/>
    <m/>
    <m/>
    <m/>
    <m/>
    <m/>
    <m/>
    <m/>
    <m/>
    <n v="80647.95689999999"/>
    <n v="-37494.236099999995"/>
    <m/>
    <m/>
    <m/>
    <m/>
    <n v="-39445.849799999996"/>
    <n v="1951.6436999999983"/>
    <n v="31"/>
    <n v="1623.3295767084564"/>
    <n v="0"/>
    <n v="0"/>
    <n v="0"/>
    <n v="0"/>
    <n v="0"/>
    <n v="0"/>
    <n v="0"/>
    <n v="-67.938531887997669"/>
    <n v="0"/>
    <n v="0"/>
    <n v="1951.7671821505755"/>
    <n v="0"/>
    <n v="0"/>
    <n v="11.337866771191415"/>
    <n v="275.80395750403932"/>
    <n v="0"/>
    <n v="-466.81872352558457"/>
    <m/>
    <n v="0"/>
    <n v="0"/>
    <n v="0"/>
    <n v="0"/>
    <n v="-63.686749830610097"/>
    <n v="-17.135424473164505"/>
    <n v="0"/>
    <n v="0"/>
    <m/>
    <m/>
    <m/>
    <n v="58238.587547792718"/>
    <n v="0"/>
    <n v="0"/>
    <n v="-39445.849799999996"/>
    <n v="1951.6437000000005"/>
    <n v="0"/>
    <n v="0"/>
    <n v="-39117.383985439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08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40.457999999999998"/>
    <n v="38.030520000000003"/>
    <n v="40.457999999999998"/>
    <n v="38.030520000000003"/>
    <m/>
    <n v="710.91"/>
    <n v="256.55"/>
    <m/>
    <n v="39141.496679999997"/>
    <n v="39141.496679999997"/>
    <n v="26719.676939999998"/>
    <n v="0"/>
    <n v="2487.1426599988517"/>
    <n v="0"/>
    <n v="0"/>
    <n v="0"/>
    <n v="4979.6835098648244"/>
    <n v="19294.827275663825"/>
    <n v="10379.60192423536"/>
    <n v="0"/>
    <n v="0"/>
    <n v="0"/>
    <n v="0"/>
    <n v="0"/>
    <n v="384.52350301686408"/>
    <m/>
    <n v="88.837864380739703"/>
    <n v="0"/>
    <n v="0"/>
    <n v="0"/>
    <n v="0"/>
    <n v="0"/>
    <n v="0"/>
    <n v="0"/>
    <n v="0"/>
    <n v="0"/>
    <n v="0"/>
    <n v="0"/>
    <n v="0"/>
    <m/>
    <n v="0"/>
    <n v="0"/>
    <n v="60.295379915813299"/>
    <n v="0"/>
    <n v="0"/>
    <n v="1466.7401492356871"/>
    <n v="0"/>
    <n v="284.37"/>
    <n v="284.41000000000003"/>
    <n v="9461.17"/>
    <n v="10"/>
    <m/>
    <m/>
    <m/>
    <m/>
    <n v="1603.1806163999972"/>
    <m/>
    <m/>
    <m/>
    <m/>
    <n v="11906.63745338686"/>
    <m/>
    <m/>
    <m/>
    <m/>
    <m/>
    <m/>
    <m/>
    <m/>
    <m/>
    <m/>
    <m/>
    <m/>
    <n v="25116.152900000001"/>
    <n v="-11676.8839792"/>
    <m/>
    <m/>
    <m/>
    <m/>
    <n v="-13068.743159999998"/>
    <n v="646.92342000000031"/>
    <n v="31"/>
    <n v="537.81977058358461"/>
    <n v="0"/>
    <n v="0"/>
    <n v="0"/>
    <n v="0"/>
    <n v="0"/>
    <n v="0"/>
    <n v="0"/>
    <n v="-22.508482663066388"/>
    <n v="0"/>
    <n v="0"/>
    <n v="646.63331044900951"/>
    <n v="0"/>
    <n v="0"/>
    <n v="3.7563098666344814"/>
    <n v="91.375665964050768"/>
    <n v="0"/>
    <n v="-154.66011486079151"/>
    <m/>
    <n v="0"/>
    <n v="0"/>
    <n v="0"/>
    <n v="0"/>
    <n v="-21.099839289914541"/>
    <n v="-5.6770788823395861"/>
    <n v="0"/>
    <n v="0"/>
    <m/>
    <m/>
    <m/>
    <n v="19294.827275663825"/>
    <n v="0"/>
    <n v="0"/>
    <n v="-13068.743159999998"/>
    <n v="646.92341999999917"/>
    <n v="0"/>
    <n v="0"/>
    <n v="-12959.846714268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09"/>
    <s v="Regular"/>
    <s v="Verde"/>
    <s v="A4"/>
    <s v="Serviço público"/>
    <s v="Água, esgoto e saneamento"/>
    <s v="Não se aplica"/>
    <s v="Não se aplica"/>
    <s v="Ponta"/>
    <s v="CATIVO"/>
    <x v="10"/>
    <n v="0"/>
    <n v="0"/>
    <n v="0.94899999999999995"/>
    <n v="0.89205999999999996"/>
    <n v="0.94899999999999995"/>
    <n v="0.89205999999999996"/>
    <m/>
    <n v="3130.62"/>
    <n v="256.55"/>
    <m/>
    <n v="3214.4243299999994"/>
    <n v="3214.4243299999994"/>
    <n v="1691.71587"/>
    <n v="0"/>
    <n v="50.755341202601507"/>
    <n v="0"/>
    <n v="0"/>
    <n v="0"/>
    <n v="611.35890310192883"/>
    <n v="2281.5370812046417"/>
    <n v="243.46834312371735"/>
    <n v="0"/>
    <n v="0"/>
    <n v="0"/>
    <n v="0"/>
    <n v="0"/>
    <n v="9.0195463038954973"/>
    <m/>
    <n v="1.2802531900791787"/>
    <n v="0"/>
    <n v="0"/>
    <n v="0"/>
    <n v="0"/>
    <n v="0"/>
    <n v="0"/>
    <n v="0"/>
    <n v="0"/>
    <n v="0"/>
    <n v="0"/>
    <n v="0"/>
    <n v="0"/>
    <m/>
    <n v="0"/>
    <n v="0"/>
    <n v="1.1691919311287218"/>
    <n v="0"/>
    <n v="0"/>
    <n v="15.838134499517938"/>
    <n v="0"/>
    <n v="0"/>
    <n v="0"/>
    <n v="0"/>
    <n v="0"/>
    <m/>
    <m/>
    <m/>
    <m/>
    <n v="101.50295219999998"/>
    <m/>
    <m/>
    <m/>
    <m/>
    <n v="260.475669554364"/>
    <m/>
    <m/>
    <m/>
    <m/>
    <m/>
    <m/>
    <m/>
    <m/>
    <m/>
    <m/>
    <m/>
    <m/>
    <n v="1586.5407"/>
    <n v="-1435.0481702000006"/>
    <m/>
    <m/>
    <m/>
    <m/>
    <n v="-1537.8829699999999"/>
    <n v="15.174510000000009"/>
    <n v="31"/>
    <n v="9.7309522273726543"/>
    <n v="0"/>
    <n v="0"/>
    <n v="0"/>
    <n v="0"/>
    <n v="0"/>
    <n v="0"/>
    <n v="0"/>
    <n v="-2.7633806935966732"/>
    <n v="0"/>
    <n v="0"/>
    <n v="15.167705067381206"/>
    <n v="0"/>
    <n v="0"/>
    <n v="7.2838867472440283E-2"/>
    <n v="0.98669153379063346"/>
    <n v="0"/>
    <n v="-3.1561627028650889"/>
    <m/>
    <n v="0"/>
    <n v="0"/>
    <n v="0"/>
    <n v="0"/>
    <n v="-0.49492677557291387"/>
    <n v="-8.1813069236977176E-2"/>
    <n v="0"/>
    <n v="0"/>
    <m/>
    <m/>
    <m/>
    <n v="2281.5370812046417"/>
    <n v="0"/>
    <n v="0"/>
    <n v="-1537.8829699999997"/>
    <n v="15.174510000000026"/>
    <n v="0"/>
    <n v="0"/>
    <n v="-1532.4506627029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10"/>
    <s v="Regular"/>
    <s v="Verde"/>
    <s v="A4"/>
    <s v="Serviço público"/>
    <s v="Água, esgoto e saneamento"/>
    <s v="Não se aplica"/>
    <s v="Não se aplica"/>
    <s v="Fora ponta"/>
    <s v="CATIVO"/>
    <x v="10"/>
    <n v="0"/>
    <n v="0"/>
    <n v="20.306000000000001"/>
    <n v="19.08764"/>
    <n v="20.306000000000001"/>
    <n v="19.08764"/>
    <m/>
    <n v="82.26"/>
    <n v="256.55"/>
    <m/>
    <n v="6879.875860000001"/>
    <n v="6879.875860000001"/>
    <n v="7147.3058799999999"/>
    <n v="0"/>
    <n v="1086.0252460063502"/>
    <n v="0"/>
    <n v="0"/>
    <n v="0"/>
    <n v="0"/>
    <n v="0"/>
    <n v="5209.555506291048"/>
    <n v="0"/>
    <n v="0"/>
    <n v="0"/>
    <n v="0"/>
    <n v="0"/>
    <n v="192.99357981759954"/>
    <m/>
    <n v="27.393910724707908"/>
    <n v="0"/>
    <n v="0"/>
    <n v="0"/>
    <n v="0"/>
    <n v="0"/>
    <n v="0"/>
    <n v="0"/>
    <n v="0"/>
    <n v="0"/>
    <n v="0"/>
    <n v="0"/>
    <n v="0"/>
    <m/>
    <n v="0"/>
    <n v="0"/>
    <n v="25.017504060589911"/>
    <n v="0"/>
    <n v="0"/>
    <n v="338.89268614037019"/>
    <n v="0"/>
    <n v="0"/>
    <n v="0"/>
    <n v="0"/>
    <n v="0"/>
    <m/>
    <m/>
    <m/>
    <m/>
    <n v="428.83835280000022"/>
    <m/>
    <m/>
    <m/>
    <m/>
    <n v="5573.4656964920086"/>
    <m/>
    <m/>
    <m/>
    <m/>
    <m/>
    <m/>
    <m/>
    <m/>
    <m/>
    <m/>
    <m/>
    <m/>
    <n v="6719.2982000000011"/>
    <n v="252.18489160000081"/>
    <m/>
    <m/>
    <m/>
    <m/>
    <n v="-57.26292000000015"/>
    <n v="324.69294000000019"/>
    <n v="31"/>
    <n v="267.34449345964549"/>
    <n v="0"/>
    <n v="0"/>
    <n v="0"/>
    <n v="0"/>
    <n v="0"/>
    <n v="0"/>
    <n v="0"/>
    <n v="0"/>
    <n v="0"/>
    <n v="0"/>
    <n v="324.54733308560935"/>
    <n v="0"/>
    <n v="0"/>
    <n v="1.5585522053691996"/>
    <n v="21.112495558643388"/>
    <n v="0"/>
    <n v="-67.533234820209259"/>
    <m/>
    <n v="0"/>
    <n v="0"/>
    <n v="0"/>
    <n v="0"/>
    <n v="-10.590077033491639"/>
    <n v="-1.7505755362761413"/>
    <n v="0"/>
    <n v="0"/>
    <m/>
    <m/>
    <m/>
    <n v="0"/>
    <n v="0"/>
    <n v="0"/>
    <n v="-57.262920000000349"/>
    <n v="324.6929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11"/>
    <s v="Regular"/>
    <s v="Verde"/>
    <s v="A4"/>
    <s v="Serviço público"/>
    <s v="Água, esgoto e saneamento"/>
    <s v="Não se aplica"/>
    <s v="Não se aplica"/>
    <s v="Não se aplica"/>
    <s v="CATIVO"/>
    <x v="10"/>
    <n v="79"/>
    <n v="74.260000000000005"/>
    <n v="0"/>
    <n v="0"/>
    <n v="0"/>
    <n v="0"/>
    <n v="47.39"/>
    <m/>
    <m/>
    <n v="3743.81"/>
    <m/>
    <n v="3743.81"/>
    <n v="2545.38"/>
    <n v="0"/>
    <n v="0"/>
    <n v="0"/>
    <n v="0"/>
    <n v="0"/>
    <n v="1972.6379141777902"/>
    <n v="1771.16951241263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6.5"/>
    <n v="116.04"/>
    <n v="3756.54"/>
    <n v="1"/>
    <m/>
    <m/>
    <m/>
    <m/>
    <n v="152.72279999999984"/>
    <m/>
    <m/>
    <m/>
    <m/>
    <n v="0"/>
    <m/>
    <m/>
    <m/>
    <m/>
    <m/>
    <m/>
    <m/>
    <m/>
    <m/>
    <m/>
    <m/>
    <m/>
    <n v="2392.6572000000001"/>
    <n v="-1126.5542000000009"/>
    <m/>
    <m/>
    <m/>
    <m/>
    <n v="-1198.43"/>
    <n v="0"/>
    <n v="31"/>
    <n v="-8.9164474416556914"/>
    <n v="0"/>
    <n v="0"/>
    <n v="0"/>
    <n v="0"/>
    <m/>
    <m/>
    <m/>
    <n v="-8.91644744165569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71.1695124126304"/>
    <m/>
    <n v="0"/>
    <n v="0"/>
    <n v="-1198.4299999999998"/>
    <m/>
    <n v="0"/>
    <m/>
    <n v="-1189.6496951182394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12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0.55300000000000005"/>
    <n v="0.55300000000000005"/>
    <n v="0.55300000000000005"/>
    <n v="0.55300000000000005"/>
    <m/>
    <n v="710.91"/>
    <n v="256.55"/>
    <m/>
    <n v="535.00538000000006"/>
    <n v="535.00538000000006"/>
    <n v="365.21779000000004"/>
    <n v="0"/>
    <n v="33.995498813074427"/>
    <n v="0"/>
    <n v="0"/>
    <n v="0"/>
    <n v="68.064782761264723"/>
    <n v="263.7312641119704"/>
    <n v="141.87354451782477"/>
    <n v="0"/>
    <n v="0"/>
    <n v="0"/>
    <n v="0"/>
    <n v="0"/>
    <n v="5.2558578567483778"/>
    <m/>
    <n v="1.214279969413937"/>
    <n v="0"/>
    <n v="0"/>
    <n v="0"/>
    <n v="0"/>
    <n v="0"/>
    <n v="0"/>
    <n v="0"/>
    <n v="0"/>
    <n v="0"/>
    <n v="0"/>
    <n v="0"/>
    <n v="0"/>
    <m/>
    <n v="0"/>
    <n v="0"/>
    <n v="0.824147142553877"/>
    <n v="0"/>
    <n v="0"/>
    <n v="20.048131457989399"/>
    <n v="0"/>
    <n v="1.03"/>
    <n v="1.07"/>
    <n v="130.02000000000001"/>
    <n v="5"/>
    <m/>
    <m/>
    <m/>
    <m/>
    <m/>
    <m/>
    <m/>
    <m/>
    <m/>
    <n v="162.74582311836804"/>
    <m/>
    <m/>
    <m/>
    <m/>
    <m/>
    <m/>
    <m/>
    <m/>
    <m/>
    <m/>
    <m/>
    <m/>
    <n v="363.23650000000004"/>
    <n v="-171.79888"/>
    <m/>
    <m/>
    <m/>
    <m/>
    <n v="-178.63006000000001"/>
    <n v="8.8424700000000058"/>
    <n v="31"/>
    <n v="7.3511872344831772"/>
    <n v="0"/>
    <n v="0"/>
    <n v="0"/>
    <n v="0"/>
    <n v="0"/>
    <n v="0"/>
    <n v="0"/>
    <n v="-0.30765709903295146"/>
    <n v="0"/>
    <n v="0"/>
    <n v="8.8385046388428066"/>
    <n v="0"/>
    <n v="0"/>
    <n v="5.1343105349964779E-2"/>
    <n v="1.2489678995036826"/>
    <n v="0"/>
    <n v="-2.1139711186419881"/>
    <m/>
    <n v="0"/>
    <n v="0"/>
    <n v="0"/>
    <n v="0"/>
    <n v="-0.28840306311045438"/>
    <n v="-7.7597128427846052E-2"/>
    <n v="0"/>
    <n v="0"/>
    <m/>
    <m/>
    <m/>
    <n v="263.7312641119704"/>
    <n v="0"/>
    <n v="0"/>
    <n v="-178.63006000000001"/>
    <n v="8.84247000000002"/>
    <n v="0"/>
    <n v="0"/>
    <n v="-177.14160939715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13"/>
    <s v="Regular"/>
    <s v="Convencional"/>
    <s v="B1"/>
    <s v="Residencial"/>
    <s v="Residencial"/>
    <s v="Não se aplica"/>
    <s v="Não se aplica"/>
    <s v="Não se aplica"/>
    <s v="CATIVO"/>
    <x v="11"/>
    <n v="0"/>
    <n v="0"/>
    <n v="883.60400000000004"/>
    <n v="883.60400000000004"/>
    <n v="883.60400000000004"/>
    <n v="883.60400000000004"/>
    <m/>
    <n v="710.91"/>
    <n v="256.55"/>
    <m/>
    <n v="854851.52584000002"/>
    <n v="854851.52584000002"/>
    <n v="583558.58972000005"/>
    <n v="0"/>
    <n v="54319.274381967116"/>
    <n v="0"/>
    <n v="0"/>
    <n v="0"/>
    <n v="108756.44540141871"/>
    <n v="421399.63814537699"/>
    <n v="226690.83441252809"/>
    <n v="0"/>
    <n v="0"/>
    <n v="0"/>
    <n v="0"/>
    <n v="0"/>
    <n v="8398.0054713459194"/>
    <m/>
    <n v="1940.2217687053028"/>
    <n v="0"/>
    <n v="0"/>
    <n v="0"/>
    <n v="0"/>
    <n v="0"/>
    <n v="0"/>
    <n v="0"/>
    <n v="0"/>
    <n v="0"/>
    <n v="0"/>
    <n v="0"/>
    <n v="0"/>
    <m/>
    <n v="0"/>
    <n v="0"/>
    <n v="1316.8530049713852"/>
    <n v="0"/>
    <n v="0"/>
    <n v="32033.651263662319"/>
    <n v="0"/>
    <n v="1443.8"/>
    <n v="5709.58"/>
    <n v="191719.72"/>
    <n v="5224"/>
    <m/>
    <m/>
    <m/>
    <m/>
    <m/>
    <m/>
    <m/>
    <m/>
    <m/>
    <n v="260041.33868116178"/>
    <m/>
    <m/>
    <m/>
    <m/>
    <m/>
    <m/>
    <m/>
    <m/>
    <m/>
    <m/>
    <m/>
    <m/>
    <n v="583555.94799999997"/>
    <n v="-271295.60784000007"/>
    <m/>
    <m/>
    <m/>
    <m/>
    <n v="-285421.76407999999"/>
    <n v="14128.827960000008"/>
    <n v="30"/>
    <n v="11746.000804951764"/>
    <n v="0"/>
    <n v="0"/>
    <n v="0"/>
    <n v="0"/>
    <n v="0"/>
    <n v="0"/>
    <n v="0"/>
    <n v="-491.58597347904288"/>
    <n v="0"/>
    <n v="0"/>
    <n v="14122.49195822794"/>
    <n v="0"/>
    <n v="0"/>
    <n v="82.037926328481262"/>
    <n v="1995.6474355751452"/>
    <n v="0"/>
    <n v="-3377.7818016573874"/>
    <m/>
    <n v="0"/>
    <n v="0"/>
    <n v="0"/>
    <n v="0"/>
    <n v="-460.82115764312766"/>
    <n v="-123.98758240028656"/>
    <n v="0"/>
    <n v="0"/>
    <m/>
    <m/>
    <m/>
    <n v="421399.63814537699"/>
    <n v="0"/>
    <n v="0"/>
    <n v="-285421.76407999999"/>
    <n v="14128.827960000024"/>
    <n v="0"/>
    <n v="0"/>
    <n v="-283043.46225997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14"/>
    <s v="Refaturamento - Regular"/>
    <s v="Convencional"/>
    <s v="B1"/>
    <s v="Residencial"/>
    <s v="Residencial"/>
    <s v="Não se aplica"/>
    <s v="Não se aplica"/>
    <s v="Não se aplica"/>
    <s v="CATIVO"/>
    <x v="11"/>
    <n v="0"/>
    <n v="0"/>
    <n v="-2.694"/>
    <n v="-2.694"/>
    <n v="-2.694"/>
    <n v="-2.694"/>
    <m/>
    <n v="710.91"/>
    <n v="256.55"/>
    <m/>
    <n v="-2606.3372399999998"/>
    <n v="-2606.3372399999998"/>
    <n v="-1779.1984199999997"/>
    <n v="0"/>
    <n v="-165.61279168611662"/>
    <n v="0"/>
    <n v="0"/>
    <n v="0"/>
    <n v="-331.58503573028418"/>
    <n v="-1284.7957061801956"/>
    <n v="-691.15249354614809"/>
    <n v="0"/>
    <n v="0"/>
    <n v="0"/>
    <n v="0"/>
    <n v="0"/>
    <n v="-25.60448655710692"/>
    <m/>
    <n v="-5.9154977171810961"/>
    <n v="0"/>
    <n v="0"/>
    <n v="0"/>
    <n v="0"/>
    <n v="0"/>
    <n v="0"/>
    <n v="0"/>
    <n v="0"/>
    <n v="0"/>
    <n v="0"/>
    <n v="0"/>
    <n v="0"/>
    <m/>
    <n v="0"/>
    <n v="0"/>
    <n v="-4.0149229693311836"/>
    <n v="0"/>
    <n v="0"/>
    <n v="-97.666665728432974"/>
    <n v="0"/>
    <n v="-16.57"/>
    <n v="-26.39"/>
    <n v="-683.56"/>
    <n v="0"/>
    <m/>
    <m/>
    <m/>
    <m/>
    <m/>
    <m/>
    <m/>
    <m/>
    <m/>
    <n v="-792.83408224391223"/>
    <m/>
    <m/>
    <m/>
    <m/>
    <m/>
    <m/>
    <m/>
    <m/>
    <m/>
    <m/>
    <m/>
    <m/>
    <n v="-1776.5567000000001"/>
    <n v="829.75053999999955"/>
    <m/>
    <m/>
    <m/>
    <m/>
    <n v="870.21587999999997"/>
    <n v="-43.077060000000024"/>
    <n v="30"/>
    <n v="-35.812112856596514"/>
    <n v="0"/>
    <n v="0"/>
    <n v="0"/>
    <n v="0"/>
    <n v="0"/>
    <n v="0"/>
    <n v="0"/>
    <n v="1.4987852166271409"/>
    <n v="0"/>
    <n v="0"/>
    <n v="-43.057742309299215"/>
    <n v="0"/>
    <n v="0"/>
    <n v="-0.25012355481519855"/>
    <n v="-6.0844837635857658"/>
    <n v="0"/>
    <n v="10.298441579785731"/>
    <m/>
    <n v="0"/>
    <n v="0"/>
    <n v="0"/>
    <n v="0"/>
    <n v="1.4049870741764217"/>
    <n v="0.37802290051467846"/>
    <n v="0"/>
    <n v="0"/>
    <m/>
    <m/>
    <m/>
    <n v="-1284.7957061801956"/>
    <n v="0"/>
    <n v="0"/>
    <n v="870.21587999999997"/>
    <n v="-43.07705999999996"/>
    <n v="0"/>
    <n v="0"/>
    <n v="862.96473004691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15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19.734000000000002"/>
    <n v="19.734000000000002"/>
    <n v="19.734000000000002"/>
    <n v="19.734000000000002"/>
    <m/>
    <n v="710.91"/>
    <n v="256.55"/>
    <m/>
    <n v="19091.855640000002"/>
    <n v="19091.855640000002"/>
    <n v="13032.925620000002"/>
    <n v="0"/>
    <n v="1213.1413627074335"/>
    <n v="0"/>
    <n v="0"/>
    <n v="0"/>
    <n v="2428.9157739797433"/>
    <n v="9411.3431572976915"/>
    <n v="5062.8074638603148"/>
    <n v="0"/>
    <n v="0"/>
    <n v="0"/>
    <n v="0"/>
    <n v="0"/>
    <n v="187.55714094949815"/>
    <m/>
    <n v="43.332008890442374"/>
    <n v="0"/>
    <n v="0"/>
    <n v="0"/>
    <n v="0"/>
    <n v="0"/>
    <n v="0"/>
    <n v="0"/>
    <n v="0"/>
    <n v="0"/>
    <n v="0"/>
    <n v="0"/>
    <n v="0"/>
    <m/>
    <n v="0"/>
    <n v="0"/>
    <n v="29.409981394499475"/>
    <n v="0"/>
    <n v="0"/>
    <n v="715.42464049179523"/>
    <n v="0"/>
    <n v="35.56"/>
    <n v="140.15"/>
    <n v="8425.36"/>
    <n v="125"/>
    <m/>
    <m/>
    <m/>
    <m/>
    <m/>
    <m/>
    <m/>
    <m/>
    <m/>
    <n v="5807.6420857466092"/>
    <m/>
    <m/>
    <m/>
    <m/>
    <m/>
    <m/>
    <m/>
    <m/>
    <m/>
    <m/>
    <m/>
    <m/>
    <n v="13030.2839"/>
    <n v="-6061.6017400000001"/>
    <m/>
    <m/>
    <m/>
    <m/>
    <n v="-6374.4766799999998"/>
    <n v="315.5466600000002"/>
    <n v="30"/>
    <n v="262.32970865332936"/>
    <n v="0"/>
    <n v="0"/>
    <n v="0"/>
    <n v="0"/>
    <n v="0"/>
    <n v="0"/>
    <n v="0"/>
    <n v="-10.978852065671617"/>
    <n v="0"/>
    <n v="0"/>
    <n v="315.40515468883132"/>
    <n v="0"/>
    <n v="0"/>
    <n v="1.8321968191251408"/>
    <n v="44.569859907424529"/>
    <n v="0"/>
    <n v="-75.437804801593074"/>
    <m/>
    <n v="0"/>
    <n v="0"/>
    <n v="0"/>
    <n v="0"/>
    <n v="-10.291765004379187"/>
    <n v="-2.7690808904070749"/>
    <n v="0"/>
    <n v="0"/>
    <m/>
    <m/>
    <m/>
    <n v="9411.3431572976915"/>
    <n v="0"/>
    <n v="0"/>
    <n v="-6374.4766800000007"/>
    <n v="315.54665999999997"/>
    <n v="0"/>
    <n v="0"/>
    <n v="-6321.3607953770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16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5.88"/>
    <n v="5.88"/>
    <n v="5.88"/>
    <n v="5.88"/>
    <m/>
    <n v="639.92999999999995"/>
    <n v="256.55"/>
    <m/>
    <n v="5271.3023999999996"/>
    <n v="5271.3023999999996"/>
    <n v="3491.5439999999999"/>
    <n v="0"/>
    <n v="0"/>
    <n v="0"/>
    <n v="0"/>
    <n v="0"/>
    <n v="723.72680404382731"/>
    <n v="2804.2311627095582"/>
    <n v="1508.5288277844659"/>
    <n v="0"/>
    <n v="0"/>
    <n v="0"/>
    <n v="0"/>
    <n v="0"/>
    <n v="0"/>
    <m/>
    <n v="12.911331320350723"/>
    <n v="0"/>
    <n v="0"/>
    <n v="0"/>
    <n v="0"/>
    <n v="0"/>
    <n v="0"/>
    <n v="0"/>
    <n v="0"/>
    <n v="0"/>
    <n v="0"/>
    <n v="0"/>
    <n v="0"/>
    <m/>
    <n v="0"/>
    <n v="0"/>
    <n v="8.7630835410791974"/>
    <n v="0"/>
    <n v="0"/>
    <n v="213.17000537608976"/>
    <n v="0"/>
    <n v="2.68"/>
    <n v="9.3000000000000007"/>
    <n v="384.19"/>
    <n v="12"/>
    <m/>
    <m/>
    <m/>
    <m/>
    <m/>
    <m/>
    <m/>
    <n v="2269.5036"/>
    <m/>
    <n v="1730.4619167016349"/>
    <m/>
    <m/>
    <m/>
    <m/>
    <m/>
    <m/>
    <m/>
    <m/>
    <m/>
    <m/>
    <m/>
    <m/>
    <n v="1222.0403999999999"/>
    <n v="-622.95720000000006"/>
    <m/>
    <m/>
    <m/>
    <m/>
    <n v="-1873.7795999999996"/>
    <n v="94.02120000000005"/>
    <n v="30"/>
    <n v="103.70875429921443"/>
    <n v="0"/>
    <n v="0"/>
    <n v="0"/>
    <n v="0"/>
    <n v="0"/>
    <n v="0"/>
    <n v="0"/>
    <n v="-3.2712906732617739"/>
    <n v="0"/>
    <n v="0"/>
    <n v="93.979036666176398"/>
    <n v="0"/>
    <n v="0"/>
    <n v="0.5459266897970938"/>
    <n v="13.280165007380958"/>
    <n v="0"/>
    <n v="0"/>
    <m/>
    <n v="0"/>
    <n v="0"/>
    <n v="0"/>
    <n v="0"/>
    <n v="0"/>
    <n v="-0.82508339087836369"/>
    <n v="0"/>
    <n v="0"/>
    <m/>
    <m/>
    <m/>
    <n v="2804.2311627095582"/>
    <n v="0"/>
    <n v="0"/>
    <n v="-1873.7795999999996"/>
    <n v="94.021199999999908"/>
    <n v="0"/>
    <n v="0"/>
    <n v="-1883.5310366280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17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11.526999999999999"/>
    <n v="11.526999999999999"/>
    <n v="11.526999999999999"/>
    <n v="11.526999999999999"/>
    <m/>
    <n v="639.92999999999995"/>
    <n v="256.55"/>
    <m/>
    <n v="10333.72496"/>
    <n v="10333.72496"/>
    <n v="6844.7325999999994"/>
    <n v="0"/>
    <n v="0"/>
    <n v="0"/>
    <n v="0"/>
    <n v="0"/>
    <n v="1418.7753180634688"/>
    <n v="5497.3422810464417"/>
    <n v="2957.2809180053632"/>
    <n v="0"/>
    <n v="0"/>
    <n v="0"/>
    <n v="0"/>
    <n v="0"/>
    <n v="0"/>
    <m/>
    <n v="25.311040158109314"/>
    <n v="0"/>
    <n v="0"/>
    <n v="0"/>
    <n v="0"/>
    <n v="0"/>
    <n v="0"/>
    <n v="0"/>
    <n v="0"/>
    <n v="0"/>
    <n v="0"/>
    <n v="0"/>
    <n v="0"/>
    <m/>
    <n v="0"/>
    <n v="0"/>
    <n v="17.178922445241483"/>
    <n v="0"/>
    <n v="0"/>
    <n v="417.89296802214062"/>
    <n v="0"/>
    <n v="8.51"/>
    <n v="33.5"/>
    <n v="1372.6"/>
    <n v="44"/>
    <m/>
    <m/>
    <m/>
    <m/>
    <m/>
    <m/>
    <m/>
    <n v="2737.8930399999999"/>
    <m/>
    <n v="3392.352808472745"/>
    <m/>
    <m/>
    <m/>
    <m/>
    <m/>
    <m/>
    <m/>
    <m/>
    <m/>
    <m/>
    <m/>
    <m/>
    <n v="4107.9084000000003"/>
    <n v="-2092.3796299999995"/>
    <m/>
    <m/>
    <m/>
    <m/>
    <n v="-3673.3090899999993"/>
    <n v="184.31673000000009"/>
    <n v="30"/>
    <n v="203.3079610216073"/>
    <n v="0"/>
    <n v="0"/>
    <n v="0"/>
    <n v="0"/>
    <n v="0"/>
    <n v="0"/>
    <n v="0"/>
    <n v="-6.4129536718858162"/>
    <n v="0"/>
    <n v="0"/>
    <n v="184.23407409030915"/>
    <n v="0"/>
    <n v="0"/>
    <n v="1.0702205702875993"/>
    <n v="26.034092183687108"/>
    <n v="0"/>
    <n v="0"/>
    <m/>
    <n v="0"/>
    <n v="0"/>
    <n v="0"/>
    <n v="0"/>
    <n v="0"/>
    <n v="-1.6174721507916487"/>
    <n v="0"/>
    <n v="0"/>
    <m/>
    <m/>
    <m/>
    <n v="5497.3422810464417"/>
    <n v="0"/>
    <n v="0"/>
    <n v="-3673.3090899999993"/>
    <n v="184.31673000000001"/>
    <n v="0"/>
    <n v="0"/>
    <n v="-3692.4255542876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18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10.821999999999999"/>
    <n v="10.821999999999999"/>
    <n v="10.821999999999999"/>
    <n v="10.821999999999999"/>
    <m/>
    <n v="639.92999999999995"/>
    <n v="256.55"/>
    <m/>
    <n v="9701.7065599999987"/>
    <n v="9701.7065599999987"/>
    <n v="6426.1036000000004"/>
    <n v="0"/>
    <n v="0"/>
    <n v="0"/>
    <n v="0"/>
    <n v="0"/>
    <n v="1332.0019512520917"/>
    <n v="5161.1206875583057"/>
    <n v="2776.4113901842666"/>
    <n v="0"/>
    <n v="0"/>
    <n v="0"/>
    <n v="0"/>
    <n v="0"/>
    <n v="0"/>
    <m/>
    <n v="23.762997882455018"/>
    <n v="0"/>
    <n v="0"/>
    <n v="0"/>
    <n v="0"/>
    <n v="0"/>
    <n v="0"/>
    <n v="0"/>
    <n v="0"/>
    <n v="0"/>
    <n v="0"/>
    <n v="0"/>
    <n v="0"/>
    <m/>
    <n v="0"/>
    <n v="0"/>
    <n v="16.128246612510047"/>
    <n v="0"/>
    <n v="0"/>
    <n v="392.33431941837472"/>
    <n v="0"/>
    <n v="12.07"/>
    <n v="49.6"/>
    <n v="1948.42"/>
    <n v="89"/>
    <m/>
    <m/>
    <m/>
    <m/>
    <m/>
    <m/>
    <m/>
    <n v="642.71858000000009"/>
    <m/>
    <n v="3184.8739562151513"/>
    <m/>
    <m/>
    <m/>
    <m/>
    <m/>
    <m/>
    <m/>
    <m/>
    <m/>
    <m/>
    <m/>
    <m/>
    <n v="5782.3161999999993"/>
    <n v="-2949.3362800000014"/>
    <m/>
    <m/>
    <m/>
    <m/>
    <n v="-3448.6467399999992"/>
    <n v="173.04378000000008"/>
    <n v="30"/>
    <n v="190.87349303164865"/>
    <n v="0"/>
    <n v="0"/>
    <n v="0"/>
    <n v="0"/>
    <n v="0"/>
    <n v="0"/>
    <n v="0"/>
    <n v="-6.0207325962651339"/>
    <n v="0"/>
    <n v="0"/>
    <n v="172.96617938798681"/>
    <n v="0"/>
    <n v="0"/>
    <n v="1.0047650743170315"/>
    <n v="24.441827501679711"/>
    <n v="0"/>
    <n v="0"/>
    <m/>
    <n v="0"/>
    <n v="0"/>
    <n v="0"/>
    <n v="0"/>
    <n v="0"/>
    <n v="-1.5185463360689866"/>
    <n v="0"/>
    <n v="0"/>
    <m/>
    <m/>
    <m/>
    <n v="5161.1206875583057"/>
    <n v="0"/>
    <n v="0"/>
    <n v="-3448.6467399999988"/>
    <n v="173.04378000000042"/>
    <n v="0"/>
    <n v="0"/>
    <n v="-3466.5940269367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19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5.734"/>
    <n v="5.734"/>
    <n v="5.734"/>
    <n v="5.734"/>
    <m/>
    <n v="639.92999999999995"/>
    <n v="256.55"/>
    <m/>
    <n v="5140.4163199999994"/>
    <n v="5140.4163199999994"/>
    <n v="3404.8492000000001"/>
    <n v="0"/>
    <n v="0"/>
    <n v="0"/>
    <n v="0"/>
    <n v="0"/>
    <n v="705.75671673253498"/>
    <n v="2734.6022937035045"/>
    <n v="1471.0721596115864"/>
    <n v="0"/>
    <n v="0"/>
    <n v="0"/>
    <n v="0"/>
    <n v="0"/>
    <n v="0"/>
    <m/>
    <n v="12.590743841988273"/>
    <n v="0"/>
    <n v="0"/>
    <n v="0"/>
    <n v="0"/>
    <n v="0"/>
    <n v="0"/>
    <n v="0"/>
    <n v="0"/>
    <n v="0"/>
    <n v="0"/>
    <n v="0"/>
    <n v="0"/>
    <m/>
    <n v="0"/>
    <n v="0"/>
    <n v="8.5454967728823341"/>
    <n v="0"/>
    <n v="0"/>
    <n v="207.87700864396237"/>
    <n v="0"/>
    <n v="7.16"/>
    <n v="29.54"/>
    <n v="1146.9100000000001"/>
    <n v="51"/>
    <m/>
    <m/>
    <m/>
    <m/>
    <m/>
    <m/>
    <m/>
    <m/>
    <m/>
    <n v="1687.4946650284312"/>
    <m/>
    <m/>
    <m/>
    <m/>
    <m/>
    <m/>
    <m/>
    <m/>
    <m/>
    <m/>
    <m/>
    <m/>
    <n v="3402.4740000000002"/>
    <n v="-1737.9723199999999"/>
    <m/>
    <m/>
    <m/>
    <m/>
    <n v="-1827.2537799999998"/>
    <n v="91.686660000000046"/>
    <n v="30"/>
    <n v="101.13367298498224"/>
    <n v="0"/>
    <n v="0"/>
    <n v="0"/>
    <n v="0"/>
    <n v="0"/>
    <n v="0"/>
    <n v="0"/>
    <n v="-3.1900647483814737"/>
    <n v="0"/>
    <n v="0"/>
    <n v="91.6455435788871"/>
    <n v="0"/>
    <n v="0"/>
    <n v="0.5323713672273005"/>
    <n v="12.950419413660285"/>
    <n v="0"/>
    <n v="0"/>
    <m/>
    <n v="0"/>
    <n v="0"/>
    <n v="0"/>
    <n v="0"/>
    <n v="0"/>
    <n v="-0.80459662641097474"/>
    <n v="0"/>
    <n v="0"/>
    <m/>
    <m/>
    <m/>
    <n v="2734.6022937035045"/>
    <n v="0"/>
    <n v="0"/>
    <n v="-1827.2537799999996"/>
    <n v="91.686660000000074"/>
    <n v="0"/>
    <n v="0"/>
    <n v="-1836.7630891199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20"/>
    <s v="Regular"/>
    <s v="Convencional"/>
    <s v="B3"/>
    <s v="Industrial"/>
    <s v="Não se aplica"/>
    <s v="Não se aplica"/>
    <s v="Não se aplica"/>
    <s v="Não se aplica"/>
    <s v="CATIVO"/>
    <x v="11"/>
    <n v="0"/>
    <n v="0"/>
    <n v="66.831999999999994"/>
    <n v="66.831999999999994"/>
    <n v="66.831999999999994"/>
    <n v="66.831999999999994"/>
    <m/>
    <n v="710.91"/>
    <n v="256.55"/>
    <m/>
    <n v="64657.286719999989"/>
    <n v="64657.286719999989"/>
    <n v="44137.857759999999"/>
    <n v="0"/>
    <n v="4108.4759071887702"/>
    <n v="0"/>
    <n v="0"/>
    <n v="0"/>
    <n v="8225.8690081389559"/>
    <n v="31872.853242551901"/>
    <n v="17145.918132396499"/>
    <n v="0"/>
    <n v="0"/>
    <n v="0"/>
    <n v="0"/>
    <n v="0"/>
    <n v="635.18895530236443"/>
    <m/>
    <n v="146.75001612273459"/>
    <n v="0"/>
    <n v="0"/>
    <n v="0"/>
    <n v="0"/>
    <n v="0"/>
    <n v="0"/>
    <n v="0"/>
    <n v="0"/>
    <n v="0"/>
    <n v="0"/>
    <n v="0"/>
    <n v="0"/>
    <m/>
    <n v="0"/>
    <n v="0"/>
    <n v="99.601088302279749"/>
    <n v="0"/>
    <n v="0"/>
    <n v="2422.8873808324543"/>
    <n v="0"/>
    <n v="121.95"/>
    <n v="475.75"/>
    <n v="9263.7800000000007"/>
    <n v="42"/>
    <m/>
    <m/>
    <m/>
    <m/>
    <m/>
    <m/>
    <m/>
    <m/>
    <m/>
    <n v="19668.406601531231"/>
    <m/>
    <m/>
    <m/>
    <m/>
    <m/>
    <m/>
    <m/>
    <m/>
    <m/>
    <m/>
    <m/>
    <m/>
    <n v="44136.536899999999"/>
    <n v="-20520.779819999996"/>
    <m/>
    <m/>
    <m/>
    <m/>
    <n v="-21588.072639999999"/>
    <n v="1068.6436800000006"/>
    <n v="30"/>
    <n v="888.41689919526107"/>
    <n v="0"/>
    <n v="0"/>
    <n v="0"/>
    <n v="0"/>
    <n v="0"/>
    <n v="0"/>
    <n v="0"/>
    <n v="-37.181445284936672"/>
    <n v="0"/>
    <n v="0"/>
    <n v="1068.1644521214148"/>
    <n v="0"/>
    <n v="0"/>
    <n v="6.2049953286597486"/>
    <n v="150.94217479137478"/>
    <n v="0"/>
    <n v="-255.4808640164224"/>
    <m/>
    <n v="0"/>
    <n v="0"/>
    <n v="0"/>
    <n v="0"/>
    <n v="-34.854527149724959"/>
    <n v="-9.3778865950991133"/>
    <n v="0"/>
    <n v="0"/>
    <m/>
    <m/>
    <m/>
    <n v="31872.853242551901"/>
    <n v="0"/>
    <n v="0"/>
    <n v="-21588.072639999999"/>
    <n v="1068.643680000001"/>
    <n v="0"/>
    <n v="0"/>
    <n v="-21408.18813604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21"/>
    <s v="Sistema de Compensação"/>
    <s v="Convencional"/>
    <s v="B3"/>
    <s v="Industrial"/>
    <s v="Não se aplica"/>
    <s v="Não se aplica"/>
    <s v="Não se aplica"/>
    <s v="Não se aplica"/>
    <s v="CATIVO"/>
    <x v="11"/>
    <n v="0"/>
    <n v="0"/>
    <n v="8.3610000000000007"/>
    <n v="8.3610000000000007"/>
    <n v="8.3610000000000007"/>
    <n v="8.3610000000000007"/>
    <m/>
    <n v="710.91"/>
    <n v="256.55"/>
    <m/>
    <n v="8088.9330600000012"/>
    <n v="8088.9330600000012"/>
    <n v="5521.855230000001"/>
    <n v="0"/>
    <n v="513.98981116838206"/>
    <n v="0"/>
    <n v="0"/>
    <n v="0"/>
    <n v="1029.0952055459934"/>
    <n v="3987.4450257507851"/>
    <n v="2145.0356342016871"/>
    <n v="0"/>
    <n v="0"/>
    <n v="0"/>
    <n v="0"/>
    <n v="0"/>
    <n v="79.465149259083518"/>
    <m/>
    <n v="18.359122647866052"/>
    <n v="0"/>
    <n v="0"/>
    <n v="0"/>
    <n v="0"/>
    <n v="0"/>
    <n v="0"/>
    <n v="0"/>
    <n v="0"/>
    <n v="0"/>
    <n v="0"/>
    <n v="0"/>
    <n v="0"/>
    <m/>
    <n v="0"/>
    <n v="0"/>
    <n v="12.46056828009578"/>
    <n v="0"/>
    <n v="0"/>
    <n v="303.11469641998076"/>
    <n v="0"/>
    <n v="16.68"/>
    <n v="65.040000000000006"/>
    <n v="2154.7199999999998"/>
    <n v="6"/>
    <m/>
    <m/>
    <m/>
    <m/>
    <m/>
    <m/>
    <m/>
    <m/>
    <m/>
    <n v="2460.6108989017634"/>
    <m/>
    <m/>
    <m/>
    <m/>
    <m/>
    <m/>
    <m/>
    <m/>
    <m/>
    <m/>
    <m/>
    <m/>
    <n v="5521.1947999999993"/>
    <n v="-2567.7682600000026"/>
    <m/>
    <m/>
    <m/>
    <m/>
    <n v="-2700.7702199999999"/>
    <n v="133.69239000000007"/>
    <n v="30"/>
    <n v="111.14516540237582"/>
    <n v="0"/>
    <n v="0"/>
    <n v="0"/>
    <n v="0"/>
    <n v="0"/>
    <n v="0"/>
    <n v="0"/>
    <n v="-4.6515750542757814"/>
    <n v="0"/>
    <n v="0"/>
    <n v="133.63243632073136"/>
    <n v="0"/>
    <n v="0"/>
    <n v="0.77627432880841774"/>
    <n v="18.883581569168712"/>
    <n v="0"/>
    <n v="-31.961867130136852"/>
    <m/>
    <n v="0"/>
    <n v="0"/>
    <n v="0"/>
    <n v="0"/>
    <n v="-4.3604665654005572"/>
    <n v="-1.1732180665193859"/>
    <n v="0"/>
    <n v="0"/>
    <m/>
    <m/>
    <m/>
    <n v="3987.4450257507851"/>
    <n v="0"/>
    <n v="0"/>
    <n v="-2700.7702200000003"/>
    <n v="133.69239000000016"/>
    <n v="0"/>
    <n v="0"/>
    <n v="-2678.2658158583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22"/>
    <s v="Regular"/>
    <s v="Verde"/>
    <s v="A4"/>
    <s v="Industrial"/>
    <s v="Não se aplica"/>
    <s v="Não se aplica"/>
    <s v="Não se aplica"/>
    <s v="Ponta"/>
    <s v="CATIVO"/>
    <x v="11"/>
    <n v="0"/>
    <n v="0"/>
    <n v="6.0490000000000004"/>
    <n v="6.0490000000000004"/>
    <n v="6.0490000000000004"/>
    <n v="6.0490000000000004"/>
    <m/>
    <n v="3130.62"/>
    <n v="256.55"/>
    <m/>
    <n v="20488.991330000001"/>
    <n v="20488.991330000001"/>
    <n v="10783.12887"/>
    <n v="0"/>
    <n v="323.51850256537045"/>
    <n v="0"/>
    <n v="0"/>
    <n v="0"/>
    <n v="3896.8493201934334"/>
    <n v="14542.695262599453"/>
    <n v="1551.8862039571827"/>
    <n v="0"/>
    <n v="0"/>
    <n v="0"/>
    <n v="0"/>
    <n v="0"/>
    <n v="57.491291456547799"/>
    <m/>
    <n v="8.1604336636343024"/>
    <n v="0"/>
    <n v="0"/>
    <n v="0"/>
    <n v="0"/>
    <n v="0"/>
    <n v="0"/>
    <n v="0"/>
    <n v="0"/>
    <n v="0"/>
    <n v="0"/>
    <n v="0"/>
    <n v="0"/>
    <m/>
    <n v="0"/>
    <n v="0"/>
    <n v="7.4525205388805462"/>
    <n v="0"/>
    <n v="0"/>
    <n v="100.95350430725398"/>
    <n v="0"/>
    <n v="0"/>
    <n v="0"/>
    <n v="0"/>
    <n v="0"/>
    <m/>
    <m/>
    <m/>
    <m/>
    <m/>
    <m/>
    <m/>
    <m/>
    <m/>
    <n v="1660.2922288033171"/>
    <m/>
    <m/>
    <m/>
    <m/>
    <m/>
    <m/>
    <m/>
    <m/>
    <m/>
    <m/>
    <m/>
    <m/>
    <n v="10784.9115"/>
    <n v="-9704.1098299999958"/>
    <m/>
    <m/>
    <m/>
    <m/>
    <n v="-9802.5859700000001"/>
    <n v="96.723510000000061"/>
    <n v="30"/>
    <n v="62.025848285960819"/>
    <n v="0"/>
    <n v="0"/>
    <n v="0"/>
    <n v="0"/>
    <n v="0"/>
    <n v="0"/>
    <n v="0"/>
    <n v="-17.614004020618268"/>
    <n v="0"/>
    <n v="0"/>
    <n v="96.680134828860901"/>
    <n v="0"/>
    <n v="0"/>
    <n v="0.46428062101242507"/>
    <n v="6.2892487754473478"/>
    <n v="0"/>
    <n v="-20.117627175585824"/>
    <m/>
    <n v="0"/>
    <n v="0"/>
    <n v="0"/>
    <n v="0"/>
    <n v="-3.154701860316699"/>
    <n v="-0.52148288283927791"/>
    <n v="0"/>
    <n v="0"/>
    <m/>
    <m/>
    <m/>
    <n v="14542.695262599453"/>
    <n v="0"/>
    <n v="0"/>
    <n v="-9802.5859700000001"/>
    <n v="96.723510000000033"/>
    <n v="0"/>
    <n v="0"/>
    <n v="-9767.9600196947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23"/>
    <s v="Sistema de Compensação"/>
    <s v="Verde"/>
    <s v="A4"/>
    <s v="Industrial"/>
    <s v="Não se aplica"/>
    <s v="Não se aplica"/>
    <s v="Não se aplica"/>
    <s v="Ponta"/>
    <s v="CATIVO"/>
    <x v="11"/>
    <n v="0"/>
    <n v="0"/>
    <n v="1.3720000000000001"/>
    <n v="1.3720000000000001"/>
    <n v="1.3720000000000001"/>
    <n v="1.3720000000000001"/>
    <m/>
    <n v="3130.62"/>
    <n v="256.55"/>
    <m/>
    <n v="4647.1972400000004"/>
    <n v="4647.1972400000004"/>
    <n v="2445.76836"/>
    <n v="0"/>
    <n v="73.378638703866471"/>
    <n v="0"/>
    <n v="0"/>
    <n v="0"/>
    <n v="883.86134357834192"/>
    <n v="3298.4919656615057"/>
    <n v="351.99005981637538"/>
    <n v="0"/>
    <n v="0"/>
    <n v="0"/>
    <n v="0"/>
    <n v="0"/>
    <n v="13.039849872439012"/>
    <m/>
    <n v="1.8509034528858095"/>
    <n v="0"/>
    <n v="0"/>
    <n v="0"/>
    <n v="0"/>
    <n v="0"/>
    <n v="0"/>
    <n v="0"/>
    <n v="0"/>
    <n v="0"/>
    <n v="0"/>
    <n v="0"/>
    <n v="0"/>
    <m/>
    <n v="0"/>
    <n v="0"/>
    <n v="1.6903385980069614"/>
    <n v="0"/>
    <n v="0"/>
    <n v="22.897703407100753"/>
    <n v="0"/>
    <n v="0"/>
    <n v="0"/>
    <n v="0"/>
    <n v="0"/>
    <m/>
    <m/>
    <m/>
    <m/>
    <m/>
    <m/>
    <m/>
    <m/>
    <m/>
    <n v="376.57810182148313"/>
    <m/>
    <m/>
    <m/>
    <m/>
    <m/>
    <m/>
    <m/>
    <m/>
    <m/>
    <m/>
    <m/>
    <m/>
    <n v="2442.2031000000002"/>
    <n v="-2205.0241400000009"/>
    <m/>
    <m/>
    <m/>
    <m/>
    <n v="-2223.3671600000002"/>
    <n v="21.938280000000013"/>
    <n v="30"/>
    <n v="14.068352429879042"/>
    <n v="0"/>
    <n v="0"/>
    <n v="0"/>
    <n v="0"/>
    <n v="0"/>
    <n v="0"/>
    <n v="0"/>
    <n v="-3.9951088636613576"/>
    <n v="0"/>
    <n v="0"/>
    <n v="21.928441888774557"/>
    <n v="0"/>
    <n v="0"/>
    <n v="0.1053055070307567"/>
    <n v="1.4264918697162763"/>
    <n v="0"/>
    <n v="-4.5629665208966372"/>
    <m/>
    <n v="0"/>
    <n v="0"/>
    <n v="0"/>
    <n v="0"/>
    <n v="-0.71553165024872101"/>
    <n v="-0.11827980083575595"/>
    <n v="0"/>
    <n v="0"/>
    <m/>
    <m/>
    <m/>
    <n v="3298.4919656615057"/>
    <n v="0"/>
    <n v="0"/>
    <n v="-2223.3671600000002"/>
    <n v="21.938279999999963"/>
    <n v="0"/>
    <n v="0"/>
    <n v="-2215.5134976064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24"/>
    <s v="Regular"/>
    <s v="Verde"/>
    <s v="A4"/>
    <s v="Industrial"/>
    <s v="Não se aplica"/>
    <s v="Não se aplica"/>
    <s v="Não se aplica"/>
    <s v="Fora ponta"/>
    <s v="CATIVO"/>
    <x v="11"/>
    <n v="0"/>
    <n v="0"/>
    <n v="198.87200000000001"/>
    <n v="198.87200000000001"/>
    <n v="198.87200000000001"/>
    <n v="198.87200000000001"/>
    <m/>
    <n v="82.26"/>
    <n v="256.55"/>
    <m/>
    <n v="67379.822320000007"/>
    <n v="67379.822320000007"/>
    <n v="69998.966560000001"/>
    <n v="0"/>
    <n v="10636.265769909134"/>
    <n v="0"/>
    <n v="0"/>
    <n v="0"/>
    <n v="0"/>
    <n v="0"/>
    <n v="51021.113101896655"/>
    <n v="0"/>
    <n v="0"/>
    <n v="0"/>
    <n v="0"/>
    <n v="0"/>
    <n v="1890.1319415682881"/>
    <m/>
    <n v="268.28926492879498"/>
    <n v="0"/>
    <n v="0"/>
    <n v="0"/>
    <n v="0"/>
    <n v="0"/>
    <n v="0"/>
    <n v="0"/>
    <n v="0"/>
    <n v="0"/>
    <n v="0"/>
    <n v="0"/>
    <n v="0"/>
    <m/>
    <n v="0"/>
    <n v="0"/>
    <n v="245.01531899623939"/>
    <n v="0"/>
    <n v="0"/>
    <n v="3319.0321224321729"/>
    <n v="0"/>
    <n v="0"/>
    <n v="0"/>
    <n v="0"/>
    <n v="0"/>
    <m/>
    <m/>
    <m/>
    <m/>
    <m/>
    <m/>
    <m/>
    <m/>
    <m/>
    <n v="54585.160543325066"/>
    <m/>
    <m/>
    <m/>
    <m/>
    <m/>
    <m/>
    <m/>
    <m/>
    <m/>
    <m/>
    <m/>
    <m/>
    <n v="69998.262600000002"/>
    <n v="2618.4102799999964"/>
    <m/>
    <m/>
    <m/>
    <m/>
    <n v="-560.81904000000156"/>
    <n v="3179.9632800000022"/>
    <n v="30"/>
    <n v="2618.3066139715665"/>
    <n v="0"/>
    <n v="0"/>
    <n v="0"/>
    <n v="0"/>
    <n v="0"/>
    <n v="0"/>
    <n v="0"/>
    <n v="0"/>
    <n v="0"/>
    <n v="0"/>
    <n v="3178.537241475482"/>
    <n v="0"/>
    <n v="0"/>
    <n v="15.26407929607916"/>
    <n v="206.77062034563778"/>
    <n v="0"/>
    <n v="-661.40399267037537"/>
    <m/>
    <n v="0"/>
    <n v="0"/>
    <n v="0"/>
    <n v="0"/>
    <n v="-103.71662561826793"/>
    <n v="-17.144708857003252"/>
    <n v="0"/>
    <n v="0"/>
    <m/>
    <m/>
    <m/>
    <n v="0"/>
    <n v="0"/>
    <n v="0"/>
    <n v="-560.81904000000213"/>
    <n v="3179.9632800000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25"/>
    <s v="Sistema de Compensação"/>
    <s v="Verde"/>
    <s v="A4"/>
    <s v="Industrial"/>
    <s v="Não se aplica"/>
    <s v="Não se aplica"/>
    <s v="Não se aplica"/>
    <s v="Fora ponta"/>
    <s v="CATIVO"/>
    <x v="11"/>
    <n v="0"/>
    <n v="0"/>
    <n v="23.69"/>
    <n v="23.69"/>
    <n v="23.69"/>
    <n v="23.69"/>
    <m/>
    <n v="82.26"/>
    <n v="256.55"/>
    <m/>
    <n v="8026.4089000000013"/>
    <n v="8026.4089000000013"/>
    <n v="8338.4062000000013"/>
    <n v="0"/>
    <n v="1267.0116260164698"/>
    <n v="0"/>
    <n v="0"/>
    <n v="0"/>
    <n v="0"/>
    <n v="0"/>
    <n v="6077.7292398323125"/>
    <n v="0"/>
    <n v="0"/>
    <n v="0"/>
    <n v="0"/>
    <n v="0"/>
    <n v="225.15600836594766"/>
    <m/>
    <n v="31.959112827160954"/>
    <n v="0"/>
    <n v="0"/>
    <n v="0"/>
    <n v="0"/>
    <n v="0"/>
    <n v="0"/>
    <n v="0"/>
    <n v="0"/>
    <n v="0"/>
    <n v="0"/>
    <n v="0"/>
    <n v="0"/>
    <m/>
    <n v="0"/>
    <n v="0"/>
    <n v="29.186677395615828"/>
    <n v="0"/>
    <n v="0"/>
    <n v="395.36923740103265"/>
    <n v="0"/>
    <n v="0"/>
    <n v="0"/>
    <n v="0"/>
    <n v="0"/>
    <m/>
    <m/>
    <m/>
    <m/>
    <m/>
    <m/>
    <m/>
    <m/>
    <m/>
    <n v="6502.2851546289612"/>
    <m/>
    <m/>
    <m/>
    <m/>
    <m/>
    <m/>
    <m/>
    <m/>
    <m/>
    <m/>
    <m/>
    <m/>
    <n v="8338.4062000000013"/>
    <n v="311.96730000000025"/>
    <m/>
    <m/>
    <m/>
    <m/>
    <n v="-66.805800000000175"/>
    <n v="378.80310000000026"/>
    <n v="30"/>
    <n v="311.89752044021316"/>
    <n v="0"/>
    <n v="0"/>
    <n v="0"/>
    <n v="0"/>
    <n v="0"/>
    <n v="0"/>
    <n v="0"/>
    <n v="0"/>
    <n v="0"/>
    <n v="0"/>
    <n v="378.63322765675548"/>
    <n v="0"/>
    <n v="0"/>
    <n v="1.8182853218357309"/>
    <n v="24.630898246048559"/>
    <n v="0"/>
    <n v="-78.787665364461645"/>
    <m/>
    <n v="0"/>
    <n v="0"/>
    <n v="0"/>
    <n v="0"/>
    <n v="-12.354916030898096"/>
    <n v="-2.0423093890663715"/>
    <n v="0"/>
    <n v="0"/>
    <m/>
    <m/>
    <m/>
    <n v="0"/>
    <n v="0"/>
    <n v="0"/>
    <n v="-66.80580000000009"/>
    <n v="378.8031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26"/>
    <s v="Regular"/>
    <s v="Verde"/>
    <s v="A4"/>
    <s v="Industrial"/>
    <s v="Não se aplica"/>
    <s v="Não se aplica"/>
    <s v="Não se aplica"/>
    <s v="Não se aplica"/>
    <s v="CATIVO"/>
    <x v="11"/>
    <n v="1536"/>
    <n v="1536"/>
    <n v="0"/>
    <n v="0"/>
    <n v="0"/>
    <n v="0"/>
    <n v="47.39"/>
    <m/>
    <m/>
    <n v="72791.040000000008"/>
    <m/>
    <n v="72791.040000000008"/>
    <n v="49489.919999999998"/>
    <n v="0"/>
    <n v="0"/>
    <n v="0"/>
    <n v="0"/>
    <n v="0"/>
    <n v="38354.073875659313"/>
    <n v="34436.9160894405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63.92"/>
    <n v="1412.88"/>
    <n v="25898.41"/>
    <n v="10"/>
    <m/>
    <m/>
    <m/>
    <m/>
    <m/>
    <m/>
    <m/>
    <m/>
    <m/>
    <n v="0"/>
    <m/>
    <m/>
    <m/>
    <m/>
    <m/>
    <m/>
    <m/>
    <m/>
    <m/>
    <m/>
    <m/>
    <m/>
    <n v="49489.919999999998"/>
    <n v="-23301.149999999994"/>
    <m/>
    <m/>
    <m/>
    <m/>
    <n v="-23301.120000000003"/>
    <n v="0"/>
    <n v="30"/>
    <n v="-173.36282620738348"/>
    <n v="0"/>
    <n v="0"/>
    <n v="0"/>
    <n v="0"/>
    <m/>
    <m/>
    <m/>
    <n v="-173.362826207383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436.916089440507"/>
    <m/>
    <n v="0"/>
    <n v="0"/>
    <n v="-23301.12000000001"/>
    <m/>
    <n v="0"/>
    <m/>
    <n v="-23130.404198754626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27"/>
    <s v="Sistema de Compensação"/>
    <s v="Verde"/>
    <s v="A4"/>
    <s v="Industrial"/>
    <s v="Não se aplica"/>
    <s v="Não se aplica"/>
    <s v="Não se aplica"/>
    <s v="Não se aplica"/>
    <s v="CATIVO"/>
    <x v="11"/>
    <n v="793"/>
    <n v="793"/>
    <n v="0"/>
    <n v="0"/>
    <n v="0"/>
    <n v="0"/>
    <n v="47.39"/>
    <m/>
    <m/>
    <n v="37580.270000000004"/>
    <m/>
    <n v="37580.270000000004"/>
    <n v="25550.46"/>
    <n v="0"/>
    <n v="0"/>
    <n v="0"/>
    <n v="0"/>
    <n v="0"/>
    <n v="19801.289442316302"/>
    <n v="17778.9547258634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3.36"/>
    <n v="441.54"/>
    <n v="8649.2000000000007"/>
    <n v="5"/>
    <m/>
    <m/>
    <m/>
    <m/>
    <m/>
    <m/>
    <m/>
    <m/>
    <m/>
    <n v="0"/>
    <m/>
    <m/>
    <m/>
    <m/>
    <m/>
    <m/>
    <m/>
    <m/>
    <m/>
    <m/>
    <m/>
    <m/>
    <n v="25550.46"/>
    <n v="-12029.840000000011"/>
    <m/>
    <m/>
    <m/>
    <m/>
    <n v="-12029.810000000001"/>
    <n v="0"/>
    <n v="30"/>
    <n v="-89.503073686497373"/>
    <n v="0"/>
    <n v="0"/>
    <n v="0"/>
    <n v="0"/>
    <m/>
    <m/>
    <m/>
    <n v="-89.50307368649737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778.954725863492"/>
    <m/>
    <n v="0"/>
    <n v="0"/>
    <n v="-12029.810000000005"/>
    <m/>
    <n v="0"/>
    <m/>
    <n v="-11941.673521883087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28"/>
    <s v="Regular"/>
    <s v="Convencional"/>
    <s v="B3"/>
    <s v="Comercial"/>
    <s v="Não se aplica"/>
    <s v="Não se aplica"/>
    <s v="Não se aplica"/>
    <s v="Não se aplica"/>
    <s v="CATIVO"/>
    <x v="11"/>
    <n v="0"/>
    <n v="0"/>
    <n v="412.81400000000002"/>
    <n v="412.81400000000002"/>
    <n v="412.81400000000002"/>
    <n v="412.81400000000002"/>
    <m/>
    <n v="710.91"/>
    <n v="256.55"/>
    <m/>
    <n v="399381.03244000004"/>
    <n v="399381.03244000004"/>
    <n v="272634.75002000004"/>
    <n v="0"/>
    <n v="25377.609126619362"/>
    <n v="0"/>
    <n v="0"/>
    <n v="0"/>
    <n v="50810.29878988921"/>
    <n v="196875.15020455504"/>
    <n v="105908.47270629533"/>
    <n v="0"/>
    <n v="0"/>
    <n v="0"/>
    <n v="0"/>
    <n v="0"/>
    <n v="3923.4931379307859"/>
    <m/>
    <n v="906.45889926518078"/>
    <n v="0"/>
    <n v="0"/>
    <n v="0"/>
    <n v="0"/>
    <n v="0"/>
    <n v="0"/>
    <n v="0"/>
    <n v="0"/>
    <n v="0"/>
    <n v="0"/>
    <n v="0"/>
    <n v="0"/>
    <m/>
    <n v="0"/>
    <n v="0"/>
    <n v="615.22509675630408"/>
    <n v="0"/>
    <n v="0"/>
    <n v="14965.912006687948"/>
    <n v="0"/>
    <n v="713"/>
    <n v="2794.41"/>
    <n v="92043.67"/>
    <n v="967"/>
    <m/>
    <m/>
    <m/>
    <m/>
    <m/>
    <m/>
    <m/>
    <m/>
    <m/>
    <n v="121489.60980973957"/>
    <m/>
    <m/>
    <m/>
    <m/>
    <m/>
    <m/>
    <m/>
    <m/>
    <m/>
    <m/>
    <m/>
    <m/>
    <n v="272632.10830000002"/>
    <n v="-126748.95414000005"/>
    <m/>
    <m/>
    <m/>
    <m/>
    <n v="-133347.17827999999"/>
    <n v="6600.8958600000042"/>
    <n v="30"/>
    <n v="5487.6546238986193"/>
    <n v="0"/>
    <n v="0"/>
    <n v="0"/>
    <n v="0"/>
    <n v="0"/>
    <n v="0"/>
    <n v="0"/>
    <n v="-229.66574625712383"/>
    <n v="0"/>
    <n v="0"/>
    <n v="6597.9357214814518"/>
    <n v="0"/>
    <n v="0"/>
    <n v="38.327581721411093"/>
    <n v="932.35340771376832"/>
    <n v="0"/>
    <n v="-1578.077528699956"/>
    <m/>
    <n v="0"/>
    <n v="0"/>
    <n v="0"/>
    <n v="0"/>
    <n v="-215.29262584969047"/>
    <n v="-57.926186211234722"/>
    <n v="0"/>
    <n v="0"/>
    <m/>
    <m/>
    <m/>
    <n v="196875.15020455504"/>
    <n v="0"/>
    <n v="0"/>
    <n v="-133347.17828000002"/>
    <n v="6600.8958600000042"/>
    <n v="0"/>
    <n v="0"/>
    <n v="-132236.05125077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29"/>
    <s v="Refaturamento - Regular"/>
    <s v="Convencional"/>
    <s v="B3"/>
    <s v="Comercial"/>
    <s v="Não se aplica"/>
    <s v="Não se aplica"/>
    <s v="Não se aplica"/>
    <s v="Não se aplica"/>
    <s v="CATIVO"/>
    <x v="11"/>
    <n v="0"/>
    <n v="0"/>
    <n v="-1.36"/>
    <n v="-1.36"/>
    <n v="-1.36"/>
    <n v="-1.36"/>
    <m/>
    <n v="710.91"/>
    <n v="256.55"/>
    <m/>
    <n v="-1315.7456000000002"/>
    <n v="-1315.7456000000002"/>
    <n v="-898.1848"/>
    <n v="0"/>
    <n v="-83.605566701231865"/>
    <n v="0"/>
    <n v="0"/>
    <n v="0"/>
    <n v="-167.39259413258591"/>
    <n v="-648.59768389200667"/>
    <n v="-348.91142955559076"/>
    <n v="0"/>
    <n v="0"/>
    <n v="0"/>
    <n v="0"/>
    <n v="0"/>
    <n v="-12.925798707373948"/>
    <m/>
    <n v="-2.9862943189926843"/>
    <n v="0"/>
    <n v="0"/>
    <n v="0"/>
    <n v="0"/>
    <n v="0"/>
    <n v="0"/>
    <n v="0"/>
    <n v="0"/>
    <n v="0"/>
    <n v="0"/>
    <n v="0"/>
    <n v="0"/>
    <m/>
    <n v="0"/>
    <n v="0"/>
    <n v="-2.0268356489570936"/>
    <n v="0"/>
    <n v="0"/>
    <n v="-49.304627093789477"/>
    <n v="0"/>
    <n v="-8.0399999999999991"/>
    <n v="-12.24"/>
    <n v="-342.26"/>
    <n v="0"/>
    <m/>
    <m/>
    <m/>
    <m/>
    <m/>
    <m/>
    <m/>
    <m/>
    <m/>
    <n v="-400.24289229833732"/>
    <m/>
    <m/>
    <m/>
    <m/>
    <m/>
    <m/>
    <m/>
    <m/>
    <m/>
    <m/>
    <m/>
    <m/>
    <n v="-898.1848"/>
    <n v="417.53080000000023"/>
    <m/>
    <m/>
    <m/>
    <m/>
    <n v="439.30720000000002"/>
    <n v="-21.746400000000015"/>
    <n v="30"/>
    <n v="-18.078869148096032"/>
    <n v="0"/>
    <n v="0"/>
    <n v="0"/>
    <n v="0"/>
    <n v="0"/>
    <n v="0"/>
    <n v="0"/>
    <n v="0.75662505367958488"/>
    <n v="0"/>
    <n v="0"/>
    <n v="-21.736647936394604"/>
    <n v="0"/>
    <n v="0"/>
    <n v="-0.12626875818436156"/>
    <n v="-3.0716027908228085"/>
    <n v="0"/>
    <n v="5.1989163134775964"/>
    <m/>
    <n v="0"/>
    <n v="0"/>
    <n v="0"/>
    <n v="0"/>
    <n v="0.70927335593167662"/>
    <n v="0.19083561421676443"/>
    <n v="0"/>
    <n v="0"/>
    <m/>
    <m/>
    <m/>
    <n v="-648.59768389200667"/>
    <n v="0"/>
    <n v="0"/>
    <n v="439.30720000000008"/>
    <n v="-21.746400000000051"/>
    <n v="0"/>
    <n v="0"/>
    <n v="435.64663432212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30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28.498999999999999"/>
    <n v="28.498999999999999"/>
    <n v="28.498999999999999"/>
    <n v="28.498999999999999"/>
    <m/>
    <n v="710.91"/>
    <n v="256.55"/>
    <m/>
    <n v="27571.642540000001"/>
    <n v="27571.642540000001"/>
    <n v="18821.594570000001"/>
    <n v="0"/>
    <n v="1751.966945160593"/>
    <n v="0"/>
    <n v="0"/>
    <n v="0"/>
    <n v="3507.7364266062982"/>
    <n v="13591.459847969336"/>
    <n v="7311.4903168417504"/>
    <n v="0"/>
    <n v="0"/>
    <n v="0"/>
    <n v="0"/>
    <n v="0"/>
    <n v="270.86201276577214"/>
    <m/>
    <n v="62.578236615420956"/>
    <n v="0"/>
    <n v="0"/>
    <n v="0"/>
    <n v="0"/>
    <n v="0"/>
    <n v="0"/>
    <n v="0"/>
    <n v="0"/>
    <n v="0"/>
    <n v="0"/>
    <n v="0"/>
    <n v="0"/>
    <m/>
    <n v="0"/>
    <n v="0"/>
    <n v="42.472639087961916"/>
    <n v="0"/>
    <n v="0"/>
    <n v="1033.1857114308134"/>
    <n v="0"/>
    <n v="54.14"/>
    <n v="211.55"/>
    <n v="11343.36"/>
    <n v="45"/>
    <m/>
    <m/>
    <m/>
    <m/>
    <m/>
    <m/>
    <m/>
    <m/>
    <m/>
    <n v="8387.1486673605268"/>
    <m/>
    <m/>
    <m/>
    <m/>
    <m/>
    <m/>
    <m/>
    <m/>
    <m/>
    <m/>
    <m/>
    <m/>
    <n v="18822.255000000001"/>
    <n v="-8749.4175399999949"/>
    <m/>
    <m/>
    <m/>
    <m/>
    <n v="-9205.7469799999999"/>
    <n v="455.69901000000021"/>
    <n v="30"/>
    <n v="378.84536165558166"/>
    <n v="0"/>
    <n v="0"/>
    <n v="0"/>
    <n v="0"/>
    <n v="0"/>
    <n v="0"/>
    <n v="0"/>
    <n v="-15.855189268246249"/>
    <n v="0"/>
    <n v="0"/>
    <n v="455.49465407302068"/>
    <n v="0"/>
    <n v="0"/>
    <n v="2.6459803966883229"/>
    <n v="64.365888187984638"/>
    <n v="0"/>
    <n v="-108.94405589543953"/>
    <m/>
    <n v="0"/>
    <n v="0"/>
    <n v="0"/>
    <n v="0"/>
    <n v="-14.862927478453571"/>
    <n v="-3.998988359973211"/>
    <n v="0"/>
    <n v="0"/>
    <m/>
    <m/>
    <m/>
    <n v="13591.459847969336"/>
    <n v="0"/>
    <n v="0"/>
    <n v="-9205.7469799999999"/>
    <n v="455.69901000000027"/>
    <n v="0"/>
    <n v="0"/>
    <n v="-9129.0392879016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31"/>
    <s v="Regular"/>
    <s v="Verde"/>
    <s v="A4"/>
    <s v="Comercial"/>
    <s v="Não se aplica"/>
    <s v="Não se aplica"/>
    <s v="Não se aplica"/>
    <s v="Ponta"/>
    <s v="CATIVO"/>
    <x v="11"/>
    <n v="0"/>
    <n v="0"/>
    <n v="12.417999999999999"/>
    <n v="12.417999999999999"/>
    <n v="12.417999999999999"/>
    <n v="12.417999999999999"/>
    <m/>
    <n v="3130.62"/>
    <n v="256.55"/>
    <m/>
    <n v="42061.877059999992"/>
    <n v="42061.877059999992"/>
    <n v="22136.699339999999"/>
    <n v="0"/>
    <n v="664.15155643193418"/>
    <n v="0"/>
    <n v="0"/>
    <n v="0"/>
    <n v="7999.8470587141755"/>
    <n v="29854.71809736485"/>
    <n v="3185.8692148686218"/>
    <n v="0"/>
    <n v="0"/>
    <n v="0"/>
    <n v="0"/>
    <n v="0"/>
    <n v="118.02394731483064"/>
    <m/>
    <n v="16.752564925609313"/>
    <n v="0"/>
    <n v="0"/>
    <n v="0"/>
    <n v="0"/>
    <n v="0"/>
    <n v="0"/>
    <n v="0"/>
    <n v="0"/>
    <n v="0"/>
    <n v="0"/>
    <n v="0"/>
    <n v="0"/>
    <m/>
    <n v="0"/>
    <n v="0"/>
    <n v="15.299289147267087"/>
    <n v="0"/>
    <n v="0"/>
    <n v="207.24758083773841"/>
    <n v="0"/>
    <n v="0"/>
    <n v="0"/>
    <n v="0"/>
    <n v="0"/>
    <m/>
    <m/>
    <m/>
    <m/>
    <m/>
    <m/>
    <m/>
    <m/>
    <m/>
    <n v="3408.4160848536276"/>
    <m/>
    <m/>
    <m/>
    <m/>
    <m/>
    <m/>
    <m/>
    <m/>
    <m/>
    <m/>
    <m/>
    <m/>
    <n v="22140.264599999999"/>
    <n v="-19921.642459999999"/>
    <m/>
    <m/>
    <m/>
    <m/>
    <n v="-20123.741539999999"/>
    <n v="198.56382000000011"/>
    <n v="30"/>
    <n v="127.33294495206792"/>
    <n v="0"/>
    <n v="0"/>
    <n v="0"/>
    <n v="0"/>
    <n v="0"/>
    <n v="0"/>
    <n v="0"/>
    <n v="-36.15981185783312"/>
    <n v="0"/>
    <n v="0"/>
    <n v="198.47477505452025"/>
    <n v="0"/>
    <n v="0"/>
    <n v="0.95312229322735753"/>
    <n v="12.911207024881008"/>
    <n v="0"/>
    <n v="-41.299503102401218"/>
    <m/>
    <n v="0"/>
    <n v="0"/>
    <n v="0"/>
    <n v="0"/>
    <n v="-6.4762915690879055"/>
    <n v="-1.070552891237913"/>
    <n v="0"/>
    <n v="0"/>
    <m/>
    <m/>
    <m/>
    <n v="29854.71809736485"/>
    <n v="0"/>
    <n v="0"/>
    <n v="-20123.741539999995"/>
    <n v="198.56381999999985"/>
    <n v="0"/>
    <n v="0"/>
    <n v="-20052.65788139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32"/>
    <s v="Sistema de Compensação"/>
    <s v="Verde"/>
    <s v="A4"/>
    <s v="Comercial"/>
    <s v="Não se aplica"/>
    <s v="Não se aplica"/>
    <s v="Não se aplica"/>
    <s v="Ponta"/>
    <s v="CATIVO"/>
    <x v="11"/>
    <n v="0"/>
    <n v="0"/>
    <n v="0.872"/>
    <n v="0.872"/>
    <n v="0.872"/>
    <n v="0.872"/>
    <m/>
    <n v="3130.62"/>
    <n v="256.55"/>
    <m/>
    <n v="2953.6122399999999"/>
    <n v="2953.6122399999999"/>
    <n v="1554.45336"/>
    <n v="0"/>
    <n v="46.637152295751861"/>
    <n v="0"/>
    <n v="0"/>
    <n v="0"/>
    <n v="561.75443994191994"/>
    <n v="2096.4176341522107"/>
    <n v="223.71379895034934"/>
    <n v="0"/>
    <n v="0"/>
    <n v="0"/>
    <n v="0"/>
    <n v="0"/>
    <n v="8.287717994728002"/>
    <m/>
    <n v="1.1763759554784445"/>
    <n v="0"/>
    <n v="0"/>
    <n v="0"/>
    <n v="0"/>
    <n v="0"/>
    <n v="0"/>
    <n v="0"/>
    <n v="0"/>
    <n v="0"/>
    <n v="0"/>
    <n v="0"/>
    <n v="0"/>
    <m/>
    <n v="0"/>
    <n v="0"/>
    <n v="1.0743259894038413"/>
    <n v="0"/>
    <n v="0"/>
    <n v="14.553059308303101"/>
    <n v="0"/>
    <n v="0"/>
    <n v="0"/>
    <n v="0"/>
    <n v="0"/>
    <m/>
    <m/>
    <m/>
    <m/>
    <m/>
    <m/>
    <m/>
    <m/>
    <m/>
    <n v="239.34118424805627"/>
    <m/>
    <m/>
    <m/>
    <m/>
    <m/>
    <m/>
    <m/>
    <m/>
    <m/>
    <m/>
    <m/>
    <m/>
    <n v="1550.8880999999999"/>
    <n v="-1402.7541400000007"/>
    <m/>
    <m/>
    <m/>
    <m/>
    <n v="-1413.1021599999999"/>
    <n v="13.943280000000009"/>
    <n v="30"/>
    <n v="8.9414018358997964"/>
    <n v="0"/>
    <n v="0"/>
    <n v="0"/>
    <n v="0"/>
    <n v="0"/>
    <n v="0"/>
    <n v="0"/>
    <n v="-2.5391654002279438"/>
    <n v="0"/>
    <n v="0"/>
    <n v="13.937027206276525"/>
    <n v="0"/>
    <n v="0"/>
    <n v="6.6928864526836662E-2"/>
    <n v="0.90663331661267677"/>
    <n v="0"/>
    <n v="-2.9000778471004836"/>
    <m/>
    <n v="0"/>
    <n v="0"/>
    <n v="0"/>
    <n v="0"/>
    <n v="-0.45476938703854586"/>
    <n v="-7.5174917149256171E-2"/>
    <n v="0"/>
    <n v="0"/>
    <m/>
    <m/>
    <m/>
    <n v="2096.4176341522107"/>
    <n v="0"/>
    <n v="0"/>
    <n v="-1413.1021599999999"/>
    <n v="13.943280000000016"/>
    <n v="0"/>
    <n v="0"/>
    <n v="-1408.1106194699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33"/>
    <s v="Regular"/>
    <s v="Verde"/>
    <s v="A4"/>
    <s v="Comercial"/>
    <s v="Não se aplica"/>
    <s v="Não se aplica"/>
    <s v="Não se aplica"/>
    <s v="Fora ponta"/>
    <s v="CATIVO"/>
    <x v="11"/>
    <n v="0"/>
    <n v="0"/>
    <n v="101.37"/>
    <n v="101.37"/>
    <n v="101.37"/>
    <n v="101.37"/>
    <m/>
    <n v="82.26"/>
    <n v="256.55"/>
    <m/>
    <n v="34345.169700000006"/>
    <n v="34345.169700000006"/>
    <n v="35680.212599999999"/>
    <n v="0"/>
    <n v="5421.5689543811541"/>
    <n v="0"/>
    <n v="0"/>
    <n v="0"/>
    <n v="0"/>
    <n v="0"/>
    <n v="26006.729127978113"/>
    <n v="0"/>
    <n v="0"/>
    <n v="0"/>
    <n v="0"/>
    <n v="0"/>
    <n v="963.44721688713025"/>
    <m/>
    <n v="136.75370482436918"/>
    <n v="0"/>
    <n v="0"/>
    <n v="0"/>
    <n v="0"/>
    <n v="0"/>
    <n v="0"/>
    <n v="0"/>
    <n v="0"/>
    <n v="0"/>
    <n v="0"/>
    <n v="0"/>
    <n v="0"/>
    <m/>
    <n v="0"/>
    <n v="0"/>
    <n v="124.89039626819655"/>
    <n v="0"/>
    <n v="0"/>
    <n v="1691.7931445902357"/>
    <n v="0"/>
    <n v="0"/>
    <n v="0"/>
    <n v="0"/>
    <n v="0"/>
    <m/>
    <m/>
    <m/>
    <m/>
    <m/>
    <m/>
    <m/>
    <m/>
    <m/>
    <n v="27823.412668836547"/>
    <m/>
    <m/>
    <m/>
    <m/>
    <m/>
    <m/>
    <m/>
    <m/>
    <m/>
    <m/>
    <m/>
    <m/>
    <n v="35680.212599999999"/>
    <n v="1335.0128999999943"/>
    <m/>
    <m/>
    <m/>
    <m/>
    <n v="-285.86340000000075"/>
    <n v="1620.906300000001"/>
    <n v="30"/>
    <n v="1334.6159411998524"/>
    <n v="0"/>
    <n v="0"/>
    <n v="0"/>
    <n v="0"/>
    <n v="0"/>
    <n v="0"/>
    <n v="0"/>
    <n v="0"/>
    <n v="0"/>
    <n v="0"/>
    <n v="1620.1794127296453"/>
    <n v="0"/>
    <n v="0"/>
    <n v="7.7804805012447389"/>
    <n v="105.39612305622359"/>
    <n v="0"/>
    <n v="-337.1340497254314"/>
    <m/>
    <n v="0"/>
    <n v="0"/>
    <n v="0"/>
    <n v="0"/>
    <n v="-52.86694124323094"/>
    <n v="-8.7390841186010277"/>
    <n v="0"/>
    <n v="0"/>
    <m/>
    <m/>
    <m/>
    <n v="0"/>
    <n v="0"/>
    <n v="0"/>
    <n v="-285.86340000000018"/>
    <n v="1620.90629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34"/>
    <s v="Sistema de Compensação"/>
    <s v="Verde"/>
    <s v="A4"/>
    <s v="Comercial"/>
    <s v="Não se aplica"/>
    <s v="Não se aplica"/>
    <s v="Não se aplica"/>
    <s v="Fora ponta"/>
    <s v="CATIVO"/>
    <x v="11"/>
    <n v="0"/>
    <n v="0"/>
    <n v="3.11"/>
    <n v="3.11"/>
    <n v="3.11"/>
    <n v="3.11"/>
    <m/>
    <n v="82.26"/>
    <n v="256.55"/>
    <m/>
    <n v="1053.6991"/>
    <n v="1053.6991"/>
    <n v="1094.6578"/>
    <n v="0"/>
    <n v="166.33204545847281"/>
    <n v="0"/>
    <n v="0"/>
    <n v="0"/>
    <n v="0"/>
    <n v="0"/>
    <n v="797.8783425866817"/>
    <n v="0"/>
    <n v="0"/>
    <n v="0"/>
    <n v="0"/>
    <n v="0"/>
    <n v="29.558260279362482"/>
    <m/>
    <n v="4.1955610338738101"/>
    <n v="0"/>
    <n v="0"/>
    <n v="0"/>
    <n v="0"/>
    <n v="0"/>
    <n v="0"/>
    <n v="0"/>
    <n v="0"/>
    <n v="0"/>
    <n v="0"/>
    <n v="0"/>
    <n v="0"/>
    <m/>
    <n v="0"/>
    <n v="0"/>
    <n v="3.8315984255114062"/>
    <n v="0"/>
    <n v="0"/>
    <n v="51.903686294521378"/>
    <n v="0"/>
    <n v="0"/>
    <n v="0"/>
    <n v="0"/>
    <n v="0"/>
    <m/>
    <m/>
    <m/>
    <m/>
    <m/>
    <m/>
    <m/>
    <m/>
    <m/>
    <n v="853.61362730671453"/>
    <m/>
    <m/>
    <m/>
    <m/>
    <m/>
    <m/>
    <m/>
    <m/>
    <m/>
    <m/>
    <m/>
    <m/>
    <n v="1094.6578"/>
    <n v="40.928699999999935"/>
    <m/>
    <m/>
    <m/>
    <m/>
    <n v="-8.7702000000000222"/>
    <n v="49.728900000000024"/>
    <n v="30"/>
    <n v="40.945601037107053"/>
    <n v="0"/>
    <n v="0"/>
    <n v="0"/>
    <n v="0"/>
    <n v="0"/>
    <n v="0"/>
    <n v="0"/>
    <n v="0"/>
    <n v="0"/>
    <n v="0"/>
    <n v="49.706599325137631"/>
    <n v="0"/>
    <n v="0"/>
    <n v="0.2387027163743829"/>
    <n v="3.2335202003043904"/>
    <n v="0"/>
    <n v="-10.343167551012044"/>
    <m/>
    <n v="0"/>
    <n v="0"/>
    <n v="0"/>
    <n v="0"/>
    <n v="-1.6219412771672914"/>
    <n v="-0.26811237653003017"/>
    <n v="0"/>
    <n v="0"/>
    <m/>
    <m/>
    <m/>
    <n v="0"/>
    <n v="0"/>
    <n v="0"/>
    <n v="-8.7702000000000169"/>
    <n v="49.728900000000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35"/>
    <s v="Regular"/>
    <s v="Verde"/>
    <s v="A4"/>
    <s v="Comercial"/>
    <s v="Não se aplica"/>
    <s v="Não se aplica"/>
    <s v="Não se aplica"/>
    <s v="Não se aplica"/>
    <s v="CATIVO"/>
    <x v="11"/>
    <n v="721"/>
    <n v="721"/>
    <n v="0"/>
    <n v="0"/>
    <n v="0"/>
    <n v="0"/>
    <n v="47.39"/>
    <m/>
    <m/>
    <n v="34168.19"/>
    <m/>
    <n v="34168.19"/>
    <n v="23230.62"/>
    <n v="0"/>
    <n v="0"/>
    <n v="0"/>
    <n v="0"/>
    <n v="0"/>
    <n v="18003.442229394768"/>
    <n v="16164.72428417096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8.4"/>
    <n v="924.87"/>
    <n v="27969.48"/>
    <n v="10"/>
    <m/>
    <m/>
    <m/>
    <m/>
    <m/>
    <m/>
    <m/>
    <m/>
    <m/>
    <n v="0"/>
    <m/>
    <m/>
    <m/>
    <m/>
    <m/>
    <m/>
    <m/>
    <m/>
    <m/>
    <m/>
    <m/>
    <m/>
    <n v="23230.62"/>
    <n v="-10937.600000000009"/>
    <m/>
    <m/>
    <m/>
    <m/>
    <n v="-10937.570000000002"/>
    <n v="0"/>
    <n v="30"/>
    <n v="-81.376691208020929"/>
    <n v="0"/>
    <n v="0"/>
    <n v="0"/>
    <n v="0"/>
    <m/>
    <m/>
    <m/>
    <n v="-81.3766912080209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164.724284170969"/>
    <m/>
    <n v="0"/>
    <n v="0"/>
    <n v="-10937.570000000003"/>
    <m/>
    <n v="0"/>
    <m/>
    <n v="-10857.435825066463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36"/>
    <s v="Sistema de Compensação"/>
    <s v="Verde"/>
    <s v="A4"/>
    <s v="Comercial"/>
    <s v="Não se aplica"/>
    <s v="Não se aplica"/>
    <s v="Não se aplica"/>
    <s v="Não se aplica"/>
    <s v="CATIVO"/>
    <x v="11"/>
    <n v="45"/>
    <n v="45"/>
    <n v="0"/>
    <n v="0"/>
    <n v="0"/>
    <n v="0"/>
    <n v="47.39"/>
    <m/>
    <m/>
    <n v="2132.5500000000002"/>
    <m/>
    <n v="2132.5500000000002"/>
    <n v="1449.8999999999999"/>
    <n v="0"/>
    <n v="0"/>
    <n v="0"/>
    <n v="0"/>
    <n v="0"/>
    <n v="1123.6545080759565"/>
    <n v="1008.89402605782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.48"/>
    <n v="44.73"/>
    <n v="1274.01"/>
    <n v="1"/>
    <m/>
    <m/>
    <m/>
    <m/>
    <m/>
    <m/>
    <m/>
    <m/>
    <m/>
    <n v="0"/>
    <m/>
    <m/>
    <m/>
    <m/>
    <m/>
    <m/>
    <m/>
    <m/>
    <m/>
    <m/>
    <m/>
    <m/>
    <n v="1449.8999999999999"/>
    <n v="-682.68000000000097"/>
    <m/>
    <m/>
    <m/>
    <m/>
    <n v="-682.65000000000009"/>
    <n v="0"/>
    <n v="30"/>
    <n v="-5.0789890490445941"/>
    <n v="0"/>
    <n v="0"/>
    <n v="0"/>
    <n v="0"/>
    <m/>
    <m/>
    <m/>
    <n v="-5.078989049044594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08.8940260578274"/>
    <m/>
    <n v="0"/>
    <n v="0"/>
    <n v="-682.65000000000032"/>
    <m/>
    <n v="0"/>
    <m/>
    <n v="-677.64856051038953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37"/>
    <s v="Regular"/>
    <s v="Convencional"/>
    <s v="B2"/>
    <s v="Rural"/>
    <s v="Não se aplica"/>
    <s v="Não se aplica"/>
    <s v="Não se aplica"/>
    <s v="Não se aplica"/>
    <s v="CATIVO"/>
    <x v="11"/>
    <n v="0"/>
    <n v="0"/>
    <n v="2721.875"/>
    <n v="2721.875"/>
    <n v="2721.875"/>
    <n v="2721.875"/>
    <m/>
    <n v="710.91"/>
    <n v="256.55"/>
    <m/>
    <n v="2633305.1875"/>
    <n v="2633305.1875"/>
    <n v="1797607.90625"/>
    <n v="0"/>
    <n v="167326.3984300849"/>
    <n v="0"/>
    <n v="0"/>
    <n v="0"/>
    <n v="335015.96849605313"/>
    <n v="1298089.5741496733"/>
    <n v="698303.8950894291"/>
    <n v="0"/>
    <n v="0"/>
    <n v="0"/>
    <n v="0"/>
    <n v="0"/>
    <n v="25869.41790928931"/>
    <m/>
    <n v="5976.7057716972149"/>
    <n v="0"/>
    <n v="0"/>
    <n v="0"/>
    <n v="0"/>
    <n v="0"/>
    <n v="0"/>
    <n v="0"/>
    <n v="0"/>
    <n v="0"/>
    <n v="0"/>
    <n v="0"/>
    <n v="0"/>
    <m/>
    <n v="0"/>
    <n v="0"/>
    <n v="4056.4656485331534"/>
    <n v="0"/>
    <n v="0"/>
    <n v="98677.229316844285"/>
    <n v="0"/>
    <n v="4231.3999999999996"/>
    <n v="16662.990000000002"/>
    <n v="116631.85"/>
    <n v="8816"/>
    <m/>
    <m/>
    <m/>
    <m/>
    <m/>
    <n v="215708.59374999991"/>
    <m/>
    <m/>
    <m/>
    <n v="801037.59005480655"/>
    <m/>
    <m/>
    <m/>
    <m/>
    <m/>
    <m/>
    <m/>
    <m/>
    <m/>
    <m/>
    <m/>
    <m/>
    <n v="1581902.2184000001"/>
    <n v="-735420.53034999967"/>
    <m/>
    <m/>
    <m/>
    <m/>
    <n v="-879220.0625"/>
    <n v="43522.781250000022"/>
    <n v="30"/>
    <n v="36182.66320770164"/>
    <n v="0"/>
    <n v="0"/>
    <n v="0"/>
    <n v="0"/>
    <n v="0"/>
    <n v="0"/>
    <n v="0"/>
    <n v="-1514.2932485177298"/>
    <n v="0"/>
    <n v="0"/>
    <n v="43503.263677848503"/>
    <n v="0"/>
    <n v="0"/>
    <n v="252.71160013460303"/>
    <n v="6147.4403281403065"/>
    <n v="0"/>
    <n v="-10405.000250549114"/>
    <m/>
    <n v="0"/>
    <n v="0"/>
    <n v="0"/>
    <n v="0"/>
    <n v="-1419.5245703503897"/>
    <n v="-381.93432900459993"/>
    <n v="0"/>
    <n v="0"/>
    <m/>
    <m/>
    <m/>
    <n v="1298089.5741496733"/>
    <n v="0"/>
    <n v="0"/>
    <n v="-879220.0625"/>
    <n v="43522.78125"/>
    <n v="0"/>
    <n v="0"/>
    <n v="-871893.88440848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38"/>
    <s v="Refaturamento - Regular"/>
    <s v="Convencional"/>
    <s v="B2"/>
    <s v="Rural"/>
    <s v="Não se aplica"/>
    <s v="Não se aplica"/>
    <s v="Não se aplica"/>
    <s v="Não se aplica"/>
    <s v="CATIVO"/>
    <x v="11"/>
    <n v="0"/>
    <n v="0"/>
    <n v="-23.155999999999999"/>
    <n v="-23.155999999999999"/>
    <n v="-23.155999999999999"/>
    <n v="-23.155999999999999"/>
    <m/>
    <n v="710.91"/>
    <n v="256.55"/>
    <m/>
    <n v="-22402.50376"/>
    <n v="-22402.50376"/>
    <n v="-15292.917079999999"/>
    <n v="0"/>
    <n v="-1423.5077224512684"/>
    <n v="0"/>
    <n v="0"/>
    <n v="0"/>
    <n v="-2850.1050806868816"/>
    <n v="-11043.329388384784"/>
    <n v="-5940.7301932273958"/>
    <n v="0"/>
    <n v="0"/>
    <n v="0"/>
    <n v="0"/>
    <n v="0"/>
    <n v="-220.08073152055229"/>
    <m/>
    <n v="-50.846052390143079"/>
    <n v="0"/>
    <n v="0"/>
    <n v="0"/>
    <n v="0"/>
    <n v="0"/>
    <n v="0"/>
    <n v="0"/>
    <n v="0"/>
    <n v="0"/>
    <n v="0"/>
    <n v="0"/>
    <n v="0"/>
    <m/>
    <n v="0"/>
    <n v="0"/>
    <n v="-34.509857564154743"/>
    <n v="0"/>
    <n v="0"/>
    <n v="-839.48378307631538"/>
    <n v="0"/>
    <n v="-142.97"/>
    <n v="-158.91"/>
    <n v="-183.19"/>
    <n v="0"/>
    <m/>
    <m/>
    <m/>
    <m/>
    <m/>
    <n v="-1835.1129999999991"/>
    <m/>
    <m/>
    <m/>
    <n v="-6814.7238338678662"/>
    <m/>
    <m/>
    <m/>
    <m/>
    <m/>
    <m/>
    <m/>
    <m/>
    <m/>
    <m/>
    <m/>
    <m/>
    <n v="-13460.1288"/>
    <n v="6254.1649200000011"/>
    <m/>
    <m/>
    <m/>
    <m/>
    <n v="7479.8511199999994"/>
    <n v="-370.26444000000021"/>
    <n v="30"/>
    <n v="-307.81933381861199"/>
    <n v="0"/>
    <n v="0"/>
    <n v="0"/>
    <n v="0"/>
    <n v="0"/>
    <n v="0"/>
    <n v="0"/>
    <n v="12.882654222797555"/>
    <n v="0"/>
    <n v="0"/>
    <n v="-370.0983967758475"/>
    <n v="0"/>
    <n v="0"/>
    <n v="-2.1499112974390329"/>
    <n v="-52.298554576686001"/>
    <n v="0"/>
    <n v="88.519195702122943"/>
    <m/>
    <n v="0"/>
    <n v="0"/>
    <n v="0"/>
    <n v="0"/>
    <n v="12.076421933789646"/>
    <n v="3.2492569726495546"/>
    <n v="0"/>
    <n v="0"/>
    <m/>
    <m/>
    <m/>
    <n v="-11043.329388384784"/>
    <n v="0"/>
    <n v="0"/>
    <n v="7479.8511200000012"/>
    <n v="-370.26443999999992"/>
    <n v="0"/>
    <n v="0"/>
    <n v="7417.5246061493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39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173.386"/>
    <n v="173.386"/>
    <n v="173.386"/>
    <n v="173.386"/>
    <m/>
    <n v="710.91"/>
    <n v="256.55"/>
    <m/>
    <n v="167744.01955999999"/>
    <n v="167744.01955999999"/>
    <n v="114509.31598"/>
    <n v="0"/>
    <n v="10658.849108867491"/>
    <n v="0"/>
    <n v="0"/>
    <n v="0"/>
    <n v="21340.832592847455"/>
    <n v="82689.527955367259"/>
    <n v="44482.615533033568"/>
    <n v="0"/>
    <n v="0"/>
    <n v="0"/>
    <n v="0"/>
    <n v="0"/>
    <n v="1647.9062754976023"/>
    <m/>
    <n v="380.72178440651874"/>
    <n v="0"/>
    <n v="0"/>
    <n v="0"/>
    <n v="0"/>
    <n v="0"/>
    <n v="0"/>
    <n v="0"/>
    <n v="0"/>
    <n v="0"/>
    <n v="0"/>
    <n v="0"/>
    <n v="0"/>
    <m/>
    <n v="0"/>
    <n v="0"/>
    <n v="258.40068075740777"/>
    <n v="0"/>
    <n v="0"/>
    <n v="6285.83240682631"/>
    <n v="0"/>
    <n v="276.11"/>
    <n v="1084.83"/>
    <n v="3270.45"/>
    <n v="232"/>
    <m/>
    <m/>
    <m/>
    <m/>
    <m/>
    <n v="13740.840499999995"/>
    <m/>
    <m/>
    <m/>
    <n v="51026.848620617282"/>
    <m/>
    <m/>
    <m/>
    <m/>
    <m/>
    <m/>
    <m/>
    <m/>
    <m/>
    <m/>
    <m/>
    <m/>
    <n v="100770.8002"/>
    <n v="-46844.868619999994"/>
    <m/>
    <m/>
    <m/>
    <m/>
    <n v="-56007.145719999993"/>
    <n v="2772.4421400000015"/>
    <n v="30"/>
    <n v="2304.8697103763261"/>
    <n v="0"/>
    <n v="0"/>
    <n v="0"/>
    <n v="0"/>
    <n v="0"/>
    <n v="0"/>
    <n v="0"/>
    <n v="-96.461905556829151"/>
    <n v="0"/>
    <n v="0"/>
    <n v="2771.1988522792017"/>
    <n v="0"/>
    <n v="0"/>
    <n v="16.097966843054223"/>
    <n v="391.59773638941351"/>
    <n v="0"/>
    <n v="-662.80831171222599"/>
    <m/>
    <n v="0"/>
    <n v="0"/>
    <n v="0"/>
    <n v="0"/>
    <n v="-90.425051537918989"/>
    <n v="-24.329576328373435"/>
    <n v="0"/>
    <n v="0"/>
    <m/>
    <m/>
    <m/>
    <n v="82689.527955367259"/>
    <n v="0"/>
    <n v="0"/>
    <n v="-56007.145719999986"/>
    <n v="2772.4421399999992"/>
    <n v="0"/>
    <n v="0"/>
    <n v="-55540.461278364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40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0.1"/>
    <n v="0.1"/>
    <n v="0.1"/>
    <n v="0.1"/>
    <m/>
    <n v="710.91"/>
    <n v="256.55"/>
    <m/>
    <n v="96.745999999999995"/>
    <n v="96.745999999999995"/>
    <n v="66.043000000000006"/>
    <n v="0"/>
    <n v="6.1474681397964606"/>
    <n v="0"/>
    <n v="0"/>
    <n v="0"/>
    <n v="12.308278980337199"/>
    <n v="47.691006168529903"/>
    <n v="25.655252173205202"/>
    <n v="0"/>
    <n v="0"/>
    <n v="0"/>
    <n v="0"/>
    <n v="0"/>
    <n v="0.950426375542202"/>
    <m/>
    <n v="0.21958046463181502"/>
    <n v="0"/>
    <n v="0"/>
    <n v="0"/>
    <n v="0"/>
    <n v="0"/>
    <n v="0"/>
    <n v="0"/>
    <n v="0"/>
    <n v="0"/>
    <n v="0"/>
    <n v="0"/>
    <n v="0"/>
    <m/>
    <n v="0"/>
    <n v="0"/>
    <n v="0.14903203301155099"/>
    <n v="0"/>
    <n v="0"/>
    <n v="3.6253402274845201"/>
    <n v="0"/>
    <n v="0.68"/>
    <n v="0.68"/>
    <n v="9.85"/>
    <n v="1"/>
    <m/>
    <m/>
    <m/>
    <m/>
    <m/>
    <n v="7.9249999999999972"/>
    <m/>
    <m/>
    <m/>
    <n v="29.429624433701274"/>
    <m/>
    <m/>
    <m/>
    <m/>
    <m/>
    <m/>
    <m/>
    <m/>
    <m/>
    <m/>
    <m/>
    <m/>
    <n v="58.118000000000009"/>
    <n v="-27.048999999999992"/>
    <m/>
    <m/>
    <m/>
    <m/>
    <n v="-32.302"/>
    <n v="1.5990000000000011"/>
    <n v="30"/>
    <n v="1.3293286138305902"/>
    <n v="0"/>
    <n v="0"/>
    <n v="0"/>
    <n v="0"/>
    <n v="0"/>
    <n v="0"/>
    <n v="0"/>
    <n v="-5.5634195123499097E-2"/>
    <n v="0"/>
    <n v="0"/>
    <n v="1.5982829364996007"/>
    <n v="0"/>
    <n v="0"/>
    <n v="9.2844675135560217E-3"/>
    <n v="0.22585314638403009"/>
    <n v="0"/>
    <n v="-0.38227325834394055"/>
    <m/>
    <n v="0"/>
    <n v="0"/>
    <n v="0"/>
    <n v="0"/>
    <n v="-5.2152452642034941E-2"/>
    <n v="-1.4032030457115013E-2"/>
    <n v="0"/>
    <n v="0"/>
    <m/>
    <m/>
    <m/>
    <n v="47.691006168529903"/>
    <n v="0"/>
    <n v="0"/>
    <n v="-32.301999999999992"/>
    <n v="1.5990000000000038"/>
    <n v="0"/>
    <n v="0"/>
    <n v="-32.032840758979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41"/>
    <s v="Regular"/>
    <s v="Verde"/>
    <s v="A4"/>
    <s v="Rural"/>
    <s v="Não se aplica"/>
    <s v="Não se aplica"/>
    <s v="Não se aplica"/>
    <s v="Ponta"/>
    <s v="CATIVO"/>
    <x v="11"/>
    <n v="0"/>
    <n v="0"/>
    <n v="10.036"/>
    <n v="9.6345600000000005"/>
    <n v="10.036"/>
    <n v="9.6345600000000005"/>
    <m/>
    <n v="3130.62"/>
    <n v="256.55"/>
    <m/>
    <n v="33993.638119999996"/>
    <n v="33993.638119999996"/>
    <n v="17890.474679999999"/>
    <n v="0"/>
    <n v="536.75511518367625"/>
    <n v="0"/>
    <n v="0"/>
    <n v="0"/>
    <n v="6465.3297697902617"/>
    <n v="24128.035982054567"/>
    <n v="2574.761108102874"/>
    <n v="0"/>
    <n v="0"/>
    <n v="0"/>
    <n v="0"/>
    <n v="0"/>
    <n v="95.384791049415384"/>
    <m/>
    <n v="13.539115927960628"/>
    <n v="0"/>
    <n v="0"/>
    <n v="0"/>
    <n v="0"/>
    <n v="0"/>
    <n v="0"/>
    <n v="0"/>
    <n v="0"/>
    <n v="0"/>
    <n v="0"/>
    <n v="0"/>
    <n v="0"/>
    <m/>
    <n v="0"/>
    <n v="0"/>
    <n v="12.364605079881825"/>
    <n v="0"/>
    <n v="0"/>
    <n v="167.49369635106643"/>
    <n v="0"/>
    <n v="0"/>
    <n v="0"/>
    <n v="0"/>
    <n v="0"/>
    <m/>
    <m/>
    <m/>
    <m/>
    <m/>
    <n v="715.6189871999984"/>
    <m/>
    <m/>
    <m/>
    <n v="2754.6194095338224"/>
    <m/>
    <m/>
    <m/>
    <m/>
    <m/>
    <m/>
    <m/>
    <m/>
    <m/>
    <m/>
    <m/>
    <m/>
    <n v="17166.726900000001"/>
    <n v="-15467.195695199993"/>
    <m/>
    <m/>
    <m/>
    <m/>
    <n v="-16263.639079999999"/>
    <n v="160.47564000000008"/>
    <n v="30"/>
    <n v="102.90815232235036"/>
    <n v="0"/>
    <n v="0"/>
    <n v="0"/>
    <n v="0"/>
    <n v="0"/>
    <n v="0"/>
    <n v="0"/>
    <n v="-29.223697198036461"/>
    <n v="0"/>
    <n v="0"/>
    <n v="160.40367550709971"/>
    <n v="0"/>
    <n v="0"/>
    <n v="0.77029596833868297"/>
    <n v="10.434600877895434"/>
    <n v="0"/>
    <n v="-33.377501460436349"/>
    <m/>
    <n v="0"/>
    <n v="0"/>
    <n v="0"/>
    <n v="0"/>
    <n v="-5.2340201471546237"/>
    <n v="-0.86520122535542754"/>
    <n v="0"/>
    <n v="0"/>
    <m/>
    <m/>
    <m/>
    <n v="24128.035982054567"/>
    <n v="0"/>
    <n v="0"/>
    <n v="-16263.639079999999"/>
    <n v="160.47564000000011"/>
    <n v="0"/>
    <n v="0"/>
    <n v="-16206.190569954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42"/>
    <s v="Sistema de Compensação"/>
    <s v="Verde"/>
    <s v="A4"/>
    <s v="Rural"/>
    <s v="Não se aplica"/>
    <s v="Não se aplica"/>
    <s v="Não se aplica"/>
    <s v="Ponta"/>
    <s v="CATIVO"/>
    <x v="11"/>
    <n v="0"/>
    <n v="0"/>
    <n v="0.68300000000000005"/>
    <n v="0.65568000000000004"/>
    <n v="0.68300000000000005"/>
    <n v="0.65568000000000004"/>
    <m/>
    <n v="3130.62"/>
    <n v="256.55"/>
    <m/>
    <n v="2313.4371099999998"/>
    <n v="2313.4371099999998"/>
    <n v="1217.53629"/>
    <n v="0"/>
    <n v="36.528870433484549"/>
    <n v="0"/>
    <n v="0"/>
    <n v="0"/>
    <n v="439.99803036735244"/>
    <n v="1642.033536841697"/>
    <n v="175.22537234299153"/>
    <n v="0"/>
    <n v="0"/>
    <n v="0"/>
    <n v="0"/>
    <n v="0"/>
    <n v="6.49141214495324"/>
    <m/>
    <n v="0.92140456145846061"/>
    <n v="0"/>
    <n v="0"/>
    <n v="0"/>
    <n v="0"/>
    <n v="0"/>
    <n v="0"/>
    <n v="0"/>
    <n v="0"/>
    <n v="0"/>
    <n v="0"/>
    <n v="0"/>
    <n v="0"/>
    <m/>
    <n v="0"/>
    <n v="0"/>
    <n v="0.84147322335186203"/>
    <n v="0"/>
    <n v="0"/>
    <n v="11.398783838957591"/>
    <n v="0"/>
    <n v="0"/>
    <n v="0"/>
    <n v="0"/>
    <n v="0"/>
    <m/>
    <m/>
    <m/>
    <m/>
    <m/>
    <n v="48.701451600000013"/>
    <m/>
    <m/>
    <m/>
    <n v="187.465629405301"/>
    <m/>
    <m/>
    <m/>
    <m/>
    <m/>
    <m/>
    <m/>
    <m/>
    <m/>
    <m/>
    <m/>
    <m/>
    <n v="1176.5358000000001"/>
    <n v="-1044.3938256000006"/>
    <m/>
    <m/>
    <m/>
    <m/>
    <n v="-1106.8219900000001"/>
    <n v="10.921170000000007"/>
    <n v="30"/>
    <n v="7.0034145113756949"/>
    <n v="0"/>
    <n v="0"/>
    <n v="0"/>
    <n v="0"/>
    <n v="0"/>
    <n v="0"/>
    <n v="0"/>
    <n v="-1.9888187710500915"/>
    <n v="0"/>
    <n v="0"/>
    <n v="10.91627245629229"/>
    <n v="0"/>
    <n v="0"/>
    <n v="5.2422493660354785E-2"/>
    <n v="0.71012678353951664"/>
    <n v="0"/>
    <n v="-2.2715059284055457"/>
    <m/>
    <n v="0"/>
    <n v="0"/>
    <n v="0"/>
    <n v="0"/>
    <n v="-0.35620125154509896"/>
    <n v="-5.8881271115759026E-2"/>
    <n v="0"/>
    <n v="0"/>
    <m/>
    <m/>
    <m/>
    <n v="1642.033536841697"/>
    <n v="0"/>
    <n v="0"/>
    <n v="-1106.8219899999999"/>
    <n v="10.921170000000018"/>
    <n v="0"/>
    <n v="0"/>
    <n v="-1102.9123315343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43"/>
    <s v="Regular"/>
    <s v="Verde"/>
    <s v="A4"/>
    <s v="Rural"/>
    <s v="Não se aplica"/>
    <s v="Não se aplica"/>
    <s v="Não se aplica"/>
    <s v="Fora ponta"/>
    <s v="CATIVO"/>
    <x v="11"/>
    <n v="0"/>
    <n v="0"/>
    <n v="226.52799999999999"/>
    <n v="217.46688"/>
    <n v="226.52799999999999"/>
    <n v="217.46688"/>
    <m/>
    <n v="82.26"/>
    <n v="256.55"/>
    <m/>
    <n v="76749.951679999998"/>
    <n v="76749.951679999998"/>
    <n v="79733.325440000001"/>
    <n v="0"/>
    <n v="12115.390866114767"/>
    <n v="0"/>
    <n v="0"/>
    <n v="0"/>
    <n v="0"/>
    <n v="0"/>
    <n v="58116.329642918274"/>
    <n v="0"/>
    <n v="0"/>
    <n v="0"/>
    <n v="0"/>
    <n v="0"/>
    <n v="2152.9818599882392"/>
    <m/>
    <n v="305.59872986539114"/>
    <n v="0"/>
    <n v="0"/>
    <n v="0"/>
    <n v="0"/>
    <n v="0"/>
    <n v="0"/>
    <n v="0"/>
    <n v="0"/>
    <n v="0"/>
    <n v="0"/>
    <n v="0"/>
    <n v="0"/>
    <m/>
    <n v="0"/>
    <n v="0"/>
    <n v="279.08820840329514"/>
    <n v="0"/>
    <n v="0"/>
    <n v="3780.5910768248677"/>
    <n v="0"/>
    <n v="0"/>
    <n v="0"/>
    <n v="0"/>
    <n v="0"/>
    <m/>
    <m/>
    <m/>
    <m/>
    <m/>
    <n v="3189.3330175999963"/>
    <m/>
    <m/>
    <m/>
    <n v="62176.008928146432"/>
    <m/>
    <m/>
    <m/>
    <m/>
    <m/>
    <m/>
    <m/>
    <m/>
    <m/>
    <m/>
    <m/>
    <m/>
    <n v="76545.090599999996"/>
    <n v="2865.1069871999935"/>
    <m/>
    <m/>
    <m/>
    <m/>
    <n v="-638.80896000000166"/>
    <n v="3622.1827200000021"/>
    <n v="30"/>
    <n v="2982.4196500751714"/>
    <n v="0"/>
    <n v="0"/>
    <n v="0"/>
    <n v="0"/>
    <n v="0"/>
    <n v="0"/>
    <n v="0"/>
    <n v="0"/>
    <n v="0"/>
    <n v="0"/>
    <n v="3620.5583703938173"/>
    <n v="0"/>
    <n v="0"/>
    <n v="17.386768146255974"/>
    <n v="235.52503663490461"/>
    <n v="0"/>
    <n v="-753.38169099538754"/>
    <m/>
    <n v="0"/>
    <n v="0"/>
    <n v="0"/>
    <n v="0"/>
    <n v="-118.1399079209491"/>
    <n v="-19.528926183470958"/>
    <n v="0"/>
    <n v="0"/>
    <m/>
    <m/>
    <m/>
    <n v="0"/>
    <n v="0"/>
    <n v="0"/>
    <n v="-638.80896000000212"/>
    <n v="3622.1827200000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44"/>
    <s v="Sistema de Compensação"/>
    <s v="Verde"/>
    <s v="A4"/>
    <s v="Rural"/>
    <s v="Não se aplica"/>
    <s v="Não se aplica"/>
    <s v="Não se aplica"/>
    <s v="Fora ponta"/>
    <s v="CATIVO"/>
    <x v="11"/>
    <n v="0"/>
    <n v="0"/>
    <n v="16.353000000000002"/>
    <n v="15.698880000000001"/>
    <n v="16.353000000000002"/>
    <n v="15.698880000000001"/>
    <m/>
    <n v="82.26"/>
    <n v="256.55"/>
    <m/>
    <n v="5540.5599300000013"/>
    <n v="5540.5599300000013"/>
    <n v="5755.9289400000016"/>
    <n v="0"/>
    <n v="874.6070544637962"/>
    <n v="0"/>
    <n v="0"/>
    <n v="0"/>
    <n v="0"/>
    <n v="0"/>
    <n v="4195.4033878842474"/>
    <n v="0"/>
    <n v="0"/>
    <n v="0"/>
    <n v="0"/>
    <n v="0"/>
    <n v="155.42322519241631"/>
    <m/>
    <n v="22.061096330205281"/>
    <n v="0"/>
    <n v="0"/>
    <n v="0"/>
    <n v="0"/>
    <n v="0"/>
    <n v="0"/>
    <n v="0"/>
    <n v="0"/>
    <n v="0"/>
    <n v="0"/>
    <n v="0"/>
    <n v="0"/>
    <m/>
    <n v="0"/>
    <n v="0"/>
    <n v="20.147308376973644"/>
    <n v="0"/>
    <n v="0"/>
    <n v="272.91992989527597"/>
    <n v="0"/>
    <n v="0"/>
    <n v="0"/>
    <n v="0"/>
    <n v="0"/>
    <m/>
    <m/>
    <m/>
    <m/>
    <m/>
    <n v="230.23715760000027"/>
    <m/>
    <m/>
    <m/>
    <n v="4488.470626156497"/>
    <m/>
    <m/>
    <m/>
    <m/>
    <m/>
    <m/>
    <m/>
    <m/>
    <m/>
    <m/>
    <m/>
    <m/>
    <n v="5526.0859999999993"/>
    <n v="207.11846719999903"/>
    <m/>
    <m/>
    <m/>
    <m/>
    <n v="-46.115460000000127"/>
    <n v="261.48447000000016"/>
    <n v="30"/>
    <n v="215.30013304173917"/>
    <n v="0"/>
    <n v="0"/>
    <n v="0"/>
    <n v="0"/>
    <n v="0"/>
    <n v="0"/>
    <n v="0"/>
    <n v="0"/>
    <n v="0"/>
    <n v="0"/>
    <n v="261.36720860577952"/>
    <n v="0"/>
    <n v="0"/>
    <n v="1.2551464697332086"/>
    <n v="17.002493837806298"/>
    <n v="0"/>
    <n v="-54.386436965176927"/>
    <m/>
    <n v="0"/>
    <n v="0"/>
    <n v="0"/>
    <n v="0"/>
    <n v="-8.5284905805519884"/>
    <n v="-1.4097883258506698"/>
    <n v="0"/>
    <n v="0"/>
    <m/>
    <m/>
    <m/>
    <n v="0"/>
    <n v="0"/>
    <n v="0"/>
    <n v="-46.115460000000212"/>
    <n v="261.4844700000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45"/>
    <s v="Regular"/>
    <s v="Verde"/>
    <s v="A4"/>
    <s v="Rural"/>
    <s v="Não se aplica"/>
    <s v="Não se aplica"/>
    <s v="Não se aplica"/>
    <s v="Não se aplica"/>
    <s v="CATIVO"/>
    <x v="11"/>
    <n v="869"/>
    <n v="834.24"/>
    <n v="0"/>
    <n v="0"/>
    <n v="0"/>
    <n v="0"/>
    <n v="47.39"/>
    <m/>
    <m/>
    <n v="41181.910000000003"/>
    <m/>
    <n v="41181.910000000003"/>
    <n v="27999.18"/>
    <n v="0"/>
    <n v="0"/>
    <n v="0"/>
    <n v="0"/>
    <n v="0"/>
    <n v="21699.017055955694"/>
    <n v="19482.8646365389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5.52"/>
    <n v="1306.4000000000001"/>
    <n v="2919.83"/>
    <n v="8"/>
    <m/>
    <m/>
    <m/>
    <m/>
    <m/>
    <n v="1119.9671999999996"/>
    <m/>
    <m/>
    <m/>
    <n v="0"/>
    <m/>
    <m/>
    <m/>
    <m/>
    <m/>
    <m/>
    <m/>
    <m/>
    <m/>
    <m/>
    <m/>
    <m/>
    <n v="26879.212800000001"/>
    <n v="-12655.450800000006"/>
    <m/>
    <m/>
    <m/>
    <m/>
    <n v="-13182.730000000001"/>
    <n v="0"/>
    <n v="30"/>
    <n v="-98.080921858214424"/>
    <n v="0"/>
    <n v="0"/>
    <n v="0"/>
    <n v="0"/>
    <m/>
    <m/>
    <m/>
    <n v="-98.08092185821442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482.864636538936"/>
    <m/>
    <n v="0"/>
    <n v="0"/>
    <n v="-13182.730000000003"/>
    <m/>
    <n v="0"/>
    <m/>
    <n v="-13086.14664630063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46"/>
    <s v="Sistema de Compensação"/>
    <s v="Verde"/>
    <s v="A4"/>
    <s v="Rural"/>
    <s v="Não se aplica"/>
    <s v="Não se aplica"/>
    <s v="Não se aplica"/>
    <s v="Não se aplica"/>
    <s v="CATIVO"/>
    <x v="11"/>
    <n v="157"/>
    <n v="150.72"/>
    <n v="0"/>
    <n v="0"/>
    <n v="0"/>
    <n v="0"/>
    <n v="47.39"/>
    <m/>
    <m/>
    <n v="7440.2300000000005"/>
    <m/>
    <n v="7440.2300000000005"/>
    <n v="5058.54"/>
    <n v="0"/>
    <n v="0"/>
    <n v="0"/>
    <n v="0"/>
    <n v="0"/>
    <n v="3920.3057281761148"/>
    <n v="3519.919157579531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0.36"/>
    <n v="157.18"/>
    <n v="5.65"/>
    <n v="1"/>
    <m/>
    <m/>
    <m/>
    <m/>
    <m/>
    <n v="202.34160000000003"/>
    <m/>
    <m/>
    <m/>
    <n v="0"/>
    <m/>
    <m/>
    <m/>
    <m/>
    <m/>
    <m/>
    <m/>
    <m/>
    <m/>
    <m/>
    <m/>
    <m/>
    <n v="4856.1984000000002"/>
    <n v="-2286.4524000000001"/>
    <m/>
    <m/>
    <m/>
    <m/>
    <n v="-2381.69"/>
    <n v="0"/>
    <n v="30"/>
    <n v="-17.720028459999412"/>
    <n v="0"/>
    <n v="0"/>
    <n v="0"/>
    <n v="0"/>
    <m/>
    <m/>
    <m/>
    <n v="-17.7200284599994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19.9191575795312"/>
    <m/>
    <n v="0"/>
    <n v="0"/>
    <n v="-2381.6900000000005"/>
    <m/>
    <n v="0"/>
    <m/>
    <n v="-2364.2405333362476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47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225.94200000000001"/>
    <n v="225.94200000000001"/>
    <n v="225.94200000000001"/>
    <n v="225.94200000000001"/>
    <m/>
    <n v="710.91"/>
    <n v="256.55"/>
    <m/>
    <n v="218589.84732"/>
    <n v="218589.84732"/>
    <n v="149218.87506000002"/>
    <n v="0"/>
    <n v="13889.712464418919"/>
    <n v="0"/>
    <n v="0"/>
    <n v="0"/>
    <n v="27809.571693753474"/>
    <n v="107754.01315729984"/>
    <n v="57965.989865183299"/>
    <n v="0"/>
    <n v="0"/>
    <n v="0"/>
    <n v="0"/>
    <n v="0"/>
    <n v="2147.4123614275622"/>
    <m/>
    <n v="496.12449339841544"/>
    <n v="0"/>
    <n v="0"/>
    <n v="0"/>
    <n v="0"/>
    <n v="0"/>
    <n v="0"/>
    <n v="0"/>
    <n v="0"/>
    <n v="0"/>
    <n v="0"/>
    <n v="0"/>
    <n v="0"/>
    <m/>
    <n v="0"/>
    <n v="0"/>
    <n v="336.72595602695856"/>
    <n v="0"/>
    <n v="0"/>
    <n v="8191.1662167830746"/>
    <n v="0"/>
    <n v="397.07"/>
    <n v="1559.34"/>
    <n v="47523.37"/>
    <n v="306"/>
    <m/>
    <m/>
    <m/>
    <m/>
    <m/>
    <m/>
    <m/>
    <m/>
    <m/>
    <n v="66493.882037993331"/>
    <m/>
    <m/>
    <m/>
    <m/>
    <m/>
    <m/>
    <m/>
    <m/>
    <m/>
    <m/>
    <m/>
    <m/>
    <n v="149217.55420000001"/>
    <n v="-69372.323120000015"/>
    <m/>
    <m/>
    <m/>
    <m/>
    <n v="-72983.784839999993"/>
    <n v="3612.8125800000021"/>
    <n v="30"/>
    <n v="3003.5116566611105"/>
    <n v="0"/>
    <n v="0"/>
    <n v="0"/>
    <n v="0"/>
    <n v="0"/>
    <n v="0"/>
    <n v="0"/>
    <n v="-125.70101314593558"/>
    <n v="0"/>
    <n v="0"/>
    <n v="3611.1924323859275"/>
    <n v="0"/>
    <n v="0"/>
    <n v="20.977511589478695"/>
    <n v="510.2971160030047"/>
    <n v="0"/>
    <n v="-863.71584536746559"/>
    <m/>
    <n v="0"/>
    <n v="0"/>
    <n v="0"/>
    <n v="0"/>
    <n v="-117.83429454846691"/>
    <n v="-31.704250255414763"/>
    <n v="0"/>
    <n v="0"/>
    <m/>
    <m/>
    <m/>
    <n v="107754.01315729984"/>
    <n v="0"/>
    <n v="0"/>
    <n v="-72983.784840000008"/>
    <n v="3612.8125800000053"/>
    <n v="0"/>
    <n v="0"/>
    <n v="-72375.641067654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48"/>
    <s v="Refaturamento - Regular"/>
    <s v="Convencional"/>
    <s v="B3"/>
    <s v="Poder público"/>
    <s v="Não se aplica"/>
    <s v="Não se aplica"/>
    <s v="Não se aplica"/>
    <s v="Não se aplica"/>
    <s v="CATIVO"/>
    <x v="11"/>
    <n v="0"/>
    <n v="0"/>
    <n v="-5.0259999999999998"/>
    <n v="-5.0259999999999998"/>
    <n v="-5.0259999999999998"/>
    <n v="-5.0259999999999998"/>
    <m/>
    <n v="710.91"/>
    <n v="256.55"/>
    <m/>
    <n v="-4862.4539599999998"/>
    <n v="-4862.4539599999998"/>
    <n v="-3319.3211799999999"/>
    <n v="0"/>
    <n v="-308.9717487061701"/>
    <n v="0"/>
    <n v="0"/>
    <n v="0"/>
    <n v="-618.61410155174758"/>
    <n v="-2396.9499700303127"/>
    <n v="-1289.4329742252933"/>
    <n v="0"/>
    <n v="0"/>
    <n v="0"/>
    <n v="0"/>
    <n v="0"/>
    <n v="-47.768429634751072"/>
    <m/>
    <n v="-11.036114152395021"/>
    <n v="0"/>
    <n v="0"/>
    <n v="0"/>
    <n v="0"/>
    <n v="0"/>
    <n v="0"/>
    <n v="0"/>
    <n v="0"/>
    <n v="0"/>
    <n v="0"/>
    <n v="0"/>
    <n v="0"/>
    <m/>
    <n v="0"/>
    <n v="0"/>
    <n v="-7.4903499791605528"/>
    <n v="0"/>
    <n v="0"/>
    <n v="-182.20959983337198"/>
    <n v="0"/>
    <n v="-37.869999999999997"/>
    <n v="-37.880000000000003"/>
    <n v="-1187.21"/>
    <n v="0"/>
    <m/>
    <m/>
    <m/>
    <m/>
    <m/>
    <m/>
    <m/>
    <m/>
    <m/>
    <n v="-1479.1329240378259"/>
    <m/>
    <m/>
    <m/>
    <m/>
    <m/>
    <m/>
    <m/>
    <m/>
    <m/>
    <m/>
    <m/>
    <m/>
    <n v="-3321.9629000000004"/>
    <n v="1540.4610599999987"/>
    <m/>
    <m/>
    <m/>
    <m/>
    <n v="1623.4985199999999"/>
    <n v="-80.365740000000045"/>
    <n v="30"/>
    <n v="-66.812056131125701"/>
    <n v="0"/>
    <n v="0"/>
    <n v="0"/>
    <n v="0"/>
    <n v="0"/>
    <n v="0"/>
    <n v="0"/>
    <n v="2.7961746469070476"/>
    <n v="0"/>
    <n v="0"/>
    <n v="-80.329700388469973"/>
    <n v="0"/>
    <n v="0"/>
    <n v="-0.46663733723132417"/>
    <n v="-11.351379137261318"/>
    <n v="0"/>
    <n v="19.213053964366452"/>
    <m/>
    <n v="0"/>
    <n v="0"/>
    <n v="0"/>
    <n v="0"/>
    <n v="2.6211822697886831"/>
    <n v="0.70524985077459945"/>
    <n v="0"/>
    <n v="0"/>
    <m/>
    <m/>
    <m/>
    <n v="-2396.9499700303127"/>
    <n v="0"/>
    <n v="0"/>
    <n v="1623.4985199999996"/>
    <n v="-80.36573999999996"/>
    <n v="0"/>
    <n v="0"/>
    <n v="1609.9705765463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49"/>
    <s v="Sistema de Compensação"/>
    <s v="Convencional"/>
    <s v="B3"/>
    <s v="Poder público"/>
    <s v="Não se aplica"/>
    <s v="Não se aplica"/>
    <s v="Não se aplica"/>
    <s v="Não se aplica"/>
    <s v="CATIVO"/>
    <x v="11"/>
    <n v="0"/>
    <n v="0"/>
    <n v="0.1"/>
    <n v="0.1"/>
    <n v="0.1"/>
    <n v="0.1"/>
    <m/>
    <n v="710.91"/>
    <n v="256.55"/>
    <m/>
    <n v="96.745999999999995"/>
    <n v="96.745999999999995"/>
    <n v="66.043000000000006"/>
    <n v="0"/>
    <n v="6.1474681397964606"/>
    <n v="0"/>
    <n v="0"/>
    <n v="0"/>
    <n v="12.308278980337199"/>
    <n v="47.691006168529903"/>
    <n v="25.655252173205202"/>
    <n v="0"/>
    <n v="0"/>
    <n v="0"/>
    <n v="0"/>
    <n v="0"/>
    <n v="0.950426375542202"/>
    <m/>
    <n v="0.21958046463181502"/>
    <n v="0"/>
    <n v="0"/>
    <n v="0"/>
    <n v="0"/>
    <n v="0"/>
    <n v="0"/>
    <n v="0"/>
    <n v="0"/>
    <n v="0"/>
    <n v="0"/>
    <n v="0"/>
    <n v="0"/>
    <m/>
    <n v="0"/>
    <n v="0"/>
    <n v="0.14903203301155099"/>
    <n v="0"/>
    <n v="0"/>
    <n v="3.6253402274845201"/>
    <n v="0"/>
    <n v="0.18"/>
    <n v="0.71"/>
    <n v="0"/>
    <n v="1"/>
    <m/>
    <m/>
    <m/>
    <m/>
    <m/>
    <m/>
    <m/>
    <m/>
    <m/>
    <n v="29.429624433701274"/>
    <m/>
    <m/>
    <m/>
    <m/>
    <m/>
    <m/>
    <m/>
    <m/>
    <m/>
    <m/>
    <m/>
    <m/>
    <n v="66.043000000000006"/>
    <n v="-30.733000000000004"/>
    <m/>
    <m/>
    <m/>
    <m/>
    <n v="-32.302"/>
    <n v="1.5990000000000011"/>
    <n v="30"/>
    <n v="1.3293286138305902"/>
    <n v="0"/>
    <n v="0"/>
    <n v="0"/>
    <n v="0"/>
    <n v="0"/>
    <n v="0"/>
    <n v="0"/>
    <n v="-5.5634195123499097E-2"/>
    <n v="0"/>
    <n v="0"/>
    <n v="1.5982829364996007"/>
    <n v="0"/>
    <n v="0"/>
    <n v="9.2844675135560217E-3"/>
    <n v="0.22585314638403009"/>
    <n v="0"/>
    <n v="-0.38227325834394055"/>
    <m/>
    <n v="0"/>
    <n v="0"/>
    <n v="0"/>
    <n v="0"/>
    <n v="-5.2152452642034941E-2"/>
    <n v="-1.4032030457115013E-2"/>
    <n v="0"/>
    <n v="0"/>
    <m/>
    <m/>
    <m/>
    <n v="47.691006168529903"/>
    <n v="0"/>
    <n v="0"/>
    <n v="-32.301999999999992"/>
    <n v="1.5990000000000038"/>
    <n v="0"/>
    <n v="0"/>
    <n v="-32.032840758979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50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214.66900000000001"/>
    <n v="214.66900000000001"/>
    <n v="214.66900000000001"/>
    <n v="214.66900000000001"/>
    <m/>
    <n v="391"/>
    <n v="141.1"/>
    <m/>
    <n v="114225.3749"/>
    <n v="114225.3749"/>
    <n v="77974.22086999999"/>
    <n v="0"/>
    <n v="7258.1896095608299"/>
    <n v="0"/>
    <n v="0"/>
    <n v="0"/>
    <n v="14532.132672365035"/>
    <n v="56307.793317556701"/>
    <n v="30290.630308233918"/>
    <n v="0"/>
    <n v="0"/>
    <n v="0"/>
    <n v="0"/>
    <n v="0"/>
    <n v="1122.1489378619792"/>
    <m/>
    <n v="259.25415319126063"/>
    <n v="0"/>
    <n v="0"/>
    <n v="0"/>
    <n v="0"/>
    <n v="0"/>
    <n v="0"/>
    <n v="0"/>
    <n v="0"/>
    <n v="0"/>
    <n v="0"/>
    <n v="0"/>
    <n v="0"/>
    <m/>
    <n v="0"/>
    <n v="0"/>
    <n v="175.95906622006163"/>
    <n v="0"/>
    <n v="0"/>
    <n v="4280.3648871163177"/>
    <n v="0"/>
    <n v="215.66"/>
    <n v="840.4"/>
    <n v="19757.439999999999"/>
    <n v="28"/>
    <m/>
    <m/>
    <m/>
    <m/>
    <m/>
    <m/>
    <m/>
    <m/>
    <m/>
    <n v="34746.954261570296"/>
    <m/>
    <m/>
    <m/>
    <m/>
    <m/>
    <m/>
    <m/>
    <m/>
    <m/>
    <m/>
    <m/>
    <m/>
    <n v="77974.584099999993"/>
    <n v="-36250.820799999987"/>
    <m/>
    <m/>
    <m/>
    <m/>
    <n v="-38138.094539999998"/>
    <n v="1886.9405099999983"/>
    <n v="30"/>
    <n v="1569.5110431132125"/>
    <n v="0"/>
    <n v="0"/>
    <n v="0"/>
    <n v="0"/>
    <n v="0"/>
    <n v="0"/>
    <n v="0"/>
    <n v="-65.686153681324868"/>
    <n v="0"/>
    <n v="0"/>
    <n v="1887.059898324922"/>
    <n v="0"/>
    <n v="0"/>
    <n v="10.961980461671345"/>
    <n v="266.66017994610957"/>
    <n v="0"/>
    <n v="-451.34219952490002"/>
    <m/>
    <n v="0"/>
    <n v="0"/>
    <n v="0"/>
    <n v="0"/>
    <n v="-61.575331709171223"/>
    <n v="-16.56733070409291"/>
    <n v="0"/>
    <n v="0"/>
    <m/>
    <m/>
    <m/>
    <n v="56307.793317556701"/>
    <n v="0"/>
    <n v="0"/>
    <n v="-38138.094539999998"/>
    <n v="1886.9405099999967"/>
    <n v="0"/>
    <n v="0"/>
    <n v="-37820.518410891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51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49.311"/>
    <n v="46.352339999999998"/>
    <n v="49.311"/>
    <n v="46.352339999999998"/>
    <m/>
    <n v="710.91"/>
    <n v="256.55"/>
    <m/>
    <n v="47706.420060000004"/>
    <n v="47706.420060000004"/>
    <n v="32566.463730000003"/>
    <n v="0"/>
    <n v="3031.3780144150323"/>
    <n v="0"/>
    <n v="0"/>
    <n v="0"/>
    <n v="6069.3354479940763"/>
    <n v="23516.912051763778"/>
    <n v="12650.861399129217"/>
    <n v="0"/>
    <n v="0"/>
    <n v="0"/>
    <n v="0"/>
    <n v="0"/>
    <n v="468.66475004361524"/>
    <m/>
    <n v="108.27732291459429"/>
    <n v="0"/>
    <n v="0"/>
    <n v="0"/>
    <n v="0"/>
    <n v="0"/>
    <n v="0"/>
    <n v="0"/>
    <n v="0"/>
    <n v="0"/>
    <n v="0"/>
    <n v="0"/>
    <n v="0"/>
    <m/>
    <n v="0"/>
    <n v="0"/>
    <n v="73.489185798325906"/>
    <n v="0"/>
    <n v="0"/>
    <n v="1787.6915195748916"/>
    <n v="0"/>
    <n v="84.69"/>
    <n v="329.93"/>
    <n v="11002.46"/>
    <n v="10"/>
    <m/>
    <m/>
    <m/>
    <m/>
    <n v="1953.9878238000013"/>
    <m/>
    <m/>
    <m/>
    <m/>
    <n v="14512.042104502434"/>
    <m/>
    <m/>
    <m/>
    <m/>
    <m/>
    <m/>
    <m/>
    <m/>
    <m/>
    <m/>
    <m/>
    <m/>
    <n v="30610.930500000002"/>
    <n v="-14233.134356399998"/>
    <m/>
    <m/>
    <m/>
    <m/>
    <n v="-15928.439219999998"/>
    <n v="788.48289000000045"/>
    <n v="30"/>
    <n v="655.50523276601234"/>
    <n v="0"/>
    <n v="0"/>
    <n v="0"/>
    <n v="0"/>
    <n v="0"/>
    <n v="0"/>
    <n v="0"/>
    <n v="-27.433777957348866"/>
    <n v="0"/>
    <n v="0"/>
    <n v="788.12929881731907"/>
    <n v="0"/>
    <n v="0"/>
    <n v="4.5782637756095994"/>
    <n v="111.37044501342916"/>
    <n v="0"/>
    <n v="-188.50276642198014"/>
    <m/>
    <n v="0"/>
    <n v="0"/>
    <n v="0"/>
    <n v="0"/>
    <n v="-25.716895922313938"/>
    <n v="-6.9193345387079859"/>
    <n v="0"/>
    <n v="0"/>
    <m/>
    <m/>
    <m/>
    <n v="23516.912051763778"/>
    <n v="0"/>
    <n v="0"/>
    <n v="-15928.43922"/>
    <n v="788.48289000000113"/>
    <n v="0"/>
    <n v="0"/>
    <n v="-15795.714106660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52"/>
    <s v="Regular"/>
    <s v="Verde"/>
    <s v="A4"/>
    <s v="Serviço público"/>
    <s v="Água, esgoto e saneamento"/>
    <s v="Não se aplica"/>
    <s v="Não se aplica"/>
    <s v="Ponta"/>
    <s v="CATIVO"/>
    <x v="11"/>
    <n v="0"/>
    <n v="0"/>
    <n v="0.91100000000000003"/>
    <n v="0.85633999999999999"/>
    <n v="0.91100000000000003"/>
    <n v="0.85633999999999999"/>
    <m/>
    <n v="3130.62"/>
    <n v="256.55"/>
    <m/>
    <n v="3085.7118700000001"/>
    <n v="3085.7118700000001"/>
    <n v="1623.9759300000001"/>
    <n v="0"/>
    <n v="48.722988235584801"/>
    <n v="0"/>
    <n v="0"/>
    <n v="0"/>
    <n v="586.87877842556088"/>
    <n v="2190.1794320099357"/>
    <n v="233.71934729789939"/>
    <n v="0"/>
    <n v="0"/>
    <n v="0"/>
    <n v="0"/>
    <n v="0"/>
    <n v="8.6583842811894609"/>
    <m/>
    <n v="1.228989100276219"/>
    <n v="0"/>
    <n v="0"/>
    <n v="0"/>
    <n v="0"/>
    <n v="0"/>
    <n v="0"/>
    <n v="0"/>
    <n v="0"/>
    <n v="0"/>
    <n v="0"/>
    <n v="0"/>
    <n v="0"/>
    <m/>
    <n v="0"/>
    <n v="0"/>
    <n v="1.1223749728748846"/>
    <n v="0"/>
    <n v="0"/>
    <n v="15.203941548009318"/>
    <n v="0"/>
    <n v="0"/>
    <n v="0"/>
    <n v="0"/>
    <n v="0"/>
    <m/>
    <m/>
    <m/>
    <m/>
    <n v="97.438555800000074"/>
    <m/>
    <m/>
    <m/>
    <m/>
    <n v="250.04566381878359"/>
    <m/>
    <m/>
    <m/>
    <m/>
    <m/>
    <m/>
    <m/>
    <m/>
    <m/>
    <m/>
    <m/>
    <m/>
    <n v="1533.0617999999999"/>
    <n v="-1367.5373578000008"/>
    <m/>
    <m/>
    <m/>
    <m/>
    <n v="-1476.3028300000001"/>
    <n v="14.56689000000001"/>
    <n v="30"/>
    <n v="9.3413039822304427"/>
    <n v="0"/>
    <n v="0"/>
    <n v="0"/>
    <n v="0"/>
    <n v="0"/>
    <n v="0"/>
    <n v="0"/>
    <n v="-2.6527289903757492"/>
    <n v="0"/>
    <n v="0"/>
    <n v="14.560357551511373"/>
    <n v="0"/>
    <n v="0"/>
    <n v="6.9922242642142418E-2"/>
    <n v="0.94718228375475988"/>
    <n v="0"/>
    <n v="-3.0297831636565817"/>
    <m/>
    <n v="0"/>
    <n v="0"/>
    <n v="0"/>
    <n v="0"/>
    <n v="-0.47510884356893968"/>
    <n v="-7.853709807680298E-2"/>
    <n v="0"/>
    <n v="0"/>
    <m/>
    <m/>
    <m/>
    <n v="2190.1794320099357"/>
    <n v="0"/>
    <n v="0"/>
    <n v="-1476.3028299999999"/>
    <n v="14.566890000000001"/>
    <n v="0"/>
    <n v="0"/>
    <n v="-1471.0880439646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53"/>
    <s v="Regular"/>
    <s v="Verde"/>
    <s v="A4"/>
    <s v="Serviço público"/>
    <s v="Água, esgoto e saneamento"/>
    <s v="Não se aplica"/>
    <s v="Não se aplica"/>
    <s v="Fora ponta"/>
    <s v="CATIVO"/>
    <x v="11"/>
    <n v="0"/>
    <n v="0"/>
    <n v="17.39"/>
    <n v="16.346599999999999"/>
    <n v="17.39"/>
    <n v="16.346599999999999"/>
    <m/>
    <n v="82.26"/>
    <n v="256.55"/>
    <m/>
    <n v="5891.9059000000007"/>
    <n v="5891.9059000000007"/>
    <n v="6120.9322000000011"/>
    <n v="0"/>
    <n v="930.06889727422583"/>
    <n v="0"/>
    <n v="0"/>
    <n v="0"/>
    <n v="0"/>
    <n v="0"/>
    <n v="4461.4483529203844"/>
    <n v="0"/>
    <n v="0"/>
    <n v="0"/>
    <n v="0"/>
    <n v="0"/>
    <n v="165.27914670678894"/>
    <m/>
    <n v="23.460066359828154"/>
    <n v="0"/>
    <n v="0"/>
    <n v="0"/>
    <n v="0"/>
    <n v="0"/>
    <n v="0"/>
    <n v="0"/>
    <n v="0"/>
    <n v="0"/>
    <n v="0"/>
    <n v="0"/>
    <n v="0"/>
    <m/>
    <n v="0"/>
    <n v="0"/>
    <n v="21.424918527216516"/>
    <n v="0"/>
    <n v="0"/>
    <n v="290.22672175618226"/>
    <n v="0"/>
    <n v="0"/>
    <n v="0"/>
    <n v="0"/>
    <n v="0"/>
    <m/>
    <m/>
    <m/>
    <m/>
    <n v="367.25593200000071"/>
    <m/>
    <m/>
    <m/>
    <m/>
    <n v="4773.099993203783"/>
    <m/>
    <m/>
    <m/>
    <m/>
    <m/>
    <m/>
    <m/>
    <m/>
    <m/>
    <m/>
    <m/>
    <m/>
    <n v="5754.8730000000005"/>
    <n v="216.45145400000092"/>
    <m/>
    <m/>
    <m/>
    <m/>
    <n v="-49.039800000000128"/>
    <n v="278.06610000000018"/>
    <n v="30"/>
    <n v="228.95305531681242"/>
    <n v="0"/>
    <n v="0"/>
    <n v="0"/>
    <n v="0"/>
    <n v="0"/>
    <n v="0"/>
    <n v="0"/>
    <n v="0"/>
    <n v="0"/>
    <n v="0"/>
    <n v="277.94140265728038"/>
    <n v="0"/>
    <n v="0"/>
    <n v="1.3347396262863391"/>
    <n v="18.080680476943201"/>
    <n v="0"/>
    <n v="-57.835268074630108"/>
    <m/>
    <n v="0"/>
    <n v="0"/>
    <n v="0"/>
    <n v="0"/>
    <n v="-9.0693115144499075"/>
    <n v="-1.4991878546164692"/>
    <n v="0"/>
    <n v="0"/>
    <m/>
    <m/>
    <m/>
    <n v="0"/>
    <n v="0"/>
    <n v="0"/>
    <n v="-49.039800000000014"/>
    <n v="278.066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54"/>
    <s v="Regular"/>
    <s v="Verde"/>
    <s v="A4"/>
    <s v="Serviço público"/>
    <s v="Água, esgoto e saneamento"/>
    <s v="Não se aplica"/>
    <s v="Não se aplica"/>
    <s v="Não se aplica"/>
    <s v="CATIVO"/>
    <x v="11"/>
    <n v="79"/>
    <n v="74.260000000000005"/>
    <n v="0"/>
    <n v="0"/>
    <n v="0"/>
    <n v="0"/>
    <n v="47.39"/>
    <m/>
    <m/>
    <n v="3743.81"/>
    <m/>
    <n v="3743.81"/>
    <n v="2545.38"/>
    <n v="0"/>
    <n v="0"/>
    <n v="0"/>
    <n v="0"/>
    <n v="0"/>
    <n v="1972.6379141777902"/>
    <n v="1771.16951241263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.78"/>
    <n v="104.24"/>
    <n v="3356.81"/>
    <n v="1"/>
    <m/>
    <m/>
    <m/>
    <m/>
    <n v="152.72279999999984"/>
    <m/>
    <m/>
    <m/>
    <m/>
    <n v="0"/>
    <m/>
    <m/>
    <m/>
    <m/>
    <m/>
    <m/>
    <m/>
    <m/>
    <m/>
    <m/>
    <m/>
    <m/>
    <n v="2392.6572000000001"/>
    <n v="-1126.5542000000009"/>
    <m/>
    <m/>
    <m/>
    <m/>
    <n v="-1198.43"/>
    <n v="0"/>
    <n v="30"/>
    <n v="-8.9164474416556914"/>
    <n v="0"/>
    <n v="0"/>
    <n v="0"/>
    <n v="0"/>
    <m/>
    <m/>
    <m/>
    <n v="-8.91644744165569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71.1695124126304"/>
    <m/>
    <n v="0"/>
    <n v="0"/>
    <n v="-1198.4299999999998"/>
    <m/>
    <n v="0"/>
    <m/>
    <n v="-1189.6496951182394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55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1.1679999999999999"/>
    <n v="1.1679999999999999"/>
    <n v="1.1679999999999999"/>
    <n v="1.1679999999999999"/>
    <m/>
    <n v="710.91"/>
    <n v="256.55"/>
    <m/>
    <n v="1129.9932799999999"/>
    <n v="1129.9932799999999"/>
    <n v="771.38223999999991"/>
    <n v="0"/>
    <n v="71.802427872822648"/>
    <n v="0"/>
    <n v="0"/>
    <n v="0"/>
    <n v="143.76069849033848"/>
    <n v="557.03095204842919"/>
    <n v="299.65334538303671"/>
    <n v="0"/>
    <n v="0"/>
    <n v="0"/>
    <n v="0"/>
    <n v="0"/>
    <n v="11.100980066332919"/>
    <m/>
    <n v="2.5646998268995991"/>
    <n v="0"/>
    <n v="0"/>
    <n v="0"/>
    <n v="0"/>
    <n v="0"/>
    <n v="0"/>
    <n v="0"/>
    <n v="0"/>
    <n v="0"/>
    <n v="0"/>
    <n v="0"/>
    <n v="0"/>
    <m/>
    <n v="0"/>
    <n v="0"/>
    <n v="1.7406941455749154"/>
    <n v="0"/>
    <n v="0"/>
    <n v="42.343973857019193"/>
    <n v="0"/>
    <n v="2.11"/>
    <n v="8.31"/>
    <n v="260.58"/>
    <n v="5"/>
    <m/>
    <m/>
    <m/>
    <m/>
    <m/>
    <m/>
    <m/>
    <m/>
    <m/>
    <n v="343.73801338563084"/>
    <m/>
    <m/>
    <m/>
    <m/>
    <m/>
    <m/>
    <m/>
    <m/>
    <m/>
    <m/>
    <m/>
    <m/>
    <n v="772.70309999999995"/>
    <n v="-357.32017999999994"/>
    <m/>
    <m/>
    <m/>
    <m/>
    <n v="-377.28735999999998"/>
    <n v="18.676320000000011"/>
    <n v="30"/>
    <n v="15.526558209541349"/>
    <n v="0"/>
    <n v="0"/>
    <n v="0"/>
    <n v="0"/>
    <n v="0"/>
    <n v="0"/>
    <n v="0"/>
    <n v="-0.64980739904248708"/>
    <n v="0"/>
    <n v="0"/>
    <n v="18.667944698315353"/>
    <n v="0"/>
    <n v="0"/>
    <n v="0.10844258055833422"/>
    <n v="2.6379647497654659"/>
    <n v="0"/>
    <n v="-4.4649516574572203"/>
    <m/>
    <n v="0"/>
    <n v="0"/>
    <n v="0"/>
    <n v="0"/>
    <n v="-0.60914064685896996"/>
    <n v="-0.16389411573910317"/>
    <n v="0"/>
    <n v="0"/>
    <m/>
    <m/>
    <m/>
    <n v="557.03095204842919"/>
    <n v="0"/>
    <n v="0"/>
    <n v="-377.28735999999998"/>
    <n v="18.676320000000032"/>
    <n v="0"/>
    <n v="0"/>
    <n v="-374.14358006488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"/>
    <n v="0"/>
    <n v="0"/>
    <m/>
    <n v="0"/>
    <m/>
    <m/>
    <m/>
    <m/>
    <n v="0"/>
    <n v="0"/>
    <n v="0"/>
    <n v="0"/>
  </r>
  <r>
    <n v="456"/>
    <s v="Regular"/>
    <s v="Verde"/>
    <s v="A4"/>
    <s v="Industrial"/>
    <s v="Não se aplica"/>
    <s v="Fonte incentivada"/>
    <s v="Não se aplica"/>
    <s v="Ponta"/>
    <s v="LIVRE"/>
    <x v="0"/>
    <n v="0"/>
    <n v="0"/>
    <n v="12.842000000000001"/>
    <n v="6.4210000000000003"/>
    <n v="0"/>
    <n v="0"/>
    <m/>
    <n v="3130.62"/>
    <m/>
    <m/>
    <n v="40203.422039999998"/>
    <n v="40203.422039999998"/>
    <n v="19392.575779999999"/>
    <n v="0"/>
    <n v="686.82833690601547"/>
    <n v="0"/>
    <n v="0"/>
    <n v="0"/>
    <n v="8272.9937129978625"/>
    <n v="30874.077130484733"/>
    <m/>
    <m/>
    <m/>
    <n v="0"/>
    <n v="0"/>
    <n v="0"/>
    <n v="122.05375514712958"/>
    <m/>
    <n v="17.324564243410762"/>
    <n v="0"/>
    <n v="0"/>
    <n v="0"/>
    <n v="0"/>
    <m/>
    <m/>
    <n v="0"/>
    <n v="0"/>
    <n v="0"/>
    <m/>
    <m/>
    <n v="0"/>
    <m/>
    <n v="0"/>
    <n v="0"/>
    <n v="15.821667839362535"/>
    <n v="0"/>
    <m/>
    <n v="214.32383903351885"/>
    <n v="0"/>
    <n v="0"/>
    <n v="0"/>
    <n v="0"/>
    <n v="0"/>
    <m/>
    <n v="9696.2878899999996"/>
    <m/>
    <m/>
    <m/>
    <m/>
    <m/>
    <m/>
    <m/>
    <n v="230.14550687288138"/>
    <m/>
    <m/>
    <m/>
    <m/>
    <m/>
    <m/>
    <m/>
    <m/>
    <m/>
    <m/>
    <m/>
    <m/>
    <n v="9694.7777999999998"/>
    <n v="-10406.963219999994"/>
    <m/>
    <m/>
    <m/>
    <m/>
    <n v="-20810.846260000002"/>
    <n v="0"/>
    <n v="31"/>
    <n v="-73.570895649516387"/>
    <n v="0"/>
    <n v="0"/>
    <n v="0"/>
    <n v="0"/>
    <m/>
    <m/>
    <m/>
    <n v="-37.394451914826277"/>
    <n v="0"/>
    <n v="0"/>
    <m/>
    <m/>
    <n v="0"/>
    <n v="0.98566568607068383"/>
    <n v="13.352047077912857"/>
    <n v="0"/>
    <n v="-42.709632697780421"/>
    <m/>
    <n v="0"/>
    <n v="0"/>
    <m/>
    <n v="0"/>
    <n v="-6.6974179682901251"/>
    <n v="-1.1071058326040664"/>
    <n v="0"/>
    <n v="0"/>
    <m/>
    <m/>
    <m/>
    <n v="30874.077130484733"/>
    <n v="0"/>
    <n v="0"/>
    <n v="-20810.846259999998"/>
    <m/>
    <n v="0"/>
    <m/>
    <n v="-20737.335522056623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57"/>
    <s v="Regular"/>
    <s v="Verde"/>
    <s v="A4"/>
    <s v="Industrial"/>
    <s v="Não se aplica"/>
    <s v="Fonte incentivada"/>
    <s v="Não se aplica"/>
    <s v="Fora ponta"/>
    <s v="LIVRE"/>
    <x v="0"/>
    <n v="0"/>
    <n v="0"/>
    <n v="210.84200000000001"/>
    <n v="105.42100000000001"/>
    <n v="0"/>
    <n v="0"/>
    <m/>
    <n v="82.26"/>
    <m/>
    <m/>
    <n v="17343.862920000003"/>
    <n v="17343.862920000003"/>
    <n v="16749.288479999999"/>
    <n v="0"/>
    <n v="11276.456954519397"/>
    <n v="0"/>
    <n v="0"/>
    <n v="0"/>
    <n v="0"/>
    <n v="0"/>
    <m/>
    <m/>
    <m/>
    <n v="0"/>
    <n v="0"/>
    <n v="0"/>
    <n v="2003.8979787206897"/>
    <m/>
    <n v="284.43745321672731"/>
    <n v="0"/>
    <n v="0"/>
    <n v="0"/>
    <n v="0"/>
    <m/>
    <m/>
    <n v="0"/>
    <n v="0"/>
    <n v="0"/>
    <m/>
    <m/>
    <n v="0"/>
    <m/>
    <n v="0"/>
    <n v="0"/>
    <n v="259.76266084619806"/>
    <n v="0"/>
    <m/>
    <n v="3518.8029021573884"/>
    <n v="0"/>
    <n v="0"/>
    <n v="0"/>
    <n v="0"/>
    <n v="0"/>
    <m/>
    <n v="8374.6442399999996"/>
    <m/>
    <m/>
    <m/>
    <m/>
    <m/>
    <m/>
    <m/>
    <n v="3778.5655630035862"/>
    <m/>
    <m/>
    <m/>
    <m/>
    <m/>
    <m/>
    <m/>
    <m/>
    <m/>
    <m/>
    <m/>
    <m/>
    <n v="8374.5648000000001"/>
    <n v="-297.39666000000216"/>
    <m/>
    <m/>
    <m/>
    <m/>
    <n v="-594.57444000000157"/>
    <n v="0"/>
    <n v="31"/>
    <n v="-593.95061126846849"/>
    <n v="0"/>
    <n v="0"/>
    <n v="0"/>
    <n v="0"/>
    <m/>
    <m/>
    <m/>
    <n v="0"/>
    <n v="0"/>
    <n v="0"/>
    <m/>
    <m/>
    <n v="0"/>
    <n v="16.18281611762302"/>
    <n v="219.21603410693842"/>
    <n v="0"/>
    <n v="-701.21354752105617"/>
    <m/>
    <n v="0"/>
    <n v="0"/>
    <m/>
    <n v="0"/>
    <n v="-109.95927419951954"/>
    <n v="-18.176639772458088"/>
    <n v="0"/>
    <n v="0"/>
    <m/>
    <m/>
    <m/>
    <n v="0"/>
    <n v="0"/>
    <n v="0"/>
    <n v="-594.57444000000396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58"/>
    <s v="Regular"/>
    <s v="Verde"/>
    <s v="A4"/>
    <s v="Industrial"/>
    <s v="Não se aplica"/>
    <s v="Fonte incentivada"/>
    <s v="Não se aplica"/>
    <s v="Não se aplica"/>
    <s v="LIVRE"/>
    <x v="0"/>
    <n v="955"/>
    <n v="477.5"/>
    <n v="0"/>
    <n v="0"/>
    <n v="0"/>
    <n v="0"/>
    <n v="47.39"/>
    <m/>
    <m/>
    <n v="45257.45"/>
    <m/>
    <n v="45257.45"/>
    <n v="30770.1"/>
    <n v="0"/>
    <n v="0"/>
    <n v="0"/>
    <n v="0"/>
    <n v="0"/>
    <n v="23846.445671389742"/>
    <n v="21410.97321967167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6.040000000000006"/>
    <n v="0"/>
    <n v="8778.61"/>
    <n v="2"/>
    <m/>
    <n v="15385.05"/>
    <m/>
    <m/>
    <m/>
    <m/>
    <m/>
    <m/>
    <m/>
    <n v="0"/>
    <m/>
    <m/>
    <m/>
    <m/>
    <m/>
    <m/>
    <m/>
    <m/>
    <m/>
    <m/>
    <m/>
    <m/>
    <n v="15385.05"/>
    <n v="-7243.7049999999945"/>
    <m/>
    <m/>
    <m/>
    <m/>
    <n v="-14487.350000000002"/>
    <n v="0"/>
    <n v="31"/>
    <n v="-107.787434263053"/>
    <n v="0"/>
    <n v="0"/>
    <n v="0"/>
    <n v="0"/>
    <m/>
    <m/>
    <m/>
    <n v="-107.7874342630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410.973219671672"/>
    <m/>
    <n v="0"/>
    <n v="0"/>
    <n v="-14487.349999999999"/>
    <m/>
    <n v="0"/>
    <m/>
    <n v="-14381.2083397204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59"/>
    <s v="Regular"/>
    <s v="Geração"/>
    <s v="A4"/>
    <s v="Não se aplica"/>
    <s v="Não se aplica"/>
    <s v="Não se aplica"/>
    <s v="SOLEDADE"/>
    <s v="Não se aplica"/>
    <s v="GERAÇÃO"/>
    <x v="0"/>
    <n v="1000"/>
    <n v="500"/>
    <n v="0"/>
    <n v="0"/>
    <n v="0"/>
    <n v="0"/>
    <n v="15.78"/>
    <m/>
    <m/>
    <n v="15780"/>
    <m/>
    <n v="15780"/>
    <n v="5200"/>
    <n v="0"/>
    <n v="0"/>
    <n v="0"/>
    <n v="0"/>
    <n v="0"/>
    <n v="0"/>
    <n v="15739.433553196899"/>
    <m/>
    <m/>
    <m/>
    <n v="0"/>
    <n v="0"/>
    <n v="0"/>
    <n v="0"/>
    <m/>
    <n v="38.248486219299501"/>
    <n v="0"/>
    <n v="0"/>
    <n v="0"/>
    <n v="0"/>
    <m/>
    <m/>
    <n v="0"/>
    <n v="0"/>
    <n v="0"/>
    <m/>
    <m/>
    <n v="0"/>
    <m/>
    <n v="0"/>
    <n v="0"/>
    <n v="0"/>
    <n v="0"/>
    <m/>
    <n v="0"/>
    <n v="0"/>
    <n v="4.6500000000000004"/>
    <n v="0"/>
    <n v="537.62"/>
    <n v="0"/>
    <m/>
    <m/>
    <n v="2600"/>
    <m/>
    <m/>
    <m/>
    <m/>
    <m/>
    <m/>
    <n v="0"/>
    <m/>
    <m/>
    <m/>
    <m/>
    <m/>
    <m/>
    <m/>
    <m/>
    <m/>
    <m/>
    <m/>
    <m/>
    <n v="2600"/>
    <n v="-5290.0300000000007"/>
    <m/>
    <m/>
    <m/>
    <m/>
    <n v="-10579.999999999998"/>
    <n v="0"/>
    <n v="31"/>
    <n v="-2.444224373364299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4442243733642997"/>
    <n v="0"/>
    <n v="0"/>
    <m/>
    <m/>
    <n v="15739.433553196899"/>
    <m/>
    <n v="0"/>
    <n v="0"/>
    <n v="-10580"/>
    <m/>
    <n v="0"/>
    <m/>
    <n v="-10571.77881432064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60"/>
    <s v="Regular"/>
    <s v="Geração"/>
    <s v="A4"/>
    <s v="Não se aplica"/>
    <s v="Não se aplica"/>
    <s v="Não se aplica"/>
    <s v="TAIPINHA"/>
    <s v="Não se aplica"/>
    <s v="GERAÇÃO"/>
    <x v="0"/>
    <n v="790"/>
    <n v="395"/>
    <n v="0"/>
    <n v="0"/>
    <n v="0"/>
    <n v="0"/>
    <n v="15.78"/>
    <m/>
    <m/>
    <n v="12466.199999999999"/>
    <m/>
    <n v="12466.199999999999"/>
    <n v="4108"/>
    <n v="0"/>
    <n v="0"/>
    <n v="0"/>
    <n v="0"/>
    <n v="0"/>
    <n v="0"/>
    <n v="12434.15250702555"/>
    <m/>
    <m/>
    <m/>
    <n v="0"/>
    <n v="0"/>
    <n v="0"/>
    <n v="0"/>
    <m/>
    <n v="30.2163041132466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3.67"/>
    <n v="0"/>
    <n v="424.71"/>
    <n v="0"/>
    <m/>
    <m/>
    <n v="2054"/>
    <m/>
    <m/>
    <m/>
    <m/>
    <m/>
    <m/>
    <n v="0"/>
    <m/>
    <m/>
    <m/>
    <m/>
    <m/>
    <m/>
    <m/>
    <m/>
    <m/>
    <m/>
    <m/>
    <m/>
    <n v="2054"/>
    <n v="-4179.13"/>
    <m/>
    <m/>
    <m/>
    <m/>
    <n v="-8358.1999999999989"/>
    <n v="0"/>
    <n v="31"/>
    <n v="-1.930937254957797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9309372549577972"/>
    <n v="0"/>
    <n v="0"/>
    <m/>
    <m/>
    <n v="12434.15250702555"/>
    <m/>
    <n v="0"/>
    <n v="0"/>
    <n v="-8358.1999999999989"/>
    <m/>
    <n v="0"/>
    <m/>
    <n v="-8351.705263313313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61"/>
    <s v="Regular"/>
    <s v="Verde"/>
    <s v="A4"/>
    <s v="Industrial"/>
    <s v="Não se aplica"/>
    <s v="Fonte incentivada"/>
    <s v="Não se aplica"/>
    <s v="Ponta"/>
    <s v="LIVRE"/>
    <x v="1"/>
    <n v="0"/>
    <n v="0"/>
    <n v="13.657999999999999"/>
    <n v="6.8289999999999997"/>
    <n v="0"/>
    <n v="0"/>
    <m/>
    <n v="3130.62"/>
    <m/>
    <m/>
    <n v="42758.007959999995"/>
    <n v="42758.007959999995"/>
    <n v="20624.809219999999"/>
    <n v="0"/>
    <n v="730.47044272405833"/>
    <n v="0"/>
    <n v="0"/>
    <n v="0"/>
    <n v="8798.6721797325026"/>
    <n v="32835.862439507902"/>
    <m/>
    <m/>
    <m/>
    <n v="0"/>
    <n v="0"/>
    <n v="0"/>
    <n v="129.80923437155394"/>
    <m/>
    <n v="18.425393119179581"/>
    <n v="0"/>
    <n v="0"/>
    <n v="0"/>
    <n v="0"/>
    <m/>
    <m/>
    <n v="0"/>
    <n v="0"/>
    <n v="0"/>
    <m/>
    <m/>
    <n v="0"/>
    <m/>
    <n v="0"/>
    <n v="0"/>
    <n v="16.827000416602825"/>
    <n v="0"/>
    <m/>
    <n v="227.9422982027566"/>
    <n v="0"/>
    <n v="0"/>
    <n v="0"/>
    <n v="0"/>
    <n v="0"/>
    <m/>
    <n v="10312.40461"/>
    <m/>
    <m/>
    <m/>
    <m/>
    <m/>
    <m/>
    <m/>
    <n v="244.76929861935943"/>
    <m/>
    <m/>
    <m/>
    <m/>
    <m/>
    <m/>
    <m/>
    <m/>
    <m/>
    <m/>
    <m/>
    <m/>
    <n v="10313.914699999999"/>
    <n v="-11065.119279999994"/>
    <m/>
    <m/>
    <m/>
    <m/>
    <n v="-22133.19874"/>
    <n v="0"/>
    <n v="31"/>
    <n v="-78.245701041978464"/>
    <n v="0"/>
    <n v="0"/>
    <n v="0"/>
    <n v="0"/>
    <m/>
    <m/>
    <m/>
    <n v="-39.77055164714875"/>
    <n v="0"/>
    <n v="0"/>
    <m/>
    <m/>
    <n v="0"/>
    <n v="1.0482963666370786"/>
    <n v="14.200456236577907"/>
    <n v="0"/>
    <n v="-45.423467013415575"/>
    <m/>
    <n v="0"/>
    <n v="0"/>
    <m/>
    <n v="0"/>
    <n v="-7.1229819818491364"/>
    <n v="-1.1774530027804353"/>
    <n v="0"/>
    <n v="0"/>
    <m/>
    <m/>
    <m/>
    <n v="32835.862439507902"/>
    <n v="0"/>
    <n v="0"/>
    <n v="-22133.198739999996"/>
    <m/>
    <n v="0"/>
    <m/>
    <n v="-22055.01701917531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62"/>
    <s v="Regular"/>
    <s v="Verde"/>
    <s v="A4"/>
    <s v="Industrial"/>
    <s v="Não se aplica"/>
    <s v="Fonte incentivada"/>
    <s v="Não se aplica"/>
    <s v="Fora ponta"/>
    <s v="LIVRE"/>
    <x v="1"/>
    <n v="0"/>
    <n v="0"/>
    <n v="220.905"/>
    <n v="110.4525"/>
    <n v="0"/>
    <n v="0"/>
    <m/>
    <n v="82.26"/>
    <m/>
    <m/>
    <n v="18171.6453"/>
    <n v="18171.6453"/>
    <n v="17548.693199999998"/>
    <n v="0"/>
    <n v="11814.656109969112"/>
    <n v="0"/>
    <n v="0"/>
    <n v="0"/>
    <n v="0"/>
    <n v="0"/>
    <m/>
    <m/>
    <m/>
    <n v="0"/>
    <n v="0"/>
    <n v="0"/>
    <n v="2099.5393848915014"/>
    <m/>
    <n v="298.01299362954791"/>
    <n v="0"/>
    <n v="0"/>
    <n v="0"/>
    <n v="0"/>
    <m/>
    <m/>
    <n v="0"/>
    <n v="0"/>
    <n v="0"/>
    <m/>
    <m/>
    <n v="0"/>
    <m/>
    <n v="0"/>
    <n v="0"/>
    <n v="272.16053060694446"/>
    <n v="0"/>
    <m/>
    <n v="3686.7472092897897"/>
    <n v="0"/>
    <n v="0"/>
    <n v="0"/>
    <n v="0"/>
    <n v="0"/>
    <m/>
    <n v="8774.3465999999989"/>
    <m/>
    <m/>
    <m/>
    <m/>
    <m/>
    <m/>
    <m/>
    <n v="3958.9077398967343"/>
    <m/>
    <m/>
    <m/>
    <m/>
    <m/>
    <m/>
    <m/>
    <m/>
    <m/>
    <m/>
    <m/>
    <m/>
    <n v="8774.1479999999992"/>
    <n v="-311.70465000000149"/>
    <m/>
    <m/>
    <m/>
    <m/>
    <n v="-622.95210000000168"/>
    <n v="0"/>
    <n v="31"/>
    <n v="-622.29849736894175"/>
    <n v="0"/>
    <n v="0"/>
    <n v="0"/>
    <n v="0"/>
    <m/>
    <m/>
    <m/>
    <n v="0"/>
    <n v="0"/>
    <n v="0"/>
    <m/>
    <m/>
    <n v="0"/>
    <n v="16.95518442465692"/>
    <n v="229.67870734670123"/>
    <n v="0"/>
    <n v="-734.68084496987649"/>
    <m/>
    <n v="0"/>
    <n v="0"/>
    <m/>
    <n v="0"/>
    <n v="-115.20737550888748"/>
    <n v="-19.044168661532581"/>
    <n v="0"/>
    <n v="0"/>
    <m/>
    <m/>
    <m/>
    <n v="0"/>
    <n v="0"/>
    <n v="0"/>
    <n v="-622.9521000000022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63"/>
    <s v="Regular"/>
    <s v="Verde"/>
    <s v="A4"/>
    <s v="Industrial"/>
    <s v="Não se aplica"/>
    <s v="Fonte incentivada"/>
    <s v="Não se aplica"/>
    <s v="Não se aplica"/>
    <s v="LIVRE"/>
    <x v="1"/>
    <n v="962"/>
    <n v="481"/>
    <n v="0"/>
    <n v="0"/>
    <n v="0"/>
    <n v="0"/>
    <n v="47.39"/>
    <m/>
    <m/>
    <n v="45589.18"/>
    <m/>
    <n v="45589.18"/>
    <n v="30995.64"/>
    <n v="0"/>
    <n v="0"/>
    <n v="0"/>
    <n v="0"/>
    <n v="0"/>
    <n v="24021.236372646003"/>
    <n v="21567.9122903917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0.98"/>
    <n v="0"/>
    <n v="9347.84"/>
    <n v="2"/>
    <m/>
    <n v="15497.82"/>
    <m/>
    <m/>
    <m/>
    <m/>
    <m/>
    <m/>
    <m/>
    <n v="0"/>
    <m/>
    <m/>
    <m/>
    <m/>
    <m/>
    <m/>
    <m/>
    <m/>
    <m/>
    <m/>
    <m/>
    <m/>
    <n v="15497.82"/>
    <n v="-7296.7999999999956"/>
    <m/>
    <m/>
    <m/>
    <m/>
    <n v="-14593.54"/>
    <n v="0"/>
    <n v="31"/>
    <n v="-108.57749922623771"/>
    <n v="0"/>
    <n v="0"/>
    <n v="0"/>
    <n v="0"/>
    <m/>
    <m/>
    <m/>
    <n v="-108.577499226237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567.912290391778"/>
    <m/>
    <n v="0"/>
    <n v="0"/>
    <n v="-14593.54"/>
    <m/>
    <n v="0"/>
    <m/>
    <n v="-14486.62033802210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64"/>
    <s v="Regular"/>
    <s v="Geração"/>
    <s v="A4"/>
    <s v="Não se aplica"/>
    <s v="Não se aplica"/>
    <s v="Não se aplica"/>
    <s v="SOLEDADE"/>
    <s v="Não se aplica"/>
    <s v="GERAÇÃO"/>
    <x v="1"/>
    <n v="1000"/>
    <n v="500"/>
    <n v="0"/>
    <n v="0"/>
    <n v="0"/>
    <n v="0"/>
    <n v="15.78"/>
    <m/>
    <m/>
    <n v="15780"/>
    <m/>
    <n v="15780"/>
    <n v="5200"/>
    <n v="0"/>
    <n v="0"/>
    <n v="0"/>
    <n v="0"/>
    <n v="0"/>
    <n v="0"/>
    <n v="15739.433553196899"/>
    <m/>
    <m/>
    <m/>
    <n v="0"/>
    <n v="0"/>
    <n v="0"/>
    <n v="0"/>
    <m/>
    <n v="38.248486219299501"/>
    <n v="0"/>
    <n v="0"/>
    <n v="0"/>
    <n v="0"/>
    <m/>
    <m/>
    <n v="0"/>
    <n v="0"/>
    <n v="0"/>
    <m/>
    <m/>
    <n v="0"/>
    <m/>
    <n v="0"/>
    <n v="0"/>
    <n v="0"/>
    <n v="0"/>
    <m/>
    <n v="0"/>
    <n v="0"/>
    <n v="4.78"/>
    <n v="0"/>
    <n v="552.53"/>
    <n v="0"/>
    <m/>
    <m/>
    <n v="2600"/>
    <m/>
    <m/>
    <m/>
    <m/>
    <m/>
    <m/>
    <n v="0"/>
    <m/>
    <m/>
    <m/>
    <m/>
    <m/>
    <m/>
    <m/>
    <m/>
    <m/>
    <m/>
    <m/>
    <m/>
    <n v="2600"/>
    <n v="-5290.0300000000007"/>
    <m/>
    <m/>
    <m/>
    <m/>
    <n v="-10579.999999999998"/>
    <n v="0"/>
    <n v="31"/>
    <n v="-2.444224373364299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4442243733642997"/>
    <n v="0"/>
    <n v="0"/>
    <m/>
    <m/>
    <n v="15739.433553196899"/>
    <m/>
    <n v="0"/>
    <n v="0"/>
    <n v="-10580"/>
    <m/>
    <n v="0"/>
    <m/>
    <n v="-10571.77881432064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65"/>
    <s v="Regular"/>
    <s v="Geração"/>
    <s v="A4"/>
    <s v="Não se aplica"/>
    <s v="Não se aplica"/>
    <s v="Não se aplica"/>
    <s v="TAIPINHA"/>
    <s v="Não se aplica"/>
    <s v="GERAÇÃO"/>
    <x v="1"/>
    <n v="790"/>
    <n v="395"/>
    <n v="0"/>
    <n v="0"/>
    <n v="0"/>
    <n v="0"/>
    <n v="15.78"/>
    <m/>
    <m/>
    <n v="12466.199999999999"/>
    <m/>
    <n v="12466.199999999999"/>
    <n v="4108"/>
    <n v="0"/>
    <n v="0"/>
    <n v="0"/>
    <n v="0"/>
    <n v="0"/>
    <n v="0"/>
    <n v="12434.15250702555"/>
    <m/>
    <m/>
    <m/>
    <n v="0"/>
    <n v="0"/>
    <n v="0"/>
    <n v="0"/>
    <m/>
    <n v="30.2163041132466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3.77"/>
    <n v="0"/>
    <n v="436.49"/>
    <n v="0"/>
    <m/>
    <m/>
    <n v="2054"/>
    <m/>
    <m/>
    <m/>
    <m/>
    <m/>
    <m/>
    <n v="0"/>
    <m/>
    <m/>
    <m/>
    <m/>
    <m/>
    <m/>
    <m/>
    <m/>
    <m/>
    <m/>
    <m/>
    <m/>
    <n v="2054"/>
    <n v="-4179.13"/>
    <m/>
    <m/>
    <m/>
    <m/>
    <n v="-8358.1999999999989"/>
    <n v="0"/>
    <n v="31"/>
    <n v="-1.930937254957797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9309372549577972"/>
    <n v="0"/>
    <n v="0"/>
    <m/>
    <m/>
    <n v="12434.15250702555"/>
    <m/>
    <n v="0"/>
    <n v="0"/>
    <n v="-8358.1999999999989"/>
    <m/>
    <n v="0"/>
    <m/>
    <n v="-8351.705263313313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66"/>
    <s v="Regular"/>
    <s v="Verde"/>
    <s v="A4"/>
    <s v="Industrial"/>
    <s v="Não se aplica"/>
    <s v="Fonte incentivada"/>
    <s v="Não se aplica"/>
    <s v="Ponta"/>
    <s v="LIVRE"/>
    <x v="2"/>
    <n v="0"/>
    <n v="0"/>
    <n v="14.189"/>
    <n v="7.0945"/>
    <n v="0"/>
    <n v="0"/>
    <m/>
    <n v="3130.62"/>
    <m/>
    <m/>
    <n v="44420.367180000001"/>
    <n v="44420.367180000001"/>
    <n v="21426.667009999997"/>
    <n v="0"/>
    <n v="758.86990128947616"/>
    <n v="0"/>
    <n v="0"/>
    <n v="0"/>
    <n v="9140.7497113943828"/>
    <n v="34112.465379570771"/>
    <m/>
    <m/>
    <m/>
    <n v="0"/>
    <n v="0"/>
    <n v="0"/>
    <n v="134.85599842568305"/>
    <m/>
    <n v="19.141741321426203"/>
    <n v="0"/>
    <n v="0"/>
    <n v="0"/>
    <n v="0"/>
    <m/>
    <m/>
    <n v="0"/>
    <n v="0"/>
    <n v="0"/>
    <m/>
    <m/>
    <n v="0"/>
    <m/>
    <n v="0"/>
    <n v="0"/>
    <n v="17.481205806939339"/>
    <n v="0"/>
    <m/>
    <n v="236.80431023567971"/>
    <n v="0"/>
    <n v="0"/>
    <n v="0"/>
    <n v="0"/>
    <n v="0"/>
    <m/>
    <n v="10713.333504999999"/>
    <m/>
    <m/>
    <m/>
    <m/>
    <m/>
    <m/>
    <m/>
    <n v="254.28551604261904"/>
    <m/>
    <m/>
    <m/>
    <m/>
    <m/>
    <m/>
    <m/>
    <m/>
    <m/>
    <m/>
    <m/>
    <m/>
    <n v="10706.5381"/>
    <n v="-11503.675489999996"/>
    <m/>
    <m/>
    <m/>
    <m/>
    <n v="-22993.70017"/>
    <n v="0"/>
    <n v="30"/>
    <n v="-81.287761903982755"/>
    <n v="0"/>
    <n v="0"/>
    <n v="0"/>
    <n v="0"/>
    <m/>
    <m/>
    <m/>
    <n v="-41.316763605314918"/>
    <n v="0"/>
    <n v="0"/>
    <m/>
    <m/>
    <n v="0"/>
    <n v="1.0890523609762432"/>
    <n v="14.752546019973948"/>
    <n v="0"/>
    <n v="-47.18945478498722"/>
    <m/>
    <n v="0"/>
    <n v="0"/>
    <m/>
    <n v="0"/>
    <n v="-7.3999115053783697"/>
    <n v="-1.2232303892554981"/>
    <n v="0"/>
    <n v="0"/>
    <m/>
    <m/>
    <m/>
    <n v="34112.465379570771"/>
    <n v="0"/>
    <n v="0"/>
    <n v="-22993.700170000004"/>
    <m/>
    <n v="0"/>
    <m/>
    <n v="-22912.47887575622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67"/>
    <s v="Regular"/>
    <s v="Verde"/>
    <s v="A4"/>
    <s v="Industrial"/>
    <s v="Não se aplica"/>
    <s v="Fonte incentivada"/>
    <s v="Não se aplica"/>
    <s v="Fora ponta"/>
    <s v="LIVRE"/>
    <x v="2"/>
    <n v="0"/>
    <n v="0"/>
    <n v="215.87700000000001"/>
    <n v="107.9385"/>
    <n v="0"/>
    <n v="0"/>
    <m/>
    <n v="82.26"/>
    <m/>
    <m/>
    <n v="17758.042020000001"/>
    <n v="17758.042020000001"/>
    <n v="17149.26888"/>
    <n v="0"/>
    <n v="11545.743722649111"/>
    <n v="0"/>
    <n v="0"/>
    <n v="0"/>
    <n v="0"/>
    <n v="0"/>
    <m/>
    <m/>
    <m/>
    <n v="0"/>
    <n v="0"/>
    <n v="0"/>
    <n v="2051.7519467292395"/>
    <m/>
    <n v="291.22994511561944"/>
    <n v="0"/>
    <n v="0"/>
    <n v="0"/>
    <n v="0"/>
    <m/>
    <m/>
    <n v="0"/>
    <n v="0"/>
    <n v="0"/>
    <m/>
    <m/>
    <n v="0"/>
    <m/>
    <n v="0"/>
    <n v="0"/>
    <n v="265.9659078148315"/>
    <n v="0"/>
    <m/>
    <n v="3602.8334682322807"/>
    <n v="0"/>
    <n v="0"/>
    <n v="0"/>
    <n v="0"/>
    <n v="0"/>
    <m/>
    <n v="8574.6344399999998"/>
    <m/>
    <m/>
    <m/>
    <m/>
    <m/>
    <m/>
    <m/>
    <n v="3868.7993760471122"/>
    <m/>
    <m/>
    <m/>
    <m/>
    <m/>
    <m/>
    <m/>
    <m/>
    <m/>
    <m/>
    <m/>
    <m/>
    <n v="8574.7536"/>
    <n v="-304.29741000000104"/>
    <m/>
    <m/>
    <m/>
    <m/>
    <n v="-608.7731400000016"/>
    <n v="0"/>
    <n v="30"/>
    <n v="-608.13441396307462"/>
    <n v="0"/>
    <n v="0"/>
    <n v="0"/>
    <n v="0"/>
    <m/>
    <m/>
    <m/>
    <n v="0"/>
    <n v="0"/>
    <n v="0"/>
    <m/>
    <m/>
    <n v="0"/>
    <n v="16.569268907637479"/>
    <n v="224.4510097366915"/>
    <n v="0"/>
    <n v="-717.95883646618313"/>
    <m/>
    <n v="0"/>
    <n v="0"/>
    <m/>
    <n v="0"/>
    <n v="-112.58515019004608"/>
    <n v="-18.610705951181103"/>
    <n v="0"/>
    <n v="0"/>
    <m/>
    <m/>
    <m/>
    <n v="0"/>
    <n v="0"/>
    <n v="0"/>
    <n v="-608.7731400000011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68"/>
    <s v="Regular"/>
    <s v="Verde"/>
    <s v="A4"/>
    <s v="Industrial"/>
    <s v="Não se aplica"/>
    <s v="Fonte incentivada"/>
    <s v="Não se aplica"/>
    <s v="Não se aplica"/>
    <s v="LIVRE"/>
    <x v="2"/>
    <n v="963"/>
    <n v="481.5"/>
    <n v="0"/>
    <n v="0"/>
    <n v="0"/>
    <n v="0"/>
    <n v="47.39"/>
    <m/>
    <m/>
    <n v="45636.57"/>
    <m/>
    <n v="45636.57"/>
    <n v="31027.86"/>
    <n v="0"/>
    <n v="0"/>
    <n v="0"/>
    <n v="0"/>
    <n v="0"/>
    <n v="24046.20647282547"/>
    <n v="21590.33215763750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0.930000000000007"/>
    <n v="0"/>
    <n v="9342.74"/>
    <n v="2"/>
    <m/>
    <n v="15513.93"/>
    <m/>
    <m/>
    <m/>
    <m/>
    <m/>
    <m/>
    <m/>
    <n v="0"/>
    <m/>
    <m/>
    <m/>
    <m/>
    <m/>
    <m/>
    <m/>
    <m/>
    <m/>
    <m/>
    <m/>
    <m/>
    <n v="15513.93"/>
    <n v="-7304.3849999999948"/>
    <m/>
    <m/>
    <m/>
    <m/>
    <n v="-14608.710000000001"/>
    <n v="0"/>
    <n v="30"/>
    <n v="-108.6903656495524"/>
    <n v="0"/>
    <n v="0"/>
    <n v="0"/>
    <n v="0"/>
    <m/>
    <m/>
    <m/>
    <n v="-108.690365649552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590.332157637509"/>
    <m/>
    <n v="0"/>
    <n v="0"/>
    <n v="-14608.71"/>
    <m/>
    <n v="0"/>
    <m/>
    <n v="-14501.679194922337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69"/>
    <s v="Regular"/>
    <s v="Geração"/>
    <s v="A4"/>
    <s v="Não se aplica"/>
    <s v="Não se aplica"/>
    <s v="Não se aplica"/>
    <s v="SOLEDADE"/>
    <s v="Não se aplica"/>
    <s v="GERAÇÃO"/>
    <x v="2"/>
    <n v="1000"/>
    <n v="500"/>
    <n v="0"/>
    <n v="0"/>
    <n v="0"/>
    <n v="0"/>
    <n v="15.78"/>
    <m/>
    <m/>
    <n v="15780"/>
    <m/>
    <n v="15780"/>
    <n v="5200"/>
    <n v="0"/>
    <n v="0"/>
    <n v="0"/>
    <n v="0"/>
    <n v="0"/>
    <n v="0"/>
    <n v="15739.433553196899"/>
    <m/>
    <m/>
    <m/>
    <n v="0"/>
    <n v="0"/>
    <n v="0"/>
    <n v="0"/>
    <m/>
    <n v="38.248486219299501"/>
    <n v="0"/>
    <n v="0"/>
    <n v="0"/>
    <n v="0"/>
    <m/>
    <m/>
    <n v="0"/>
    <n v="0"/>
    <n v="0"/>
    <m/>
    <m/>
    <n v="0"/>
    <m/>
    <n v="0"/>
    <n v="0"/>
    <n v="0"/>
    <n v="0"/>
    <m/>
    <n v="0"/>
    <n v="0"/>
    <n v="4.78"/>
    <n v="0"/>
    <n v="552.53"/>
    <n v="0"/>
    <m/>
    <m/>
    <n v="2600"/>
    <m/>
    <m/>
    <m/>
    <m/>
    <m/>
    <m/>
    <n v="0"/>
    <m/>
    <m/>
    <m/>
    <m/>
    <m/>
    <m/>
    <m/>
    <m/>
    <m/>
    <m/>
    <m/>
    <m/>
    <n v="2600"/>
    <n v="-5290.0300000000007"/>
    <m/>
    <m/>
    <m/>
    <m/>
    <n v="-10579.999999999998"/>
    <n v="0"/>
    <n v="30"/>
    <n v="-2.444224373364299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4442243733642997"/>
    <n v="0"/>
    <n v="0"/>
    <m/>
    <m/>
    <n v="15739.433553196899"/>
    <m/>
    <n v="0"/>
    <n v="0"/>
    <n v="-10580"/>
    <m/>
    <n v="0"/>
    <m/>
    <n v="-10571.77881432064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70"/>
    <s v="Regular"/>
    <s v="Geração"/>
    <s v="A4"/>
    <s v="Não se aplica"/>
    <s v="Não se aplica"/>
    <s v="Não se aplica"/>
    <s v="TAIPINHA"/>
    <s v="Não se aplica"/>
    <s v="GERAÇÃO"/>
    <x v="2"/>
    <n v="790"/>
    <n v="395"/>
    <n v="0"/>
    <n v="0"/>
    <n v="0"/>
    <n v="0"/>
    <n v="15.78"/>
    <m/>
    <m/>
    <n v="12466.199999999999"/>
    <m/>
    <n v="12466.199999999999"/>
    <n v="4108"/>
    <n v="0"/>
    <n v="0"/>
    <n v="0"/>
    <n v="0"/>
    <n v="0"/>
    <n v="0"/>
    <n v="12434.15250702555"/>
    <m/>
    <m/>
    <m/>
    <n v="0"/>
    <n v="0"/>
    <n v="0"/>
    <n v="0"/>
    <m/>
    <n v="30.2163041132466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3.77"/>
    <n v="0"/>
    <n v="436.49"/>
    <n v="0"/>
    <m/>
    <m/>
    <n v="2054"/>
    <m/>
    <m/>
    <m/>
    <m/>
    <m/>
    <m/>
    <n v="0"/>
    <m/>
    <m/>
    <m/>
    <m/>
    <m/>
    <m/>
    <m/>
    <m/>
    <m/>
    <m/>
    <m/>
    <m/>
    <n v="2054"/>
    <n v="-4179.13"/>
    <m/>
    <m/>
    <m/>
    <m/>
    <n v="-8358.1999999999989"/>
    <n v="0"/>
    <n v="30"/>
    <n v="-1.930937254957797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9309372549577972"/>
    <n v="0"/>
    <n v="0"/>
    <m/>
    <m/>
    <n v="12434.15250702555"/>
    <m/>
    <n v="0"/>
    <n v="0"/>
    <n v="-8358.1999999999989"/>
    <m/>
    <n v="0"/>
    <m/>
    <n v="-8351.705263313313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71"/>
    <s v="Regular"/>
    <s v="Verde"/>
    <s v="A4"/>
    <s v="Industrial"/>
    <s v="Não se aplica"/>
    <s v="Fonte incentivada"/>
    <s v="Não se aplica"/>
    <s v="Ponta"/>
    <s v="LIVRE"/>
    <x v="3"/>
    <n v="0"/>
    <n v="0"/>
    <n v="15.577999999999999"/>
    <n v="7.7889999999999997"/>
    <n v="0"/>
    <n v="0"/>
    <m/>
    <n v="3130.62"/>
    <m/>
    <m/>
    <n v="48768.798359999993"/>
    <n v="48768.798359999993"/>
    <n v="23524.182019999997"/>
    <n v="0"/>
    <n v="833.15775053121843"/>
    <n v="0"/>
    <n v="0"/>
    <n v="0"/>
    <n v="10035.562689696362"/>
    <n v="37451.827872503593"/>
    <m/>
    <m/>
    <m/>
    <n v="0"/>
    <n v="0"/>
    <n v="0"/>
    <n v="148.05742078196423"/>
    <m/>
    <n v="21.015578709223863"/>
    <n v="0"/>
    <n v="0"/>
    <n v="0"/>
    <n v="0"/>
    <m/>
    <m/>
    <n v="0"/>
    <n v="0"/>
    <n v="0"/>
    <m/>
    <m/>
    <n v="0"/>
    <m/>
    <n v="0"/>
    <n v="0"/>
    <n v="19.192488833638805"/>
    <n v="0"/>
    <m/>
    <n v="259.98573154213955"/>
    <n v="0"/>
    <n v="0"/>
    <n v="0"/>
    <n v="0"/>
    <n v="0"/>
    <m/>
    <n v="11762.091009999998"/>
    <m/>
    <m/>
    <m/>
    <m/>
    <m/>
    <m/>
    <m/>
    <n v="279.17822037577832"/>
    <m/>
    <m/>
    <m/>
    <m/>
    <m/>
    <m/>
    <m/>
    <m/>
    <m/>
    <m/>
    <m/>
    <m/>
    <n v="11763.6011"/>
    <n v="-12620.828079999992"/>
    <m/>
    <m/>
    <m/>
    <m/>
    <n v="-25244.616339999997"/>
    <n v="0"/>
    <n v="31"/>
    <n v="-89.245243141891478"/>
    <n v="0"/>
    <n v="0"/>
    <n v="0"/>
    <n v="0"/>
    <m/>
    <m/>
    <m/>
    <n v="-45.361374546731895"/>
    <n v="0"/>
    <n v="0"/>
    <m/>
    <m/>
    <n v="0"/>
    <n v="1.1956626738521337"/>
    <n v="16.196713080495783"/>
    <n v="0"/>
    <n v="-51.808959520792882"/>
    <m/>
    <n v="0"/>
    <n v="0"/>
    <m/>
    <n v="0"/>
    <n v="-8.1243090725762102"/>
    <n v="-1.342975756136596"/>
    <n v="0"/>
    <n v="0"/>
    <m/>
    <m/>
    <m/>
    <n v="37451.827872503593"/>
    <n v="0"/>
    <n v="0"/>
    <n v="-25244.616339999997"/>
    <m/>
    <n v="0"/>
    <m/>
    <n v="-25155.444071219281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72"/>
    <s v="Regular"/>
    <s v="Verde"/>
    <s v="A4"/>
    <s v="Industrial"/>
    <s v="Não se aplica"/>
    <s v="Fonte incentivada"/>
    <s v="Não se aplica"/>
    <s v="Fora ponta"/>
    <s v="LIVRE"/>
    <x v="3"/>
    <n v="0"/>
    <n v="0"/>
    <n v="233.029"/>
    <n v="116.5145"/>
    <n v="0"/>
    <n v="0"/>
    <m/>
    <n v="82.26"/>
    <m/>
    <m/>
    <n v="19168.965540000001"/>
    <n v="19168.965540000001"/>
    <n v="18511.823759999999"/>
    <n v="0"/>
    <n v="12463.083672393073"/>
    <n v="0"/>
    <n v="0"/>
    <n v="0"/>
    <n v="0"/>
    <n v="0"/>
    <m/>
    <m/>
    <m/>
    <n v="0"/>
    <n v="0"/>
    <n v="0"/>
    <n v="2214.7690786622379"/>
    <m/>
    <n v="314.3689363866817"/>
    <n v="0"/>
    <n v="0"/>
    <n v="0"/>
    <n v="0"/>
    <m/>
    <m/>
    <n v="0"/>
    <n v="0"/>
    <n v="0"/>
    <m/>
    <m/>
    <n v="0"/>
    <m/>
    <n v="0"/>
    <n v="0"/>
    <n v="287.09760434035292"/>
    <n v="0"/>
    <m/>
    <n v="3889.088139397435"/>
    <n v="0"/>
    <n v="0"/>
    <n v="0"/>
    <n v="0"/>
    <n v="0"/>
    <m/>
    <n v="9255.9118799999997"/>
    <m/>
    <m/>
    <m/>
    <m/>
    <m/>
    <m/>
    <m/>
    <n v="4176.1857437377876"/>
    <m/>
    <m/>
    <m/>
    <m/>
    <m/>
    <m/>
    <m/>
    <m/>
    <m/>
    <m/>
    <m/>
    <m/>
    <n v="9255.5544000000009"/>
    <n v="-328.95837000000029"/>
    <m/>
    <m/>
    <m/>
    <m/>
    <n v="-657.14178000000175"/>
    <n v="0"/>
    <n v="31"/>
    <n v="-656.45230548600739"/>
    <n v="0"/>
    <n v="0"/>
    <n v="0"/>
    <n v="0"/>
    <m/>
    <m/>
    <m/>
    <n v="0"/>
    <n v="0"/>
    <n v="0"/>
    <m/>
    <m/>
    <n v="0"/>
    <n v="17.885741252091975"/>
    <n v="242.284237542357"/>
    <n v="0"/>
    <n v="-775.00256953208554"/>
    <m/>
    <n v="0"/>
    <n v="0"/>
    <m/>
    <n v="0"/>
    <n v="-121.53033886720777"/>
    <n v="-20.089375881162823"/>
    <n v="0"/>
    <n v="0"/>
    <m/>
    <m/>
    <m/>
    <n v="0"/>
    <n v="0"/>
    <n v="0"/>
    <n v="-657.1417800000017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73"/>
    <s v="Regular"/>
    <s v="Verde"/>
    <s v="A4"/>
    <s v="Industrial"/>
    <s v="Não se aplica"/>
    <s v="Fonte incentivada"/>
    <s v="Não se aplica"/>
    <s v="Não se aplica"/>
    <s v="LIVRE"/>
    <x v="3"/>
    <n v="977"/>
    <n v="488.5"/>
    <n v="0"/>
    <n v="0"/>
    <n v="0"/>
    <n v="0"/>
    <n v="47.39"/>
    <m/>
    <m/>
    <n v="46300.03"/>
    <m/>
    <n v="46300.03"/>
    <n v="31478.94"/>
    <n v="0"/>
    <n v="0"/>
    <n v="0"/>
    <n v="0"/>
    <n v="0"/>
    <n v="24395.787875337988"/>
    <n v="21904.2102990777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07.91999999999996"/>
    <n v="0"/>
    <n v="10033.65"/>
    <n v="2"/>
    <m/>
    <n v="15739.47"/>
    <m/>
    <m/>
    <m/>
    <m/>
    <m/>
    <m/>
    <m/>
    <n v="0"/>
    <m/>
    <m/>
    <m/>
    <m/>
    <m/>
    <m/>
    <m/>
    <m/>
    <m/>
    <m/>
    <m/>
    <m/>
    <n v="15739.47"/>
    <n v="-7410.5749999999953"/>
    <m/>
    <m/>
    <m/>
    <m/>
    <n v="-14821.090000000002"/>
    <n v="0"/>
    <n v="31"/>
    <n v="-110.27049557592181"/>
    <n v="0"/>
    <n v="0"/>
    <n v="0"/>
    <n v="0"/>
    <m/>
    <m/>
    <m/>
    <n v="-110.2704955759218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904.21029907772"/>
    <m/>
    <n v="0"/>
    <n v="0"/>
    <n v="-14821.09"/>
    <m/>
    <n v="0"/>
    <m/>
    <n v="-14712.503191525568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74"/>
    <s v="Regular"/>
    <s v="Geração"/>
    <s v="A4"/>
    <s v="Não se aplica"/>
    <s v="Não se aplica"/>
    <s v="Não se aplica"/>
    <s v="SOLEDADE"/>
    <s v="Não se aplica"/>
    <s v="GERAÇÃO"/>
    <x v="3"/>
    <n v="1000"/>
    <n v="500"/>
    <n v="0"/>
    <n v="0"/>
    <n v="0"/>
    <n v="0"/>
    <n v="15.78"/>
    <m/>
    <m/>
    <n v="15780"/>
    <m/>
    <n v="15780"/>
    <n v="5200"/>
    <n v="0"/>
    <n v="0"/>
    <n v="0"/>
    <n v="0"/>
    <n v="0"/>
    <n v="0"/>
    <n v="15739.433553196899"/>
    <m/>
    <m/>
    <m/>
    <n v="0"/>
    <n v="0"/>
    <n v="0"/>
    <n v="0"/>
    <m/>
    <n v="38.248486219299501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.840000000000003"/>
    <n v="0"/>
    <n v="558.69000000000005"/>
    <n v="0"/>
    <m/>
    <m/>
    <n v="2600"/>
    <m/>
    <m/>
    <m/>
    <m/>
    <m/>
    <m/>
    <n v="0"/>
    <m/>
    <m/>
    <m/>
    <m/>
    <m/>
    <m/>
    <m/>
    <m/>
    <m/>
    <m/>
    <m/>
    <m/>
    <n v="2600"/>
    <n v="-5290.0300000000007"/>
    <m/>
    <m/>
    <m/>
    <m/>
    <n v="-10579.999999999998"/>
    <n v="0"/>
    <n v="31"/>
    <n v="-2.444224373364299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4442243733642997"/>
    <n v="0"/>
    <n v="0"/>
    <m/>
    <m/>
    <n v="15739.433553196899"/>
    <m/>
    <n v="0"/>
    <n v="0"/>
    <n v="-10580"/>
    <m/>
    <n v="0"/>
    <m/>
    <n v="-10571.77881432064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75"/>
    <s v="Regular"/>
    <s v="Geração"/>
    <s v="A4"/>
    <s v="Não se aplica"/>
    <s v="Não se aplica"/>
    <s v="Não se aplica"/>
    <s v="TAIPINHA"/>
    <s v="Não se aplica"/>
    <s v="GERAÇÃO"/>
    <x v="3"/>
    <n v="790"/>
    <n v="395"/>
    <n v="0"/>
    <n v="0"/>
    <n v="0"/>
    <n v="0"/>
    <n v="15.78"/>
    <m/>
    <m/>
    <n v="12466.199999999999"/>
    <m/>
    <n v="12466.199999999999"/>
    <n v="4108"/>
    <n v="0"/>
    <n v="0"/>
    <n v="0"/>
    <n v="0"/>
    <n v="0"/>
    <n v="0"/>
    <n v="12434.15250702555"/>
    <m/>
    <m/>
    <m/>
    <n v="0"/>
    <n v="0"/>
    <n v="0"/>
    <n v="0"/>
    <m/>
    <n v="30.2163041132466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.73"/>
    <n v="0"/>
    <n v="441.36"/>
    <n v="0"/>
    <m/>
    <m/>
    <n v="2054"/>
    <m/>
    <m/>
    <m/>
    <m/>
    <m/>
    <m/>
    <n v="0"/>
    <m/>
    <m/>
    <m/>
    <m/>
    <m/>
    <m/>
    <m/>
    <m/>
    <m/>
    <m/>
    <m/>
    <m/>
    <n v="2054"/>
    <n v="-4179.13"/>
    <m/>
    <m/>
    <m/>
    <m/>
    <n v="-8358.1999999999989"/>
    <n v="0"/>
    <n v="31"/>
    <n v="-1.930937254957797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9309372549577972"/>
    <n v="0"/>
    <n v="0"/>
    <m/>
    <m/>
    <n v="12434.15250702555"/>
    <m/>
    <n v="0"/>
    <n v="0"/>
    <n v="-8358.1999999999989"/>
    <m/>
    <n v="0"/>
    <m/>
    <n v="-8351.705263313313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76"/>
    <s v="Regular"/>
    <s v="Verde"/>
    <s v="A4"/>
    <s v="Industrial"/>
    <s v="Não se aplica"/>
    <s v="Fonte incentivada"/>
    <s v="Não se aplica"/>
    <s v="Ponta"/>
    <s v="LIVRE"/>
    <x v="4"/>
    <n v="0"/>
    <n v="0"/>
    <n v="18.954999999999998"/>
    <n v="9.4774999999999991"/>
    <n v="0"/>
    <n v="0"/>
    <m/>
    <n v="3130.62"/>
    <m/>
    <m/>
    <n v="59340.902099999992"/>
    <n v="59340.902099999992"/>
    <n v="28623.755949999995"/>
    <n v="0"/>
    <n v="1013.7697497316244"/>
    <n v="0"/>
    <n v="0"/>
    <n v="0"/>
    <n v="12211.072716856756"/>
    <n v="45570.637907517368"/>
    <m/>
    <m/>
    <m/>
    <n v="0"/>
    <n v="0"/>
    <n v="0"/>
    <n v="180.15331948402437"/>
    <m/>
    <n v="25.571337426713203"/>
    <n v="0"/>
    <n v="0"/>
    <n v="0"/>
    <n v="0"/>
    <m/>
    <m/>
    <n v="0"/>
    <n v="0"/>
    <n v="0"/>
    <m/>
    <m/>
    <n v="0"/>
    <m/>
    <n v="0"/>
    <n v="0"/>
    <n v="23.353037992144277"/>
    <n v="0"/>
    <m/>
    <n v="316.34545778541889"/>
    <n v="0"/>
    <n v="0"/>
    <n v="0"/>
    <n v="0"/>
    <n v="0"/>
    <m/>
    <n v="14311.877974999998"/>
    <m/>
    <m/>
    <m/>
    <m/>
    <m/>
    <m/>
    <m/>
    <n v="339.69849577756315"/>
    <m/>
    <m/>
    <m/>
    <m/>
    <m/>
    <m/>
    <m/>
    <m/>
    <m/>
    <m/>
    <m/>
    <m/>
    <n v="14315.653200000001"/>
    <n v="-15354.827849999991"/>
    <m/>
    <m/>
    <m/>
    <m/>
    <n v="-30717.146149999997"/>
    <n v="0"/>
    <n v="30"/>
    <n v="-108.59183359574672"/>
    <n v="0"/>
    <n v="0"/>
    <n v="0"/>
    <n v="0"/>
    <m/>
    <m/>
    <m/>
    <n v="-55.194816698762224"/>
    <n v="0"/>
    <n v="0"/>
    <m/>
    <m/>
    <n v="0"/>
    <n v="1.4548585173236077"/>
    <n v="19.707837748157431"/>
    <n v="0"/>
    <n v="-63.040109623612011"/>
    <m/>
    <n v="0"/>
    <n v="0"/>
    <m/>
    <n v="0"/>
    <n v="-9.8854973982977299"/>
    <n v="-1.6341061405552146"/>
    <n v="0"/>
    <n v="0"/>
    <m/>
    <m/>
    <m/>
    <n v="45570.637907517368"/>
    <n v="0"/>
    <n v="0"/>
    <n v="-30717.146149999997"/>
    <m/>
    <n v="0"/>
    <m/>
    <n v="-30608.643110152872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77"/>
    <s v="Regular"/>
    <s v="Verde"/>
    <s v="A4"/>
    <s v="Industrial"/>
    <s v="Não se aplica"/>
    <s v="Fonte incentivada"/>
    <s v="Não se aplica"/>
    <s v="Fora ponta"/>
    <s v="LIVRE"/>
    <x v="4"/>
    <n v="0"/>
    <n v="0"/>
    <n v="231.59"/>
    <n v="115.795"/>
    <n v="0"/>
    <n v="0"/>
    <m/>
    <n v="82.26"/>
    <m/>
    <m/>
    <n v="19050.593400000002"/>
    <n v="19050.593400000002"/>
    <n v="18397.509600000001"/>
    <n v="0"/>
    <n v="12386.121674510521"/>
    <n v="0"/>
    <n v="0"/>
    <n v="0"/>
    <n v="0"/>
    <n v="0"/>
    <m/>
    <m/>
    <m/>
    <n v="0"/>
    <n v="0"/>
    <n v="0"/>
    <n v="2201.0924431181857"/>
    <m/>
    <n v="312.42764624914332"/>
    <n v="0"/>
    <n v="0"/>
    <n v="0"/>
    <n v="0"/>
    <m/>
    <m/>
    <n v="0"/>
    <n v="0"/>
    <n v="0"/>
    <m/>
    <m/>
    <n v="0"/>
    <m/>
    <n v="0"/>
    <n v="0"/>
    <n v="285.32472005279311"/>
    <n v="0"/>
    <m/>
    <n v="3865.0722536810954"/>
    <n v="0"/>
    <n v="0"/>
    <n v="0"/>
    <n v="0"/>
    <n v="0"/>
    <m/>
    <n v="9198.7548000000006"/>
    <m/>
    <m/>
    <m/>
    <m/>
    <m/>
    <m/>
    <m/>
    <n v="4150.3969737338884"/>
    <m/>
    <m/>
    <m/>
    <m/>
    <m/>
    <m/>
    <m/>
    <m/>
    <m/>
    <m/>
    <m/>
    <m/>
    <n v="9199.152"/>
    <n v="-326.17470000000139"/>
    <m/>
    <m/>
    <m/>
    <m/>
    <n v="-653.0838000000017"/>
    <n v="0"/>
    <n v="30"/>
    <n v="-652.39858312701472"/>
    <n v="0"/>
    <n v="0"/>
    <n v="0"/>
    <n v="0"/>
    <m/>
    <m/>
    <m/>
    <n v="0"/>
    <n v="0"/>
    <n v="0"/>
    <m/>
    <m/>
    <n v="0"/>
    <n v="17.775293274965691"/>
    <n v="240.78808462652523"/>
    <n v="0"/>
    <n v="-770.21677592890228"/>
    <m/>
    <n v="0"/>
    <n v="0"/>
    <m/>
    <n v="0"/>
    <n v="-120.77986507368905"/>
    <n v="-19.965320025913115"/>
    <n v="0"/>
    <n v="0"/>
    <m/>
    <m/>
    <m/>
    <n v="0"/>
    <n v="0"/>
    <n v="0"/>
    <n v="-653.0838000000003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78"/>
    <s v="Regular"/>
    <s v="Verde"/>
    <s v="A4"/>
    <s v="Industrial"/>
    <s v="Não se aplica"/>
    <s v="Fonte incentivada"/>
    <s v="Não se aplica"/>
    <s v="Não se aplica"/>
    <s v="LIVRE"/>
    <x v="4"/>
    <n v="1008"/>
    <n v="504"/>
    <n v="0"/>
    <n v="0"/>
    <n v="0"/>
    <n v="0"/>
    <n v="47.39"/>
    <m/>
    <m/>
    <n v="47769.120000000003"/>
    <m/>
    <n v="47769.120000000003"/>
    <n v="32477.759999999998"/>
    <n v="0"/>
    <n v="0"/>
    <n v="0"/>
    <n v="0"/>
    <n v="0"/>
    <n v="25169.860980901427"/>
    <n v="22599.22618369533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44.77"/>
    <n v="0"/>
    <n v="10719.17"/>
    <n v="2"/>
    <m/>
    <n v="16238.88"/>
    <m/>
    <m/>
    <m/>
    <m/>
    <m/>
    <m/>
    <m/>
    <n v="0"/>
    <m/>
    <m/>
    <m/>
    <m/>
    <m/>
    <m/>
    <m/>
    <m/>
    <m/>
    <m/>
    <m/>
    <m/>
    <n v="16238.88"/>
    <n v="-7645.7099999999973"/>
    <m/>
    <m/>
    <m/>
    <m/>
    <n v="-15291.360000000002"/>
    <n v="0"/>
    <n v="30"/>
    <n v="-113.76935469859745"/>
    <n v="0"/>
    <n v="0"/>
    <n v="0"/>
    <n v="0"/>
    <m/>
    <m/>
    <m/>
    <n v="-113.769354698597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599.226183695337"/>
    <m/>
    <n v="0"/>
    <n v="0"/>
    <n v="-15291.360000000004"/>
    <m/>
    <n v="0"/>
    <m/>
    <n v="-15179.32775543272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79"/>
    <s v="Regular"/>
    <s v="Geração"/>
    <s v="A4"/>
    <s v="Não se aplica"/>
    <s v="Não se aplica"/>
    <s v="Não se aplica"/>
    <s v="SOLEDADE"/>
    <s v="Não se aplica"/>
    <s v="GERAÇÃO"/>
    <x v="4"/>
    <n v="1000"/>
    <n v="500"/>
    <n v="0"/>
    <n v="0"/>
    <n v="0"/>
    <n v="0"/>
    <n v="15.78"/>
    <m/>
    <m/>
    <n v="15780"/>
    <m/>
    <n v="15780"/>
    <n v="5200"/>
    <n v="0"/>
    <n v="0"/>
    <n v="0"/>
    <n v="0"/>
    <n v="0"/>
    <n v="0"/>
    <n v="15739.433553196899"/>
    <m/>
    <m/>
    <m/>
    <n v="0"/>
    <n v="0"/>
    <n v="0"/>
    <n v="0"/>
    <m/>
    <n v="38.248486219299501"/>
    <n v="0"/>
    <n v="0"/>
    <n v="0"/>
    <n v="0"/>
    <m/>
    <m/>
    <n v="0"/>
    <n v="0"/>
    <n v="0"/>
    <m/>
    <m/>
    <n v="0"/>
    <m/>
    <n v="0"/>
    <n v="0"/>
    <n v="0"/>
    <n v="0"/>
    <m/>
    <n v="0"/>
    <n v="0"/>
    <n v="28.33"/>
    <n v="0"/>
    <n v="557.52"/>
    <n v="0"/>
    <m/>
    <m/>
    <n v="2600"/>
    <m/>
    <m/>
    <m/>
    <m/>
    <m/>
    <m/>
    <n v="0"/>
    <m/>
    <m/>
    <m/>
    <m/>
    <m/>
    <m/>
    <m/>
    <m/>
    <m/>
    <m/>
    <m/>
    <m/>
    <n v="2600"/>
    <n v="-5290.0300000000007"/>
    <m/>
    <m/>
    <m/>
    <m/>
    <n v="-10579.999999999998"/>
    <n v="0"/>
    <n v="30"/>
    <n v="-2.444224373364299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4442243733642997"/>
    <n v="0"/>
    <n v="0"/>
    <m/>
    <m/>
    <n v="15739.433553196899"/>
    <m/>
    <n v="0"/>
    <n v="0"/>
    <n v="-10580"/>
    <m/>
    <n v="0"/>
    <m/>
    <n v="-10571.77881432064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80"/>
    <s v="Regular"/>
    <s v="Geração"/>
    <s v="A4"/>
    <s v="Não se aplica"/>
    <s v="Não se aplica"/>
    <s v="Não se aplica"/>
    <s v="TAIPINHA"/>
    <s v="Não se aplica"/>
    <s v="GERAÇÃO"/>
    <x v="4"/>
    <n v="790"/>
    <n v="395"/>
    <n v="0"/>
    <n v="0"/>
    <n v="0"/>
    <n v="0"/>
    <n v="15.78"/>
    <m/>
    <m/>
    <n v="12466.199999999999"/>
    <m/>
    <n v="12466.199999999999"/>
    <n v="4108"/>
    <n v="0"/>
    <n v="0"/>
    <n v="0"/>
    <n v="0"/>
    <n v="0"/>
    <n v="0"/>
    <n v="12434.15250702555"/>
    <m/>
    <m/>
    <m/>
    <n v="0"/>
    <n v="0"/>
    <n v="0"/>
    <n v="0"/>
    <m/>
    <n v="30.2163041132466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.37"/>
    <n v="0"/>
    <n v="440.44"/>
    <n v="0"/>
    <m/>
    <m/>
    <n v="2054"/>
    <m/>
    <m/>
    <m/>
    <m/>
    <m/>
    <m/>
    <n v="0"/>
    <m/>
    <m/>
    <m/>
    <m/>
    <m/>
    <m/>
    <m/>
    <m/>
    <m/>
    <m/>
    <m/>
    <m/>
    <n v="2054"/>
    <n v="-4179.13"/>
    <m/>
    <m/>
    <m/>
    <m/>
    <n v="-8358.1999999999989"/>
    <n v="0"/>
    <n v="30"/>
    <n v="-1.930937254957797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9309372549577972"/>
    <n v="0"/>
    <n v="0"/>
    <m/>
    <m/>
    <n v="12434.15250702555"/>
    <m/>
    <n v="0"/>
    <n v="0"/>
    <n v="-8358.1999999999989"/>
    <m/>
    <n v="0"/>
    <m/>
    <n v="-8351.705263313313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81"/>
    <s v="Regular"/>
    <s v="Verde"/>
    <s v="A4"/>
    <s v="Industrial"/>
    <s v="Não se aplica"/>
    <s v="Fonte incentivada"/>
    <s v="Não se aplica"/>
    <s v="Ponta"/>
    <s v="LIVRE"/>
    <x v="5"/>
    <n v="0"/>
    <n v="0"/>
    <n v="17.771000000000001"/>
    <n v="8.8855000000000004"/>
    <n v="0"/>
    <n v="0"/>
    <m/>
    <n v="3130.62"/>
    <m/>
    <m/>
    <n v="55634.248019999999"/>
    <n v="55634.248019999999"/>
    <n v="26835.809389999999"/>
    <n v="0"/>
    <n v="950.44590991720918"/>
    <n v="0"/>
    <n v="0"/>
    <n v="0"/>
    <n v="11448.32356904571"/>
    <n v="42724.125890503368"/>
    <m/>
    <m/>
    <m/>
    <n v="0"/>
    <n v="0"/>
    <n v="0"/>
    <n v="168.90027119760472"/>
    <m/>
    <n v="23.974056312852568"/>
    <n v="0"/>
    <n v="0"/>
    <n v="0"/>
    <n v="0"/>
    <m/>
    <m/>
    <n v="0"/>
    <n v="0"/>
    <n v="0"/>
    <m/>
    <m/>
    <n v="0"/>
    <m/>
    <n v="0"/>
    <n v="0"/>
    <n v="21.894320134972091"/>
    <n v="0"/>
    <m/>
    <n v="296.58534055946609"/>
    <n v="0"/>
    <n v="0"/>
    <n v="0"/>
    <n v="0"/>
    <n v="0"/>
    <m/>
    <n v="13417.904694999999"/>
    <m/>
    <m/>
    <m/>
    <m/>
    <m/>
    <m/>
    <m/>
    <n v="318.47966069443817"/>
    <m/>
    <m/>
    <m/>
    <m/>
    <m/>
    <m/>
    <m/>
    <m/>
    <m/>
    <m/>
    <m/>
    <m/>
    <n v="13424.7001"/>
    <n v="-14392.453909999995"/>
    <m/>
    <m/>
    <m/>
    <m/>
    <n v="-28798.438630000001"/>
    <n v="0"/>
    <m/>
    <n v="-101.80878263413251"/>
    <n v="0"/>
    <n v="0"/>
    <n v="0"/>
    <n v="0"/>
    <m/>
    <m/>
    <m/>
    <n v="-51.747142577351042"/>
    <n v="0"/>
    <n v="0"/>
    <m/>
    <m/>
    <n v="0"/>
    <n v="1.3639826278743286"/>
    <n v="18.476812694408125"/>
    <n v="0"/>
    <n v="-59.102389244062806"/>
    <m/>
    <n v="0"/>
    <n v="0"/>
    <m/>
    <n v="0"/>
    <n v="-9.2680123590160406"/>
    <n v="-1.5320337759855853"/>
    <n v="0"/>
    <n v="0"/>
    <m/>
    <m/>
    <m/>
    <n v="42724.125890503368"/>
    <n v="0"/>
    <n v="0"/>
    <n v="-28798.438630000001"/>
    <m/>
    <n v="0"/>
    <m/>
    <n v="-28696.71309472576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82"/>
    <s v="Regular"/>
    <s v="Verde"/>
    <s v="A4"/>
    <s v="Industrial"/>
    <s v="Não se aplica"/>
    <s v="Fonte incentivada"/>
    <s v="Não se aplica"/>
    <s v="Fora ponta"/>
    <s v="LIVRE"/>
    <x v="5"/>
    <n v="0"/>
    <n v="0"/>
    <n v="216.15"/>
    <n v="108.075"/>
    <n v="0"/>
    <n v="0"/>
    <m/>
    <n v="82.26"/>
    <m/>
    <m/>
    <n v="17780.499"/>
    <n v="17780.499"/>
    <n v="17170.955999999998"/>
    <n v="0"/>
    <n v="11560.344574227942"/>
    <n v="0"/>
    <n v="0"/>
    <n v="0"/>
    <n v="0"/>
    <n v="0"/>
    <m/>
    <m/>
    <m/>
    <n v="0"/>
    <n v="0"/>
    <n v="0"/>
    <n v="2054.3466107344698"/>
    <m/>
    <n v="291.59823712920388"/>
    <n v="0"/>
    <n v="0"/>
    <n v="0"/>
    <n v="0"/>
    <m/>
    <m/>
    <n v="0"/>
    <n v="0"/>
    <n v="0"/>
    <m/>
    <m/>
    <n v="0"/>
    <m/>
    <n v="0"/>
    <n v="0"/>
    <n v="266.30225069912876"/>
    <n v="0"/>
    <m/>
    <n v="3607.3896439102241"/>
    <n v="0"/>
    <n v="0"/>
    <n v="0"/>
    <n v="0"/>
    <n v="0"/>
    <m/>
    <n v="8585.4779999999992"/>
    <m/>
    <m/>
    <m/>
    <m/>
    <m/>
    <m/>
    <m/>
    <n v="3873.6918946093529"/>
    <m/>
    <m/>
    <m/>
    <m/>
    <m/>
    <m/>
    <m/>
    <m/>
    <m/>
    <m/>
    <m/>
    <m/>
    <n v="8585.8752000000004"/>
    <n v="-304.40430000000015"/>
    <m/>
    <m/>
    <m/>
    <m/>
    <n v="-609.5430000000016"/>
    <n v="0"/>
    <m/>
    <n v="-608.90346622437937"/>
    <n v="0"/>
    <n v="0"/>
    <n v="0"/>
    <n v="0"/>
    <m/>
    <m/>
    <m/>
    <n v="0"/>
    <n v="0"/>
    <n v="0"/>
    <m/>
    <m/>
    <n v="0"/>
    <n v="16.590222554444665"/>
    <n v="224.73485250668591"/>
    <n v="0"/>
    <n v="-718.86677368207529"/>
    <m/>
    <n v="0"/>
    <n v="0"/>
    <m/>
    <n v="0"/>
    <n v="-112.72752638575889"/>
    <n v="-18.634241217673946"/>
    <n v="0"/>
    <n v="0"/>
    <m/>
    <m/>
    <m/>
    <n v="0"/>
    <n v="0"/>
    <n v="0"/>
    <n v="-609.5430000000014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83"/>
    <s v="Regular"/>
    <s v="Verde"/>
    <s v="A4"/>
    <s v="Industrial"/>
    <s v="Não se aplica"/>
    <s v="Fonte incentivada"/>
    <s v="Não se aplica"/>
    <s v="Não se aplica"/>
    <s v="LIVRE"/>
    <x v="5"/>
    <n v="1029"/>
    <n v="514.5"/>
    <n v="0"/>
    <n v="0"/>
    <n v="0"/>
    <n v="0"/>
    <n v="47.39"/>
    <m/>
    <m/>
    <n v="48764.31"/>
    <m/>
    <n v="48764.31"/>
    <n v="33154.379999999997"/>
    <n v="0"/>
    <n v="0"/>
    <n v="0"/>
    <n v="0"/>
    <n v="0"/>
    <n v="25694.233084670206"/>
    <n v="23070.04339585565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76.89"/>
    <n v="0"/>
    <n v="10358.51"/>
    <n v="2"/>
    <m/>
    <n v="16577.189999999999"/>
    <m/>
    <m/>
    <m/>
    <m/>
    <m/>
    <m/>
    <m/>
    <n v="0"/>
    <m/>
    <m/>
    <m/>
    <m/>
    <m/>
    <m/>
    <m/>
    <m/>
    <m/>
    <m/>
    <m/>
    <m/>
    <n v="16577.189999999999"/>
    <n v="-7804.9949999999953"/>
    <m/>
    <m/>
    <m/>
    <m/>
    <n v="-15609.930000000002"/>
    <n v="0"/>
    <m/>
    <n v="-116.13954958815157"/>
    <n v="0"/>
    <n v="0"/>
    <n v="0"/>
    <n v="0"/>
    <m/>
    <m/>
    <m/>
    <n v="-116.139549588151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070.043395855653"/>
    <m/>
    <n v="0"/>
    <n v="0"/>
    <n v="-15609.93"/>
    <m/>
    <n v="0"/>
    <m/>
    <n v="-15495.563750337573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84"/>
    <s v="Regular"/>
    <s v="Geração"/>
    <s v="A4"/>
    <s v="Não se aplica"/>
    <s v="Não se aplica"/>
    <s v="Não se aplica"/>
    <s v="SOLEDADE"/>
    <s v="Não se aplica"/>
    <s v="GERAÇÃO"/>
    <x v="5"/>
    <n v="1000"/>
    <n v="500"/>
    <n v="0"/>
    <n v="0"/>
    <n v="0"/>
    <n v="0"/>
    <n v="15.78"/>
    <m/>
    <m/>
    <n v="15780"/>
    <m/>
    <n v="15780"/>
    <n v="5200"/>
    <n v="0"/>
    <n v="0"/>
    <n v="0"/>
    <n v="0"/>
    <n v="0"/>
    <n v="0"/>
    <n v="15739.433553196899"/>
    <m/>
    <m/>
    <m/>
    <n v="0"/>
    <n v="0"/>
    <n v="0"/>
    <n v="0"/>
    <m/>
    <n v="38.248486219299501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22"/>
    <n v="0"/>
    <n v="555.79999999999995"/>
    <n v="0"/>
    <m/>
    <m/>
    <n v="2600"/>
    <m/>
    <m/>
    <m/>
    <m/>
    <m/>
    <m/>
    <n v="0"/>
    <m/>
    <m/>
    <m/>
    <m/>
    <m/>
    <m/>
    <m/>
    <m/>
    <m/>
    <m/>
    <m/>
    <m/>
    <n v="2600"/>
    <n v="-5290.0300000000007"/>
    <m/>
    <m/>
    <m/>
    <m/>
    <n v="-10579.999999999998"/>
    <n v="0"/>
    <m/>
    <n v="-2.444224373364299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4442243733642997"/>
    <n v="0"/>
    <n v="0"/>
    <m/>
    <m/>
    <n v="15739.433553196899"/>
    <m/>
    <n v="0"/>
    <n v="0"/>
    <n v="-10580"/>
    <m/>
    <n v="0"/>
    <m/>
    <n v="-10571.77881432064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85"/>
    <s v="Regular"/>
    <s v="Geração"/>
    <s v="A4"/>
    <s v="Não se aplica"/>
    <s v="Não se aplica"/>
    <s v="Não se aplica"/>
    <s v="TAIPINHA"/>
    <s v="Não se aplica"/>
    <s v="GERAÇÃO"/>
    <x v="5"/>
    <n v="790"/>
    <n v="395"/>
    <n v="0"/>
    <n v="0"/>
    <n v="0"/>
    <n v="0"/>
    <n v="15.78"/>
    <m/>
    <m/>
    <n v="12466.199999999999"/>
    <m/>
    <n v="12466.199999999999"/>
    <n v="4108"/>
    <n v="0"/>
    <n v="0"/>
    <n v="0"/>
    <n v="0"/>
    <n v="0"/>
    <n v="0"/>
    <n v="12434.15250702555"/>
    <m/>
    <m/>
    <m/>
    <n v="0"/>
    <n v="0"/>
    <n v="0"/>
    <n v="0"/>
    <m/>
    <n v="30.2163041132466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.97"/>
    <n v="0"/>
    <n v="439.08"/>
    <n v="0"/>
    <m/>
    <m/>
    <n v="2054"/>
    <m/>
    <m/>
    <m/>
    <m/>
    <m/>
    <m/>
    <n v="0"/>
    <m/>
    <m/>
    <m/>
    <m/>
    <m/>
    <m/>
    <m/>
    <m/>
    <m/>
    <m/>
    <m/>
    <m/>
    <n v="2054"/>
    <n v="-4179.13"/>
    <m/>
    <m/>
    <m/>
    <m/>
    <n v="-8358.1999999999989"/>
    <n v="0"/>
    <m/>
    <n v="-1.930937254957797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9309372549577972"/>
    <n v="0"/>
    <n v="0"/>
    <m/>
    <m/>
    <n v="12434.15250702555"/>
    <m/>
    <n v="0"/>
    <n v="0"/>
    <n v="-8358.1999999999989"/>
    <m/>
    <n v="0"/>
    <m/>
    <n v="-8351.705263313313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86"/>
    <s v="Regular"/>
    <s v="Verde"/>
    <s v="A4"/>
    <s v="Industrial"/>
    <s v="Não se aplica"/>
    <s v="Fonte incentivada"/>
    <s v="Não se aplica"/>
    <s v="Ponta"/>
    <s v="LIVRE"/>
    <x v="6"/>
    <n v="0"/>
    <n v="0"/>
    <n v="13.849"/>
    <n v="6.9245000000000001"/>
    <n v="0"/>
    <n v="0"/>
    <m/>
    <n v="3130.62"/>
    <m/>
    <m/>
    <n v="43355.956379999996"/>
    <n v="43355.956379999996"/>
    <n v="20913.236409999998"/>
    <n v="0"/>
    <n v="740.68569053195824"/>
    <n v="0"/>
    <n v="0"/>
    <n v="0"/>
    <n v="8921.7170169216151"/>
    <n v="33295.054834144452"/>
    <m/>
    <m/>
    <m/>
    <n v="0"/>
    <n v="0"/>
    <n v="0"/>
    <n v="131.62454874883954"/>
    <m/>
    <n v="18.683062623189194"/>
    <n v="0"/>
    <n v="0"/>
    <n v="0"/>
    <n v="0"/>
    <m/>
    <m/>
    <n v="0"/>
    <n v="0"/>
    <n v="0"/>
    <m/>
    <m/>
    <n v="0"/>
    <m/>
    <n v="0"/>
    <n v="0"/>
    <n v="17.062317233089217"/>
    <n v="0"/>
    <m/>
    <n v="231.12995224849732"/>
    <n v="0"/>
    <n v="0"/>
    <n v="0"/>
    <n v="0"/>
    <n v="0"/>
    <m/>
    <n v="10456.618204999999"/>
    <m/>
    <m/>
    <m/>
    <m/>
    <m/>
    <m/>
    <m/>
    <n v="248.19226948158655"/>
    <m/>
    <m/>
    <m/>
    <m/>
    <m/>
    <m/>
    <m/>
    <m/>
    <m/>
    <m/>
    <m/>
    <m/>
    <n v="10449.8228"/>
    <n v="-11228.185389999993"/>
    <m/>
    <m/>
    <m/>
    <m/>
    <n v="-22442.719969999998"/>
    <n v="0"/>
    <n v="31"/>
    <n v="-79.339926323793406"/>
    <n v="0"/>
    <n v="0"/>
    <n v="0"/>
    <n v="0"/>
    <m/>
    <m/>
    <m/>
    <n v="-40.326722050180251"/>
    <n v="0"/>
    <n v="0"/>
    <m/>
    <m/>
    <n v="0"/>
    <n v="1.0629562440735789"/>
    <n v="14.399042203863502"/>
    <n v="0"/>
    <n v="-46.058690486805858"/>
    <m/>
    <n v="0"/>
    <n v="0"/>
    <m/>
    <n v="0"/>
    <n v="-7.2225931663954128"/>
    <n v="-1.1939190683486771"/>
    <n v="0"/>
    <n v="0"/>
    <m/>
    <m/>
    <m/>
    <n v="33295.054834144452"/>
    <n v="0"/>
    <n v="0"/>
    <n v="-22442.719969999998"/>
    <m/>
    <n v="0"/>
    <m/>
    <n v="-22363.444918623434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87"/>
    <s v="Regular"/>
    <s v="Verde"/>
    <s v="A4"/>
    <s v="Industrial"/>
    <s v="Não se aplica"/>
    <s v="Fonte incentivada"/>
    <s v="Não se aplica"/>
    <s v="Fora ponta"/>
    <s v="LIVRE"/>
    <x v="6"/>
    <n v="0"/>
    <n v="0"/>
    <n v="196.97300000000001"/>
    <n v="98.486500000000007"/>
    <n v="0"/>
    <n v="0"/>
    <m/>
    <n v="82.26"/>
    <m/>
    <m/>
    <n v="16202.998980000002"/>
    <n v="16202.998980000002"/>
    <n v="15647.53512"/>
    <n v="0"/>
    <n v="10534.701604531116"/>
    <n v="0"/>
    <n v="0"/>
    <n v="0"/>
    <n v="0"/>
    <n v="0"/>
    <m/>
    <m/>
    <m/>
    <n v="0"/>
    <n v="0"/>
    <n v="0"/>
    <n v="1872.0833446967417"/>
    <m/>
    <n v="265.7274094936418"/>
    <n v="0"/>
    <n v="0"/>
    <n v="0"/>
    <n v="0"/>
    <m/>
    <m/>
    <n v="0"/>
    <n v="0"/>
    <n v="0"/>
    <m/>
    <m/>
    <n v="0"/>
    <m/>
    <n v="0"/>
    <n v="0"/>
    <n v="242.67570310876474"/>
    <n v="0"/>
    <m/>
    <n v="3287.3391641449393"/>
    <n v="0"/>
    <n v="0"/>
    <n v="0"/>
    <n v="0"/>
    <n v="0"/>
    <m/>
    <n v="7823.7675600000002"/>
    <m/>
    <m/>
    <m/>
    <m/>
    <m/>
    <m/>
    <m/>
    <n v="3530.0148672537039"/>
    <m/>
    <m/>
    <m/>
    <m/>
    <m/>
    <m/>
    <m/>
    <m/>
    <m/>
    <m/>
    <m/>
    <m/>
    <n v="7824.0455999999995"/>
    <n v="-277.48389000000225"/>
    <m/>
    <m/>
    <m/>
    <m/>
    <n v="-555.46386000000155"/>
    <n v="0"/>
    <n v="31"/>
    <n v="-554.88106616985715"/>
    <n v="0"/>
    <n v="0"/>
    <n v="0"/>
    <n v="0"/>
    <m/>
    <m/>
    <m/>
    <n v="0"/>
    <n v="0"/>
    <n v="0"/>
    <m/>
    <m/>
    <n v="0"/>
    <n v="15.118324807849291"/>
    <n v="204.79619756095053"/>
    <n v="0"/>
    <n v="-655.08834148729875"/>
    <m/>
    <n v="0"/>
    <n v="0"/>
    <m/>
    <n v="0"/>
    <n v="-102.72625054259584"/>
    <n v="-16.980996508761933"/>
    <n v="0"/>
    <n v="0"/>
    <m/>
    <m/>
    <m/>
    <n v="0"/>
    <n v="0"/>
    <n v="0"/>
    <n v="-555.46386000000166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88"/>
    <s v="Regular"/>
    <s v="Verde"/>
    <s v="A4"/>
    <s v="Industrial"/>
    <s v="Não se aplica"/>
    <s v="Fonte incentivada"/>
    <s v="Não se aplica"/>
    <s v="Não se aplica"/>
    <s v="LIVRE"/>
    <x v="6"/>
    <n v="955"/>
    <n v="477.5"/>
    <n v="0"/>
    <n v="0"/>
    <n v="0"/>
    <n v="0"/>
    <n v="47.39"/>
    <m/>
    <m/>
    <n v="45257.45"/>
    <m/>
    <n v="45257.45"/>
    <n v="30770.1"/>
    <n v="0"/>
    <n v="0"/>
    <n v="0"/>
    <n v="0"/>
    <n v="0"/>
    <n v="23846.445671389742"/>
    <n v="21410.97321967167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2.11"/>
    <n v="0"/>
    <n v="8813.83"/>
    <n v="2"/>
    <m/>
    <n v="15385.05"/>
    <m/>
    <m/>
    <m/>
    <m/>
    <m/>
    <m/>
    <m/>
    <n v="0"/>
    <m/>
    <m/>
    <m/>
    <m/>
    <m/>
    <m/>
    <m/>
    <m/>
    <m/>
    <m/>
    <m/>
    <m/>
    <n v="15385.05"/>
    <n v="-7243.7049999999945"/>
    <m/>
    <m/>
    <m/>
    <m/>
    <n v="-14487.350000000002"/>
    <n v="0"/>
    <n v="31"/>
    <n v="-107.787434263053"/>
    <n v="0"/>
    <n v="0"/>
    <n v="0"/>
    <n v="0"/>
    <m/>
    <m/>
    <m/>
    <n v="-107.7874342630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410.973219671672"/>
    <m/>
    <n v="0"/>
    <n v="0"/>
    <n v="-14487.349999999999"/>
    <m/>
    <n v="0"/>
    <m/>
    <n v="-14381.2083397204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89"/>
    <s v="Regular"/>
    <s v="Geração"/>
    <s v="A4"/>
    <s v="Não se aplica"/>
    <s v="Não se aplica"/>
    <s v="Não se aplica"/>
    <s v="SOLEDADE"/>
    <s v="Não se aplica"/>
    <s v="GERAÇÃO"/>
    <x v="6"/>
    <n v="1000"/>
    <n v="500"/>
    <n v="0"/>
    <n v="0"/>
    <n v="0"/>
    <n v="0"/>
    <n v="15.78"/>
    <m/>
    <m/>
    <n v="15780"/>
    <m/>
    <n v="15780"/>
    <n v="5200"/>
    <n v="0"/>
    <n v="0"/>
    <n v="0"/>
    <n v="0"/>
    <n v="0"/>
    <n v="0"/>
    <n v="15739.433553196899"/>
    <m/>
    <m/>
    <m/>
    <n v="0"/>
    <n v="0"/>
    <n v="0"/>
    <n v="0"/>
    <m/>
    <n v="38.248486219299501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22"/>
    <n v="0"/>
    <n v="536.66999999999996"/>
    <n v="0"/>
    <m/>
    <m/>
    <n v="2600"/>
    <m/>
    <m/>
    <m/>
    <m/>
    <m/>
    <m/>
    <n v="0"/>
    <m/>
    <m/>
    <m/>
    <m/>
    <m/>
    <m/>
    <m/>
    <m/>
    <m/>
    <m/>
    <m/>
    <m/>
    <n v="2600"/>
    <n v="-5290.0300000000007"/>
    <m/>
    <m/>
    <m/>
    <m/>
    <n v="-10579.999999999998"/>
    <n v="0"/>
    <n v="31"/>
    <n v="-2.444224373364299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4442243733642997"/>
    <n v="0"/>
    <n v="0"/>
    <m/>
    <m/>
    <n v="15739.433553196899"/>
    <m/>
    <n v="0"/>
    <n v="0"/>
    <n v="-10580"/>
    <m/>
    <n v="0"/>
    <m/>
    <n v="-10571.77881432064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90"/>
    <s v="Regular"/>
    <s v="Geração"/>
    <s v="A4"/>
    <s v="Não se aplica"/>
    <s v="Não se aplica"/>
    <s v="Não se aplica"/>
    <s v="TAIPINHA"/>
    <s v="Não se aplica"/>
    <s v="GERAÇÃO"/>
    <x v="6"/>
    <n v="790"/>
    <n v="395"/>
    <n v="0"/>
    <n v="0"/>
    <n v="0"/>
    <n v="0"/>
    <n v="15.78"/>
    <m/>
    <m/>
    <n v="12466.199999999999"/>
    <m/>
    <n v="12466.199999999999"/>
    <n v="4108"/>
    <n v="0"/>
    <n v="0"/>
    <n v="0"/>
    <n v="0"/>
    <n v="0"/>
    <n v="0"/>
    <n v="12434.15250702555"/>
    <m/>
    <m/>
    <m/>
    <n v="0"/>
    <n v="0"/>
    <n v="0"/>
    <n v="0"/>
    <m/>
    <n v="30.2163041132466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.97"/>
    <n v="0"/>
    <n v="423.97"/>
    <n v="0"/>
    <m/>
    <m/>
    <n v="2054"/>
    <m/>
    <m/>
    <m/>
    <m/>
    <m/>
    <m/>
    <n v="0"/>
    <m/>
    <m/>
    <m/>
    <m/>
    <m/>
    <m/>
    <m/>
    <m/>
    <m/>
    <m/>
    <m/>
    <m/>
    <n v="2054"/>
    <n v="-4179.13"/>
    <m/>
    <m/>
    <m/>
    <m/>
    <n v="-8358.1999999999989"/>
    <n v="0"/>
    <n v="31"/>
    <n v="-1.930937254957797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9309372549577972"/>
    <n v="0"/>
    <n v="0"/>
    <m/>
    <m/>
    <n v="12434.15250702555"/>
    <m/>
    <n v="0"/>
    <n v="0"/>
    <n v="-8358.1999999999989"/>
    <m/>
    <n v="0"/>
    <m/>
    <n v="-8351.705263313313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91"/>
    <s v="Regular"/>
    <s v="Verde"/>
    <s v="A4"/>
    <s v="Industrial"/>
    <s v="Não se aplica"/>
    <s v="Fonte incentivada"/>
    <s v="Não se aplica"/>
    <s v="Ponta"/>
    <s v="LIVRE"/>
    <x v="7"/>
    <n v="0"/>
    <n v="0"/>
    <n v="14.303000000000001"/>
    <n v="7.1515000000000004"/>
    <n v="0"/>
    <n v="0"/>
    <m/>
    <n v="3130.62"/>
    <m/>
    <m/>
    <n v="44777.257859999998"/>
    <n v="44777.257859999998"/>
    <n v="21598.81727"/>
    <n v="0"/>
    <n v="764.96696019052627"/>
    <n v="0"/>
    <n v="0"/>
    <n v="0"/>
    <n v="9214.1900854234882"/>
    <n v="34386.538327154893"/>
    <m/>
    <m/>
    <m/>
    <n v="0"/>
    <n v="0"/>
    <n v="0"/>
    <n v="135.93948449380116"/>
    <m/>
    <n v="19.295533590835081"/>
    <n v="0"/>
    <n v="0"/>
    <n v="0"/>
    <n v="0"/>
    <m/>
    <m/>
    <n v="0"/>
    <n v="0"/>
    <n v="0"/>
    <m/>
    <m/>
    <n v="0"/>
    <m/>
    <n v="0"/>
    <n v="0"/>
    <n v="17.621656681700852"/>
    <n v="0"/>
    <m/>
    <n v="238.70688909020558"/>
    <n v="0"/>
    <n v="0"/>
    <n v="0"/>
    <n v="0"/>
    <n v="0"/>
    <m/>
    <n v="10799.408635"/>
    <m/>
    <m/>
    <m/>
    <m/>
    <m/>
    <m/>
    <m/>
    <n v="256.32854577190642"/>
    <m/>
    <m/>
    <m/>
    <m/>
    <m/>
    <m/>
    <m/>
    <m/>
    <m/>
    <m/>
    <m/>
    <m/>
    <n v="10797.1435"/>
    <n v="-11591.515429999994"/>
    <m/>
    <m/>
    <m/>
    <m/>
    <n v="-23178.440590000002"/>
    <n v="0"/>
    <n v="29"/>
    <n v="-81.940859716169143"/>
    <n v="0"/>
    <n v="0"/>
    <n v="0"/>
    <n v="0"/>
    <m/>
    <m/>
    <m/>
    <n v="-41.648718714977804"/>
    <n v="0"/>
    <n v="0"/>
    <m/>
    <m/>
    <n v="0"/>
    <n v="1.0978022354671353"/>
    <n v="14.87107377008158"/>
    <n v="0"/>
    <n v="-47.568593402612692"/>
    <m/>
    <n v="0"/>
    <n v="0"/>
    <m/>
    <n v="0"/>
    <n v="-7.4593653013902781"/>
    <n v="-1.2330583027360191"/>
    <n v="0"/>
    <n v="0"/>
    <m/>
    <m/>
    <m/>
    <n v="34386.538327154893"/>
    <n v="0"/>
    <n v="0"/>
    <n v="-23178.440589999998"/>
    <m/>
    <n v="0"/>
    <m/>
    <n v="-23096.566731971332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92"/>
    <s v="Regular"/>
    <s v="Verde"/>
    <s v="A4"/>
    <s v="Industrial"/>
    <s v="Não se aplica"/>
    <s v="Fonte incentivada"/>
    <s v="Não se aplica"/>
    <s v="Fora ponta"/>
    <s v="LIVRE"/>
    <x v="7"/>
    <n v="0"/>
    <n v="0"/>
    <n v="179.50800000000001"/>
    <n v="89.754000000000005"/>
    <n v="0"/>
    <n v="0"/>
    <m/>
    <n v="82.26"/>
    <m/>
    <m/>
    <n v="14766.328080000001"/>
    <n v="14766.328080000001"/>
    <n v="14260.115520000001"/>
    <n v="0"/>
    <n v="9600.6214842956724"/>
    <n v="0"/>
    <n v="0"/>
    <n v="0"/>
    <n v="0"/>
    <n v="0"/>
    <m/>
    <m/>
    <m/>
    <n v="0"/>
    <n v="0"/>
    <n v="0"/>
    <n v="1706.091378208296"/>
    <m/>
    <n v="242.16616400920256"/>
    <n v="0"/>
    <n v="0"/>
    <n v="0"/>
    <n v="0"/>
    <m/>
    <m/>
    <n v="0"/>
    <n v="0"/>
    <n v="0"/>
    <m/>
    <m/>
    <n v="0"/>
    <m/>
    <n v="0"/>
    <n v="0"/>
    <n v="221.15838269025775"/>
    <n v="0"/>
    <m/>
    <n v="2995.8607457739372"/>
    <n v="0"/>
    <n v="0"/>
    <n v="0"/>
    <n v="0"/>
    <n v="0"/>
    <m/>
    <n v="7130.0577600000006"/>
    <m/>
    <m/>
    <m/>
    <m/>
    <m/>
    <m/>
    <m/>
    <n v="3217.0191284641951"/>
    <m/>
    <m/>
    <m/>
    <m/>
    <m/>
    <m/>
    <m/>
    <m/>
    <m/>
    <m/>
    <m/>
    <m/>
    <n v="7129.74"/>
    <n v="-253.45404000000144"/>
    <m/>
    <m/>
    <m/>
    <m/>
    <n v="-506.21256000000136"/>
    <n v="0"/>
    <n v="29"/>
    <n v="-505.68144073562507"/>
    <n v="0"/>
    <n v="0"/>
    <n v="0"/>
    <n v="0"/>
    <m/>
    <m/>
    <m/>
    <n v="0"/>
    <n v="0"/>
    <n v="0"/>
    <m/>
    <m/>
    <n v="0"/>
    <n v="13.777828685187359"/>
    <n v="186.63753830104179"/>
    <n v="0"/>
    <n v="-597.00364011159945"/>
    <m/>
    <n v="0"/>
    <n v="0"/>
    <m/>
    <n v="0"/>
    <n v="-93.617824688664086"/>
    <n v="-15.4753429215925"/>
    <n v="0"/>
    <n v="0"/>
    <m/>
    <m/>
    <m/>
    <n v="0"/>
    <n v="0"/>
    <n v="0"/>
    <n v="-506.2125599999999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93"/>
    <s v="Regular"/>
    <s v="Verde"/>
    <s v="A4"/>
    <s v="Industrial"/>
    <s v="Não se aplica"/>
    <s v="Fonte incentivada"/>
    <s v="Não se aplica"/>
    <s v="Não se aplica"/>
    <s v="LIVRE"/>
    <x v="7"/>
    <n v="1080"/>
    <n v="540"/>
    <n v="0"/>
    <n v="0"/>
    <n v="0"/>
    <n v="0"/>
    <n v="47.39"/>
    <m/>
    <m/>
    <n v="51181.2"/>
    <m/>
    <n v="51181.2"/>
    <n v="34797.599999999999"/>
    <n v="0"/>
    <n v="0"/>
    <n v="0"/>
    <n v="0"/>
    <n v="0"/>
    <n v="26967.708193822957"/>
    <n v="24213.4566253878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92.23"/>
    <n v="0"/>
    <n v="10567.23"/>
    <n v="3"/>
    <m/>
    <n v="17398.8"/>
    <m/>
    <m/>
    <m/>
    <m/>
    <m/>
    <m/>
    <m/>
    <n v="0"/>
    <m/>
    <m/>
    <m/>
    <m/>
    <m/>
    <m/>
    <m/>
    <m/>
    <m/>
    <m/>
    <m/>
    <m/>
    <n v="17398.8"/>
    <n v="-8191.8299999999945"/>
    <m/>
    <m/>
    <m/>
    <m/>
    <n v="-16383.600000000002"/>
    <n v="0"/>
    <n v="29"/>
    <n v="-121.89573717706662"/>
    <n v="0"/>
    <n v="0"/>
    <n v="0"/>
    <n v="0"/>
    <m/>
    <m/>
    <m/>
    <n v="-121.8957371770666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213.456625387858"/>
    <m/>
    <n v="0"/>
    <n v="0"/>
    <n v="-16383.599999999999"/>
    <m/>
    <n v="0"/>
    <m/>
    <n v="-16263.5654522493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94"/>
    <s v="Regular"/>
    <s v="Geração"/>
    <s v="A4"/>
    <s v="Não se aplica"/>
    <s v="Não se aplica"/>
    <s v="Não se aplica"/>
    <s v="SOLEDADE"/>
    <s v="Não se aplica"/>
    <s v="GERAÇÃO"/>
    <x v="7"/>
    <n v="1000"/>
    <n v="500"/>
    <n v="0"/>
    <n v="0"/>
    <n v="0"/>
    <n v="0"/>
    <n v="15.78"/>
    <m/>
    <m/>
    <n v="15780"/>
    <m/>
    <n v="15780"/>
    <n v="5200"/>
    <n v="0"/>
    <n v="0"/>
    <n v="0"/>
    <n v="0"/>
    <n v="0"/>
    <n v="0"/>
    <n v="15739.433553196899"/>
    <m/>
    <m/>
    <m/>
    <n v="0"/>
    <n v="0"/>
    <n v="0"/>
    <n v="0"/>
    <m/>
    <n v="38.24848621929950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32.53"/>
    <n v="0"/>
    <m/>
    <m/>
    <n v="2600"/>
    <m/>
    <m/>
    <m/>
    <m/>
    <m/>
    <m/>
    <n v="0"/>
    <m/>
    <m/>
    <m/>
    <m/>
    <m/>
    <m/>
    <m/>
    <m/>
    <m/>
    <m/>
    <m/>
    <m/>
    <n v="2600"/>
    <n v="-5290.0300000000007"/>
    <m/>
    <m/>
    <m/>
    <m/>
    <n v="-10579.999999999998"/>
    <n v="0"/>
    <n v="29"/>
    <n v="-2.444224373364299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4442243733642997"/>
    <n v="0"/>
    <n v="0"/>
    <m/>
    <m/>
    <n v="15739.433553196899"/>
    <m/>
    <n v="0"/>
    <n v="0"/>
    <n v="-10580"/>
    <m/>
    <n v="0"/>
    <m/>
    <n v="-10571.77881432064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95"/>
    <s v="Regular"/>
    <s v="Geração"/>
    <s v="A4"/>
    <s v="Não se aplica"/>
    <s v="Não se aplica"/>
    <s v="Não se aplica"/>
    <s v="TAIPINHA"/>
    <s v="Não se aplica"/>
    <s v="GERAÇÃO"/>
    <x v="7"/>
    <n v="790"/>
    <n v="395"/>
    <n v="0"/>
    <n v="0"/>
    <n v="0"/>
    <n v="0"/>
    <n v="15.78"/>
    <m/>
    <m/>
    <n v="12466.199999999999"/>
    <m/>
    <n v="12466.199999999999"/>
    <n v="4108"/>
    <n v="0"/>
    <n v="0"/>
    <n v="0"/>
    <n v="0"/>
    <n v="0"/>
    <n v="0"/>
    <n v="12434.15250702555"/>
    <m/>
    <m/>
    <m/>
    <n v="0"/>
    <n v="0"/>
    <n v="0"/>
    <n v="0"/>
    <m/>
    <n v="30.2163041132466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20.69"/>
    <n v="0"/>
    <m/>
    <m/>
    <n v="2054"/>
    <m/>
    <m/>
    <m/>
    <m/>
    <m/>
    <m/>
    <n v="0"/>
    <m/>
    <m/>
    <m/>
    <m/>
    <m/>
    <m/>
    <m/>
    <m/>
    <m/>
    <m/>
    <m/>
    <m/>
    <n v="2054"/>
    <n v="-4179.13"/>
    <m/>
    <m/>
    <m/>
    <m/>
    <n v="-8358.1999999999989"/>
    <n v="0"/>
    <n v="29"/>
    <n v="-1.930937254957797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9309372549577972"/>
    <n v="0"/>
    <n v="0"/>
    <m/>
    <m/>
    <n v="12434.15250702555"/>
    <m/>
    <n v="0"/>
    <n v="0"/>
    <n v="-8358.1999999999989"/>
    <m/>
    <n v="0"/>
    <m/>
    <n v="-8351.705263313313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96"/>
    <s v="Regular"/>
    <s v="Verde"/>
    <s v="A4"/>
    <s v="Industrial"/>
    <s v="Não se aplica"/>
    <s v="Fonte incentivada"/>
    <s v="Não se aplica"/>
    <s v="Ponta"/>
    <s v="LIVRE"/>
    <x v="8"/>
    <n v="0"/>
    <n v="0"/>
    <n v="22.87"/>
    <n v="11.435"/>
    <n v="0"/>
    <n v="0"/>
    <m/>
    <n v="3130.62"/>
    <m/>
    <m/>
    <n v="71597.279399999999"/>
    <n v="71597.279399999999"/>
    <n v="34535.758300000001"/>
    <n v="0"/>
    <n v="1223.1555883071619"/>
    <n v="0"/>
    <n v="0"/>
    <n v="0"/>
    <n v="14733.169772329942"/>
    <n v="54982.879923235159"/>
    <m/>
    <m/>
    <m/>
    <n v="0"/>
    <n v="0"/>
    <n v="0"/>
    <n v="217.3625120865016"/>
    <m/>
    <n v="30.852887731412874"/>
    <n v="0"/>
    <n v="0"/>
    <n v="0"/>
    <n v="0"/>
    <m/>
    <m/>
    <n v="0"/>
    <n v="0"/>
    <n v="0"/>
    <m/>
    <m/>
    <n v="0"/>
    <m/>
    <n v="0"/>
    <n v="0"/>
    <n v="28.176416717506712"/>
    <n v="0"/>
    <m/>
    <n v="381.68402107900454"/>
    <n v="0"/>
    <n v="0"/>
    <n v="0"/>
    <n v="0"/>
    <n v="0"/>
    <m/>
    <n v="17267.879150000001"/>
    <m/>
    <m/>
    <m/>
    <m/>
    <m/>
    <m/>
    <m/>
    <n v="409.86043779651123"/>
    <m/>
    <m/>
    <m/>
    <m/>
    <m/>
    <m/>
    <m/>
    <m/>
    <m/>
    <m/>
    <m/>
    <m/>
    <n v="17275.429599999999"/>
    <n v="-18523.240100000006"/>
    <m/>
    <m/>
    <m/>
    <m/>
    <n v="-37061.521099999998"/>
    <n v="0"/>
    <n v="31"/>
    <n v="-131.02058740884604"/>
    <n v="0"/>
    <n v="0"/>
    <n v="0"/>
    <n v="0"/>
    <m/>
    <m/>
    <m/>
    <n v="-66.594854017446778"/>
    <n v="0"/>
    <n v="0"/>
    <m/>
    <m/>
    <n v="0"/>
    <n v="1.7553476281293001"/>
    <n v="23.778330218958615"/>
    <n v="0"/>
    <n v="-76.060527939436042"/>
    <m/>
    <n v="0"/>
    <n v="0"/>
    <m/>
    <n v="0"/>
    <n v="-11.927265919233406"/>
    <n v="-1.9716173798205112"/>
    <n v="0"/>
    <n v="0"/>
    <m/>
    <m/>
    <m/>
    <n v="54982.879923235159"/>
    <n v="0"/>
    <n v="0"/>
    <n v="-37061.521099999998"/>
    <m/>
    <n v="0"/>
    <m/>
    <n v="-36930.607645961296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97"/>
    <s v="Regular"/>
    <s v="Verde"/>
    <s v="A4"/>
    <s v="Industrial"/>
    <s v="Não se aplica"/>
    <s v="Fonte incentivada"/>
    <s v="Não se aplica"/>
    <s v="Fora ponta"/>
    <s v="LIVRE"/>
    <x v="8"/>
    <n v="0"/>
    <n v="0"/>
    <n v="294.07299999999998"/>
    <n v="147.03649999999999"/>
    <n v="0"/>
    <n v="0"/>
    <m/>
    <n v="82.26"/>
    <m/>
    <m/>
    <n v="24190.44498"/>
    <n v="24190.44498"/>
    <n v="23361.159119999997"/>
    <n v="0"/>
    <n v="15727.898264986969"/>
    <n v="0"/>
    <n v="0"/>
    <n v="0"/>
    <n v="0"/>
    <n v="0"/>
    <m/>
    <m/>
    <m/>
    <n v="0"/>
    <n v="0"/>
    <n v="0"/>
    <n v="2794.9473553482194"/>
    <m/>
    <n v="396.72064949015203"/>
    <n v="0"/>
    <n v="0"/>
    <n v="0"/>
    <n v="0"/>
    <m/>
    <m/>
    <n v="0"/>
    <n v="0"/>
    <n v="0"/>
    <m/>
    <m/>
    <n v="0"/>
    <m/>
    <n v="0"/>
    <n v="0"/>
    <n v="362.30535169949059"/>
    <n v="0"/>
    <m/>
    <n v="4907.8690481314425"/>
    <n v="0"/>
    <n v="0"/>
    <n v="0"/>
    <n v="0"/>
    <n v="0"/>
    <m/>
    <n v="11680.579559999998"/>
    <m/>
    <m/>
    <m/>
    <m/>
    <m/>
    <m/>
    <m/>
    <n v="5270.174399830933"/>
    <m/>
    <m/>
    <m/>
    <m/>
    <m/>
    <m/>
    <m/>
    <m/>
    <m/>
    <m/>
    <m/>
    <m/>
    <n v="11680.857599999999"/>
    <n v="-414.3948900000014"/>
    <m/>
    <m/>
    <m/>
    <m/>
    <n v="-829.28586000000212"/>
    <n v="0"/>
    <n v="31"/>
    <n v="-828.41577156142739"/>
    <n v="0"/>
    <n v="0"/>
    <n v="0"/>
    <n v="0"/>
    <m/>
    <m/>
    <m/>
    <n v="0"/>
    <n v="0"/>
    <n v="0"/>
    <m/>
    <m/>
    <n v="0"/>
    <n v="22.571068782110558"/>
    <n v="305.75272857366963"/>
    <n v="0"/>
    <n v="-978.02132193851139"/>
    <m/>
    <n v="0"/>
    <n v="0"/>
    <m/>
    <n v="0"/>
    <n v="-153.36628205801162"/>
    <n v="-25.351964920680246"/>
    <n v="0"/>
    <n v="0"/>
    <m/>
    <m/>
    <m/>
    <n v="0"/>
    <n v="0"/>
    <n v="0"/>
    <n v="-829.2858600000035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98"/>
    <s v="Regular"/>
    <s v="Verde"/>
    <s v="A4"/>
    <s v="Industrial"/>
    <s v="Não se aplica"/>
    <s v="Fonte incentivada"/>
    <s v="Não se aplica"/>
    <s v="Não se aplica"/>
    <s v="LIVRE"/>
    <x v="8"/>
    <n v="1192"/>
    <n v="596"/>
    <n v="0"/>
    <n v="0"/>
    <n v="0"/>
    <n v="0"/>
    <n v="47.39"/>
    <m/>
    <m/>
    <n v="56488.88"/>
    <m/>
    <n v="56488.88"/>
    <n v="38406.239999999998"/>
    <n v="0"/>
    <n v="0"/>
    <n v="0"/>
    <n v="0"/>
    <n v="0"/>
    <n v="29764.359413923114"/>
    <n v="26724.48175690956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718.73"/>
    <n v="3"/>
    <m/>
    <n v="19203.12"/>
    <m/>
    <m/>
    <m/>
    <m/>
    <m/>
    <m/>
    <m/>
    <n v="0"/>
    <m/>
    <m/>
    <m/>
    <m/>
    <m/>
    <m/>
    <m/>
    <m/>
    <m/>
    <m/>
    <m/>
    <m/>
    <n v="19203.12"/>
    <n v="-9041.3499999999949"/>
    <m/>
    <m/>
    <m/>
    <m/>
    <n v="-18082.640000000003"/>
    <n v="0"/>
    <n v="31"/>
    <n v="-134.53677658802189"/>
    <n v="0"/>
    <n v="0"/>
    <n v="0"/>
    <n v="0"/>
    <m/>
    <m/>
    <m/>
    <n v="-134.536776588021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724.481756909561"/>
    <m/>
    <n v="0"/>
    <n v="0"/>
    <n v="-18082.64"/>
    <m/>
    <n v="0"/>
    <m/>
    <n v="-17950.157425075206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499"/>
    <s v="Regular"/>
    <s v="Geração"/>
    <s v="A4"/>
    <s v="Não se aplica"/>
    <s v="Não se aplica"/>
    <s v="Não se aplica"/>
    <s v="SOLEDADE"/>
    <s v="Não se aplica"/>
    <s v="GERAÇÃO"/>
    <x v="8"/>
    <n v="1000"/>
    <n v="500"/>
    <n v="0"/>
    <n v="0"/>
    <n v="0"/>
    <n v="0"/>
    <n v="15.78"/>
    <m/>
    <m/>
    <n v="15780"/>
    <m/>
    <n v="15780"/>
    <n v="5200"/>
    <n v="0"/>
    <n v="0"/>
    <n v="0"/>
    <n v="0"/>
    <n v="0"/>
    <n v="0"/>
    <n v="15739.433553196899"/>
    <m/>
    <m/>
    <m/>
    <n v="0"/>
    <n v="0"/>
    <n v="0"/>
    <n v="0"/>
    <m/>
    <n v="38.24848621929950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32.53"/>
    <n v="0"/>
    <m/>
    <m/>
    <n v="2600"/>
    <m/>
    <m/>
    <m/>
    <m/>
    <m/>
    <m/>
    <n v="0"/>
    <m/>
    <m/>
    <m/>
    <m/>
    <m/>
    <m/>
    <m/>
    <m/>
    <m/>
    <m/>
    <m/>
    <m/>
    <n v="2600"/>
    <n v="-5290.0300000000007"/>
    <m/>
    <m/>
    <m/>
    <m/>
    <n v="-10579.999999999998"/>
    <n v="0"/>
    <n v="31"/>
    <n v="-2.444224373364299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4442243733642997"/>
    <n v="0"/>
    <n v="0"/>
    <m/>
    <m/>
    <n v="15739.433553196899"/>
    <m/>
    <n v="0"/>
    <n v="0"/>
    <n v="-10580"/>
    <m/>
    <n v="0"/>
    <m/>
    <n v="-10571.77881432064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00"/>
    <s v="Regular"/>
    <s v="Geração"/>
    <s v="A4"/>
    <s v="Não se aplica"/>
    <s v="Não se aplica"/>
    <s v="Não se aplica"/>
    <s v="TAIPINHA"/>
    <s v="Não se aplica"/>
    <s v="GERAÇÃO"/>
    <x v="8"/>
    <n v="790"/>
    <n v="395"/>
    <n v="0"/>
    <n v="0"/>
    <n v="0"/>
    <n v="0"/>
    <n v="15.78"/>
    <m/>
    <m/>
    <n v="12466.199999999999"/>
    <m/>
    <n v="12466.199999999999"/>
    <n v="4108"/>
    <n v="0"/>
    <n v="0"/>
    <n v="0"/>
    <n v="0"/>
    <n v="0"/>
    <n v="0"/>
    <n v="12434.15250702555"/>
    <m/>
    <m/>
    <m/>
    <n v="0"/>
    <n v="0"/>
    <n v="0"/>
    <n v="0"/>
    <m/>
    <n v="30.2163041132466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20.69"/>
    <n v="0"/>
    <m/>
    <m/>
    <n v="2054"/>
    <m/>
    <m/>
    <m/>
    <m/>
    <m/>
    <m/>
    <n v="0"/>
    <m/>
    <m/>
    <m/>
    <m/>
    <m/>
    <m/>
    <m/>
    <m/>
    <m/>
    <m/>
    <m/>
    <m/>
    <n v="2054"/>
    <n v="-4179.13"/>
    <m/>
    <m/>
    <m/>
    <m/>
    <n v="-8358.1999999999989"/>
    <n v="0"/>
    <n v="31"/>
    <n v="-1.930937254957797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9309372549577972"/>
    <n v="0"/>
    <n v="0"/>
    <m/>
    <m/>
    <n v="12434.15250702555"/>
    <m/>
    <n v="0"/>
    <n v="0"/>
    <n v="-8358.1999999999989"/>
    <m/>
    <n v="0"/>
    <m/>
    <n v="-8351.705263313313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01"/>
    <s v="Regular"/>
    <s v="Verde"/>
    <s v="A4"/>
    <s v="Industrial"/>
    <s v="Não se aplica"/>
    <s v="Fonte incentivada"/>
    <s v="Não se aplica"/>
    <s v="Ponta"/>
    <s v="LIVRE"/>
    <x v="9"/>
    <n v="0"/>
    <n v="0"/>
    <n v="20.41"/>
    <n v="10.741783"/>
    <n v="0"/>
    <n v="0"/>
    <m/>
    <n v="3130.62"/>
    <m/>
    <m/>
    <n v="63895.9542"/>
    <n v="63895.9542"/>
    <n v="30820.936899999997"/>
    <n v="0"/>
    <n v="1091.587475179238"/>
    <n v="0"/>
    <n v="0"/>
    <n v="0"/>
    <n v="13148.403806438746"/>
    <n v="49068.674212209422"/>
    <m/>
    <m/>
    <m/>
    <n v="0"/>
    <n v="0"/>
    <n v="0"/>
    <n v="193.98202324816342"/>
    <m/>
    <n v="27.534212444168638"/>
    <n v="0"/>
    <n v="0"/>
    <n v="0"/>
    <n v="0"/>
    <m/>
    <m/>
    <n v="0"/>
    <n v="0"/>
    <n v="0"/>
    <m/>
    <m/>
    <n v="0"/>
    <m/>
    <n v="0"/>
    <n v="0"/>
    <n v="25.14563468317936"/>
    <n v="0"/>
    <m/>
    <n v="340.62837211292009"/>
    <n v="0"/>
    <n v="0"/>
    <n v="0"/>
    <n v="0"/>
    <n v="0"/>
    <m/>
    <n v="14599.87780953"/>
    <m/>
    <m/>
    <m/>
    <m/>
    <m/>
    <m/>
    <m/>
    <n v="365.77400679609946"/>
    <m/>
    <m/>
    <m/>
    <m/>
    <m/>
    <m/>
    <m/>
    <m/>
    <m/>
    <m/>
    <m/>
    <m/>
    <n v="16218.366599999999"/>
    <n v="-17410.104095460003"/>
    <m/>
    <m/>
    <m/>
    <m/>
    <n v="-33075.0173"/>
    <n v="0"/>
    <n v="30"/>
    <n v="-116.92742409333732"/>
    <n v="0"/>
    <n v="0"/>
    <n v="0"/>
    <n v="0"/>
    <m/>
    <m/>
    <m/>
    <n v="-59.431612177355419"/>
    <n v="0"/>
    <n v="0"/>
    <m/>
    <m/>
    <n v="0"/>
    <n v="1.5665345470100149"/>
    <n v="21.220626137688896"/>
    <n v="0"/>
    <n v="-67.879115664358892"/>
    <m/>
    <n v="0"/>
    <n v="0"/>
    <m/>
    <n v="0"/>
    <n v="-10.644315584239337"/>
    <n v="-1.7595413520829304"/>
    <n v="0"/>
    <n v="0"/>
    <m/>
    <m/>
    <m/>
    <n v="49068.674212209422"/>
    <n v="0"/>
    <n v="0"/>
    <n v="-33075.017300000007"/>
    <m/>
    <n v="0"/>
    <m/>
    <n v="-32958.185485529953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02"/>
    <s v="Regular"/>
    <s v="Verde"/>
    <s v="A4"/>
    <s v="Industrial"/>
    <s v="Não se aplica"/>
    <s v="Fonte incentivada"/>
    <s v="Não se aplica"/>
    <s v="Fora ponta"/>
    <s v="LIVRE"/>
    <x v="9"/>
    <n v="0"/>
    <n v="0"/>
    <n v="269.22399999999999"/>
    <n v="141.69259120000001"/>
    <n v="0"/>
    <n v="0"/>
    <m/>
    <n v="82.26"/>
    <m/>
    <m/>
    <n v="22146.366239999999"/>
    <n v="22146.366239999999"/>
    <n v="21387.154559999999"/>
    <n v="0"/>
    <n v="14398.89987347649"/>
    <n v="0"/>
    <n v="0"/>
    <n v="0"/>
    <n v="0"/>
    <n v="0"/>
    <m/>
    <m/>
    <m/>
    <n v="0"/>
    <n v="0"/>
    <n v="0"/>
    <n v="2558.7759052897377"/>
    <m/>
    <n v="363.19798192400083"/>
    <n v="0"/>
    <n v="0"/>
    <n v="0"/>
    <n v="0"/>
    <m/>
    <m/>
    <n v="0"/>
    <n v="0"/>
    <n v="0"/>
    <m/>
    <m/>
    <n v="0"/>
    <m/>
    <n v="0"/>
    <n v="0"/>
    <n v="331.69075707713273"/>
    <n v="0"/>
    <m/>
    <n v="4493.156925709397"/>
    <n v="0"/>
    <n v="0"/>
    <n v="0"/>
    <n v="0"/>
    <n v="0"/>
    <m/>
    <n v="10131.095115071997"/>
    <m/>
    <m/>
    <m/>
    <m/>
    <m/>
    <m/>
    <m/>
    <n v="4824.8476827865297"/>
    <m/>
    <m/>
    <m/>
    <m/>
    <m/>
    <m/>
    <m/>
    <m/>
    <m/>
    <m/>
    <m/>
    <m/>
    <n v="11255.8536"/>
    <n v="-399.80895211200186"/>
    <m/>
    <m/>
    <m/>
    <m/>
    <n v="-759.21168000000193"/>
    <n v="0"/>
    <n v="30"/>
    <n v="-758.4151135359316"/>
    <n v="0"/>
    <n v="0"/>
    <n v="0"/>
    <n v="0"/>
    <m/>
    <m/>
    <m/>
    <n v="0"/>
    <n v="0"/>
    <n v="0"/>
    <m/>
    <m/>
    <n v="0"/>
    <n v="20.663826402950747"/>
    <n v="279.91679820152694"/>
    <n v="0"/>
    <n v="-895.37908062819042"/>
    <m/>
    <n v="0"/>
    <n v="0"/>
    <m/>
    <n v="0"/>
    <n v="-140.40691910099213"/>
    <n v="-23.209738411228557"/>
    <n v="0"/>
    <n v="0"/>
    <m/>
    <m/>
    <m/>
    <n v="0"/>
    <n v="0"/>
    <n v="0"/>
    <n v="-759.2116800000003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03"/>
    <s v="Regular"/>
    <s v="Verde"/>
    <s v="A4"/>
    <s v="Industrial"/>
    <s v="Não se aplica"/>
    <s v="Fonte incentivada"/>
    <s v="Não se aplica"/>
    <s v="Não se aplica"/>
    <s v="LIVRE"/>
    <x v="9"/>
    <n v="1214"/>
    <n v="607"/>
    <n v="0"/>
    <n v="0"/>
    <n v="0"/>
    <n v="0"/>
    <n v="47.39"/>
    <m/>
    <m/>
    <n v="57531.46"/>
    <m/>
    <n v="57531.46"/>
    <n v="39115.08"/>
    <n v="0"/>
    <n v="0"/>
    <n v="0"/>
    <n v="0"/>
    <n v="0"/>
    <n v="30313.70161787136"/>
    <n v="27217.71883631561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76.25"/>
    <n v="0"/>
    <n v="13086.04"/>
    <n v="3"/>
    <m/>
    <n v="19557.54"/>
    <m/>
    <m/>
    <m/>
    <m/>
    <m/>
    <m/>
    <m/>
    <n v="0"/>
    <m/>
    <m/>
    <m/>
    <m/>
    <m/>
    <m/>
    <m/>
    <m/>
    <m/>
    <m/>
    <m/>
    <m/>
    <n v="19557.54"/>
    <n v="-9208.2199999999939"/>
    <m/>
    <m/>
    <m/>
    <m/>
    <n v="-18416.38"/>
    <n v="0"/>
    <n v="30"/>
    <n v="-137.01983790088707"/>
    <n v="0"/>
    <n v="0"/>
    <n v="0"/>
    <n v="0"/>
    <m/>
    <m/>
    <m/>
    <n v="-137.019837900887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217.718836315613"/>
    <m/>
    <n v="0"/>
    <n v="0"/>
    <n v="-18416.379999999997"/>
    <m/>
    <n v="0"/>
    <m/>
    <n v="-18281.45227688028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04"/>
    <s v="Regular"/>
    <s v="Geração"/>
    <s v="A4"/>
    <s v="Não se aplica"/>
    <s v="Não se aplica"/>
    <s v="Não se aplica"/>
    <s v="SOLEDADE"/>
    <s v="Não se aplica"/>
    <s v="GERAÇÃO"/>
    <x v="9"/>
    <n v="1000"/>
    <n v="500"/>
    <n v="0"/>
    <n v="0"/>
    <n v="0"/>
    <n v="0"/>
    <n v="15.78"/>
    <m/>
    <m/>
    <n v="15780"/>
    <m/>
    <n v="15780"/>
    <n v="5200"/>
    <n v="0"/>
    <n v="0"/>
    <n v="0"/>
    <n v="0"/>
    <n v="0"/>
    <n v="0"/>
    <n v="15739.433553196899"/>
    <m/>
    <m/>
    <m/>
    <n v="0"/>
    <n v="0"/>
    <n v="0"/>
    <n v="0"/>
    <m/>
    <n v="38.248486219299501"/>
    <n v="0"/>
    <n v="0"/>
    <n v="0"/>
    <n v="0"/>
    <m/>
    <m/>
    <n v="0"/>
    <n v="0"/>
    <n v="0"/>
    <m/>
    <m/>
    <n v="0"/>
    <m/>
    <n v="0"/>
    <n v="0"/>
    <n v="0"/>
    <n v="0"/>
    <m/>
    <n v="0"/>
    <n v="0"/>
    <n v="37.340000000000003"/>
    <n v="0"/>
    <n v="540.16999999999996"/>
    <n v="0"/>
    <m/>
    <m/>
    <n v="2600"/>
    <m/>
    <m/>
    <m/>
    <m/>
    <m/>
    <m/>
    <n v="0"/>
    <m/>
    <m/>
    <m/>
    <m/>
    <m/>
    <m/>
    <m/>
    <m/>
    <m/>
    <m/>
    <m/>
    <m/>
    <n v="2600"/>
    <n v="-5290.0300000000007"/>
    <m/>
    <m/>
    <m/>
    <m/>
    <n v="-10579.999999999998"/>
    <n v="0"/>
    <n v="30"/>
    <n v="-2.444224373364299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4442243733642997"/>
    <n v="0"/>
    <n v="0"/>
    <m/>
    <m/>
    <n v="15739.433553196899"/>
    <m/>
    <n v="0"/>
    <n v="0"/>
    <n v="-10580"/>
    <m/>
    <n v="0"/>
    <m/>
    <n v="-10571.77881432064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05"/>
    <s v="Regular"/>
    <s v="Geração"/>
    <s v="A4"/>
    <s v="Não se aplica"/>
    <s v="Não se aplica"/>
    <s v="Não se aplica"/>
    <s v="TAIPINHA"/>
    <s v="Não se aplica"/>
    <s v="GERAÇÃO"/>
    <x v="9"/>
    <n v="790"/>
    <n v="395"/>
    <n v="0"/>
    <n v="0"/>
    <n v="0"/>
    <n v="0"/>
    <n v="15.78"/>
    <m/>
    <m/>
    <n v="12466.199999999999"/>
    <m/>
    <n v="12466.199999999999"/>
    <n v="4108"/>
    <n v="0"/>
    <n v="0"/>
    <n v="0"/>
    <n v="0"/>
    <n v="0"/>
    <n v="0"/>
    <n v="12434.15250702555"/>
    <m/>
    <m/>
    <m/>
    <n v="0"/>
    <n v="0"/>
    <n v="0"/>
    <n v="0"/>
    <m/>
    <n v="30.2163041132466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29.5"/>
    <n v="0"/>
    <n v="426.74"/>
    <n v="0"/>
    <m/>
    <m/>
    <n v="2054"/>
    <m/>
    <m/>
    <m/>
    <m/>
    <m/>
    <m/>
    <n v="0"/>
    <m/>
    <m/>
    <m/>
    <m/>
    <m/>
    <m/>
    <m/>
    <m/>
    <m/>
    <m/>
    <m/>
    <m/>
    <n v="2054"/>
    <n v="-4179.13"/>
    <m/>
    <m/>
    <m/>
    <m/>
    <n v="-8358.1999999999989"/>
    <n v="0"/>
    <n v="30"/>
    <n v="-1.930937254957797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9309372549577972"/>
    <n v="0"/>
    <n v="0"/>
    <m/>
    <m/>
    <n v="12434.15250702555"/>
    <m/>
    <n v="0"/>
    <n v="0"/>
    <n v="-8358.1999999999989"/>
    <m/>
    <n v="0"/>
    <m/>
    <n v="-8351.705263313313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06"/>
    <s v="Regular"/>
    <s v="Verde"/>
    <s v="A4"/>
    <s v="Industrial"/>
    <s v="Não se aplica"/>
    <s v="Fonte incentivada"/>
    <s v="Não se aplica"/>
    <s v="Ponta"/>
    <s v="LIVRE"/>
    <x v="10"/>
    <n v="0"/>
    <n v="0"/>
    <n v="21.721"/>
    <n v="10.8605"/>
    <n v="0"/>
    <n v="0"/>
    <m/>
    <n v="3130.62"/>
    <m/>
    <m/>
    <n v="68000.197019999992"/>
    <n v="68000.197019999992"/>
    <n v="32800.66489"/>
    <n v="0"/>
    <n v="1161.7036525413146"/>
    <n v="0"/>
    <n v="0"/>
    <n v="0"/>
    <n v="13992.968107773444"/>
    <n v="52220.513109426793"/>
    <m/>
    <m/>
    <m/>
    <n v="0"/>
    <n v="0"/>
    <n v="0"/>
    <n v="206.4421130315217"/>
    <m/>
    <n v="29.302823542370749"/>
    <n v="0"/>
    <n v="0"/>
    <n v="0"/>
    <n v="0"/>
    <m/>
    <m/>
    <n v="0"/>
    <n v="0"/>
    <n v="0"/>
    <m/>
    <m/>
    <n v="0"/>
    <m/>
    <n v="0"/>
    <n v="0"/>
    <n v="26.760819742936739"/>
    <n v="0"/>
    <m/>
    <n v="362.50802893996752"/>
    <n v="0"/>
    <n v="0"/>
    <n v="0"/>
    <n v="0"/>
    <n v="0"/>
    <m/>
    <n v="16400.332445"/>
    <m/>
    <m/>
    <m/>
    <m/>
    <m/>
    <m/>
    <m/>
    <n v="389.26884868290426"/>
    <m/>
    <m/>
    <m/>
    <m/>
    <m/>
    <m/>
    <m/>
    <m/>
    <m/>
    <m/>
    <m/>
    <m/>
    <n v="16399.577399999998"/>
    <n v="-17600.551110000004"/>
    <m/>
    <m/>
    <m/>
    <m/>
    <n v="-35199.53213"/>
    <n v="0"/>
    <n v="31"/>
    <n v="-124.43804893343258"/>
    <n v="0"/>
    <n v="0"/>
    <n v="0"/>
    <n v="0"/>
    <m/>
    <m/>
    <m/>
    <n v="-63.249095938477694"/>
    <n v="0"/>
    <n v="0"/>
    <m/>
    <m/>
    <n v="0"/>
    <n v="1.6671581036552929"/>
    <n v="22.583695263926529"/>
    <n v="0"/>
    <n v="-72.239209767052444"/>
    <m/>
    <n v="0"/>
    <n v="0"/>
    <m/>
    <n v="0"/>
    <n v="-11.328034238376432"/>
    <n v="-1.8725623571089329"/>
    <n v="0"/>
    <n v="0"/>
    <m/>
    <m/>
    <m/>
    <n v="52220.513109426793"/>
    <n v="0"/>
    <n v="0"/>
    <n v="-35199.532129999992"/>
    <m/>
    <n v="0"/>
    <m/>
    <n v="-35075.195832003723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07"/>
    <s v="Regular"/>
    <s v="Verde"/>
    <s v="A4"/>
    <s v="Industrial"/>
    <s v="Não se aplica"/>
    <s v="Fonte incentivada"/>
    <s v="Não se aplica"/>
    <s v="Fora ponta"/>
    <s v="LIVRE"/>
    <x v="10"/>
    <n v="0"/>
    <n v="0"/>
    <n v="234.92"/>
    <n v="117.46"/>
    <n v="0"/>
    <n v="0"/>
    <m/>
    <n v="82.26"/>
    <m/>
    <m/>
    <n v="19324.519199999999"/>
    <n v="19324.519199999999"/>
    <n v="18662.0448"/>
    <n v="0"/>
    <n v="12564.219973988564"/>
    <n v="0"/>
    <n v="0"/>
    <n v="0"/>
    <n v="0"/>
    <n v="0"/>
    <m/>
    <m/>
    <m/>
    <n v="0"/>
    <n v="0"/>
    <n v="0"/>
    <n v="2232.7416414237409"/>
    <m/>
    <n v="316.91999938187632"/>
    <n v="0"/>
    <n v="0"/>
    <n v="0"/>
    <n v="0"/>
    <m/>
    <m/>
    <n v="0"/>
    <n v="0"/>
    <n v="0"/>
    <m/>
    <m/>
    <n v="0"/>
    <m/>
    <n v="0"/>
    <n v="0"/>
    <n v="289.42736402608989"/>
    <n v="0"/>
    <m/>
    <n v="3920.6475833790878"/>
    <n v="0"/>
    <n v="0"/>
    <n v="0"/>
    <n v="0"/>
    <n v="0"/>
    <m/>
    <n v="9331.0223999999998"/>
    <m/>
    <m/>
    <m/>
    <m/>
    <m/>
    <m/>
    <m/>
    <n v="4210.0749474051772"/>
    <m/>
    <m/>
    <m/>
    <m/>
    <m/>
    <m/>
    <m/>
    <m/>
    <m/>
    <m/>
    <m/>
    <m/>
    <n v="9331.0223999999998"/>
    <n v="-331.26720000000023"/>
    <m/>
    <m/>
    <m/>
    <m/>
    <n v="-662.47440000000165"/>
    <n v="0"/>
    <n v="31"/>
    <n v="-661.77933049008061"/>
    <n v="0"/>
    <n v="0"/>
    <n v="0"/>
    <n v="0"/>
    <m/>
    <m/>
    <m/>
    <n v="0"/>
    <n v="0"/>
    <n v="0"/>
    <m/>
    <m/>
    <n v="0"/>
    <n v="18.030881714041811"/>
    <n v="244.25034259019458"/>
    <n v="0"/>
    <n v="-781.29161449638377"/>
    <m/>
    <n v="0"/>
    <n v="0"/>
    <m/>
    <n v="0"/>
    <n v="-122.51654174666874"/>
    <n v="-20.252398551265173"/>
    <n v="0"/>
    <n v="0"/>
    <m/>
    <m/>
    <m/>
    <n v="0"/>
    <n v="0"/>
    <n v="0"/>
    <n v="-662.4743999999991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08"/>
    <s v="Regular"/>
    <s v="Verde"/>
    <s v="A4"/>
    <s v="Industrial"/>
    <s v="Não se aplica"/>
    <s v="Fonte incentivada"/>
    <s v="Não se aplica"/>
    <s v="Não se aplica"/>
    <s v="LIVRE"/>
    <x v="10"/>
    <n v="1175"/>
    <n v="587.5"/>
    <n v="0"/>
    <n v="0"/>
    <n v="0"/>
    <n v="0"/>
    <n v="47.39"/>
    <m/>
    <m/>
    <n v="55683.25"/>
    <m/>
    <n v="55683.25"/>
    <n v="37858.5"/>
    <n v="0"/>
    <n v="0"/>
    <n v="0"/>
    <n v="0"/>
    <n v="0"/>
    <n v="29339.867710872197"/>
    <n v="26343.344013732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06.07"/>
    <n v="0"/>
    <n v="12157.46"/>
    <n v="3"/>
    <m/>
    <n v="18929.25"/>
    <m/>
    <m/>
    <m/>
    <m/>
    <m/>
    <m/>
    <m/>
    <n v="0"/>
    <m/>
    <m/>
    <m/>
    <m/>
    <m/>
    <m/>
    <m/>
    <m/>
    <m/>
    <m/>
    <m/>
    <m/>
    <n v="18929.25"/>
    <n v="-8912.4049999999952"/>
    <m/>
    <m/>
    <m/>
    <m/>
    <n v="-17824.750000000004"/>
    <n v="0"/>
    <n v="31"/>
    <n v="-132.61804739171566"/>
    <n v="0"/>
    <n v="0"/>
    <n v="0"/>
    <n v="0"/>
    <m/>
    <m/>
    <m/>
    <n v="-132.618047391715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343.34401373216"/>
    <m/>
    <n v="0"/>
    <n v="0"/>
    <n v="-17824.75"/>
    <m/>
    <n v="0"/>
    <m/>
    <n v="-17694.156857771282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09"/>
    <s v="Regular"/>
    <s v="Geração"/>
    <s v="A4"/>
    <s v="Não se aplica"/>
    <s v="Não se aplica"/>
    <s v="Não se aplica"/>
    <s v="SOLEDADE"/>
    <s v="Não se aplica"/>
    <s v="GERAÇÃO"/>
    <x v="10"/>
    <n v="1000"/>
    <n v="500"/>
    <n v="0"/>
    <n v="0"/>
    <n v="0"/>
    <n v="0"/>
    <n v="15.78"/>
    <m/>
    <m/>
    <n v="15780"/>
    <m/>
    <n v="15780"/>
    <n v="5200"/>
    <n v="0"/>
    <n v="0"/>
    <n v="0"/>
    <n v="0"/>
    <n v="0"/>
    <n v="0"/>
    <n v="15739.433553196899"/>
    <m/>
    <m/>
    <m/>
    <n v="0"/>
    <n v="0"/>
    <n v="0"/>
    <n v="0"/>
    <m/>
    <n v="38.248486219299501"/>
    <n v="0"/>
    <n v="0"/>
    <n v="0"/>
    <n v="0"/>
    <m/>
    <m/>
    <n v="0"/>
    <n v="0"/>
    <n v="0"/>
    <m/>
    <m/>
    <n v="0"/>
    <m/>
    <n v="0"/>
    <n v="0"/>
    <n v="0"/>
    <n v="0"/>
    <m/>
    <n v="0"/>
    <n v="0"/>
    <n v="56.49"/>
    <n v="0"/>
    <n v="544.1"/>
    <n v="0"/>
    <m/>
    <m/>
    <n v="2600"/>
    <m/>
    <m/>
    <m/>
    <m/>
    <m/>
    <m/>
    <n v="0"/>
    <m/>
    <m/>
    <m/>
    <m/>
    <m/>
    <m/>
    <m/>
    <m/>
    <m/>
    <m/>
    <m/>
    <m/>
    <n v="2600"/>
    <n v="-5290.0300000000007"/>
    <m/>
    <m/>
    <m/>
    <m/>
    <n v="-10579.999999999998"/>
    <n v="0"/>
    <n v="31"/>
    <n v="-2.444224373364299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4442243733642997"/>
    <n v="0"/>
    <n v="0"/>
    <m/>
    <m/>
    <n v="15739.433553196899"/>
    <m/>
    <n v="0"/>
    <n v="0"/>
    <n v="-10580"/>
    <m/>
    <n v="0"/>
    <m/>
    <n v="-10571.77881432064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10"/>
    <s v="Regular"/>
    <s v="Geração"/>
    <s v="A4"/>
    <s v="Não se aplica"/>
    <s v="Não se aplica"/>
    <s v="Não se aplica"/>
    <s v="TAIPINHA"/>
    <s v="Não se aplica"/>
    <s v="GERAÇÃO"/>
    <x v="10"/>
    <n v="790"/>
    <n v="395"/>
    <n v="0"/>
    <n v="0"/>
    <n v="0"/>
    <n v="0"/>
    <n v="15.78"/>
    <m/>
    <m/>
    <n v="12466.199999999999"/>
    <m/>
    <n v="12466.199999999999"/>
    <n v="4108"/>
    <n v="0"/>
    <n v="0"/>
    <n v="0"/>
    <n v="0"/>
    <n v="0"/>
    <n v="0"/>
    <n v="12434.15250702555"/>
    <m/>
    <m/>
    <m/>
    <n v="0"/>
    <n v="0"/>
    <n v="0"/>
    <n v="0"/>
    <m/>
    <n v="30.2163041132466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44.62"/>
    <n v="0"/>
    <n v="429.83"/>
    <n v="0"/>
    <m/>
    <m/>
    <n v="2054"/>
    <m/>
    <m/>
    <m/>
    <m/>
    <m/>
    <m/>
    <n v="0"/>
    <m/>
    <m/>
    <m/>
    <m/>
    <m/>
    <m/>
    <m/>
    <m/>
    <m/>
    <m/>
    <m/>
    <m/>
    <n v="2054"/>
    <n v="-4179.13"/>
    <m/>
    <m/>
    <m/>
    <m/>
    <n v="-8358.1999999999989"/>
    <n v="0"/>
    <n v="31"/>
    <n v="-1.930937254957797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9309372549577972"/>
    <n v="0"/>
    <n v="0"/>
    <m/>
    <m/>
    <n v="12434.15250702555"/>
    <m/>
    <n v="0"/>
    <n v="0"/>
    <n v="-8358.1999999999989"/>
    <m/>
    <n v="0"/>
    <m/>
    <n v="-8351.705263313313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11"/>
    <s v="Regular"/>
    <s v="Verde"/>
    <s v="A4"/>
    <s v="Industrial"/>
    <s v="Não se aplica"/>
    <s v="Fonte incentivada"/>
    <s v="Não se aplica"/>
    <s v="Ponta"/>
    <s v="LIVRE"/>
    <x v="11"/>
    <n v="0"/>
    <n v="0"/>
    <n v="16.962"/>
    <n v="8.4809999999999999"/>
    <n v="0"/>
    <n v="0"/>
    <m/>
    <n v="3130.62"/>
    <m/>
    <m/>
    <n v="53101.576439999997"/>
    <n v="53101.576439999997"/>
    <n v="25614.146579999997"/>
    <n v="0"/>
    <n v="907.17818490887964"/>
    <n v="0"/>
    <n v="0"/>
    <n v="0"/>
    <n v="10927.154598961979"/>
    <n v="40779.169622121321"/>
    <m/>
    <m/>
    <m/>
    <n v="0"/>
    <n v="0"/>
    <n v="0"/>
    <n v="161.21132181946831"/>
    <m/>
    <n v="22.882670822047448"/>
    <n v="0"/>
    <n v="0"/>
    <n v="0"/>
    <n v="0"/>
    <m/>
    <m/>
    <n v="0"/>
    <n v="0"/>
    <n v="0"/>
    <m/>
    <m/>
    <n v="0"/>
    <m/>
    <n v="0"/>
    <n v="0"/>
    <n v="20.897611734252244"/>
    <n v="0"/>
    <m/>
    <n v="283.08370640761149"/>
    <n v="0"/>
    <n v="0"/>
    <n v="0"/>
    <n v="0"/>
    <n v="0"/>
    <m/>
    <n v="12807.073289999998"/>
    <m/>
    <m/>
    <m/>
    <m/>
    <m/>
    <m/>
    <m/>
    <n v="303.98131814186371"/>
    <m/>
    <m/>
    <m/>
    <m/>
    <m/>
    <m/>
    <m/>
    <m/>
    <m/>
    <m/>
    <m/>
    <m/>
    <n v="12805.563200000001"/>
    <n v="-13745.255019999993"/>
    <m/>
    <m/>
    <m/>
    <m/>
    <n v="-27487.42986"/>
    <n v="0"/>
    <n v="30"/>
    <n v="-97.174079738912042"/>
    <n v="0"/>
    <n v="0"/>
    <n v="0"/>
    <n v="0"/>
    <m/>
    <m/>
    <m/>
    <n v="-49.391426053516625"/>
    <n v="0"/>
    <n v="0"/>
    <m/>
    <m/>
    <n v="0"/>
    <n v="1.3018892203029822"/>
    <n v="17.635681555486485"/>
    <n v="0"/>
    <n v="-56.411835369860569"/>
    <m/>
    <n v="0"/>
    <n v="0"/>
    <m/>
    <n v="0"/>
    <n v="-8.8460990171419951"/>
    <n v="-1.4622900741808245"/>
    <n v="0"/>
    <n v="0"/>
    <m/>
    <m/>
    <m/>
    <n v="40779.169622121321"/>
    <n v="0"/>
    <n v="0"/>
    <n v="-27487.42986"/>
    <m/>
    <n v="0"/>
    <m/>
    <n v="-27390.335237900981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12"/>
    <s v="Regular"/>
    <s v="Verde"/>
    <s v="A4"/>
    <s v="Industrial"/>
    <s v="Não se aplica"/>
    <s v="Fonte incentivada"/>
    <s v="Não se aplica"/>
    <s v="Fora ponta"/>
    <s v="LIVRE"/>
    <x v="11"/>
    <n v="0"/>
    <n v="0"/>
    <n v="182.31399999999999"/>
    <n v="91.156999999999996"/>
    <n v="0"/>
    <n v="0"/>
    <m/>
    <n v="82.26"/>
    <m/>
    <m/>
    <n v="14997.14964"/>
    <n v="14997.14964"/>
    <n v="14483.024159999999"/>
    <n v="0"/>
    <n v="9750.69470601801"/>
    <n v="0"/>
    <n v="0"/>
    <n v="0"/>
    <n v="0"/>
    <n v="0"/>
    <m/>
    <m/>
    <m/>
    <n v="0"/>
    <n v="0"/>
    <n v="0"/>
    <n v="1732.76034230601"/>
    <m/>
    <n v="245.95161232465267"/>
    <n v="0"/>
    <n v="0"/>
    <n v="0"/>
    <n v="0"/>
    <m/>
    <m/>
    <n v="0"/>
    <n v="0"/>
    <n v="0"/>
    <m/>
    <m/>
    <n v="0"/>
    <m/>
    <n v="0"/>
    <n v="0"/>
    <n v="224.61544544973844"/>
    <n v="0"/>
    <m/>
    <n v="3042.6908884563895"/>
    <n v="0"/>
    <n v="0"/>
    <n v="0"/>
    <n v="0"/>
    <n v="0"/>
    <m/>
    <n v="7241.5120799999995"/>
    <m/>
    <m/>
    <m/>
    <m/>
    <m/>
    <m/>
    <m/>
    <n v="3267.3063339061282"/>
    <m/>
    <m/>
    <m/>
    <m/>
    <m/>
    <m/>
    <m/>
    <m/>
    <m/>
    <m/>
    <m/>
    <m/>
    <n v="7241.7503999999999"/>
    <n v="-256.85442000000057"/>
    <m/>
    <m/>
    <m/>
    <m/>
    <n v="-514.12548000000129"/>
    <n v="0"/>
    <n v="30"/>
    <n v="-513.58605848360457"/>
    <n v="0"/>
    <n v="0"/>
    <n v="0"/>
    <n v="0"/>
    <m/>
    <m/>
    <m/>
    <n v="0"/>
    <n v="0"/>
    <n v="0"/>
    <m/>
    <m/>
    <n v="0"/>
    <n v="13.993198402919347"/>
    <n v="189.55498450105915"/>
    <n v="0"/>
    <n v="-606.33577134894222"/>
    <m/>
    <n v="0"/>
    <n v="0"/>
    <m/>
    <n v="0"/>
    <n v="-95.081222509799545"/>
    <n v="-15.717247528841142"/>
    <n v="0"/>
    <n v="0"/>
    <m/>
    <m/>
    <m/>
    <n v="0"/>
    <n v="0"/>
    <n v="0"/>
    <n v="-514.1254800000006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13"/>
    <s v="Regular"/>
    <s v="Verde"/>
    <s v="A4"/>
    <s v="Industrial"/>
    <s v="Não se aplica"/>
    <s v="Fonte incentivada"/>
    <s v="Não se aplica"/>
    <s v="Não se aplica"/>
    <s v="LIVRE"/>
    <x v="11"/>
    <n v="1175"/>
    <n v="587.5"/>
    <n v="0"/>
    <n v="0"/>
    <n v="0"/>
    <n v="0"/>
    <n v="47.39"/>
    <m/>
    <m/>
    <n v="55683.25"/>
    <m/>
    <n v="55683.25"/>
    <n v="37858.5"/>
    <n v="0"/>
    <n v="0"/>
    <n v="0"/>
    <n v="0"/>
    <n v="0"/>
    <n v="29339.867710872197"/>
    <n v="26343.344013732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38.25"/>
    <n v="0"/>
    <n v="10284.85"/>
    <n v="3"/>
    <m/>
    <n v="18929.25"/>
    <m/>
    <m/>
    <m/>
    <m/>
    <m/>
    <m/>
    <m/>
    <n v="0"/>
    <m/>
    <m/>
    <m/>
    <m/>
    <m/>
    <m/>
    <m/>
    <m/>
    <m/>
    <m/>
    <m/>
    <m/>
    <n v="18929.25"/>
    <n v="-8912.4049999999952"/>
    <m/>
    <m/>
    <m/>
    <m/>
    <n v="-17824.750000000004"/>
    <n v="0"/>
    <n v="30"/>
    <n v="-132.61804739171566"/>
    <n v="0"/>
    <n v="0"/>
    <n v="0"/>
    <n v="0"/>
    <m/>
    <m/>
    <m/>
    <n v="-132.618047391715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343.34401373216"/>
    <m/>
    <n v="0"/>
    <n v="0"/>
    <n v="-17824.75"/>
    <m/>
    <n v="0"/>
    <m/>
    <n v="-17694.156857771282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14"/>
    <s v="Regular"/>
    <s v="Geração"/>
    <s v="A4"/>
    <s v="Não se aplica"/>
    <s v="Não se aplica"/>
    <s v="Não se aplica"/>
    <s v="SOLEDADE"/>
    <s v="Não se aplica"/>
    <s v="GERAÇÃO"/>
    <x v="11"/>
    <n v="1000"/>
    <n v="500"/>
    <n v="0"/>
    <n v="0"/>
    <n v="0"/>
    <n v="0"/>
    <n v="15.78"/>
    <m/>
    <m/>
    <n v="15780"/>
    <m/>
    <n v="15780"/>
    <n v="5200"/>
    <n v="0"/>
    <n v="0"/>
    <n v="0"/>
    <n v="0"/>
    <n v="0"/>
    <n v="0"/>
    <n v="15739.433553196899"/>
    <m/>
    <m/>
    <m/>
    <n v="0"/>
    <n v="0"/>
    <n v="0"/>
    <n v="0"/>
    <m/>
    <n v="38.248486219299501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.21"/>
    <n v="0"/>
    <n v="539.74"/>
    <n v="0"/>
    <m/>
    <m/>
    <n v="2600"/>
    <m/>
    <m/>
    <m/>
    <m/>
    <m/>
    <m/>
    <n v="0"/>
    <m/>
    <m/>
    <m/>
    <m/>
    <m/>
    <m/>
    <m/>
    <m/>
    <m/>
    <m/>
    <m/>
    <m/>
    <n v="2600"/>
    <n v="-5290.0300000000007"/>
    <m/>
    <m/>
    <m/>
    <m/>
    <n v="-10579.999999999998"/>
    <n v="0"/>
    <n v="30"/>
    <n v="-2.444224373364299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2.4442243733642997"/>
    <n v="0"/>
    <n v="0"/>
    <m/>
    <m/>
    <n v="15739.433553196899"/>
    <m/>
    <n v="0"/>
    <n v="0"/>
    <n v="-10580"/>
    <m/>
    <n v="0"/>
    <m/>
    <n v="-10571.778814320649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  <r>
    <n v="515"/>
    <s v="Regular"/>
    <s v="Geração"/>
    <s v="A4"/>
    <s v="Não se aplica"/>
    <s v="Não se aplica"/>
    <s v="Não se aplica"/>
    <s v="TAIPINHA"/>
    <s v="Não se aplica"/>
    <s v="GERAÇÃO"/>
    <x v="11"/>
    <n v="790"/>
    <n v="395"/>
    <n v="0"/>
    <n v="0"/>
    <n v="0"/>
    <n v="0"/>
    <n v="15.78"/>
    <m/>
    <m/>
    <n v="12466.199999999999"/>
    <m/>
    <n v="12466.199999999999"/>
    <n v="4108"/>
    <n v="0"/>
    <n v="0"/>
    <n v="0"/>
    <n v="0"/>
    <n v="0"/>
    <n v="0"/>
    <n v="12434.15250702555"/>
    <m/>
    <m/>
    <m/>
    <n v="0"/>
    <n v="0"/>
    <n v="0"/>
    <n v="0"/>
    <m/>
    <n v="30.2163041132466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27.81"/>
    <n v="0"/>
    <n v="426.39"/>
    <n v="0"/>
    <m/>
    <m/>
    <n v="2054"/>
    <m/>
    <m/>
    <m/>
    <m/>
    <m/>
    <m/>
    <n v="0"/>
    <m/>
    <m/>
    <m/>
    <m/>
    <m/>
    <m/>
    <m/>
    <m/>
    <m/>
    <m/>
    <m/>
    <m/>
    <n v="2054"/>
    <n v="-4179.13"/>
    <m/>
    <m/>
    <m/>
    <m/>
    <n v="-8358.1999999999989"/>
    <n v="0"/>
    <n v="30"/>
    <n v="-1.930937254957797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9309372549577972"/>
    <n v="0"/>
    <n v="0"/>
    <m/>
    <m/>
    <n v="12434.15250702555"/>
    <m/>
    <n v="0"/>
    <n v="0"/>
    <n v="-8358.1999999999989"/>
    <m/>
    <n v="0"/>
    <m/>
    <n v="-8351.7052633133135"/>
    <m/>
    <n v="0"/>
    <n v="0"/>
    <m/>
    <n v="0"/>
    <n v="0"/>
    <n v="0"/>
    <n v="0"/>
    <n v="0"/>
    <m/>
    <m/>
    <n v="0"/>
    <n v="0"/>
    <m/>
    <n v="0"/>
    <m/>
    <n v="0"/>
    <m/>
    <n v="257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0">
        <item m="1" x="39"/>
        <item m="1" x="47"/>
        <item m="1" x="55"/>
        <item m="1" x="16"/>
        <item m="1" x="24"/>
        <item m="1" x="28"/>
        <item m="1" x="35"/>
        <item m="1" x="43"/>
        <item m="1" x="51"/>
        <item m="1" x="12"/>
        <item m="1" x="20"/>
        <item m="1" x="32"/>
        <item m="1" x="40"/>
        <item m="1" x="48"/>
        <item m="1" x="56"/>
        <item m="1" x="17"/>
        <item m="1" x="25"/>
        <item m="1" x="29"/>
        <item m="1" x="36"/>
        <item m="1" x="44"/>
        <item m="1" x="52"/>
        <item m="1" x="13"/>
        <item m="1" x="21"/>
        <item m="1" x="33"/>
        <item m="1" x="41"/>
        <item m="1" x="49"/>
        <item m="1" x="57"/>
        <item m="1" x="18"/>
        <item m="1" x="26"/>
        <item m="1" x="30"/>
        <item m="1" x="37"/>
        <item m="1" x="45"/>
        <item m="1" x="53"/>
        <item m="1" x="14"/>
        <item m="1" x="22"/>
        <item m="1" x="34"/>
        <item m="1" x="42"/>
        <item m="1" x="50"/>
        <item m="1" x="58"/>
        <item m="1" x="19"/>
        <item m="1" x="27"/>
        <item m="1" x="31"/>
        <item m="1" x="38"/>
        <item m="1" x="46"/>
        <item m="1" x="54"/>
        <item m="1" x="15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387">
      <pivotArea type="all" dataOnly="0" outline="0" fieldPosition="0"/>
    </format>
    <format dxfId="386">
      <pivotArea type="all" dataOnly="0" outline="0" fieldPosition="0"/>
    </format>
    <format dxfId="385">
      <pivotArea type="all" dataOnly="0" outline="0" fieldPosition="0"/>
    </format>
    <format dxfId="384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10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77" dataDxfId="576">
  <autoFilter ref="AA5:AE7" xr:uid="{B3DE7FE8-5926-4E44-9EDC-9655DE4A4B67}"/>
  <tableColumns count="5">
    <tableColumn id="1" xr3:uid="{1315B14B-5316-4DE2-9050-0B99168CC239}" name="Cotas" dataDxfId="575"/>
    <tableColumn id="2" xr3:uid="{00C64702-8D8C-4EE8-B854-0E39030818B6}" name="Valor da &quot;Cota&quot;" dataDxfId="574"/>
    <tableColumn id="3" xr3:uid="{63BFFE80-8EC9-4566-842F-9FD193C67815}" name="Ano" dataDxfId="573"/>
    <tableColumn id="4" xr3:uid="{7B5A7EF8-5CB6-4557-B7D2-1C4857462594}" name="Custo Médio da Cota" dataDxfId="572"/>
    <tableColumn id="5" xr3:uid="{D3F4B71D-C886-4718-A85E-FA54E9F8D838}" name="Energia MWh" dataDxfId="571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70" dataDxfId="569" headerRowCellStyle="Normal 5" dataCellStyle="Normal 5">
  <autoFilter ref="AA21:AG23" xr:uid="{8109BFC4-5B84-4531-A319-ED0D5E86A4C5}"/>
  <tableColumns count="7">
    <tableColumn id="1" xr3:uid="{59A03A63-2F04-4649-A4AF-9B891D5BEBED}" name="Leilão" dataDxfId="568" dataCellStyle="Normal 5"/>
    <tableColumn id="2" xr3:uid="{1B8E1FA7-1B1E-42CD-98A0-C36F374D9818}" name="Produto" dataDxfId="567" dataCellStyle="Normal 5"/>
    <tableColumn id="3" xr3:uid="{3C5EB2AC-0FA8-44FB-8B3B-4F205233DD96}" name="Modalidade" dataDxfId="566" dataCellStyle="Normal 5"/>
    <tableColumn id="4" xr3:uid="{C358BA83-832A-4936-8DD9-2979DA133039}" name="Fonte" dataDxfId="565" dataCellStyle="Normal 5"/>
    <tableColumn id="5" xr3:uid="{9CA52279-BDEC-44E2-A60F-C256B4A0590B}" name="Montante" dataDxfId="564" dataCellStyle="Normal 5"/>
    <tableColumn id="6" xr3:uid="{4C1D6705-AC4A-482B-AC5B-B0F755A722F2}" name="Data Base" dataDxfId="563" dataCellStyle="Vírgula"/>
    <tableColumn id="7" xr3:uid="{3DEA0CF9-631C-4B3F-B4AC-928E92F0AB84}" name="Custo Base" dataDxfId="562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61" dataDxfId="560">
  <autoFilter ref="AA10:AD11" xr:uid="{3C49DBE7-062C-4416-B6BA-09DB0F685AD5}"/>
  <tableColumns count="4">
    <tableColumn id="1" xr3:uid="{6F9C1B42-695A-4B8B-B63F-DA108D710421}" name="GSF previsto" dataDxfId="559" dataCellStyle="Normal 5"/>
    <tableColumn id="2" xr3:uid="{4D1DBAC9-9D60-4D51-A973-81AD2081E4F6}" name="PLD" dataDxfId="558" dataCellStyle="Normal 5"/>
    <tableColumn id="3" xr3:uid="{0DCF2C66-C111-4FF7-BEB4-BFD00E93A10A}" name="MWm repactuado" dataDxfId="557" dataCellStyle="Normal 5"/>
    <tableColumn id="4" xr3:uid="{030AED12-E9C5-474F-937C-742184A44EF8}" name="Fator de rateio" dataDxfId="556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55" dataDxfId="554">
  <autoFilter ref="AI5:AJ20" xr:uid="{C3573309-01D4-4FAA-88C4-46F0CAA1CC27}"/>
  <tableColumns count="2">
    <tableColumn id="1" xr3:uid="{56AC757E-E114-458B-A041-461374D0BA5F}" name="Data" dataDxfId="553"/>
    <tableColumn id="2" xr3:uid="{578DAC09-D952-4F72-9444-614F5761412A}" name="Valor Pis/Cofins Transmissora" dataDxfId="552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51"/>
    <tableColumn id="2" xr3:uid="{AAB31625-7790-4B9A-AC2F-62007C1AB8C0}" name="Valor" dataDxfId="550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49">
  <autoFilter ref="B70:D77" xr:uid="{2E07311B-F74E-449E-81FD-B2BBBED3E4B3}"/>
  <tableColumns count="3">
    <tableColumn id="1" xr3:uid="{34D06310-1B0F-4D68-8C00-ED68EED3BDEB}" name="Encargo" dataDxfId="548"/>
    <tableColumn id="2" xr3:uid="{9D37526B-68DA-4918-8BA1-31EFC93C676E}" name="Valor" dataDxfId="547" dataCellStyle="Vírgula"/>
    <tableColumn id="3" xr3:uid="{62B99FEA-2637-4880-B5A6-705D0DFDF64C}" name="DSP" dataDxfId="546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45">
  <autoFilter ref="AA15:AB16" xr:uid="{1246E986-5AFA-4E40-BCC4-649D094A68F9}"/>
  <tableColumns count="2">
    <tableColumn id="1" xr3:uid="{D4D96454-0BF2-4CE9-B9F7-0CF391A2F556}" name="Proinfa" dataDxfId="544"/>
    <tableColumn id="2" xr3:uid="{62B09719-28BC-4F30-8705-5FB3C24A0D07}" name="MWh" dataDxfId="543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42" dataDxfId="541">
  <autoFilter ref="AO5:AQ9" xr:uid="{1A968768-5E00-4725-815D-7B925098B780}"/>
  <tableColumns count="3">
    <tableColumn id="1" xr3:uid="{FC8C62E6-3A06-4479-B5D7-11BDBC46D611}" name="Conta Escassez" dataDxfId="540"/>
    <tableColumn id="2" xr3:uid="{55A5FC57-FA17-4C65-B2C8-0C51598692AE}" name="Valor" dataDxfId="539"/>
    <tableColumn id="3" xr3:uid="{C90C9243-AD2A-42D1-9D06-640F7A17A24B}" name="Legislacao" dataDxfId="538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37" dataDxfId="536">
  <autoFilter ref="AI24:AK45" xr:uid="{63306B16-ABC6-4C4A-8A31-BA4561D3E91F}"/>
  <tableColumns count="3">
    <tableColumn id="1" xr3:uid="{E80EBDF5-704B-4864-987B-30FABD11C257}" name="Grupo_TARIFA" dataDxfId="535"/>
    <tableColumn id="2" xr3:uid="{C48FAF4C-2500-4FE3-A576-CC56F4BB20F4}" name="Detalhe_Grupo_TARIFA" dataDxfId="534"/>
    <tableColumn id="3" xr3:uid="{C451D982-3266-4B86-86BB-DCF98A1C0BC5}" name="valor" dataDxfId="533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32" dataDxfId="531">
  <autoFilter ref="AM24:AP31" xr:uid="{5E07B889-3CC1-4EB8-A2FA-27865F10E9FF}"/>
  <tableColumns count="4">
    <tableColumn id="1" xr3:uid="{A684CBA1-85F2-4F6F-9549-132415395C97}" name="Grupo Tarifa" dataDxfId="530"/>
    <tableColumn id="2" xr3:uid="{601A6100-10DA-47B4-AC85-55E7B31A99AC}" name="Detalhe Grupo" dataDxfId="529"/>
    <tableColumn id="3" xr3:uid="{C6D6A904-43B1-4BB1-8721-FC3B084DEB3F}" name="Det3" dataDxfId="528"/>
    <tableColumn id="4" xr3:uid="{49E46CEE-1005-4E4F-AD52-B5C103AA28C0}" name="Valor" dataDxfId="527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26" tableBorderDxfId="525">
  <autoFilter ref="AA26:AB30" xr:uid="{ED60079D-08D5-46B4-B1E6-28428B2FF85A}"/>
  <tableColumns count="2">
    <tableColumn id="1" xr3:uid="{C7D3432F-090C-4D89-8F9B-66E323363124}" name="Dados de perda" dataDxfId="524"/>
    <tableColumn id="2" xr3:uid="{7924BC5A-340A-47DE-8986-F75E2F948A7A}" name="Valor" dataDxfId="523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tableColumns count="8">
    <tableColumn id="1" xr3:uid="{00000000-0010-0000-1600-000001000000}" name="IdeAgenteSuprida" dataDxfId="522"/>
    <tableColumn id="2" xr3:uid="{00000000-0010-0000-1600-000002000000}" name="NomPessoaSuprida" dataDxfId="521"/>
    <tableColumn id="3" xr3:uid="{00000000-0010-0000-1600-000003000000}" name="IdeAgenteSupridora" dataDxfId="520"/>
    <tableColumn id="4" xr3:uid="{00000000-0010-0000-1600-000004000000}" name="NomPessoaSupridora" dataDxfId="519"/>
    <tableColumn id="5" xr3:uid="{00000000-0010-0000-1600-000005000000}" name="DescSubGrupoSgt" dataDxfId="518"/>
    <tableColumn id="6" xr3:uid="{00000000-0010-0000-1600-000006000000}" name="MesAno"/>
    <tableColumn id="7" xr3:uid="{00000000-0010-0000-1600-000007000000}" name="Descricao" dataDxfId="517"/>
    <tableColumn id="8" xr3:uid="{00000000-0010-0000-1600-000008000000}" name="Valor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6" dataDxfId="514" headerRowBorderDxfId="515" tableBorderDxfId="513">
  <autoFilter ref="A9:AN61" xr:uid="{00000000-0009-0000-0100-00001A000000}">
    <filterColumn colId="0">
      <filters>
        <filter val="Cerfox"/>
      </filters>
    </filterColumn>
  </autoFilter>
  <tableColumns count="40">
    <tableColumn id="1" xr3:uid="{00000000-0010-0000-0000-000001000000}" name="Sigla" dataDxfId="512"/>
    <tableColumn id="2" xr3:uid="{00000000-0010-0000-0000-000002000000}" name="NomeSAMP" dataDxfId="511"/>
    <tableColumn id="3" xr3:uid="{00000000-0010-0000-0000-000003000000}" name="SARI" dataDxfId="510"/>
    <tableColumn id="4" xr3:uid="{00000000-0010-0000-0000-000004000000}" name="Área" dataDxfId="509"/>
    <tableColumn id="5" xr3:uid="{00000000-0010-0000-0000-000005000000}" name="Tipo de Contrato" dataDxfId="508"/>
    <tableColumn id="6" xr3:uid="{00000000-0010-0000-0000-000006000000}" name="Sede" dataDxfId="507"/>
    <tableColumn id="7" xr3:uid="{00000000-0010-0000-0000-000007000000}" name="UF" dataDxfId="506"/>
    <tableColumn id="8" xr3:uid="{00000000-0010-0000-0000-000008000000}" name="WACC ERD" dataDxfId="505"/>
    <tableColumn id="9" xr3:uid="{00000000-0010-0000-0000-000009000000}" name="Supridora 1" dataDxfId="504"/>
    <tableColumn id="33" xr3:uid="{00000000-0010-0000-0000-000021000000}" name="idsreagsupridora 1" dataDxfId="503"/>
    <tableColumn id="10" xr3:uid="{00000000-0010-0000-0000-00000A000000}" name="Supridora 2" dataDxfId="502"/>
    <tableColumn id="35" xr3:uid="{00000000-0010-0000-0000-000023000000}" name="idsreagsupridora2" dataDxfId="501"/>
    <tableColumn id="11" xr3:uid="{00000000-0010-0000-0000-00000B000000}" name="Desconto Tusd" dataDxfId="500"/>
    <tableColumn id="12" xr3:uid="{00000000-0010-0000-0000-00000C000000}" name="Proinfa MWh" dataDxfId="499"/>
    <tableColumn id="36" xr3:uid="{00000000-0010-0000-0000-000024000000}" name="REH Proinfa" dataDxfId="498"/>
    <tableColumn id="13" xr3:uid="{00000000-0010-0000-0000-00000D000000}" name="Beta" dataDxfId="497"/>
    <tableColumn id="14" xr3:uid="{00000000-0010-0000-0000-00000E000000}" name="Limite PB" dataDxfId="496" dataCellStyle="Vírgula"/>
    <tableColumn id="31" xr3:uid="{00000000-0010-0000-0000-00001F000000}" name="Data Base Limite PB" dataDxfId="495" dataCellStyle="Vírgula"/>
    <tableColumn id="30" xr3:uid="{00000000-0010-0000-0000-00001E000000}" name="Despacho limite Parcela B" dataDxfId="494" dataCellStyle="Vírgula"/>
    <tableColumn id="15" xr3:uid="{00000000-0010-0000-0000-00000F000000}" name="Contrato Permissão" dataDxfId="493"/>
    <tableColumn id="16" xr3:uid="{00000000-0010-0000-0000-000010000000}" name="Data Contrato" dataDxfId="492"/>
    <tableColumn id="17" xr3:uid="{00000000-0010-0000-0000-000011000000}" name="Próxima Revisão" dataDxfId="491"/>
    <tableColumn id="19" xr3:uid="{00000000-0010-0000-0000-000013000000}" name="Última REH" dataDxfId="490"/>
    <tableColumn id="20" xr3:uid="{00000000-0010-0000-0000-000014000000}" name="Data última REH " dataDxfId="489"/>
    <tableColumn id="21" xr3:uid="{00000000-0010-0000-0000-000015000000}" name="Pd" dataDxfId="488"/>
    <tableColumn id="22" xr3:uid="{00000000-0010-0000-0000-000016000000}" name="T" dataDxfId="487"/>
    <tableColumn id="26" xr3:uid="{00000000-0010-0000-0000-00001A000000}" name="Supridora para calculo da subvenção" dataDxfId="486"/>
    <tableColumn id="24" xr3:uid="{00000000-0010-0000-0000-000018000000}" name="Densidade Cooperativa" dataDxfId="485" dataCellStyle="Vírgula"/>
    <tableColumn id="25" xr3:uid="{00000000-0010-0000-0000-000019000000}" name="Densidade Principal Supridora" dataDxfId="484"/>
    <tableColumn id="27" xr3:uid="{00000000-0010-0000-0000-00001B000000}" name="Subvenção Anual (R$)" dataDxfId="483"/>
    <tableColumn id="28" xr3:uid="{00000000-0010-0000-0000-00001C000000}" name="Data Referência Subvenção" dataDxfId="482"/>
    <tableColumn id="39" xr3:uid="{3093CAC3-54C5-4BCF-9CB8-B8E3D611B57C}" name="Data de aniversarioda supridora" dataDxfId="481"/>
    <tableColumn id="23" xr3:uid="{00000000-0010-0000-0000-000017000000}" name="Geração Própria" dataDxfId="480"/>
    <tableColumn id="29" xr3:uid="{00000000-0010-0000-0000-00001D000000}" name="Data de referência da Geração Própria" dataDxfId="479"/>
    <tableColumn id="18" xr3:uid="{00000000-0010-0000-0000-000012000000}" name="Data da RTE" dataDxfId="478"/>
    <tableColumn id="32" xr3:uid="{00000000-0010-0000-0000-000020000000}" name="Data original" dataDxfId="477"/>
    <tableColumn id="34" xr3:uid="{00000000-0010-0000-0000-000022000000}" name="Regularização" dataDxfId="476"/>
    <tableColumn id="37" xr3:uid="{00000000-0010-0000-0000-000025000000}" name="vigência das tarifas" dataDxfId="475"/>
    <tableColumn id="38" xr3:uid="{00000000-0010-0000-0000-000026000000}" name="TUSD 2019" dataDxfId="474"/>
    <tableColumn id="40" xr3:uid="{00724FE7-7DEC-42A0-9F57-47D4901A2437}" name="CDE Conta covid" dataDxfId="473" dataCellStyle="Vírgul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2">
  <autoFilter ref="A68:N150" xr:uid="{00000000-0009-0000-0100-00001B000000}"/>
  <tableColumns count="14">
    <tableColumn id="1" xr3:uid="{00000000-0010-0000-0100-000001000000}" name="Permissionária" dataDxfId="471"/>
    <tableColumn id="2" xr3:uid="{00000000-0010-0000-0100-000002000000}" name="Supridora" dataDxfId="470"/>
    <tableColumn id="11" xr3:uid="{00000000-0010-0000-0100-00000B000000}" name="idsreag supridora" dataDxfId="469"/>
    <tableColumn id="13" xr3:uid="{00000000-0010-0000-0100-00000D000000}" name="codsariSUP" dataDxfId="468"/>
    <tableColumn id="3" xr3:uid="{00000000-0010-0000-0100-000003000000}" name="Classe" dataDxfId="467"/>
    <tableColumn id="12" xr3:uid="{00000000-0010-0000-0100-00000C000000}" name="chave" dataDxfId="466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5" dataCellStyle="Porcentagem"/>
    <tableColumn id="5" xr3:uid="{00000000-0010-0000-0100-000005000000}" name="2016" dataDxfId="464" dataCellStyle="Porcentagem"/>
    <tableColumn id="6" xr3:uid="{00000000-0010-0000-0100-000006000000}" name="2017" dataDxfId="463" dataCellStyle="Porcentagem"/>
    <tableColumn id="7" xr3:uid="{00000000-0010-0000-0100-000007000000}" name="2018" dataDxfId="462"/>
    <tableColumn id="8" xr3:uid="{00000000-0010-0000-0100-000008000000}" name="2019"/>
    <tableColumn id="9" xr3:uid="{00000000-0010-0000-0100-000009000000}" name="2020" dataDxfId="461"/>
    <tableColumn id="10" xr3:uid="{00000000-0010-0000-0100-00000A000000}" name="2021" dataDxfId="460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9"/>
    <tableColumn id="2" xr3:uid="{00000000-0010-0000-0200-000002000000}" name="Sigla" dataDxfId="458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7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2" dataDxfId="441">
  <autoFilter ref="E43:E99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40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38" dataDxfId="43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5" dataDxfId="434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2" dataDxfId="431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30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29" dataDxfId="428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27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6" dataDxfId="425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4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3" dataDxfId="421" headerRowBorderDxfId="422" tableBorderDxfId="420" totalsRowBorderDxfId="419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18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17" dataDxfId="416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5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96" totalsRowShown="0" headerRowDxfId="414" dataDxfId="413" headerRowCellStyle="Normal 54 2" dataCellStyle="Normal 54 2">
  <autoFilter ref="AO164:AP196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12" dataCellStyle="Normal 54 2">
      <calculatedColumnFormula>IF(AN165=0,0,1)</calculatedColumnFormula>
    </tableColumn>
    <tableColumn id="2" xr3:uid="{00000000-0010-0000-0B00-000002000000}" name="2" dataDxfId="411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07:AY264" totalsRowShown="0" headerRowDxfId="410" dataDxfId="409" headerRowCellStyle="Normal 54 2" dataCellStyle="Normal 54 2">
  <autoFilter ref="AY207:AY264" xr:uid="{00000000-0009-0000-0100-000010000000}">
    <filterColumn colId="0">
      <filters>
        <filter val="1"/>
        <filter val="#DIV/0!"/>
      </filters>
    </filterColumn>
  </autoFilter>
  <tableColumns count="1">
    <tableColumn id="1" xr3:uid="{00000000-0010-0000-0C00-000001000000}" name="1" dataDxfId="408" dataCellStyle="Normal 54 2">
      <calculatedColumnFormula>IF(AW208=0,0,1)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87:BS294" totalsRowShown="0" headerRowDxfId="407" dataDxfId="406" tableBorderDxfId="405" headerRowCellStyle="Normal 54 2" dataCellStyle="Year 2 6">
  <autoFilter ref="BS287:BS294" xr:uid="{00000000-0009-0000-0100-000013000000}"/>
  <tableColumns count="1">
    <tableColumn id="1" xr3:uid="{00000000-0010-0000-0D00-000001000000}" name="Colunas1" dataDxfId="404" dataCellStyle="Year 2 6">
      <calculatedColumnFormula>IF(BR288=0,0,1)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67:BJ274" totalsRowShown="0" headerRowDxfId="403" dataDxfId="401" headerRowBorderDxfId="402" tableBorderDxfId="400" totalsRowBorderDxfId="399" headerRowCellStyle="Normal 54 2" dataCellStyle="Normal 54 2">
  <autoFilter ref="BJ267:BJ274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398" dataCellStyle="Normal 54 2">
      <calculatedColumnFormula>IF(BH268=0,0,1)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96:BZ303" totalsRowShown="0" headerRowDxfId="397" dataDxfId="396" headerRowCellStyle="Normal 54 2" dataCellStyle="Normal 54 2">
  <autoFilter ref="BY296:BZ303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5" dataCellStyle="Normal 54 2">
      <calculatedColumnFormula>IF(BU297=0,0,1)</calculatedColumnFormula>
    </tableColumn>
    <tableColumn id="2" xr3:uid="{00000000-0010-0000-0F00-000002000000}" name="Colunas2" dataDxfId="394" dataCellStyle="Normal 54 2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76:BN284" totalsRowShown="0" headerRowDxfId="393" dataDxfId="391" headerRowBorderDxfId="392" tableBorderDxfId="390" totalsRowBorderDxfId="389" headerRowCellStyle="Normal 54 2" dataCellStyle="Normal 54 2">
  <autoFilter ref="BN276:BN284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88" dataCellStyle="Normal 54 2">
      <calculatedColumnFormula>IF(BM277=0,0,1)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517" totalsRowShown="0" headerRowDxfId="383" dataDxfId="382" totalsRowDxfId="381">
  <autoFilter ref="A2:FI517" xr:uid="{00000000-0009-0000-0100-00000D000000}"/>
  <tableColumns count="165">
    <tableColumn id="1" xr3:uid="{00000000-0010-0000-1200-000001000000}" name="Código" dataDxfId="380" totalsRowDxfId="379"/>
    <tableColumn id="74" xr3:uid="{00000000-0010-0000-1200-00004A000000}" name="TipoMercado" dataDxfId="378" totalsRowDxfId="377"/>
    <tableColumn id="75" xr3:uid="{00000000-0010-0000-1200-00004B000000}" name="Modalidade" dataDxfId="376" totalsRowDxfId="375"/>
    <tableColumn id="76" xr3:uid="{00000000-0010-0000-1200-00004C000000}" name="Subgrupo" dataDxfId="374" totalsRowDxfId="373"/>
    <tableColumn id="77" xr3:uid="{00000000-0010-0000-1200-00004D000000}" name="Classe" dataDxfId="372" totalsRowDxfId="371"/>
    <tableColumn id="78" xr3:uid="{00000000-0010-0000-1200-00004E000000}" name="Subclasse" dataDxfId="370" totalsRowDxfId="369"/>
    <tableColumn id="79" xr3:uid="{00000000-0010-0000-1200-00004F000000}" name="Detalhe" dataDxfId="368" totalsRowDxfId="367"/>
    <tableColumn id="80" xr3:uid="{00000000-0010-0000-1200-000050000000}" name="Agente" dataDxfId="366" totalsRowDxfId="365"/>
    <tableColumn id="81" xr3:uid="{00000000-0010-0000-1200-000051000000}" name="Posto" dataDxfId="364" totalsRowDxfId="363"/>
    <tableColumn id="82" xr3:uid="{00000000-0010-0000-1200-000052000000}" name="OPÇÃO" dataDxfId="362" totalsRowDxfId="361"/>
    <tableColumn id="83" xr3:uid="{00000000-0010-0000-1200-000053000000}" name="AnoMes" dataDxfId="360" totalsRowDxfId="359"/>
    <tableColumn id="84" xr3:uid="{00000000-0010-0000-1200-000054000000}" name="D" dataDxfId="358" totalsRowDxfId="357"/>
    <tableColumn id="85" xr3:uid="{00000000-0010-0000-1200-000055000000}" name="Daj" dataDxfId="356" totalsRowDxfId="355"/>
    <tableColumn id="86" xr3:uid="{00000000-0010-0000-1200-000056000000}" name="TUSD_E" dataDxfId="354" totalsRowDxfId="353"/>
    <tableColumn id="87" xr3:uid="{00000000-0010-0000-1200-000057000000}" name="TUSD_Eaj" dataDxfId="352" totalsRowDxfId="351"/>
    <tableColumn id="88" xr3:uid="{00000000-0010-0000-1200-000058000000}" name="TE_E" dataDxfId="350" totalsRowDxfId="349"/>
    <tableColumn id="89" xr3:uid="{00000000-0010-0000-1200-000059000000}" name="TE_Eaj" dataDxfId="348" totalsRowDxfId="347"/>
    <tableColumn id="90" xr3:uid="{00000000-0010-0000-1200-00005A000000}" name="TUSD/KW" dataDxfId="346" totalsRowDxfId="345"/>
    <tableColumn id="91" xr3:uid="{00000000-0010-0000-1200-00005B000000}" name="TUSD/MWh" dataDxfId="344" totalsRowDxfId="343"/>
    <tableColumn id="92" xr3:uid="{00000000-0010-0000-1200-00005C000000}" name="TE" dataDxfId="342" totalsRowDxfId="341"/>
    <tableColumn id="93" xr3:uid="{00000000-0010-0000-1200-00005D000000}" name="ReceitaD" dataDxfId="340" totalsRowDxfId="339"/>
    <tableColumn id="94" xr3:uid="{00000000-0010-0000-1200-00005E000000}" name="ReceitaE" dataDxfId="338" totalsRowDxfId="337"/>
    <tableColumn id="95" xr3:uid="{00000000-0010-0000-1200-00005F000000}" name="Total" dataDxfId="336" totalsRowDxfId="335"/>
    <tableColumn id="96" xr3:uid="{00000000-0010-0000-1200-000060000000}" name="Total com Tar de aplicação" dataDxfId="334" totalsRowDxfId="333"/>
    <tableColumn id="97" xr3:uid="{00000000-0010-0000-1200-000061000000}" name="CCC" dataDxfId="332" totalsRowDxfId="331"/>
    <tableColumn id="98" xr3:uid="{00000000-0010-0000-1200-000062000000}" name="CDE" dataDxfId="330" totalsRowDxfId="329"/>
    <tableColumn id="99" xr3:uid="{00000000-0010-0000-1200-000063000000}" name="CFURH" dataDxfId="328" totalsRowDxfId="327"/>
    <tableColumn id="100" xr3:uid="{00000000-0010-0000-1200-000064000000}" name="Conexao_D" dataDxfId="326" totalsRowDxfId="325"/>
    <tableColumn id="101" xr3:uid="{00000000-0010-0000-1200-000065000000}" name="Conexao_T" dataDxfId="324" totalsRowDxfId="323"/>
    <tableColumn id="102" xr3:uid="{00000000-0010-0000-1200-000066000000}" name="CUSD" dataDxfId="322" totalsRowDxfId="321"/>
    <tableColumn id="103" xr3:uid="{00000000-0010-0000-1200-000067000000}" name="DISTRIBUICAO" dataDxfId="320" totalsRowDxfId="319"/>
    <tableColumn id="104" xr3:uid="{00000000-0010-0000-1200-000068000000}" name="EnergiaRevenda" dataDxfId="318" totalsRowDxfId="317"/>
    <tableColumn id="105" xr3:uid="{00000000-0010-0000-1200-000069000000}" name="ESSERR" dataDxfId="316" totalsRowDxfId="315"/>
    <tableColumn id="106" xr3:uid="{00000000-0010-0000-1200-00006A000000}" name="ITAIPU" dataDxfId="314" totalsRowDxfId="313"/>
    <tableColumn id="107" xr3:uid="{00000000-0010-0000-1200-00006B000000}" name="ONS" dataDxfId="312" totalsRowDxfId="311"/>
    <tableColumn id="108" xr3:uid="{00000000-0010-0000-1200-00006C000000}" name="OUTROS" dataDxfId="310" totalsRowDxfId="309"/>
    <tableColumn id="109" xr3:uid="{00000000-0010-0000-1200-00006D000000}" name="PeD" dataDxfId="308" totalsRowDxfId="307"/>
    <tableColumn id="110" xr3:uid="{00000000-0010-0000-1200-00006E000000}" name="PROINFA" dataDxfId="306" totalsRowDxfId="305"/>
    <tableColumn id="111" xr3:uid="{00000000-0010-0000-1200-00006F000000}" name="RGR" dataDxfId="304" totalsRowDxfId="303"/>
    <tableColumn id="112" xr3:uid="{00000000-0010-0000-1200-000070000000}" name="TFSEE" dataDxfId="302" totalsRowDxfId="301"/>
    <tableColumn id="113" xr3:uid="{00000000-0010-0000-1200-000071000000}" name="TUST_FR" dataDxfId="300" totalsRowDxfId="299"/>
    <tableColumn id="114" xr3:uid="{00000000-0010-0000-1200-000072000000}" name="TUST_RB" dataDxfId="298" totalsRowDxfId="297"/>
    <tableColumn id="115" xr3:uid="{00000000-0010-0000-1200-000073000000}" name="TUSDG_ONS" dataDxfId="296" totalsRowDxfId="295"/>
    <tableColumn id="116" xr3:uid="{00000000-0010-0000-1200-000074000000}" name="TUSDG_T" dataDxfId="294" totalsRowDxfId="293"/>
    <tableColumn id="117" xr3:uid="{00000000-0010-0000-1200-000075000000}" name="TUST_CI" dataDxfId="292" totalsRowDxfId="291"/>
    <tableColumn id="118" xr3:uid="{00000000-0010-0000-1200-000076000000}" name="TUST_ITAIPU" dataDxfId="290" totalsRowDxfId="289"/>
    <tableColumn id="119" xr3:uid="{00000000-0010-0000-1200-000077000000}" name="CVA_CCC" dataDxfId="288" totalsRowDxfId="287"/>
    <tableColumn id="120" xr3:uid="{00000000-0010-0000-1200-000078000000}" name="CVA_CDE" dataDxfId="286" totalsRowDxfId="285"/>
    <tableColumn id="121" xr3:uid="{00000000-0010-0000-1200-000079000000}" name="CVA_PROINFA" dataDxfId="284" totalsRowDxfId="283"/>
    <tableColumn id="122" xr3:uid="{00000000-0010-0000-1200-00007A000000}" name="CVA_TranItaipu" dataDxfId="282" totalsRowDxfId="281"/>
    <tableColumn id="123" xr3:uid="{00000000-0010-0000-1200-00007B000000}" name="CVA_ESSERR" dataDxfId="280" totalsRowDxfId="279"/>
    <tableColumn id="124" xr3:uid="{00000000-0010-0000-1200-00007C000000}" name="CVA_CFURH" dataDxfId="278" totalsRowDxfId="277"/>
    <tableColumn id="125" xr3:uid="{00000000-0010-0000-1200-00007D000000}" name="CVA_CDE_E" dataDxfId="276" totalsRowDxfId="275"/>
    <tableColumn id="126" xr3:uid="{00000000-0010-0000-1200-00007E000000}" name="CVA_Energia" dataDxfId="274" totalsRowDxfId="273"/>
    <tableColumn id="127" xr3:uid="{00000000-0010-0000-1200-00007F000000}" name="CVA_RB" dataDxfId="272" totalsRowDxfId="271"/>
    <tableColumn id="128" xr3:uid="{00000000-0010-0000-1200-000080000000}" name="perdasnt" dataDxfId="270" totalsRowDxfId="269"/>
    <tableColumn id="129" xr3:uid="{00000000-0010-0000-1200-000081000000}" name="perdasrb_d" dataDxfId="268" totalsRowDxfId="267"/>
    <tableColumn id="130" xr3:uid="{00000000-0010-0000-1200-000082000000}" name="perdasrb_c" dataDxfId="266" totalsRowDxfId="265"/>
    <tableColumn id="131" xr3:uid="{00000000-0010-0000-1200-000083000000}" name="perdastec" dataDxfId="264" totalsRowDxfId="263"/>
    <tableColumn id="132" xr3:uid="{00000000-0010-0000-1200-000084000000}" name="RI" dataDxfId="262" totalsRowDxfId="261"/>
    <tableColumn id="133" xr3:uid="{00000000-0010-0000-1200-000085000000}" name="PisPasep" dataDxfId="260" totalsRowDxfId="259"/>
    <tableColumn id="134" xr3:uid="{00000000-0010-0000-1200-000086000000}" name="Cofins" dataDxfId="258" totalsRowDxfId="257"/>
    <tableColumn id="135" xr3:uid="{00000000-0010-0000-1200-000087000000}" name="ICMS" dataDxfId="256" totalsRowDxfId="255"/>
    <tableColumn id="136" xr3:uid="{00000000-0010-0000-1200-000088000000}" name="UC" dataDxfId="254" totalsRowDxfId="253"/>
    <tableColumn id="137" xr3:uid="{00000000-0010-0000-1200-000089000000}" name="total_dummy" dataDxfId="252" totalsRowDxfId="251"/>
    <tableColumn id="138" xr3:uid="{00000000-0010-0000-1200-00008A000000}" name="Subs_CarFI" dataDxfId="250" totalsRowDxfId="249"/>
    <tableColumn id="139" xr3:uid="{00000000-0010-0000-1200-00008B000000}" name="Subs_GerFI" dataDxfId="248" totalsRowDxfId="247"/>
    <tableColumn id="140" xr3:uid="{00000000-0010-0000-1200-00008C000000}" name="Subs_Dist" dataDxfId="246" totalsRowDxfId="245"/>
    <tableColumn id="141" xr3:uid="{00000000-0010-0000-1200-00008D000000}" name="Subs_AguaEsgoto" dataDxfId="244" totalsRowDxfId="243"/>
    <tableColumn id="142" xr3:uid="{00000000-0010-0000-1200-00008E000000}" name="Subs_Rural" dataDxfId="242" totalsRowDxfId="241"/>
    <tableColumn id="143" xr3:uid="{00000000-0010-0000-1200-00008F000000}" name="Subs_Irrigante" dataDxfId="240" totalsRowDxfId="239"/>
    <tableColumn id="144" xr3:uid="{00000000-0010-0000-1200-000090000000}" name="Subs_BaixaRenda" dataDxfId="238" totalsRowDxfId="237"/>
    <tableColumn id="145" xr3:uid="{00000000-0010-0000-1200-000091000000}" name="CDE_E" dataDxfId="236" totalsRowDxfId="235"/>
    <tableColumn id="2" xr3:uid="{00000000-0010-0000-1200-000002000000}" name="DespesaEnergia" dataDxfId="234" totalsRowDxfId="233"/>
    <tableColumn id="3" xr3:uid="{00000000-0010-0000-1200-000003000000}" name="RTE_CUSD" dataDxfId="232" totalsRowDxfId="231"/>
    <tableColumn id="4" xr3:uid="{00000000-0010-0000-1200-000004000000}" name="RTE_Energia" dataDxfId="230" totalsRowDxfId="229"/>
    <tableColumn id="5" xr3:uid="{00000000-0010-0000-1200-000005000000}" name="RTE_CDE_USO" dataDxfId="228" totalsRowDxfId="227"/>
    <tableColumn id="6" xr3:uid="{00000000-0010-0000-1200-000006000000}" name="RTE_CDE_E" dataDxfId="226" totalsRowDxfId="225"/>
    <tableColumn id="7" xr3:uid="{00000000-0010-0000-1200-000007000000}" name="RTE_PeD" dataDxfId="224" totalsRowDxfId="223"/>
    <tableColumn id="8" xr3:uid="{00000000-0010-0000-1200-000008000000}" name="Dif_Subs_Car" dataDxfId="222" totalsRowDxfId="221"/>
    <tableColumn id="9" xr3:uid="{00000000-0010-0000-1200-000009000000}" name="Dif_Subs_Ger" dataDxfId="220" totalsRowDxfId="219"/>
    <tableColumn id="10" xr3:uid="{00000000-0010-0000-1200-00000A000000}" name="Dif_Subs_D" dataDxfId="218" totalsRowDxfId="217"/>
    <tableColumn id="11" xr3:uid="{00000000-0010-0000-1200-00000B000000}" name="Dif_Subs_Agua" dataDxfId="216" totalsRowDxfId="215"/>
    <tableColumn id="12" xr3:uid="{00000000-0010-0000-1200-00000C000000}" name="Dif_Subs_Ru" dataDxfId="214" totalsRowDxfId="213"/>
    <tableColumn id="13" xr3:uid="{00000000-0010-0000-1200-00000D000000}" name="Dif_Subs_Irr" dataDxfId="212" totalsRowDxfId="211"/>
    <tableColumn id="14" xr3:uid="{00000000-0010-0000-1200-00000E000000}" name="dif_subs_baixa" dataDxfId="210" totalsRowDxfId="209"/>
    <tableColumn id="15" xr3:uid="{00000000-0010-0000-1200-00000F000000}" name="FinTotAj" dataDxfId="208" totalsRowDxfId="207"/>
    <tableColumn id="16" xr3:uid="{00000000-0010-0000-1200-000010000000}" name="FinAj" dataDxfId="206" totalsRowDxfId="205"/>
    <tableColumn id="17" xr3:uid="{00000000-0010-0000-1200-000011000000}" name="RTE_CDE_E_Dec" dataDxfId="204" totalsRowDxfId="203"/>
    <tableColumn id="18" xr3:uid="{00000000-0010-0000-1200-000012000000}" name="RTE_CDE_E_ACR" dataDxfId="202" totalsRowDxfId="201"/>
    <tableColumn id="19" xr3:uid="{00000000-0010-0000-1200-000013000000}" name="CDE_E_Dec" dataDxfId="200" totalsRowDxfId="199"/>
    <tableColumn id="20" xr3:uid="{00000000-0010-0000-1200-000014000000}" name="CDE_E_ACR" dataDxfId="198" totalsRowDxfId="197"/>
    <tableColumn id="21" xr3:uid="{00000000-0010-0000-1200-000015000000}" name="FinPostTUSD" dataDxfId="196" totalsRowDxfId="195"/>
    <tableColumn id="22" xr3:uid="{00000000-0010-0000-1200-000016000000}" name="FinPostTE" dataDxfId="194" totalsRowDxfId="193"/>
    <tableColumn id="23" xr3:uid="{00000000-0010-0000-1200-000017000000}" name="FinPostQtddias" dataDxfId="192" totalsRowDxfId="191"/>
    <tableColumn id="24" xr3:uid="{00000000-0010-0000-1200-000018000000}" name="FinCT_Geral" dataDxfId="190" totalsRowDxfId="189"/>
    <tableColumn id="25" xr3:uid="{00000000-0010-0000-1200-000019000000}" name="finCT_TUST_FR" dataDxfId="188" totalsRowDxfId="187"/>
    <tableColumn id="26" xr3:uid="{00000000-0010-0000-1200-00001A000000}" name="finCT_TUST_RB" dataDxfId="186" totalsRowDxfId="185"/>
    <tableColumn id="27" xr3:uid="{00000000-0010-0000-1200-00001B000000}" name="FINCT_TUSDG_ONS" dataDxfId="184" totalsRowDxfId="183"/>
    <tableColumn id="28" xr3:uid="{00000000-0010-0000-1200-00001C000000}" name="FINCT_TUSDG_T" dataDxfId="182" totalsRowDxfId="181"/>
    <tableColumn id="29" xr3:uid="{00000000-0010-0000-1200-00001D000000}" name="FINCT_TUST_CI" dataDxfId="180" totalsRowDxfId="179"/>
    <tableColumn id="30" xr3:uid="{00000000-0010-0000-1200-00001E000000}" name="FINCT_TUST_ITAIPU" dataDxfId="178" totalsRowDxfId="177"/>
    <tableColumn id="31" xr3:uid="{00000000-0010-0000-1200-00001F000000}" name="FinCT_Itaipu" dataDxfId="176" totalsRowDxfId="175"/>
    <tableColumn id="32" xr3:uid="{00000000-0010-0000-1200-000020000000}" name="FinCT_CUSD" dataDxfId="174" totalsRowDxfId="173"/>
    <tableColumn id="33" xr3:uid="{00000000-0010-0000-1200-000021000000}" name="FinCT_Conexao_D" dataDxfId="172" totalsRowDxfId="171"/>
    <tableColumn id="34" xr3:uid="{00000000-0010-0000-1200-000022000000}" name="FinCT_Conexao_T" dataDxfId="170" totalsRowDxfId="169"/>
    <tableColumn id="35" xr3:uid="{00000000-0010-0000-1200-000023000000}" name="FinCT_EnergiaRevenda" dataDxfId="168" totalsRowDxfId="167"/>
    <tableColumn id="36" xr3:uid="{00000000-0010-0000-1200-000024000000}" name="FINCT_perdasrb_c" dataDxfId="166" totalsRowDxfId="165"/>
    <tableColumn id="37" xr3:uid="{00000000-0010-0000-1200-000025000000}" name="FINCT_perdasrb_d" dataDxfId="164" totalsRowDxfId="163"/>
    <tableColumn id="38" xr3:uid="{00000000-0010-0000-1200-000026000000}" name="FinCT_perdasnt" dataDxfId="162" totalsRowDxfId="161"/>
    <tableColumn id="39" xr3:uid="{00000000-0010-0000-1200-000027000000}" name="FinCT_perdastec" dataDxfId="160" totalsRowDxfId="159"/>
    <tableColumn id="40" xr3:uid="{00000000-0010-0000-1200-000028000000}" name="FinCT_CCC" dataDxfId="158" totalsRowDxfId="157"/>
    <tableColumn id="41" xr3:uid="{00000000-0010-0000-1200-000029000000}" name="FinCT_CDE" dataDxfId="156" totalsRowDxfId="155"/>
    <tableColumn id="42" xr3:uid="{00000000-0010-0000-1200-00002A000000}" name="FinCT_CDE_E" dataDxfId="154" totalsRowDxfId="153"/>
    <tableColumn id="43" xr3:uid="{00000000-0010-0000-1200-00002B000000}" name="FinCT_CFURH" dataDxfId="152" totalsRowDxfId="151"/>
    <tableColumn id="44" xr3:uid="{00000000-0010-0000-1200-00002C000000}" name="FinCT_ONS" dataDxfId="150" totalsRowDxfId="149"/>
    <tableColumn id="45" xr3:uid="{00000000-0010-0000-1200-00002D000000}" name="FinCT_ESSERR" dataDxfId="148" totalsRowDxfId="147"/>
    <tableColumn id="46" xr3:uid="{00000000-0010-0000-1200-00002E000000}" name="FinCT_Ped" dataDxfId="146" totalsRowDxfId="145"/>
    <tableColumn id="47" xr3:uid="{00000000-0010-0000-1200-00002F000000}" name="finCT_PROINFA" dataDxfId="144" totalsRowDxfId="143"/>
    <tableColumn id="48" xr3:uid="{00000000-0010-0000-1200-000030000000}" name="finCT_TFSEE" dataDxfId="142" totalsRowDxfId="141"/>
    <tableColumn id="49" xr3:uid="{00000000-0010-0000-1200-000031000000}" name="FINCT_Liminar" dataDxfId="140" totalsRowDxfId="139"/>
    <tableColumn id="50" xr3:uid="{00000000-0010-0000-1200-000032000000}" name="FinCT_Subsidio" dataDxfId="138" totalsRowDxfId="137"/>
    <tableColumn id="51" xr3:uid="{00000000-0010-0000-1200-000033000000}" name="FINCT_RGR" dataDxfId="136" totalsRowDxfId="135"/>
    <tableColumn id="52" xr3:uid="{00000000-0010-0000-1200-000034000000}" name="Tipo_ato" dataDxfId="134" totalsRowDxfId="133"/>
    <tableColumn id="53" xr3:uid="{00000000-0010-0000-1200-000035000000}" name="DIST_D" dataDxfId="132" totalsRowDxfId="131"/>
    <tableColumn id="54" xr3:uid="{00000000-0010-0000-1200-000036000000}" name="DIST_E" dataDxfId="130" totalsRowDxfId="129"/>
    <tableColumn id="55" xr3:uid="{00000000-0010-0000-1200-000037000000}" name="FIN_RI" dataDxfId="128" totalsRowDxfId="127"/>
    <tableColumn id="56" xr3:uid="{00000000-0010-0000-1200-000038000000}" name="FINCT_RI" dataDxfId="126" totalsRowDxfId="125"/>
    <tableColumn id="57" xr3:uid="{00000000-0010-0000-1200-000039000000}" name="Fin_TUSD" dataDxfId="124" totalsRowDxfId="123"/>
    <tableColumn id="58" xr3:uid="{00000000-0010-0000-1200-00003A000000}" name="Fin_TE" dataDxfId="122" totalsRowDxfId="121"/>
    <tableColumn id="59" xr3:uid="{00000000-0010-0000-1200-00003B000000}" name="CVA_TUSD" dataDxfId="120" totalsRowDxfId="119"/>
    <tableColumn id="60" xr3:uid="{00000000-0010-0000-1200-00003C000000}" name="CVA_TE" dataDxfId="118" totalsRowDxfId="117"/>
    <tableColumn id="61" xr3:uid="{00000000-0010-0000-1200-00003D000000}" name="FinCT_ParcelaB" dataDxfId="116" totalsRowDxfId="115"/>
    <tableColumn id="62" xr3:uid="{00000000-0010-0000-1200-00003E000000}" name="CVA_EnergiaRevenda" dataDxfId="114" totalsRowDxfId="113"/>
    <tableColumn id="63" xr3:uid="{00000000-0010-0000-1200-00003F000000}" name="CVA_perdasnt" dataDxfId="112" totalsRowDxfId="111"/>
    <tableColumn id="64" xr3:uid="{00000000-0010-0000-1200-000040000000}" name="CVA_perdasrb_d" dataDxfId="110" totalsRowDxfId="109"/>
    <tableColumn id="65" xr3:uid="{00000000-0010-0000-1200-000041000000}" name="CVA_perdasrb_c" dataDxfId="108" totalsRowDxfId="107"/>
    <tableColumn id="66" xr3:uid="{00000000-0010-0000-1200-000042000000}" name="CVA_perdastec" dataDxfId="106" totalsRowDxfId="105"/>
    <tableColumn id="67" xr3:uid="{00000000-0010-0000-1200-000043000000}" name="CVA_TUST_RB" dataDxfId="104" totalsRowDxfId="103"/>
    <tableColumn id="68" xr3:uid="{00000000-0010-0000-1200-000044000000}" name="CVA_TUST_FR" dataDxfId="102" totalsRowDxfId="101"/>
    <tableColumn id="69" xr3:uid="{00000000-0010-0000-1200-000045000000}" name="CVA_TUSDG_ONS" dataDxfId="100" totalsRowDxfId="99"/>
    <tableColumn id="70" xr3:uid="{00000000-0010-0000-1200-000046000000}" name="CVA_TUSDG_T" dataDxfId="98" totalsRowDxfId="97"/>
    <tableColumn id="71" xr3:uid="{FD269DC2-F12E-4BFC-8985-48C037DAEE3D}" name="CVA_TUST_CI" dataDxfId="96" totalsRowDxfId="95"/>
    <tableColumn id="72" xr3:uid="{2C34E4B3-7F07-4D64-9725-21233E09B2F8}" name="CVA_TUST_ITAIPU" dataDxfId="94" totalsRowDxfId="93"/>
    <tableColumn id="73" xr3:uid="{8FF1C04E-705B-4D43-8218-1D303ACBF1B4}" name="CVA_liminar" dataDxfId="92" totalsRowDxfId="91"/>
    <tableColumn id="146" xr3:uid="{A0539E69-57F8-49AD-B6ED-5CA0CA7D6897}" name="covidTusdEco" dataDxfId="90" totalsRowDxfId="89"/>
    <tableColumn id="147" xr3:uid="{412F0612-265D-4505-B4E2-63112B7EB7C9}" name="covidTeEco" dataDxfId="88" totalsRowDxfId="87"/>
    <tableColumn id="148" xr3:uid="{50DABFA8-FB5B-4872-BBA1-9BB3F56B96E2}" name="CVA_CovidTusd" dataDxfId="86" totalsRowDxfId="85"/>
    <tableColumn id="149" xr3:uid="{C64DE2C8-238E-48D0-AEEB-540EC8B5DBF4}" name="CVA_CovidTe_ou_CVA_CDE_E" dataDxfId="84" totalsRowDxfId="83"/>
    <tableColumn id="150" xr3:uid="{8D5DC1D4-E0A6-41B2-A2BB-26D2CA19EF4D}" name="FinCT_CDECOVIDTUSD" dataDxfId="82" totalsRowDxfId="81"/>
    <tableColumn id="151" xr3:uid="{D8258B5F-46FF-48E9-9CE8-9678AF6BD40F}" name="FinCT_CDECOVIDTE_ou_FinCT_CDE_E" dataDxfId="80" totalsRowDxfId="79"/>
    <tableColumn id="152" xr3:uid="{FA4B6803-ED14-4E9F-9237-11D021C62E1A}" name="idsreag" dataDxfId="78" totalsRowDxfId="77"/>
    <tableColumn id="153" xr3:uid="{6D0A4132-E9DF-49BA-93FC-314F55CD4E6C}" name="FinCTAn3En" dataDxfId="76" totalsRowDxfId="75"/>
    <tableColumn id="154" xr3:uid="{BCEBACD9-92B7-4C07-9349-0BF06725A083}" name="An3En" dataDxfId="74" totalsRowDxfId="73"/>
    <tableColumn id="155" xr3:uid="{E0739760-5FFA-460A-9B92-A98307BBEDBF}" name="CVA_An3En" dataDxfId="72" totalsRowDxfId="71"/>
    <tableColumn id="156" xr3:uid="{B6B0B208-D422-4A68-A0C8-E9FD52441D0C}" name="Fin_An3En" dataDxfId="70" totalsRowDxfId="69"/>
    <tableColumn id="157" xr3:uid="{7FDB53B5-00DC-4051-9BCD-5C44BCE1FE22}" name="FIN_CFURH" dataDxfId="68" totalsRowDxfId="67"/>
    <tableColumn id="158" xr3:uid="{234C3200-BA41-45F1-B762-23558F062AAD}" name="TEAngra" dataDxfId="66" totalsRowDxfId="65"/>
    <tableColumn id="159" xr3:uid="{4BBB7D5C-E9AD-4D0D-B22B-8576940F6A95}" name="TUSDAngra" dataDxfId="64" totalsRowDxfId="63"/>
    <tableColumn id="160" xr3:uid="{326F4D4F-8A5C-44D5-BA24-641AA39AE29E}" name="teCheia" dataDxfId="62" totalsRowDxfId="61"/>
    <tableColumn id="161" xr3:uid="{11C36C6C-88C1-412F-8622-2358DD383682}" name="tusdcheia" dataDxfId="60" totalsRowDxfId="59"/>
    <tableColumn id="162" xr3:uid="{14D370CA-1BC7-4B1B-93D5-6756E4EAFFCA}" name="AngraIII_TE" dataDxfId="58" totalsRowDxfId="57"/>
    <tableColumn id="163" xr3:uid="{C9000446-FA08-4BA9-A8BF-3E9F938C3AEE}" name="AngraIII_TUSD" dataDxfId="56" totalsRowDxfId="55"/>
    <tableColumn id="164" xr3:uid="{1E3DAD37-4778-41FB-BEFE-20A527048580}" name="AngraIII_Desc_TE" dataDxfId="54" totalsRowDxfId="53"/>
    <tableColumn id="165" xr3:uid="{6C19244C-C9FE-4DCB-ABD7-0AFB4C980B1D}" name="AngraIII_Desc_TUSD" dataDxfId="52" totalsRowDxfId="51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82" headerRowDxfId="42" dataDxfId="40" totalsRowDxfId="38" headerRowBorderDxfId="41" tableBorderDxfId="39">
  <autoFilter ref="C8:L82" xr:uid="{00000000-0009-0000-0100-000001000000}"/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82" totalsRowShown="0">
  <autoFilter ref="A1:Q282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13" Type="http://schemas.openxmlformats.org/officeDocument/2006/relationships/table" Target="../tables/table27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5" Type="http://schemas.openxmlformats.org/officeDocument/2006/relationships/table" Target="../tables/table2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Relationship Id="rId14" Type="http://schemas.openxmlformats.org/officeDocument/2006/relationships/table" Target="../tables/table2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topLeftCell="A18" workbookViewId="0">
      <selection activeCell="H40" sqref="H4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2180</v>
      </c>
    </row>
    <row r="2" spans="1:15">
      <c r="A2">
        <v>252</v>
      </c>
      <c r="B2" s="1009">
        <v>43922</v>
      </c>
      <c r="C2" s="234"/>
      <c r="D2" s="234"/>
      <c r="E2" s="234"/>
      <c r="F2" s="234"/>
      <c r="G2" s="234"/>
      <c r="H2" s="234"/>
      <c r="I2" s="1010"/>
    </row>
    <row r="3" spans="1:15">
      <c r="A3">
        <v>255</v>
      </c>
      <c r="B3" s="1009">
        <v>43922</v>
      </c>
      <c r="C3" s="234"/>
      <c r="D3" s="234"/>
      <c r="E3" s="234"/>
      <c r="F3" s="234"/>
      <c r="G3" s="234"/>
      <c r="H3" s="234"/>
      <c r="I3" s="1010"/>
    </row>
    <row r="4" spans="1:15">
      <c r="A4">
        <v>206</v>
      </c>
      <c r="B4" s="1009">
        <v>43922</v>
      </c>
      <c r="C4" s="234"/>
      <c r="D4" s="234"/>
      <c r="E4" s="234"/>
      <c r="F4" s="234"/>
      <c r="G4" s="234"/>
      <c r="H4" s="234"/>
      <c r="I4" s="1010"/>
    </row>
    <row r="5" spans="1:15">
      <c r="A5">
        <v>256</v>
      </c>
      <c r="B5" s="1009">
        <v>43922</v>
      </c>
      <c r="C5" s="234"/>
      <c r="D5" s="234"/>
      <c r="E5" s="234"/>
      <c r="F5" s="234"/>
      <c r="G5" s="234"/>
      <c r="H5" s="234"/>
      <c r="I5" s="1010"/>
      <c r="J5" s="234">
        <v>4154376.2782662762</v>
      </c>
    </row>
    <row r="6" spans="1:15">
      <c r="A6">
        <v>203</v>
      </c>
      <c r="B6" s="1009">
        <v>43952</v>
      </c>
      <c r="C6" s="234"/>
      <c r="D6" s="234"/>
      <c r="E6" s="234"/>
      <c r="F6" s="234"/>
      <c r="G6" s="234"/>
      <c r="H6" s="234"/>
      <c r="I6" s="1010"/>
      <c r="J6" s="234"/>
    </row>
    <row r="7" spans="1:15">
      <c r="A7">
        <v>211</v>
      </c>
      <c r="B7" s="1009">
        <v>43952</v>
      </c>
      <c r="C7" s="234"/>
      <c r="D7" s="234"/>
      <c r="E7" s="234"/>
      <c r="F7" s="234"/>
      <c r="G7" s="234"/>
      <c r="H7" s="234"/>
      <c r="I7" s="1010"/>
      <c r="J7" s="234">
        <v>18046086.986190885</v>
      </c>
      <c r="N7" s="234"/>
      <c r="O7" s="1010"/>
    </row>
    <row r="8" spans="1:15">
      <c r="A8">
        <v>254</v>
      </c>
      <c r="B8" s="1009">
        <v>43952</v>
      </c>
      <c r="C8" s="234"/>
      <c r="D8" s="234"/>
      <c r="E8" s="234"/>
      <c r="F8" s="234"/>
      <c r="G8" s="234"/>
      <c r="H8" s="234"/>
      <c r="I8" s="1010"/>
      <c r="N8" s="234"/>
      <c r="O8" s="1010"/>
    </row>
    <row r="9" spans="1:15">
      <c r="A9">
        <v>210</v>
      </c>
      <c r="B9" s="1009">
        <v>43952</v>
      </c>
      <c r="C9" s="234"/>
      <c r="D9" s="234"/>
      <c r="E9" s="234"/>
      <c r="F9" s="234"/>
      <c r="G9" s="234"/>
      <c r="H9" s="234"/>
      <c r="I9" s="1010"/>
      <c r="N9" s="234"/>
      <c r="O9" s="1010"/>
    </row>
    <row r="10" spans="1:15">
      <c r="A10">
        <v>258</v>
      </c>
      <c r="B10" s="1009">
        <v>44013</v>
      </c>
      <c r="C10" s="234"/>
      <c r="D10" s="234"/>
      <c r="E10" s="234"/>
      <c r="F10" s="234"/>
      <c r="G10" s="234"/>
      <c r="H10" s="234"/>
      <c r="I10" s="1010"/>
    </row>
    <row r="11" spans="1:15">
      <c r="A11">
        <v>247</v>
      </c>
      <c r="B11" s="1009">
        <v>44013</v>
      </c>
      <c r="C11" s="234"/>
      <c r="D11" s="234"/>
      <c r="E11" s="234"/>
      <c r="F11" s="234"/>
      <c r="G11" s="234"/>
      <c r="H11" s="234"/>
      <c r="I11" s="1010"/>
    </row>
    <row r="12" spans="1:15">
      <c r="A12">
        <v>248</v>
      </c>
      <c r="B12" s="1009">
        <v>44013</v>
      </c>
      <c r="C12" s="234"/>
      <c r="D12" s="234"/>
      <c r="E12" s="234"/>
      <c r="F12" s="234"/>
      <c r="G12" s="234"/>
      <c r="H12" s="234"/>
      <c r="I12" s="1011"/>
    </row>
    <row r="13" spans="1:15">
      <c r="A13">
        <v>209</v>
      </c>
      <c r="B13" s="1009">
        <v>44013</v>
      </c>
      <c r="C13" s="234"/>
      <c r="D13" s="234"/>
      <c r="E13" s="234"/>
      <c r="F13" s="234"/>
      <c r="G13" s="234"/>
      <c r="H13" s="234"/>
      <c r="I13" s="1010"/>
    </row>
    <row r="14" spans="1:15">
      <c r="A14">
        <v>207</v>
      </c>
      <c r="B14" s="1009">
        <v>44013</v>
      </c>
      <c r="C14" s="234"/>
      <c r="D14" s="234"/>
      <c r="E14" s="234"/>
      <c r="F14" s="234"/>
      <c r="G14" s="234"/>
      <c r="H14" s="234"/>
      <c r="I14" s="1010"/>
    </row>
    <row r="15" spans="1:15">
      <c r="A15">
        <v>249</v>
      </c>
      <c r="B15" s="1009">
        <v>44013</v>
      </c>
      <c r="C15" s="234"/>
      <c r="D15" s="234"/>
      <c r="E15" s="234"/>
      <c r="F15" s="234"/>
      <c r="G15" s="234"/>
      <c r="H15" s="234"/>
      <c r="I15" s="1010"/>
    </row>
    <row r="16" spans="1:15">
      <c r="A16">
        <v>237</v>
      </c>
      <c r="B16" s="1009">
        <v>44013</v>
      </c>
      <c r="C16" s="234"/>
      <c r="D16" s="234"/>
      <c r="E16" s="234"/>
      <c r="F16" s="234"/>
      <c r="G16" s="234"/>
      <c r="H16" s="234"/>
      <c r="I16" s="1011"/>
    </row>
    <row r="17" spans="1:10">
      <c r="A17">
        <v>246</v>
      </c>
      <c r="B17" s="1009">
        <v>44013</v>
      </c>
      <c r="C17" s="234"/>
      <c r="D17" s="234"/>
      <c r="E17" s="234"/>
      <c r="F17" s="234"/>
      <c r="G17" s="234"/>
      <c r="H17" s="234"/>
      <c r="I17" s="1010"/>
    </row>
    <row r="18" spans="1:10">
      <c r="A18">
        <v>238</v>
      </c>
      <c r="B18" s="1009">
        <v>44013</v>
      </c>
      <c r="C18" s="234"/>
      <c r="D18" s="234"/>
      <c r="E18" s="234"/>
      <c r="F18" s="234"/>
      <c r="G18" s="234"/>
      <c r="H18" s="234"/>
      <c r="I18" s="1010"/>
    </row>
    <row r="19" spans="1:10">
      <c r="A19">
        <v>240</v>
      </c>
      <c r="B19" s="1009">
        <v>44013</v>
      </c>
      <c r="C19" s="234"/>
      <c r="D19" s="234"/>
      <c r="E19" s="234"/>
      <c r="F19" s="234"/>
      <c r="G19" s="234"/>
      <c r="H19" s="234"/>
      <c r="I19" s="1010"/>
      <c r="J19" s="234">
        <v>81721407.839354143</v>
      </c>
    </row>
    <row r="20" spans="1:10">
      <c r="A20">
        <v>242</v>
      </c>
      <c r="B20" s="1009">
        <v>44013</v>
      </c>
      <c r="C20" s="234"/>
      <c r="D20" s="234"/>
      <c r="E20" s="234"/>
      <c r="F20" s="234"/>
      <c r="G20" s="234"/>
      <c r="H20" s="234"/>
      <c r="I20" s="1010"/>
    </row>
    <row r="21" spans="1:10">
      <c r="A21">
        <v>245</v>
      </c>
      <c r="B21" s="1009">
        <v>44013</v>
      </c>
      <c r="C21" s="234"/>
      <c r="D21" s="234"/>
      <c r="E21" s="234"/>
      <c r="F21" s="234"/>
      <c r="G21" s="234"/>
      <c r="H21" s="234"/>
      <c r="I21" s="1010"/>
    </row>
    <row r="22" spans="1:10">
      <c r="A22">
        <v>257</v>
      </c>
      <c r="B22" s="1009">
        <v>44013</v>
      </c>
      <c r="C22" s="234"/>
      <c r="D22" s="234"/>
      <c r="E22" s="234"/>
      <c r="F22" s="234"/>
      <c r="G22" s="234"/>
      <c r="H22" s="234"/>
      <c r="I22" s="1010"/>
    </row>
    <row r="23" spans="1:10">
      <c r="A23">
        <v>239</v>
      </c>
      <c r="B23" s="1009">
        <v>44013</v>
      </c>
      <c r="C23" s="234"/>
      <c r="D23" s="234"/>
      <c r="E23" s="234"/>
      <c r="F23" s="234"/>
      <c r="G23" s="234"/>
      <c r="H23" s="234"/>
      <c r="I23" s="1010"/>
    </row>
    <row r="24" spans="1:10">
      <c r="A24">
        <v>232</v>
      </c>
      <c r="B24" s="1009">
        <v>44075</v>
      </c>
      <c r="C24" s="234"/>
      <c r="D24" s="234"/>
      <c r="E24" s="234"/>
      <c r="F24" s="234"/>
      <c r="G24" s="234"/>
      <c r="H24" s="234"/>
      <c r="I24" s="1010"/>
    </row>
    <row r="25" spans="1:10">
      <c r="A25">
        <v>222</v>
      </c>
      <c r="B25" s="1009">
        <v>44075</v>
      </c>
      <c r="C25" s="234"/>
      <c r="D25" s="234"/>
      <c r="E25" s="234"/>
      <c r="F25" s="234"/>
      <c r="G25" s="234"/>
      <c r="H25" s="234"/>
      <c r="I25" s="1010"/>
    </row>
    <row r="26" spans="1:10">
      <c r="A26">
        <v>202</v>
      </c>
      <c r="B26" s="1009">
        <v>44075</v>
      </c>
      <c r="C26" s="234"/>
      <c r="D26" s="234"/>
      <c r="E26" s="234"/>
      <c r="F26" s="234"/>
      <c r="G26" s="234"/>
      <c r="H26" s="234"/>
      <c r="I26" s="1010"/>
    </row>
    <row r="27" spans="1:10">
      <c r="A27">
        <v>260</v>
      </c>
      <c r="B27" s="1009">
        <v>44075</v>
      </c>
      <c r="C27" s="234"/>
      <c r="D27" s="234"/>
      <c r="E27" s="234"/>
      <c r="F27" s="234"/>
      <c r="G27" s="234"/>
      <c r="H27" s="234"/>
      <c r="I27" s="1010"/>
    </row>
    <row r="28" spans="1:10">
      <c r="A28">
        <v>230</v>
      </c>
      <c r="B28" s="1009">
        <v>44075</v>
      </c>
      <c r="C28" s="234"/>
      <c r="D28" s="234"/>
      <c r="E28" s="234"/>
      <c r="F28" s="234"/>
      <c r="G28" s="234"/>
      <c r="H28" s="234"/>
      <c r="I28" s="1010"/>
    </row>
    <row r="29" spans="1:10">
      <c r="A29">
        <v>221</v>
      </c>
      <c r="B29" s="1009">
        <v>44075</v>
      </c>
      <c r="C29" s="234"/>
      <c r="D29" s="234"/>
      <c r="E29" s="234"/>
      <c r="F29" s="234"/>
      <c r="G29" s="234"/>
      <c r="H29" s="234"/>
      <c r="I29" s="1010"/>
    </row>
    <row r="30" spans="1:10">
      <c r="A30">
        <v>218</v>
      </c>
      <c r="B30" s="1009">
        <v>44075</v>
      </c>
      <c r="C30" s="234"/>
      <c r="D30" s="234"/>
      <c r="E30" s="234"/>
      <c r="F30" s="234"/>
      <c r="G30" s="234"/>
      <c r="H30" s="234"/>
      <c r="I30" s="1010"/>
    </row>
    <row r="31" spans="1:10">
      <c r="A31">
        <v>261</v>
      </c>
      <c r="B31" s="1009">
        <v>44075</v>
      </c>
      <c r="C31" s="234"/>
      <c r="D31" s="234"/>
      <c r="E31" s="234"/>
      <c r="F31" s="234"/>
      <c r="G31" s="234"/>
      <c r="H31" s="234"/>
      <c r="I31" s="1010"/>
    </row>
    <row r="32" spans="1:10">
      <c r="A32">
        <v>262</v>
      </c>
      <c r="B32" s="1009">
        <v>44075</v>
      </c>
      <c r="C32" s="234"/>
      <c r="D32" s="234"/>
      <c r="E32" s="234"/>
      <c r="F32" s="234"/>
      <c r="G32" s="234"/>
      <c r="H32" s="234"/>
      <c r="I32" s="1010"/>
    </row>
    <row r="33" spans="1:9">
      <c r="A33">
        <v>227</v>
      </c>
      <c r="B33" s="1009">
        <v>44075</v>
      </c>
      <c r="C33" s="234"/>
      <c r="D33" s="234"/>
      <c r="E33" s="234"/>
      <c r="F33" s="234"/>
      <c r="G33" s="234"/>
      <c r="H33" s="234"/>
      <c r="I33" s="1010"/>
    </row>
    <row r="34" spans="1:9">
      <c r="A34">
        <v>231</v>
      </c>
      <c r="B34" s="1009">
        <v>44075</v>
      </c>
      <c r="C34" s="234"/>
      <c r="D34" s="234"/>
      <c r="E34" s="234"/>
      <c r="F34" s="234"/>
      <c r="G34" s="234"/>
      <c r="H34" s="234"/>
      <c r="I34" s="1010"/>
    </row>
    <row r="35" spans="1:9">
      <c r="A35">
        <v>216</v>
      </c>
      <c r="B35" s="1009">
        <v>44075</v>
      </c>
      <c r="C35" s="234"/>
      <c r="D35" s="234"/>
      <c r="E35" s="234"/>
      <c r="F35" s="234"/>
      <c r="G35" s="234"/>
      <c r="H35" s="234"/>
      <c r="I35" s="1010"/>
    </row>
    <row r="36" spans="1:9">
      <c r="A36">
        <v>229</v>
      </c>
      <c r="B36" s="1009">
        <v>44075</v>
      </c>
      <c r="C36" s="234"/>
      <c r="D36" s="234"/>
      <c r="E36" s="234"/>
      <c r="F36" s="234"/>
      <c r="G36" s="234"/>
      <c r="H36" s="234"/>
      <c r="I36" s="1010"/>
    </row>
    <row r="37" spans="1:9">
      <c r="A37">
        <v>215</v>
      </c>
      <c r="B37" s="1009">
        <v>44075</v>
      </c>
      <c r="C37" s="234"/>
      <c r="D37" s="234"/>
      <c r="E37" s="234"/>
      <c r="F37" s="234"/>
      <c r="G37" s="234"/>
      <c r="H37" s="234"/>
      <c r="I37" s="1010"/>
    </row>
    <row r="38" spans="1:9">
      <c r="A38">
        <v>224</v>
      </c>
      <c r="B38" s="1009">
        <v>44075</v>
      </c>
      <c r="C38" s="234"/>
      <c r="D38" s="234"/>
      <c r="E38" s="234"/>
      <c r="F38" s="234"/>
      <c r="G38" s="234"/>
      <c r="H38" s="234"/>
      <c r="I38" s="1010"/>
    </row>
    <row r="39" spans="1:9">
      <c r="A39">
        <v>226</v>
      </c>
      <c r="B39" s="1009">
        <v>44075</v>
      </c>
      <c r="C39" s="234"/>
      <c r="D39" s="234"/>
      <c r="E39" s="234"/>
      <c r="F39" s="234"/>
      <c r="G39" s="234"/>
      <c r="H39" s="234"/>
      <c r="I39" s="1010"/>
    </row>
    <row r="40" spans="1:9">
      <c r="A40">
        <v>234</v>
      </c>
      <c r="B40" s="1009">
        <v>44075</v>
      </c>
      <c r="C40" s="234"/>
      <c r="D40" s="234"/>
      <c r="E40" s="234"/>
      <c r="F40" s="234"/>
      <c r="G40" s="234"/>
      <c r="H40" s="234"/>
      <c r="I40" s="1010"/>
    </row>
    <row r="41" spans="1:9">
      <c r="A41">
        <v>223</v>
      </c>
      <c r="B41" s="1009">
        <v>44075</v>
      </c>
      <c r="C41" s="234"/>
      <c r="D41" s="234"/>
      <c r="E41" s="234"/>
      <c r="F41" s="234"/>
      <c r="G41" s="234"/>
      <c r="H41" s="234"/>
      <c r="I41" s="1010"/>
    </row>
    <row r="42" spans="1:9">
      <c r="A42">
        <v>225</v>
      </c>
      <c r="B42" s="1009">
        <v>44075</v>
      </c>
      <c r="C42" s="234"/>
      <c r="D42" s="234"/>
      <c r="E42" s="234"/>
      <c r="F42" s="234"/>
      <c r="G42" s="234"/>
      <c r="H42" s="234"/>
      <c r="I42" s="1010"/>
    </row>
    <row r="43" spans="1:9">
      <c r="A43">
        <v>228</v>
      </c>
      <c r="B43" s="1009">
        <v>44075</v>
      </c>
      <c r="C43" s="234"/>
      <c r="D43" s="234"/>
      <c r="E43" s="234"/>
      <c r="F43" s="234"/>
      <c r="G43" s="234"/>
      <c r="H43" s="234"/>
      <c r="I43" s="1010"/>
    </row>
    <row r="44" spans="1:9">
      <c r="A44">
        <v>220</v>
      </c>
      <c r="B44" s="1009">
        <v>44075</v>
      </c>
      <c r="C44" s="234"/>
      <c r="D44" s="234"/>
      <c r="E44" s="234"/>
      <c r="F44" s="234"/>
      <c r="G44" s="234"/>
      <c r="H44" s="234"/>
      <c r="I44" s="1010"/>
    </row>
    <row r="45" spans="1:9">
      <c r="A45">
        <v>201</v>
      </c>
      <c r="B45" s="1009">
        <v>44136</v>
      </c>
      <c r="C45" s="234"/>
      <c r="D45" s="234"/>
      <c r="E45" s="234"/>
      <c r="F45" s="234"/>
      <c r="G45" s="234"/>
      <c r="H45" s="234"/>
      <c r="I45" s="1010"/>
    </row>
    <row r="46" spans="1:9">
      <c r="A46">
        <v>213</v>
      </c>
      <c r="B46" s="1009">
        <v>44136</v>
      </c>
      <c r="C46" s="234"/>
      <c r="D46" s="234"/>
      <c r="E46" s="234"/>
      <c r="F46" s="234"/>
      <c r="G46" s="234"/>
      <c r="H46" s="234"/>
      <c r="I46" s="1010"/>
    </row>
    <row r="47" spans="1:9">
      <c r="A47">
        <v>219</v>
      </c>
      <c r="B47" s="1009">
        <v>44136</v>
      </c>
      <c r="C47" s="234"/>
      <c r="D47" s="234"/>
      <c r="E47" s="234"/>
      <c r="F47" s="234"/>
      <c r="G47" s="234"/>
      <c r="H47" s="234"/>
      <c r="I47" s="1010"/>
    </row>
    <row r="48" spans="1:9">
      <c r="A48">
        <v>205</v>
      </c>
      <c r="B48" s="1009">
        <v>44136</v>
      </c>
      <c r="C48" s="234"/>
      <c r="D48" s="234"/>
      <c r="E48" s="234"/>
      <c r="F48" s="234"/>
      <c r="G48" s="234"/>
      <c r="H48" s="234"/>
      <c r="I48" s="1010"/>
    </row>
    <row r="49" spans="1:10">
      <c r="A49">
        <v>208</v>
      </c>
      <c r="B49" s="1009">
        <v>44136</v>
      </c>
      <c r="C49" s="234"/>
      <c r="D49" s="234"/>
      <c r="E49" s="234"/>
      <c r="F49" s="234"/>
      <c r="G49" s="234"/>
      <c r="H49" s="234"/>
      <c r="I49" s="1010"/>
    </row>
    <row r="50" spans="1:10">
      <c r="A50">
        <v>263</v>
      </c>
      <c r="B50" s="1009">
        <v>44166</v>
      </c>
      <c r="C50" s="234"/>
      <c r="D50" s="234"/>
      <c r="F50" s="234"/>
      <c r="G50" s="234"/>
      <c r="H50" s="234"/>
      <c r="I50" s="1010"/>
      <c r="J50" s="234">
        <v>5389974.3136365721</v>
      </c>
    </row>
    <row r="51" spans="1:10">
      <c r="A51">
        <v>217</v>
      </c>
      <c r="B51" s="1009">
        <v>44166</v>
      </c>
      <c r="C51" s="234"/>
      <c r="D51" s="234"/>
      <c r="E51" s="234"/>
      <c r="F51" s="234"/>
      <c r="G51" s="234"/>
      <c r="H51" s="234"/>
      <c r="I51" s="1010"/>
      <c r="J51" s="234"/>
    </row>
    <row r="52" spans="1:10">
      <c r="A52">
        <v>264</v>
      </c>
      <c r="B52" s="1009">
        <v>44166</v>
      </c>
      <c r="C52" s="234"/>
      <c r="D52" s="234"/>
      <c r="F52" s="234"/>
      <c r="G52" s="234"/>
      <c r="H52" s="234"/>
      <c r="I52" s="1010"/>
      <c r="J52" s="234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77"/>
  <sheetViews>
    <sheetView showGridLines="0" topLeftCell="AF1" zoomScale="106" zoomScaleNormal="106" workbookViewId="0">
      <selection activeCell="AA27" sqref="AA27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1038" t="s">
        <v>12</v>
      </c>
      <c r="C1" s="1039"/>
      <c r="D1" s="1039"/>
      <c r="E1" s="1040" t="s">
        <v>13</v>
      </c>
      <c r="F1" s="1041">
        <f ca="1">LnkTXTIRTEco</f>
        <v>0.1024</v>
      </c>
    </row>
    <row r="2" spans="2:43" ht="28.5" customHeight="1">
      <c r="B2" s="138" t="str">
        <f>CAPA!C9</f>
        <v>Cerfox</v>
      </c>
      <c r="C2" s="70"/>
      <c r="D2" s="70"/>
      <c r="E2" s="84" t="s">
        <v>14</v>
      </c>
      <c r="F2" s="85">
        <f ca="1">LnkTXTIRTTotal</f>
        <v>-0.24399999999999999</v>
      </c>
      <c r="M2" s="86"/>
      <c r="N2" s="87"/>
      <c r="AA2" s="906"/>
      <c r="AB2" s="1008"/>
      <c r="AC2" s="906"/>
      <c r="AD2" s="906"/>
    </row>
    <row r="3" spans="2:43" ht="21" customHeight="1">
      <c r="B3" s="1042" t="s">
        <v>15</v>
      </c>
      <c r="C3" s="824"/>
      <c r="I3" s="1042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1043" t="s">
        <v>17</v>
      </c>
      <c r="C5" s="1044">
        <v>64311.973000000005</v>
      </c>
      <c r="D5" s="1706" t="s">
        <v>18</v>
      </c>
      <c r="E5" s="91"/>
      <c r="F5" s="72"/>
      <c r="G5" s="72"/>
      <c r="H5" s="72" t="s">
        <v>19</v>
      </c>
      <c r="I5" s="493" t="s">
        <v>20</v>
      </c>
      <c r="J5" s="493" t="s">
        <v>21</v>
      </c>
      <c r="K5" s="493"/>
      <c r="L5" s="493" t="s">
        <v>22</v>
      </c>
      <c r="M5" s="493" t="s">
        <v>23</v>
      </c>
      <c r="N5" s="493" t="s">
        <v>24</v>
      </c>
      <c r="O5" s="493"/>
      <c r="P5" s="493"/>
      <c r="Q5" s="493" t="s">
        <v>25</v>
      </c>
      <c r="R5" s="493" t="s">
        <v>26</v>
      </c>
      <c r="S5" s="823" t="s">
        <v>27</v>
      </c>
      <c r="T5" s="493" t="s">
        <v>28</v>
      </c>
      <c r="U5" s="71" t="s">
        <v>29</v>
      </c>
      <c r="V5" s="823" t="s">
        <v>30</v>
      </c>
      <c r="AA5" s="68" t="s">
        <v>31</v>
      </c>
      <c r="AB5" s="68" t="s">
        <v>32</v>
      </c>
      <c r="AC5" s="68" t="s">
        <v>20</v>
      </c>
      <c r="AD5" s="906" t="s">
        <v>33</v>
      </c>
      <c r="AE5" s="906" t="s">
        <v>2175</v>
      </c>
      <c r="AI5" s="971" t="s">
        <v>34</v>
      </c>
      <c r="AJ5" s="971" t="s">
        <v>35</v>
      </c>
      <c r="AL5" s="989" t="s">
        <v>36</v>
      </c>
      <c r="AM5" s="989" t="s">
        <v>37</v>
      </c>
      <c r="AO5" s="906" t="s">
        <v>2204</v>
      </c>
      <c r="AP5" s="906" t="s">
        <v>37</v>
      </c>
      <c r="AQ5" s="906" t="s">
        <v>2205</v>
      </c>
    </row>
    <row r="6" spans="2:43" ht="16.5">
      <c r="B6" s="94"/>
      <c r="C6" s="89"/>
      <c r="D6" s="1707"/>
      <c r="E6" s="91"/>
      <c r="F6" s="72"/>
      <c r="G6" s="72"/>
      <c r="H6" s="68" t="str">
        <f>CONCATENATE(W6,J6,L6,O6)</f>
        <v>396A4Não se aplicaEnergia</v>
      </c>
      <c r="I6" s="1045">
        <v>2022</v>
      </c>
      <c r="J6" s="1046" t="s">
        <v>596</v>
      </c>
      <c r="K6" s="1046" t="s">
        <v>828</v>
      </c>
      <c r="L6" s="1046" t="s">
        <v>1321</v>
      </c>
      <c r="M6" s="1046" t="s">
        <v>2306</v>
      </c>
      <c r="N6" s="1046">
        <v>504</v>
      </c>
      <c r="O6" s="1046" t="s">
        <v>120</v>
      </c>
      <c r="P6" s="1046" t="s">
        <v>829</v>
      </c>
      <c r="Q6" s="1047">
        <v>44734</v>
      </c>
      <c r="R6" s="1047">
        <v>44732</v>
      </c>
      <c r="S6" s="521" t="s">
        <v>2307</v>
      </c>
      <c r="T6" s="1047" t="s">
        <v>2308</v>
      </c>
      <c r="U6" s="1046">
        <v>11.36</v>
      </c>
      <c r="V6" s="1046">
        <v>167</v>
      </c>
      <c r="W6" s="68">
        <f>VLOOKUP(V6,DescontosTE[[#All],[idsreag supridora]:[codsariSUP]],2,FALSE)</f>
        <v>396</v>
      </c>
      <c r="AA6" s="907"/>
      <c r="AB6" s="908"/>
      <c r="AC6" s="907"/>
      <c r="AD6" s="907"/>
      <c r="AE6" s="907"/>
      <c r="AI6" s="987"/>
      <c r="AJ6" s="988"/>
      <c r="AL6" s="990" t="s">
        <v>2318</v>
      </c>
      <c r="AM6" s="991">
        <v>0</v>
      </c>
      <c r="AO6" s="1648" t="s">
        <v>2221</v>
      </c>
      <c r="AP6" s="1649"/>
      <c r="AQ6" s="1649"/>
    </row>
    <row r="7" spans="2:43" ht="16.5">
      <c r="B7" s="1048" t="s">
        <v>38</v>
      </c>
      <c r="C7" s="1049">
        <v>0</v>
      </c>
      <c r="D7" s="1707"/>
      <c r="E7" s="72"/>
      <c r="F7" s="72"/>
      <c r="G7" s="72"/>
      <c r="H7" s="68" t="str">
        <f t="shared" ref="H7:H30" si="0">CONCATENATE(W7,J7,L7,O7)</f>
        <v>396A4PontaPotência</v>
      </c>
      <c r="I7" s="519">
        <v>2022</v>
      </c>
      <c r="J7" s="520" t="s">
        <v>596</v>
      </c>
      <c r="K7" s="520" t="s">
        <v>828</v>
      </c>
      <c r="L7" s="520" t="s">
        <v>972</v>
      </c>
      <c r="M7" s="520" t="s">
        <v>2306</v>
      </c>
      <c r="N7" s="520">
        <v>504</v>
      </c>
      <c r="O7" s="520" t="s">
        <v>1320</v>
      </c>
      <c r="P7" s="520" t="s">
        <v>829</v>
      </c>
      <c r="Q7" s="521">
        <v>44734</v>
      </c>
      <c r="R7" s="521">
        <v>44732</v>
      </c>
      <c r="S7" s="521" t="s">
        <v>2307</v>
      </c>
      <c r="T7" s="521" t="s">
        <v>2308</v>
      </c>
      <c r="U7" s="520">
        <v>26.9</v>
      </c>
      <c r="V7" s="520">
        <v>167</v>
      </c>
      <c r="W7" s="68">
        <f>VLOOKUP(V7,DescontosTE[[#All],[idsreag supridora]:[codsariSUP]],2,FALSE)</f>
        <v>396</v>
      </c>
      <c r="AA7" s="907"/>
      <c r="AB7" s="908"/>
      <c r="AC7" s="907"/>
      <c r="AD7" s="907"/>
      <c r="AE7" s="907"/>
      <c r="AI7" s="987"/>
      <c r="AJ7" s="988"/>
      <c r="AL7" s="990" t="s">
        <v>2319</v>
      </c>
      <c r="AM7" s="991">
        <v>0</v>
      </c>
      <c r="AO7" s="1648" t="s">
        <v>2222</v>
      </c>
      <c r="AP7" s="1649"/>
      <c r="AQ7" s="1649"/>
    </row>
    <row r="8" spans="2:43" ht="16.5">
      <c r="B8" s="94" t="s">
        <v>39</v>
      </c>
      <c r="C8" s="120">
        <v>0</v>
      </c>
      <c r="D8" s="1707"/>
      <c r="E8" s="72"/>
      <c r="F8" s="72"/>
      <c r="G8" s="72"/>
      <c r="H8" s="68" t="str">
        <f t="shared" si="0"/>
        <v>396A4Fora pontaPotência</v>
      </c>
      <c r="I8" s="519">
        <v>2022</v>
      </c>
      <c r="J8" s="520" t="s">
        <v>596</v>
      </c>
      <c r="K8" s="520" t="s">
        <v>828</v>
      </c>
      <c r="L8" s="520" t="s">
        <v>2242</v>
      </c>
      <c r="M8" s="520" t="s">
        <v>2306</v>
      </c>
      <c r="N8" s="520">
        <v>504</v>
      </c>
      <c r="O8" s="520" t="s">
        <v>1320</v>
      </c>
      <c r="P8" s="520" t="s">
        <v>829</v>
      </c>
      <c r="Q8" s="521">
        <v>44734</v>
      </c>
      <c r="R8" s="521">
        <v>44732</v>
      </c>
      <c r="S8" s="521" t="s">
        <v>2307</v>
      </c>
      <c r="T8" s="521" t="s">
        <v>2308</v>
      </c>
      <c r="U8" s="520">
        <v>19.98</v>
      </c>
      <c r="V8" s="520">
        <v>167</v>
      </c>
      <c r="W8" s="68">
        <f>VLOOKUP(V8,DescontosTE[[#All],[idsreag supridora]:[codsariSUP]],2,FALSE)</f>
        <v>396</v>
      </c>
      <c r="AI8" s="987"/>
      <c r="AJ8" s="988"/>
      <c r="AL8" s="990" t="s">
        <v>2320</v>
      </c>
      <c r="AM8" s="991">
        <v>0</v>
      </c>
      <c r="AO8" s="1648" t="s">
        <v>2223</v>
      </c>
      <c r="AP8" s="1649"/>
      <c r="AQ8" s="1649"/>
    </row>
    <row r="9" spans="2:43" ht="16.5">
      <c r="B9" s="94" t="s">
        <v>40</v>
      </c>
      <c r="C9" s="120">
        <v>131134.69120345701</v>
      </c>
      <c r="D9" s="1707"/>
      <c r="E9" s="72"/>
      <c r="F9" s="72"/>
      <c r="G9" s="72"/>
      <c r="H9" s="68" t="e">
        <f t="shared" si="0"/>
        <v>#N/A</v>
      </c>
      <c r="I9" s="519"/>
      <c r="J9" s="520"/>
      <c r="K9" s="520"/>
      <c r="L9" s="520"/>
      <c r="M9" s="520"/>
      <c r="N9" s="520"/>
      <c r="O9" s="520"/>
      <c r="P9" s="520"/>
      <c r="Q9" s="521"/>
      <c r="R9" s="521"/>
      <c r="S9" s="521"/>
      <c r="T9" s="521"/>
      <c r="U9" s="520"/>
      <c r="V9" s="520"/>
      <c r="W9" s="68" t="e">
        <f>VLOOKUP(V9,DescontosTE[[#All],[idsreag supridora]:[codsariSUP]],2,FALSE)</f>
        <v>#N/A</v>
      </c>
      <c r="AI9" s="987"/>
      <c r="AJ9" s="988"/>
      <c r="AL9" s="990" t="s">
        <v>2321</v>
      </c>
      <c r="AM9" s="991"/>
      <c r="AO9" s="1648"/>
      <c r="AP9" s="1649" t="s">
        <v>2224</v>
      </c>
      <c r="AQ9" s="1649"/>
    </row>
    <row r="10" spans="2:43" ht="16.5">
      <c r="B10" s="94" t="s">
        <v>41</v>
      </c>
      <c r="C10" s="120">
        <v>3787844.66078</v>
      </c>
      <c r="D10" s="1707"/>
      <c r="H10" s="68" t="e">
        <f t="shared" si="0"/>
        <v>#N/A</v>
      </c>
      <c r="I10" s="519"/>
      <c r="J10" s="520"/>
      <c r="K10" s="520"/>
      <c r="L10" s="520"/>
      <c r="M10" s="520"/>
      <c r="N10" s="520"/>
      <c r="O10" s="520"/>
      <c r="P10" s="520"/>
      <c r="Q10" s="521"/>
      <c r="R10" s="521"/>
      <c r="S10" s="521"/>
      <c r="T10" s="521"/>
      <c r="U10" s="520"/>
      <c r="V10" s="520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912" t="s">
        <v>45</v>
      </c>
      <c r="AI10" s="987"/>
      <c r="AJ10" s="988"/>
      <c r="AL10" s="990" t="s">
        <v>2322</v>
      </c>
      <c r="AM10" s="991">
        <v>0</v>
      </c>
    </row>
    <row r="11" spans="2:43" ht="16.5">
      <c r="B11" s="94" t="s">
        <v>46</v>
      </c>
      <c r="C11" s="120">
        <v>0</v>
      </c>
      <c r="D11" s="1707"/>
      <c r="H11" s="68" t="e">
        <f t="shared" si="0"/>
        <v>#N/A</v>
      </c>
      <c r="I11" s="519"/>
      <c r="J11" s="520"/>
      <c r="K11" s="520"/>
      <c r="L11" s="520"/>
      <c r="M11" s="520"/>
      <c r="N11" s="520"/>
      <c r="O11" s="520"/>
      <c r="P11" s="520"/>
      <c r="Q11" s="521"/>
      <c r="R11" s="521"/>
      <c r="S11" s="521"/>
      <c r="T11" s="521"/>
      <c r="U11" s="520"/>
      <c r="V11" s="520"/>
      <c r="W11" s="68" t="e">
        <f>VLOOKUP(V11,DescontosTE[[#All],[idsreag supridora]:[codsariSUP]],2,FALSE)</f>
        <v>#N/A</v>
      </c>
      <c r="AA11" s="907">
        <v>0.87480000000000002</v>
      </c>
      <c r="AB11" s="908">
        <v>169.95</v>
      </c>
      <c r="AC11" s="907">
        <v>14739.74</v>
      </c>
      <c r="AD11" s="907"/>
      <c r="AI11" s="987"/>
      <c r="AJ11" s="988"/>
      <c r="AL11" s="990" t="s">
        <v>2323</v>
      </c>
      <c r="AM11" s="991">
        <v>0</v>
      </c>
    </row>
    <row r="12" spans="2:43" ht="16.5">
      <c r="B12" s="94" t="s">
        <v>47</v>
      </c>
      <c r="C12" s="120">
        <v>597545.19212000002</v>
      </c>
      <c r="D12" s="1707"/>
      <c r="H12" s="68" t="e">
        <f t="shared" si="0"/>
        <v>#N/A</v>
      </c>
      <c r="I12" s="519"/>
      <c r="J12" s="520"/>
      <c r="K12" s="520"/>
      <c r="L12" s="520"/>
      <c r="M12" s="520"/>
      <c r="N12" s="520"/>
      <c r="O12" s="520"/>
      <c r="P12" s="520"/>
      <c r="Q12" s="521"/>
      <c r="R12" s="521"/>
      <c r="S12" s="521"/>
      <c r="T12" s="521"/>
      <c r="U12" s="520"/>
      <c r="V12" s="520"/>
      <c r="W12" s="68" t="e">
        <f>VLOOKUP(V12,DescontosTE[[#All],[idsreag supridora]:[codsariSUP]],2,FALSE)</f>
        <v>#N/A</v>
      </c>
      <c r="AI12" s="987"/>
      <c r="AJ12" s="988"/>
      <c r="AL12" s="990" t="s">
        <v>2324</v>
      </c>
      <c r="AM12" s="991">
        <v>0</v>
      </c>
    </row>
    <row r="13" spans="2:43" ht="16.5">
      <c r="B13" s="94" t="s">
        <v>48</v>
      </c>
      <c r="C13" s="120">
        <v>0</v>
      </c>
      <c r="D13" s="1707"/>
      <c r="H13" s="68" t="e">
        <f t="shared" si="0"/>
        <v>#N/A</v>
      </c>
      <c r="I13" s="519"/>
      <c r="J13" s="520"/>
      <c r="K13" s="520"/>
      <c r="L13" s="520"/>
      <c r="M13" s="520"/>
      <c r="N13" s="520"/>
      <c r="O13" s="520"/>
      <c r="P13" s="520"/>
      <c r="Q13" s="521"/>
      <c r="R13" s="521"/>
      <c r="S13" s="521"/>
      <c r="T13" s="521"/>
      <c r="U13" s="520"/>
      <c r="V13" s="520"/>
      <c r="W13" s="68" t="e">
        <f>VLOOKUP(V13,DescontosTE[[#All],[idsreag supridora]:[codsariSUP]],2,FALSE)</f>
        <v>#N/A</v>
      </c>
      <c r="AI13" s="987"/>
      <c r="AJ13" s="988"/>
      <c r="AL13" s="990" t="s">
        <v>2325</v>
      </c>
      <c r="AM13" s="991">
        <v>0</v>
      </c>
    </row>
    <row r="14" spans="2:43" ht="16.5">
      <c r="B14" s="94" t="s">
        <v>49</v>
      </c>
      <c r="C14" s="120">
        <v>0</v>
      </c>
      <c r="D14" s="1707"/>
      <c r="H14" s="68" t="e">
        <f t="shared" si="0"/>
        <v>#N/A</v>
      </c>
      <c r="I14" s="519"/>
      <c r="J14" s="520"/>
      <c r="K14" s="520"/>
      <c r="L14" s="520"/>
      <c r="M14" s="520"/>
      <c r="N14" s="520"/>
      <c r="O14" s="520"/>
      <c r="P14" s="520"/>
      <c r="Q14" s="521"/>
      <c r="R14" s="521"/>
      <c r="S14" s="521"/>
      <c r="T14" s="521"/>
      <c r="U14" s="520"/>
      <c r="V14" s="520"/>
      <c r="W14" s="68" t="e">
        <f>VLOOKUP(V14,DescontosTE[[#All],[idsreag supridora]:[codsariSUP]],2,FALSE)</f>
        <v>#N/A</v>
      </c>
      <c r="AA14" s="836"/>
      <c r="AB14" s="836"/>
      <c r="AC14" s="836"/>
      <c r="AI14" s="987"/>
      <c r="AJ14" s="988"/>
      <c r="AL14" s="990" t="s">
        <v>2326</v>
      </c>
      <c r="AM14" s="991">
        <v>0</v>
      </c>
    </row>
    <row r="15" spans="2:43" ht="16.5">
      <c r="B15" s="1050" t="s">
        <v>2176</v>
      </c>
      <c r="C15" s="1051">
        <v>0</v>
      </c>
      <c r="D15" s="1707"/>
      <c r="F15" s="93"/>
      <c r="H15" s="68" t="e">
        <f t="shared" si="0"/>
        <v>#N/A</v>
      </c>
      <c r="I15" s="519"/>
      <c r="J15" s="520"/>
      <c r="K15" s="520"/>
      <c r="L15" s="520"/>
      <c r="M15" s="520"/>
      <c r="N15" s="520"/>
      <c r="O15" s="520"/>
      <c r="P15" s="520"/>
      <c r="Q15" s="521"/>
      <c r="R15" s="521"/>
      <c r="S15" s="521"/>
      <c r="T15" s="521"/>
      <c r="U15" s="520"/>
      <c r="V15" s="520"/>
      <c r="W15" s="68" t="e">
        <f>VLOOKUP(V15,DescontosTE[[#All],[idsreag supridora]:[codsariSUP]],2,FALSE)</f>
        <v>#N/A</v>
      </c>
      <c r="AA15" s="993" t="s">
        <v>122</v>
      </c>
      <c r="AB15" s="993" t="s">
        <v>977</v>
      </c>
      <c r="AC15" s="836"/>
      <c r="AI15" s="987"/>
      <c r="AJ15" s="988"/>
      <c r="AL15" s="990"/>
      <c r="AM15" s="991"/>
    </row>
    <row r="16" spans="2:43" ht="16.5">
      <c r="D16" s="1707"/>
      <c r="F16" s="93"/>
      <c r="H16" s="68" t="e">
        <f t="shared" si="0"/>
        <v>#N/A</v>
      </c>
      <c r="I16" s="519"/>
      <c r="J16" s="520"/>
      <c r="K16" s="520"/>
      <c r="L16" s="520"/>
      <c r="M16" s="520"/>
      <c r="N16" s="520"/>
      <c r="O16" s="520"/>
      <c r="P16" s="520"/>
      <c r="Q16" s="521"/>
      <c r="R16" s="521"/>
      <c r="S16" s="521"/>
      <c r="T16" s="521"/>
      <c r="U16" s="520"/>
      <c r="V16" s="520"/>
      <c r="W16" s="68" t="e">
        <f>VLOOKUP(V16,DescontosTE[[#All],[idsreag supridora]:[codsariSUP]],2,FALSE)</f>
        <v>#N/A</v>
      </c>
      <c r="AA16" s="907">
        <v>2022</v>
      </c>
      <c r="AB16" s="908">
        <v>1118.7514856640885</v>
      </c>
      <c r="AC16" s="906"/>
      <c r="AI16" s="987"/>
      <c r="AJ16" s="988"/>
      <c r="AL16" s="990"/>
      <c r="AM16" s="991"/>
    </row>
    <row r="17" spans="2:42" ht="16.5">
      <c r="B17" s="1043" t="s">
        <v>50</v>
      </c>
      <c r="C17" s="1052"/>
      <c r="D17" s="1707"/>
      <c r="F17" s="93"/>
      <c r="H17" s="68" t="e">
        <f t="shared" si="0"/>
        <v>#N/A</v>
      </c>
      <c r="I17" s="519"/>
      <c r="J17" s="520"/>
      <c r="K17" s="520"/>
      <c r="L17" s="520"/>
      <c r="M17" s="520"/>
      <c r="N17" s="520"/>
      <c r="O17" s="520"/>
      <c r="P17" s="520"/>
      <c r="Q17" s="521"/>
      <c r="R17" s="521"/>
      <c r="S17" s="521"/>
      <c r="T17" s="521"/>
      <c r="U17" s="520"/>
      <c r="V17" s="520"/>
      <c r="W17" s="68" t="e">
        <f>VLOOKUP(V17,DescontosTE[[#All],[idsreag supridora]:[codsariSUP]],2,FALSE)</f>
        <v>#N/A</v>
      </c>
      <c r="AI17" s="987"/>
      <c r="AJ17" s="988"/>
      <c r="AL17" s="913"/>
      <c r="AM17" s="908"/>
    </row>
    <row r="18" spans="2:42" ht="16.5">
      <c r="B18" s="94" t="s">
        <v>51</v>
      </c>
      <c r="C18" s="120">
        <v>0</v>
      </c>
      <c r="D18" s="1707"/>
      <c r="F18" s="93"/>
      <c r="H18" s="68" t="e">
        <f t="shared" si="0"/>
        <v>#N/A</v>
      </c>
      <c r="I18" s="519"/>
      <c r="J18" s="520"/>
      <c r="K18" s="520"/>
      <c r="L18" s="520"/>
      <c r="M18" s="520"/>
      <c r="N18" s="520"/>
      <c r="O18" s="520"/>
      <c r="P18" s="520"/>
      <c r="Q18" s="521"/>
      <c r="R18" s="521"/>
      <c r="S18" s="521"/>
      <c r="T18" s="521"/>
      <c r="U18" s="520"/>
      <c r="V18" s="520"/>
      <c r="W18" s="68" t="e">
        <f>VLOOKUP(V18,DescontosTE[[#All],[idsreag supridora]:[codsariSUP]],2,FALSE)</f>
        <v>#N/A</v>
      </c>
      <c r="AI18" s="987"/>
      <c r="AJ18" s="988"/>
      <c r="AL18" s="913"/>
      <c r="AM18" s="908"/>
    </row>
    <row r="19" spans="2:42" ht="16.5">
      <c r="B19" s="94" t="s">
        <v>52</v>
      </c>
      <c r="C19" s="120">
        <v>0</v>
      </c>
      <c r="D19" s="1707"/>
      <c r="F19" s="93"/>
      <c r="H19" s="68" t="e">
        <f t="shared" si="0"/>
        <v>#N/A</v>
      </c>
      <c r="I19" s="519"/>
      <c r="J19" s="520"/>
      <c r="K19" s="520"/>
      <c r="L19" s="520"/>
      <c r="M19" s="520"/>
      <c r="N19" s="520"/>
      <c r="O19" s="520"/>
      <c r="P19" s="520"/>
      <c r="Q19" s="521"/>
      <c r="R19" s="521"/>
      <c r="S19" s="521"/>
      <c r="T19" s="521"/>
      <c r="U19" s="520"/>
      <c r="V19" s="520"/>
      <c r="W19" s="68" t="e">
        <f>VLOOKUP(V19,DescontosTE[[#All],[idsreag supridora]:[codsariSUP]],2,FALSE)</f>
        <v>#N/A</v>
      </c>
      <c r="AI19" s="987"/>
      <c r="AJ19" s="988"/>
    </row>
    <row r="20" spans="2:42" ht="16.5">
      <c r="B20" s="94" t="s">
        <v>53</v>
      </c>
      <c r="C20" s="120"/>
      <c r="D20" s="1707"/>
      <c r="F20" s="93"/>
      <c r="H20" s="68" t="e">
        <f t="shared" si="0"/>
        <v>#N/A</v>
      </c>
      <c r="I20" s="519"/>
      <c r="J20" s="520"/>
      <c r="K20" s="520"/>
      <c r="L20" s="520"/>
      <c r="M20" s="520"/>
      <c r="N20" s="520"/>
      <c r="O20" s="520"/>
      <c r="P20" s="520"/>
      <c r="Q20" s="521"/>
      <c r="R20" s="521"/>
      <c r="S20" s="521"/>
      <c r="T20" s="521"/>
      <c r="U20" s="520"/>
      <c r="V20" s="520"/>
      <c r="W20" s="68" t="e">
        <f>VLOOKUP(V20,DescontosTE[[#All],[idsreag supridora]:[codsariSUP]],2,FALSE)</f>
        <v>#N/A</v>
      </c>
      <c r="AA20" s="909" t="s">
        <v>54</v>
      </c>
      <c r="AB20" s="909"/>
      <c r="AC20" s="910"/>
      <c r="AD20" s="910"/>
      <c r="AE20" s="910"/>
      <c r="AF20" s="910"/>
      <c r="AG20" s="911"/>
      <c r="AI20" s="913"/>
      <c r="AJ20" s="908"/>
    </row>
    <row r="21" spans="2:42" ht="16.5">
      <c r="B21" s="94" t="s">
        <v>55</v>
      </c>
      <c r="C21" s="120"/>
      <c r="D21" s="1707"/>
      <c r="F21" s="93"/>
      <c r="H21" s="68" t="e">
        <f t="shared" si="0"/>
        <v>#N/A</v>
      </c>
      <c r="I21" s="519"/>
      <c r="J21" s="520"/>
      <c r="K21" s="520"/>
      <c r="L21" s="520"/>
      <c r="M21" s="520"/>
      <c r="N21" s="520"/>
      <c r="O21" s="520"/>
      <c r="P21" s="520"/>
      <c r="Q21" s="521"/>
      <c r="R21" s="521"/>
      <c r="S21" s="521"/>
      <c r="T21" s="521"/>
      <c r="U21" s="520"/>
      <c r="V21" s="520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</row>
    <row r="22" spans="2:42" ht="16.5">
      <c r="B22" s="94" t="s">
        <v>63</v>
      </c>
      <c r="C22" s="120"/>
      <c r="D22" s="1707"/>
      <c r="H22" s="68" t="e">
        <f t="shared" si="0"/>
        <v>#N/A</v>
      </c>
      <c r="I22" s="519"/>
      <c r="J22" s="520"/>
      <c r="K22" s="520"/>
      <c r="L22" s="520"/>
      <c r="M22" s="520"/>
      <c r="N22" s="520"/>
      <c r="O22" s="520"/>
      <c r="P22" s="520"/>
      <c r="Q22" s="521"/>
      <c r="R22" s="521"/>
      <c r="S22" s="521"/>
      <c r="T22" s="521"/>
      <c r="U22" s="520"/>
      <c r="V22" s="520"/>
      <c r="W22" s="68" t="e">
        <f>VLOOKUP(V22,DescontosTE[[#All],[idsreag supridora]:[codsariSUP]],2,FALSE)</f>
        <v>#N/A</v>
      </c>
      <c r="AA22" s="907"/>
      <c r="AB22" s="908"/>
      <c r="AC22" s="907"/>
      <c r="AD22" s="907"/>
      <c r="AE22" s="908"/>
      <c r="AF22" s="913"/>
      <c r="AG22" s="907"/>
    </row>
    <row r="23" spans="2:42" ht="16.5">
      <c r="B23" s="94" t="s">
        <v>64</v>
      </c>
      <c r="C23" s="120"/>
      <c r="D23" s="1707"/>
      <c r="F23" s="93"/>
      <c r="H23" s="68" t="e">
        <f t="shared" si="0"/>
        <v>#N/A</v>
      </c>
      <c r="I23" s="519"/>
      <c r="J23" s="520"/>
      <c r="K23" s="520"/>
      <c r="L23" s="520"/>
      <c r="M23" s="520"/>
      <c r="N23" s="520"/>
      <c r="O23" s="520"/>
      <c r="P23" s="520"/>
      <c r="Q23" s="521"/>
      <c r="R23" s="521"/>
      <c r="S23" s="521"/>
      <c r="T23" s="521"/>
      <c r="U23" s="520"/>
      <c r="V23" s="520"/>
      <c r="W23" s="68" t="e">
        <f>VLOOKUP(V23,DescontosTE[[#All],[idsreag supridora]:[codsariSUP]],2,FALSE)</f>
        <v>#N/A</v>
      </c>
      <c r="AA23" s="907"/>
      <c r="AB23" s="908"/>
      <c r="AC23" s="907"/>
      <c r="AD23" s="907"/>
      <c r="AE23" s="908"/>
      <c r="AF23" s="907"/>
      <c r="AG23" s="907"/>
      <c r="AI23" s="906" t="s">
        <v>2208</v>
      </c>
      <c r="AM23" s="906" t="s">
        <v>2212</v>
      </c>
    </row>
    <row r="24" spans="2:42" ht="16.5">
      <c r="B24" s="94" t="s">
        <v>65</v>
      </c>
      <c r="C24" s="120">
        <v>0</v>
      </c>
      <c r="D24" s="1707"/>
      <c r="F24" s="93"/>
      <c r="H24" s="68" t="e">
        <f t="shared" si="0"/>
        <v>#N/A</v>
      </c>
      <c r="I24" s="519"/>
      <c r="J24" s="520"/>
      <c r="K24" s="520"/>
      <c r="L24" s="520"/>
      <c r="M24" s="520"/>
      <c r="N24" s="520"/>
      <c r="O24" s="520"/>
      <c r="P24" s="520"/>
      <c r="Q24" s="521"/>
      <c r="R24" s="521"/>
      <c r="S24" s="521"/>
      <c r="T24" s="521"/>
      <c r="U24" s="520"/>
      <c r="V24" s="520"/>
      <c r="W24" s="68" t="e">
        <f>VLOOKUP(V24,DescontosTE[[#All],[idsreag supridora]:[codsariSUP]],2,FALSE)</f>
        <v>#N/A</v>
      </c>
      <c r="AI24" s="68" t="s">
        <v>2206</v>
      </c>
      <c r="AJ24" s="68" t="s">
        <v>2207</v>
      </c>
      <c r="AK24" s="68" t="s">
        <v>1531</v>
      </c>
      <c r="AM24" s="68" t="s">
        <v>2209</v>
      </c>
      <c r="AN24" s="68" t="s">
        <v>2210</v>
      </c>
      <c r="AO24" s="68" t="s">
        <v>2211</v>
      </c>
      <c r="AP24" s="68" t="s">
        <v>37</v>
      </c>
    </row>
    <row r="25" spans="2:42" ht="16.5">
      <c r="B25" s="94" t="s">
        <v>66</v>
      </c>
      <c r="C25" s="120">
        <v>8494493.7347925995</v>
      </c>
      <c r="D25" s="1707"/>
      <c r="H25" s="68" t="e">
        <f t="shared" si="0"/>
        <v>#N/A</v>
      </c>
      <c r="I25" s="519"/>
      <c r="J25" s="520"/>
      <c r="K25" s="520"/>
      <c r="L25" s="520"/>
      <c r="M25" s="520"/>
      <c r="N25" s="520"/>
      <c r="O25" s="520"/>
      <c r="P25" s="520"/>
      <c r="Q25" s="521"/>
      <c r="R25" s="521"/>
      <c r="S25" s="521"/>
      <c r="T25" s="521"/>
      <c r="U25" s="520"/>
      <c r="V25" s="520"/>
      <c r="W25" s="68" t="e">
        <f>VLOOKUP(V25,DescontosTE[[#All],[idsreag supridora]:[codsariSUP]],2,FALSE)</f>
        <v>#N/A</v>
      </c>
      <c r="AD25" s="906"/>
      <c r="AE25" s="1008"/>
      <c r="AF25" s="906"/>
      <c r="AG25" s="906"/>
      <c r="AI25" s="262" t="s">
        <v>2225</v>
      </c>
      <c r="AJ25" s="262" t="s">
        <v>41</v>
      </c>
      <c r="AK25" s="69">
        <v>-235542.777554764</v>
      </c>
      <c r="AM25" s="1652"/>
      <c r="AN25" s="1652"/>
      <c r="AO25" s="1652"/>
      <c r="AP25" s="1651"/>
    </row>
    <row r="26" spans="2:42" ht="16.5">
      <c r="B26" s="1043" t="s">
        <v>67</v>
      </c>
      <c r="C26" s="1053">
        <v>28640981.109999999</v>
      </c>
      <c r="D26" s="1707"/>
      <c r="H26" s="68" t="e">
        <f t="shared" si="0"/>
        <v>#N/A</v>
      </c>
      <c r="I26" s="519"/>
      <c r="J26" s="520"/>
      <c r="K26" s="520"/>
      <c r="L26" s="520"/>
      <c r="M26" s="520"/>
      <c r="N26" s="520"/>
      <c r="O26" s="520"/>
      <c r="P26" s="520"/>
      <c r="Q26" s="521"/>
      <c r="R26" s="521"/>
      <c r="S26" s="521"/>
      <c r="T26" s="521"/>
      <c r="U26" s="520"/>
      <c r="V26" s="520"/>
      <c r="W26" s="68" t="e">
        <f>VLOOKUP(V26,DescontosTE[[#All],[idsreag supridora]:[codsariSUP]],2,FALSE)</f>
        <v>#N/A</v>
      </c>
      <c r="AA26" s="993" t="s">
        <v>2213</v>
      </c>
      <c r="AB26" s="993" t="s">
        <v>37</v>
      </c>
      <c r="AD26" s="906"/>
      <c r="AE26" s="1008"/>
      <c r="AF26" s="906"/>
      <c r="AG26" s="906"/>
      <c r="AI26" s="262" t="s">
        <v>2225</v>
      </c>
      <c r="AJ26" s="262" t="s">
        <v>47</v>
      </c>
      <c r="AK26" s="69">
        <v>-32788.912571724097</v>
      </c>
      <c r="AM26" s="1652"/>
      <c r="AN26" s="1652"/>
      <c r="AO26" s="1652"/>
      <c r="AP26" s="1651"/>
    </row>
    <row r="27" spans="2:42" ht="16.5">
      <c r="C27" s="69"/>
      <c r="D27" s="1707"/>
      <c r="H27" s="68" t="e">
        <f t="shared" si="0"/>
        <v>#N/A</v>
      </c>
      <c r="I27" s="519"/>
      <c r="J27" s="520"/>
      <c r="K27" s="520"/>
      <c r="L27" s="520"/>
      <c r="M27" s="520"/>
      <c r="N27" s="520"/>
      <c r="O27" s="520"/>
      <c r="P27" s="520"/>
      <c r="Q27" s="521"/>
      <c r="R27" s="521"/>
      <c r="S27" s="521"/>
      <c r="T27" s="521"/>
      <c r="U27" s="520"/>
      <c r="V27" s="520"/>
      <c r="W27" s="68" t="e">
        <f>VLOOKUP(V27,DescontosTE[[#All],[idsreag supridora]:[codsariSUP]],2,FALSE)</f>
        <v>#N/A</v>
      </c>
      <c r="AA27" s="907" t="s">
        <v>2215</v>
      </c>
      <c r="AB27" s="908"/>
      <c r="AI27" s="262" t="s">
        <v>2225</v>
      </c>
      <c r="AJ27" s="262" t="s">
        <v>40</v>
      </c>
      <c r="AK27" s="69">
        <v>-8380.0076843660609</v>
      </c>
      <c r="AM27" s="1652"/>
      <c r="AN27" s="1652"/>
      <c r="AO27" s="1652"/>
      <c r="AP27" s="1651"/>
    </row>
    <row r="28" spans="2:42" ht="16.5">
      <c r="B28" s="1042" t="s">
        <v>68</v>
      </c>
      <c r="C28" s="1054"/>
      <c r="D28" s="1707"/>
      <c r="H28" s="68" t="e">
        <f t="shared" si="0"/>
        <v>#N/A</v>
      </c>
      <c r="I28" s="519"/>
      <c r="J28" s="520"/>
      <c r="K28" s="520"/>
      <c r="L28" s="520"/>
      <c r="M28" s="520"/>
      <c r="N28" s="520"/>
      <c r="O28" s="520"/>
      <c r="P28" s="520"/>
      <c r="Q28" s="521"/>
      <c r="R28" s="521"/>
      <c r="S28" s="521"/>
      <c r="T28" s="521"/>
      <c r="U28" s="520"/>
      <c r="V28" s="520"/>
      <c r="W28" s="68" t="e">
        <f>VLOOKUP(V28,DescontosTE[[#All],[idsreag supridora]:[codsariSUP]],2,FALSE)</f>
        <v>#N/A</v>
      </c>
      <c r="AA28" s="907" t="s">
        <v>2216</v>
      </c>
      <c r="AB28" s="908"/>
      <c r="AI28" s="262" t="s">
        <v>2226</v>
      </c>
      <c r="AJ28" s="262" t="s">
        <v>2227</v>
      </c>
      <c r="AK28" s="69">
        <v>1110259.5243665148</v>
      </c>
      <c r="AM28" s="1652"/>
      <c r="AN28" s="1652"/>
      <c r="AO28" s="1652"/>
      <c r="AP28" s="1651"/>
    </row>
    <row r="29" spans="2:42" ht="18" customHeight="1">
      <c r="D29" s="1707"/>
      <c r="H29" s="68" t="e">
        <f t="shared" si="0"/>
        <v>#N/A</v>
      </c>
      <c r="I29" s="519"/>
      <c r="J29" s="520"/>
      <c r="K29" s="520"/>
      <c r="L29" s="520"/>
      <c r="M29" s="520"/>
      <c r="N29" s="520"/>
      <c r="O29" s="520"/>
      <c r="P29" s="520"/>
      <c r="Q29" s="521"/>
      <c r="R29" s="521"/>
      <c r="S29" s="521"/>
      <c r="T29" s="521"/>
      <c r="U29" s="520"/>
      <c r="V29" s="520"/>
      <c r="W29" s="68" t="e">
        <f>VLOOKUP(V29,DescontosTE[[#All],[idsreag supridora]:[codsariSUP]],2,FALSE)</f>
        <v>#N/A</v>
      </c>
      <c r="AA29" s="907"/>
      <c r="AB29" s="908"/>
      <c r="AI29" s="262" t="s">
        <v>2228</v>
      </c>
      <c r="AJ29" s="262" t="s">
        <v>2229</v>
      </c>
      <c r="AK29" s="69">
        <v>-38395.645944643009</v>
      </c>
      <c r="AM29" s="1652"/>
      <c r="AN29" s="1652"/>
      <c r="AO29" s="1652"/>
      <c r="AP29" s="1651"/>
    </row>
    <row r="30" spans="2:42" ht="16.5">
      <c r="B30" s="1055"/>
      <c r="C30" s="1056"/>
      <c r="D30" s="1707"/>
      <c r="H30" s="68" t="e">
        <f t="shared" si="0"/>
        <v>#N/A</v>
      </c>
      <c r="I30" s="519"/>
      <c r="J30" s="520"/>
      <c r="K30" s="520"/>
      <c r="L30" s="520"/>
      <c r="M30" s="520"/>
      <c r="N30" s="520"/>
      <c r="O30" s="520"/>
      <c r="P30" s="520"/>
      <c r="Q30" s="521"/>
      <c r="R30" s="521"/>
      <c r="S30" s="521"/>
      <c r="T30" s="521"/>
      <c r="U30" s="520"/>
      <c r="V30" s="520"/>
      <c r="W30" s="68" t="e">
        <f>VLOOKUP(V30,DescontosTE[[#All],[idsreag supridora]:[codsariSUP]],2,FALSE)</f>
        <v>#N/A</v>
      </c>
      <c r="AA30" s="907"/>
      <c r="AB30" s="908"/>
      <c r="AI30" s="262" t="s">
        <v>109</v>
      </c>
      <c r="AJ30" s="262"/>
      <c r="AK30" s="69">
        <v>-19237421.492754798</v>
      </c>
      <c r="AM30" s="1652"/>
      <c r="AN30" s="1652"/>
      <c r="AO30" s="1652"/>
      <c r="AP30" s="1651"/>
    </row>
    <row r="31" spans="2:42">
      <c r="B31" s="684" t="s">
        <v>69</v>
      </c>
      <c r="C31" s="685">
        <v>0.12435816358744038</v>
      </c>
      <c r="D31" s="1708"/>
      <c r="AI31" s="262" t="s">
        <v>2230</v>
      </c>
      <c r="AJ31" s="262" t="s">
        <v>1321</v>
      </c>
      <c r="AK31" s="69">
        <v>1570459.37507966</v>
      </c>
      <c r="AM31" s="1652"/>
      <c r="AN31" s="1652"/>
      <c r="AO31" s="1652"/>
      <c r="AP31" s="1651"/>
    </row>
    <row r="32" spans="2:42">
      <c r="B32" s="1057" t="s">
        <v>70</v>
      </c>
      <c r="C32" s="1058">
        <v>0.76946233409201359</v>
      </c>
      <c r="D32" s="90" t="s">
        <v>71</v>
      </c>
      <c r="AI32" s="262"/>
      <c r="AJ32" s="262"/>
      <c r="AK32" s="69"/>
    </row>
    <row r="33" spans="1:37">
      <c r="D33" s="90"/>
      <c r="AI33" s="262"/>
      <c r="AJ33" s="262"/>
      <c r="AK33" s="69"/>
    </row>
    <row r="34" spans="1:37">
      <c r="B34" s="1042"/>
      <c r="C34" s="1054"/>
      <c r="AI34" s="262"/>
      <c r="AJ34" s="262"/>
      <c r="AK34" s="69"/>
    </row>
    <row r="35" spans="1:37">
      <c r="B35" s="1055" t="s">
        <v>41</v>
      </c>
      <c r="C35" s="1059">
        <v>3396412.6616999977</v>
      </c>
      <c r="AI35" s="262"/>
      <c r="AJ35" s="262"/>
      <c r="AK35" s="69"/>
    </row>
    <row r="36" spans="1:37">
      <c r="B36" s="684" t="s">
        <v>47</v>
      </c>
      <c r="C36" s="88">
        <v>446189.77779999969</v>
      </c>
      <c r="AI36" s="262"/>
      <c r="AJ36" s="262"/>
      <c r="AK36" s="69"/>
    </row>
    <row r="37" spans="1:37">
      <c r="B37" s="1057" t="s">
        <v>40</v>
      </c>
      <c r="C37" s="1060">
        <v>116164.76222225744</v>
      </c>
      <c r="AI37" s="262"/>
      <c r="AJ37" s="262"/>
      <c r="AK37" s="69"/>
    </row>
    <row r="38" spans="1:37">
      <c r="AI38" s="262"/>
      <c r="AJ38" s="262"/>
      <c r="AK38" s="69"/>
    </row>
    <row r="39" spans="1:37">
      <c r="D39" s="90"/>
      <c r="AI39" s="262"/>
      <c r="AJ39" s="262"/>
      <c r="AK39" s="69"/>
    </row>
    <row r="40" spans="1:37" ht="16.5">
      <c r="B40" s="1057"/>
      <c r="C40" s="72"/>
      <c r="D40" s="9"/>
      <c r="E40" s="9" t="s">
        <v>74</v>
      </c>
      <c r="F40" s="9"/>
      <c r="AI40" s="262"/>
      <c r="AJ40" s="262"/>
      <c r="AK40" s="69"/>
    </row>
    <row r="41" spans="1:37" ht="16.5">
      <c r="A41" s="1061">
        <f>DATE(YEAR(B41),MONTH(B41),1)</f>
        <v>44409</v>
      </c>
      <c r="B41" s="1047">
        <v>44413</v>
      </c>
      <c r="C41" s="545">
        <v>0</v>
      </c>
      <c r="D41" s="9" t="b">
        <f ca="1">BD!E41&gt;=CAPA!$L$73</f>
        <v>0</v>
      </c>
      <c r="E41" s="235">
        <f>Indexador!L34</f>
        <v>0</v>
      </c>
      <c r="F41" s="492">
        <f>CAPA!B63</f>
        <v>44287</v>
      </c>
      <c r="AI41" s="262"/>
      <c r="AJ41" s="262"/>
      <c r="AK41" s="69"/>
    </row>
    <row r="42" spans="1:37" ht="16.5">
      <c r="A42" s="1061">
        <f t="shared" ref="A42:A57" si="1">DATE(YEAR(B42),MONTH(B42),1)</f>
        <v>44440</v>
      </c>
      <c r="B42" s="521">
        <v>44447</v>
      </c>
      <c r="C42" s="545">
        <v>0</v>
      </c>
      <c r="D42" s="9" t="b">
        <f ca="1">BD!E42&gt;=CAPA!$L$73</f>
        <v>0</v>
      </c>
      <c r="E42" s="235">
        <f>Indexador!L35</f>
        <v>0</v>
      </c>
      <c r="F42" s="492">
        <f>CAPA!B64</f>
        <v>44317</v>
      </c>
      <c r="I42" s="823" t="s">
        <v>20</v>
      </c>
      <c r="J42" s="823" t="s">
        <v>21</v>
      </c>
      <c r="K42" s="823"/>
      <c r="L42" s="823" t="s">
        <v>22</v>
      </c>
      <c r="M42" s="823" t="s">
        <v>23</v>
      </c>
      <c r="N42" s="823" t="s">
        <v>24</v>
      </c>
      <c r="O42" s="823" t="s">
        <v>25</v>
      </c>
      <c r="P42" s="823" t="s">
        <v>26</v>
      </c>
      <c r="Q42" s="823" t="s">
        <v>27</v>
      </c>
      <c r="R42" s="823" t="s">
        <v>28</v>
      </c>
      <c r="S42" s="824" t="s">
        <v>29</v>
      </c>
      <c r="T42" s="823" t="s">
        <v>30</v>
      </c>
      <c r="AI42" s="262"/>
      <c r="AJ42" s="262"/>
      <c r="AK42" s="69"/>
    </row>
    <row r="43" spans="1:37" ht="16.5">
      <c r="A43" s="1061">
        <f t="shared" si="1"/>
        <v>44470</v>
      </c>
      <c r="B43" s="521">
        <v>44476</v>
      </c>
      <c r="C43" s="545">
        <v>0</v>
      </c>
      <c r="D43" s="9" t="b">
        <f ca="1">BD!E43&gt;=CAPA!$L$73</f>
        <v>0</v>
      </c>
      <c r="E43" s="235">
        <f>Indexador!L36</f>
        <v>0</v>
      </c>
      <c r="F43" s="492">
        <f>CAPA!B65</f>
        <v>44348</v>
      </c>
      <c r="H43" s="68" t="str">
        <f>CONCATENATE(U43,J43)</f>
        <v>396A4</v>
      </c>
      <c r="I43" s="519">
        <v>2022</v>
      </c>
      <c r="J43" s="520" t="s">
        <v>596</v>
      </c>
      <c r="K43" s="520" t="s">
        <v>2309</v>
      </c>
      <c r="L43" s="520" t="s">
        <v>1321</v>
      </c>
      <c r="M43" s="520" t="s">
        <v>2306</v>
      </c>
      <c r="N43" s="520">
        <v>504</v>
      </c>
      <c r="O43" s="521">
        <v>44734</v>
      </c>
      <c r="P43" s="521">
        <v>44732</v>
      </c>
      <c r="Q43" s="521" t="s">
        <v>2307</v>
      </c>
      <c r="R43" s="521" t="s">
        <v>2308</v>
      </c>
      <c r="S43" s="520">
        <v>273.92</v>
      </c>
      <c r="T43" s="520">
        <v>167</v>
      </c>
      <c r="U43" s="68">
        <f>VLOOKUP(T43,DescontosTE[[#All],[idsreag supridora]:[codsariSUP]],2,FALSE)</f>
        <v>396</v>
      </c>
      <c r="AI43" s="262"/>
      <c r="AJ43" s="262"/>
      <c r="AK43" s="69"/>
    </row>
    <row r="44" spans="1:37" ht="16.5">
      <c r="A44" s="1061">
        <f t="shared" si="1"/>
        <v>44501</v>
      </c>
      <c r="B44" s="521">
        <v>44509</v>
      </c>
      <c r="C44" s="545">
        <v>0</v>
      </c>
      <c r="D44" s="9" t="b">
        <f ca="1">BD!E44&gt;=CAPA!$L$73</f>
        <v>0</v>
      </c>
      <c r="E44" s="235">
        <f>Indexador!L37</f>
        <v>0</v>
      </c>
      <c r="F44" s="492">
        <f>CAPA!B66</f>
        <v>44378</v>
      </c>
      <c r="H44" s="68" t="e">
        <f t="shared" ref="H44:H59" si="2">CONCATENATE(U44,J44)</f>
        <v>#N/A</v>
      </c>
      <c r="I44" s="519"/>
      <c r="J44" s="520"/>
      <c r="K44" s="520"/>
      <c r="L44" s="520"/>
      <c r="M44" s="520"/>
      <c r="N44" s="520"/>
      <c r="O44" s="521"/>
      <c r="P44" s="521"/>
      <c r="Q44" s="521"/>
      <c r="R44" s="521"/>
      <c r="S44" s="520"/>
      <c r="T44" s="520"/>
      <c r="U44" s="68" t="e">
        <f>VLOOKUP(T44,DescontosTE[[#All],[idsreag supridora]:[codsariSUP]],2,FALSE)</f>
        <v>#N/A</v>
      </c>
      <c r="AI44" s="262"/>
      <c r="AJ44" s="262"/>
      <c r="AK44" s="69"/>
    </row>
    <row r="45" spans="1:37" ht="16.5">
      <c r="A45" s="1061">
        <f t="shared" si="1"/>
        <v>44531</v>
      </c>
      <c r="B45" s="521">
        <v>44538</v>
      </c>
      <c r="C45" s="545">
        <v>0</v>
      </c>
      <c r="D45" s="9" t="b">
        <f ca="1">BD!E45&gt;=CAPA!$L$73</f>
        <v>0</v>
      </c>
      <c r="E45" s="235">
        <f>Indexador!L38</f>
        <v>0</v>
      </c>
      <c r="F45" s="492">
        <f>CAPA!B67</f>
        <v>44409</v>
      </c>
      <c r="H45" s="68" t="e">
        <f t="shared" si="2"/>
        <v>#N/A</v>
      </c>
      <c r="I45" s="519"/>
      <c r="J45" s="520"/>
      <c r="K45" s="520"/>
      <c r="L45" s="520"/>
      <c r="M45" s="520"/>
      <c r="N45" s="520"/>
      <c r="O45" s="521"/>
      <c r="P45" s="521"/>
      <c r="Q45" s="521"/>
      <c r="R45" s="521"/>
      <c r="S45" s="520"/>
      <c r="T45" s="520"/>
      <c r="U45" s="68" t="e">
        <f>VLOOKUP(T45,DescontosTE[[#All],[idsreag supridora]:[codsariSUP]],2,FALSE)</f>
        <v>#N/A</v>
      </c>
      <c r="AI45" s="262"/>
      <c r="AJ45" s="262"/>
      <c r="AK45" s="69"/>
    </row>
    <row r="46" spans="1:37" ht="16.5">
      <c r="A46" s="1061">
        <f t="shared" si="1"/>
        <v>44562</v>
      </c>
      <c r="B46" s="521">
        <v>44566</v>
      </c>
      <c r="C46" s="545">
        <v>0</v>
      </c>
      <c r="D46" s="9" t="b">
        <f ca="1">BD!E46&gt;=CAPA!$L$73</f>
        <v>0</v>
      </c>
      <c r="E46" s="235">
        <f>Indexador!L39</f>
        <v>0</v>
      </c>
      <c r="F46" s="492">
        <f>CAPA!B68</f>
        <v>44440</v>
      </c>
      <c r="H46" s="68" t="e">
        <f t="shared" si="2"/>
        <v>#N/A</v>
      </c>
      <c r="I46" s="519"/>
      <c r="J46" s="520"/>
      <c r="K46" s="520"/>
      <c r="L46" s="520"/>
      <c r="M46" s="520"/>
      <c r="N46" s="520"/>
      <c r="O46" s="521"/>
      <c r="P46" s="521"/>
      <c r="Q46" s="521"/>
      <c r="R46" s="521"/>
      <c r="S46" s="520"/>
      <c r="T46" s="520"/>
      <c r="U46" s="68" t="e">
        <f>VLOOKUP(T46,DescontosTE[[#All],[idsreag supridora]:[codsariSUP]],2,FALSE)</f>
        <v>#N/A</v>
      </c>
    </row>
    <row r="47" spans="1:37" ht="16.5">
      <c r="A47" s="1061">
        <f t="shared" si="1"/>
        <v>44593</v>
      </c>
      <c r="B47" s="521">
        <v>44599</v>
      </c>
      <c r="C47" s="545">
        <v>0</v>
      </c>
      <c r="D47" s="9" t="b">
        <f ca="1">BD!E47&gt;=CAPA!$L$73</f>
        <v>0</v>
      </c>
      <c r="E47" s="235">
        <f>Indexador!L40</f>
        <v>0</v>
      </c>
      <c r="F47" s="492">
        <f>CAPA!B69</f>
        <v>44470</v>
      </c>
      <c r="H47" s="68" t="e">
        <f t="shared" si="2"/>
        <v>#N/A</v>
      </c>
      <c r="I47" s="519"/>
      <c r="J47" s="520"/>
      <c r="K47" s="520"/>
      <c r="L47" s="520"/>
      <c r="M47" s="520"/>
      <c r="N47" s="520"/>
      <c r="O47" s="521"/>
      <c r="P47" s="521"/>
      <c r="Q47" s="521"/>
      <c r="R47" s="521"/>
      <c r="S47" s="520"/>
      <c r="T47" s="520"/>
      <c r="U47" s="68" t="e">
        <f>VLOOKUP(T47,DescontosTE[[#All],[idsreag supridora]:[codsariSUP]],2,FALSE)</f>
        <v>#N/A</v>
      </c>
    </row>
    <row r="48" spans="1:37" ht="16.5">
      <c r="A48" s="1061">
        <f t="shared" si="1"/>
        <v>44621</v>
      </c>
      <c r="B48" s="521">
        <v>44629</v>
      </c>
      <c r="C48" s="545">
        <v>0</v>
      </c>
      <c r="D48" s="9" t="b">
        <f ca="1">BD!E48&gt;=CAPA!$L$73</f>
        <v>0</v>
      </c>
      <c r="E48" s="235">
        <f>Indexador!L41</f>
        <v>0</v>
      </c>
      <c r="F48" s="492">
        <f>CAPA!B70</f>
        <v>44501</v>
      </c>
      <c r="H48" s="68" t="e">
        <f t="shared" si="2"/>
        <v>#N/A</v>
      </c>
      <c r="I48" s="519"/>
      <c r="J48" s="520"/>
      <c r="K48" s="520"/>
      <c r="L48" s="520"/>
      <c r="M48" s="520"/>
      <c r="N48" s="520"/>
      <c r="O48" s="521"/>
      <c r="P48" s="521"/>
      <c r="Q48" s="521"/>
      <c r="R48" s="521"/>
      <c r="S48" s="520"/>
      <c r="T48" s="520"/>
      <c r="U48" s="68" t="e">
        <f>VLOOKUP(T48,DescontosTE[[#All],[idsreag supridora]:[codsariSUP]],2,FALSE)</f>
        <v>#N/A</v>
      </c>
    </row>
    <row r="49" spans="1:21" ht="16.5">
      <c r="A49" s="1061">
        <f t="shared" si="1"/>
        <v>44652</v>
      </c>
      <c r="B49" s="521">
        <v>44657</v>
      </c>
      <c r="C49" s="545">
        <v>0</v>
      </c>
      <c r="D49" s="9" t="b">
        <f ca="1">BD!E49&gt;=CAPA!$L$73</f>
        <v>0</v>
      </c>
      <c r="E49" s="235">
        <f>Indexador!L42</f>
        <v>0</v>
      </c>
      <c r="F49" s="492">
        <f>CAPA!B71</f>
        <v>44531</v>
      </c>
      <c r="H49" s="68" t="e">
        <f t="shared" si="2"/>
        <v>#N/A</v>
      </c>
      <c r="I49" s="519"/>
      <c r="J49" s="520"/>
      <c r="K49" s="520"/>
      <c r="L49" s="520"/>
      <c r="M49" s="520"/>
      <c r="N49" s="520"/>
      <c r="O49" s="520"/>
      <c r="P49" s="520"/>
      <c r="Q49" s="521"/>
      <c r="R49" s="521"/>
      <c r="S49" s="521"/>
      <c r="T49" s="520"/>
      <c r="U49" s="68" t="e">
        <f>VLOOKUP(T49,DescontosTE[[#All],[idsreag supridora]:[codsariSUP]],2,FALSE)</f>
        <v>#N/A</v>
      </c>
    </row>
    <row r="50" spans="1:21" ht="16.5">
      <c r="A50" s="1061">
        <f t="shared" si="1"/>
        <v>44682</v>
      </c>
      <c r="B50" s="521">
        <v>44691</v>
      </c>
      <c r="C50" s="545">
        <v>0</v>
      </c>
      <c r="D50" s="9" t="b">
        <f ca="1">BD!E50&gt;=CAPA!$L$73</f>
        <v>0</v>
      </c>
      <c r="E50" s="235">
        <f>Indexador!L43</f>
        <v>0</v>
      </c>
      <c r="F50" s="492">
        <f>CAPA!B72</f>
        <v>44562</v>
      </c>
      <c r="H50" s="68" t="e">
        <f t="shared" si="2"/>
        <v>#N/A</v>
      </c>
      <c r="I50" s="519"/>
      <c r="J50" s="520"/>
      <c r="K50" s="520"/>
      <c r="L50" s="520"/>
      <c r="M50" s="520"/>
      <c r="N50" s="520"/>
      <c r="O50" s="520"/>
      <c r="P50" s="520"/>
      <c r="Q50" s="521"/>
      <c r="R50" s="521"/>
      <c r="S50" s="521"/>
      <c r="T50" s="520"/>
      <c r="U50" s="68" t="e">
        <f>VLOOKUP(T50,DescontosTE[[#All],[idsreag supridora]:[codsariSUP]],2,FALSE)</f>
        <v>#N/A</v>
      </c>
    </row>
    <row r="51" spans="1:21" ht="16.5">
      <c r="A51" s="1061">
        <f t="shared" si="1"/>
        <v>44713</v>
      </c>
      <c r="B51" s="521">
        <v>44718</v>
      </c>
      <c r="C51" s="545">
        <v>580921.32709999999</v>
      </c>
      <c r="D51" s="9" t="b">
        <f ca="1">BD!E51&gt;=CAPA!$L$73</f>
        <v>0</v>
      </c>
      <c r="E51" s="235">
        <f>Indexador!L44</f>
        <v>0</v>
      </c>
      <c r="F51" s="492">
        <f>CAPA!B73</f>
        <v>44593</v>
      </c>
      <c r="H51" s="68" t="e">
        <f t="shared" si="2"/>
        <v>#N/A</v>
      </c>
      <c r="I51" s="519"/>
      <c r="J51" s="520"/>
      <c r="K51" s="520"/>
      <c r="L51" s="520"/>
      <c r="M51" s="520"/>
      <c r="N51" s="520"/>
      <c r="O51" s="520"/>
      <c r="P51" s="520"/>
      <c r="Q51" s="521"/>
      <c r="R51" s="521"/>
      <c r="S51" s="521"/>
      <c r="T51" s="520"/>
      <c r="U51" s="68" t="e">
        <f>VLOOKUP(T51,DescontosTE[[#All],[idsreag supridora]:[codsariSUP]],2,FALSE)</f>
        <v>#N/A</v>
      </c>
    </row>
    <row r="52" spans="1:21" ht="16.5">
      <c r="A52" s="1061">
        <f t="shared" si="1"/>
        <v>44743</v>
      </c>
      <c r="B52" s="521">
        <v>44749</v>
      </c>
      <c r="C52" s="545">
        <v>161154.11429999999</v>
      </c>
      <c r="D52" s="9" t="b">
        <f ca="1">BD!E52&gt;=CAPA!$L$73</f>
        <v>0</v>
      </c>
      <c r="E52" s="235">
        <f>Indexador!L45</f>
        <v>0</v>
      </c>
      <c r="F52" s="492">
        <f>CAPA!B74</f>
        <v>44621</v>
      </c>
      <c r="H52" s="68" t="e">
        <f t="shared" si="2"/>
        <v>#N/A</v>
      </c>
      <c r="I52" s="519"/>
      <c r="J52" s="520"/>
      <c r="K52" s="520"/>
      <c r="L52" s="520"/>
      <c r="M52" s="520"/>
      <c r="N52" s="520"/>
      <c r="O52" s="520"/>
      <c r="P52" s="520"/>
      <c r="Q52" s="521"/>
      <c r="R52" s="521"/>
      <c r="S52" s="521"/>
      <c r="T52" s="520"/>
      <c r="U52" s="68" t="e">
        <f>VLOOKUP(T52,DescontosTE[[#All],[idsreag supridora]:[codsariSUP]],2,FALSE)</f>
        <v>#N/A</v>
      </c>
    </row>
    <row r="53" spans="1:21" ht="16.5">
      <c r="A53" s="1061">
        <f t="shared" si="1"/>
        <v>1</v>
      </c>
      <c r="B53" s="521"/>
      <c r="C53" s="545"/>
      <c r="D53" s="9" t="b">
        <f ca="1">BD!E53&gt;=CAPA!$L$73</f>
        <v>0</v>
      </c>
      <c r="E53" s="235">
        <f>Indexador!L46</f>
        <v>0</v>
      </c>
      <c r="F53" s="492">
        <f>CAPA!B75</f>
        <v>44652</v>
      </c>
      <c r="H53" s="68" t="e">
        <f t="shared" si="2"/>
        <v>#N/A</v>
      </c>
      <c r="I53" s="519"/>
      <c r="J53" s="520"/>
      <c r="K53" s="520"/>
      <c r="L53" s="520"/>
      <c r="M53" s="520"/>
      <c r="N53" s="520"/>
      <c r="O53" s="520"/>
      <c r="P53" s="520"/>
      <c r="Q53" s="521"/>
      <c r="R53" s="521"/>
      <c r="S53" s="521"/>
      <c r="T53" s="520"/>
      <c r="U53" s="68" t="e">
        <f>VLOOKUP(T53,DescontosTE[[#All],[idsreag supridora]:[codsariSUP]],2,FALSE)</f>
        <v>#N/A</v>
      </c>
    </row>
    <row r="54" spans="1:21" ht="16.5">
      <c r="A54" s="1061">
        <f t="shared" si="1"/>
        <v>1</v>
      </c>
      <c r="B54" s="521"/>
      <c r="C54" s="545"/>
      <c r="D54" s="9" t="b">
        <f ca="1">BD!E54&gt;=CAPA!$L$73</f>
        <v>0</v>
      </c>
      <c r="E54" s="235">
        <f>Indexador!L47</f>
        <v>0</v>
      </c>
      <c r="F54" s="492">
        <f>CAPA!B76</f>
        <v>44682</v>
      </c>
      <c r="H54" s="68" t="e">
        <f t="shared" si="2"/>
        <v>#N/A</v>
      </c>
      <c r="I54" s="519"/>
      <c r="J54" s="520"/>
      <c r="K54" s="520"/>
      <c r="L54" s="520"/>
      <c r="M54" s="520"/>
      <c r="N54" s="520"/>
      <c r="O54" s="520"/>
      <c r="P54" s="520"/>
      <c r="Q54" s="521"/>
      <c r="R54" s="521"/>
      <c r="S54" s="521"/>
      <c r="T54" s="520"/>
      <c r="U54" s="68" t="e">
        <f>VLOOKUP(T54,DescontosTE[[#All],[idsreag supridora]:[codsariSUP]],2,FALSE)</f>
        <v>#N/A</v>
      </c>
    </row>
    <row r="55" spans="1:21" ht="16.5">
      <c r="A55" s="1061">
        <f t="shared" si="1"/>
        <v>1</v>
      </c>
      <c r="B55" s="521"/>
      <c r="C55" s="545"/>
      <c r="D55" s="9" t="b">
        <f ca="1">BD!E55&gt;=CAPA!$L$73</f>
        <v>0</v>
      </c>
      <c r="E55" s="235">
        <f>Indexador!L48</f>
        <v>586819.51200968993</v>
      </c>
      <c r="F55" s="492">
        <f>CAPA!B77</f>
        <v>44713</v>
      </c>
      <c r="H55" s="68" t="e">
        <f t="shared" si="2"/>
        <v>#N/A</v>
      </c>
      <c r="I55" s="519"/>
      <c r="J55" s="520"/>
      <c r="K55" s="520"/>
      <c r="L55" s="520"/>
      <c r="M55" s="520"/>
      <c r="N55" s="520"/>
      <c r="O55" s="520"/>
      <c r="P55" s="520"/>
      <c r="Q55" s="521"/>
      <c r="R55" s="521"/>
      <c r="S55" s="521"/>
      <c r="T55" s="520"/>
      <c r="U55" s="68" t="e">
        <f>VLOOKUP(T55,DescontosTE[[#All],[idsreag supridora]:[codsariSUP]],2,FALSE)</f>
        <v>#N/A</v>
      </c>
    </row>
    <row r="56" spans="1:21" ht="16.5">
      <c r="A56" s="1061">
        <f t="shared" si="1"/>
        <v>1</v>
      </c>
      <c r="B56" s="521"/>
      <c r="C56" s="545"/>
      <c r="D56" s="9"/>
      <c r="E56" s="235"/>
      <c r="F56" s="492"/>
      <c r="H56" s="68" t="e">
        <f t="shared" si="2"/>
        <v>#N/A</v>
      </c>
      <c r="I56" s="519"/>
      <c r="J56" s="520"/>
      <c r="K56" s="520"/>
      <c r="L56" s="520"/>
      <c r="M56" s="520"/>
      <c r="N56" s="520"/>
      <c r="O56" s="520"/>
      <c r="P56" s="520"/>
      <c r="Q56" s="521"/>
      <c r="R56" s="521"/>
      <c r="S56" s="521"/>
      <c r="T56" s="520"/>
      <c r="U56" s="68" t="e">
        <f>VLOOKUP(T56,DescontosTE[[#All],[idsreag supridora]:[codsariSUP]],2,FALSE)</f>
        <v>#N/A</v>
      </c>
    </row>
    <row r="57" spans="1:21" ht="16.5">
      <c r="A57" s="1061">
        <f t="shared" si="1"/>
        <v>1</v>
      </c>
      <c r="B57" s="1062"/>
      <c r="C57" s="862"/>
      <c r="D57" s="17"/>
      <c r="H57" s="68" t="e">
        <f t="shared" si="2"/>
        <v>#N/A</v>
      </c>
      <c r="I57" s="519"/>
      <c r="J57" s="520"/>
      <c r="K57" s="520"/>
      <c r="L57" s="520"/>
      <c r="M57" s="520"/>
      <c r="N57" s="520"/>
      <c r="O57" s="520"/>
      <c r="P57" s="520"/>
      <c r="Q57" s="521"/>
      <c r="R57" s="521"/>
      <c r="S57" s="521"/>
      <c r="T57" s="520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19"/>
      <c r="J58" s="520"/>
      <c r="K58" s="520"/>
      <c r="L58" s="520"/>
      <c r="M58" s="520"/>
      <c r="N58" s="520"/>
      <c r="O58" s="520"/>
      <c r="P58" s="520"/>
      <c r="Q58" s="521"/>
      <c r="R58" s="521"/>
      <c r="S58" s="521"/>
      <c r="T58" s="520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63"/>
      <c r="J59" s="1064"/>
      <c r="K59" s="1064"/>
      <c r="L59" s="1064"/>
      <c r="M59" s="1064"/>
      <c r="N59" s="1064"/>
      <c r="O59" s="1064"/>
      <c r="P59" s="1064"/>
      <c r="Q59" s="1062"/>
      <c r="R59" s="1062"/>
      <c r="S59" s="1062"/>
      <c r="T59" s="1064"/>
      <c r="U59" s="68" t="e">
        <f>VLOOKUP(T59,DescontosTE[[#All],[idsreag supridora]:[codsariSUP]],2,FALSE)</f>
        <v>#N/A</v>
      </c>
    </row>
    <row r="60" spans="1:21">
      <c r="B60" s="1057" t="s">
        <v>75</v>
      </c>
      <c r="C60" s="72"/>
    </row>
    <row r="61" spans="1:21" ht="16.5">
      <c r="B61" s="1065" t="s">
        <v>773</v>
      </c>
      <c r="C61" s="863">
        <v>26624.44</v>
      </c>
      <c r="D61" s="68">
        <v>0</v>
      </c>
    </row>
    <row r="62" spans="1:21" ht="16.5">
      <c r="B62" s="721" t="s">
        <v>775</v>
      </c>
      <c r="C62" s="545">
        <v>4657.1000000000004</v>
      </c>
      <c r="D62" s="69">
        <v>0</v>
      </c>
    </row>
    <row r="63" spans="1:21" ht="16.5">
      <c r="B63" s="721" t="s">
        <v>777</v>
      </c>
      <c r="C63" s="545">
        <v>0</v>
      </c>
      <c r="D63" s="69">
        <v>0</v>
      </c>
    </row>
    <row r="64" spans="1:21" ht="16.5">
      <c r="B64" s="721" t="s">
        <v>778</v>
      </c>
      <c r="C64" s="545">
        <v>2169.16</v>
      </c>
      <c r="D64" s="69">
        <v>0</v>
      </c>
    </row>
    <row r="65" spans="2:4" ht="16.5">
      <c r="B65" s="721" t="s">
        <v>781</v>
      </c>
      <c r="C65" s="545">
        <v>257172.85</v>
      </c>
      <c r="D65" s="69">
        <v>0</v>
      </c>
    </row>
    <row r="66" spans="2:4" ht="16.5">
      <c r="B66" s="1066" t="s">
        <v>783</v>
      </c>
      <c r="C66" s="862">
        <v>0</v>
      </c>
      <c r="D66" s="69">
        <v>0</v>
      </c>
    </row>
    <row r="70" spans="2:4">
      <c r="B70" s="993" t="s">
        <v>72</v>
      </c>
      <c r="C70" s="993" t="s">
        <v>37</v>
      </c>
      <c r="D70" s="993" t="s">
        <v>73</v>
      </c>
    </row>
    <row r="71" spans="2:4">
      <c r="B71" s="907" t="s">
        <v>49</v>
      </c>
      <c r="C71" s="1650"/>
      <c r="D71" s="908"/>
    </row>
    <row r="72" spans="2:4">
      <c r="B72" s="907" t="s">
        <v>844</v>
      </c>
      <c r="C72" s="1650"/>
      <c r="D72" s="908"/>
    </row>
    <row r="73" spans="2:4">
      <c r="B73" s="907" t="s">
        <v>2178</v>
      </c>
      <c r="C73" s="1650"/>
      <c r="D73" s="908"/>
    </row>
    <row r="74" spans="2:4">
      <c r="B74" s="907" t="s">
        <v>2217</v>
      </c>
      <c r="C74" s="1650"/>
      <c r="D74" s="908"/>
    </row>
    <row r="75" spans="2:4">
      <c r="B75" s="907" t="s">
        <v>2218</v>
      </c>
      <c r="C75" s="1650"/>
      <c r="D75" s="908"/>
    </row>
    <row r="76" spans="2:4">
      <c r="B76" s="907" t="s">
        <v>2219</v>
      </c>
      <c r="C76" s="1650">
        <v>0</v>
      </c>
      <c r="D76" s="908"/>
    </row>
    <row r="77" spans="2:4">
      <c r="B77" s="907" t="s">
        <v>2220</v>
      </c>
      <c r="C77" s="1650">
        <v>0</v>
      </c>
      <c r="D77" s="908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9" t="s">
        <v>76</v>
      </c>
      <c r="C2" s="379" t="s">
        <v>77</v>
      </c>
      <c r="D2" s="379" t="s">
        <v>78</v>
      </c>
      <c r="E2" s="379" t="s">
        <v>79</v>
      </c>
      <c r="F2" s="379" t="s">
        <v>80</v>
      </c>
      <c r="G2" s="379" t="s">
        <v>81</v>
      </c>
      <c r="H2" s="379" t="s">
        <v>82</v>
      </c>
      <c r="I2" s="379" t="s">
        <v>83</v>
      </c>
      <c r="J2" s="379" t="s">
        <v>84</v>
      </c>
      <c r="K2" s="379" t="s">
        <v>85</v>
      </c>
      <c r="L2" s="379" t="s">
        <v>86</v>
      </c>
      <c r="M2" s="379" t="s">
        <v>87</v>
      </c>
      <c r="N2" s="379" t="s">
        <v>88</v>
      </c>
      <c r="O2" s="379" t="s">
        <v>89</v>
      </c>
      <c r="P2" s="379" t="s">
        <v>90</v>
      </c>
      <c r="Q2" s="379" t="s">
        <v>91</v>
      </c>
      <c r="R2" s="379" t="s">
        <v>92</v>
      </c>
      <c r="S2" s="379" t="s">
        <v>93</v>
      </c>
      <c r="T2" s="379" t="s">
        <v>94</v>
      </c>
    </row>
    <row r="3" spans="2:20"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</row>
    <row r="4" spans="2:20">
      <c r="B4" s="380"/>
      <c r="C4" s="380"/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/>
      <c r="P4" s="380"/>
      <c r="Q4" s="380"/>
      <c r="R4" s="380"/>
      <c r="S4" s="380"/>
      <c r="T4" s="380"/>
    </row>
    <row r="5" spans="2:20">
      <c r="B5" s="380"/>
      <c r="C5" s="380"/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</row>
    <row r="6" spans="2:20">
      <c r="B6" s="380"/>
      <c r="C6" s="380"/>
      <c r="D6" s="380"/>
      <c r="E6" s="380"/>
      <c r="F6" s="380"/>
      <c r="G6" s="380"/>
      <c r="H6" s="380"/>
      <c r="I6" s="380"/>
      <c r="J6" s="380"/>
      <c r="K6" s="380"/>
      <c r="L6" s="380"/>
      <c r="M6" s="380"/>
      <c r="N6" s="380"/>
      <c r="O6" s="380"/>
      <c r="P6" s="380"/>
      <c r="Q6" s="380"/>
      <c r="R6" s="380"/>
      <c r="S6" s="380"/>
      <c r="T6" s="380"/>
    </row>
    <row r="7" spans="2:20">
      <c r="B7" s="380"/>
      <c r="C7" s="380"/>
      <c r="D7" s="380"/>
      <c r="E7" s="380"/>
      <c r="F7" s="380"/>
      <c r="G7" s="380"/>
      <c r="H7" s="380"/>
      <c r="I7" s="380"/>
      <c r="J7" s="380"/>
      <c r="K7" s="380"/>
      <c r="L7" s="380"/>
      <c r="M7" s="380"/>
      <c r="N7" s="380"/>
      <c r="O7" s="380"/>
      <c r="P7" s="380"/>
      <c r="Q7" s="380"/>
      <c r="R7" s="380"/>
      <c r="S7" s="380"/>
      <c r="T7" s="380"/>
    </row>
    <row r="8" spans="2:20">
      <c r="B8" s="380"/>
      <c r="C8" s="380"/>
      <c r="D8" s="380"/>
      <c r="E8" s="380"/>
      <c r="F8" s="380"/>
      <c r="G8" s="380"/>
      <c r="H8" s="380"/>
      <c r="I8" s="380"/>
      <c r="J8" s="380"/>
      <c r="K8" s="380"/>
      <c r="L8" s="380"/>
      <c r="M8" s="380"/>
      <c r="N8" s="380"/>
      <c r="O8" s="380"/>
      <c r="P8" s="380"/>
      <c r="Q8" s="380"/>
      <c r="R8" s="380"/>
      <c r="S8" s="380"/>
      <c r="T8" s="380"/>
    </row>
    <row r="9" spans="2:20">
      <c r="B9" s="380"/>
      <c r="C9" s="380"/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/>
      <c r="P9" s="380"/>
      <c r="Q9" s="380"/>
      <c r="R9" s="380"/>
      <c r="S9" s="380"/>
      <c r="T9" s="380"/>
    </row>
    <row r="10" spans="2:20">
      <c r="B10" s="380"/>
      <c r="C10" s="380"/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/>
      <c r="P10" s="380"/>
      <c r="Q10" s="380"/>
      <c r="R10" s="380"/>
      <c r="S10" s="380"/>
      <c r="T10" s="380"/>
    </row>
    <row r="11" spans="2:20">
      <c r="B11" s="380"/>
      <c r="C11" s="380"/>
      <c r="D11" s="380"/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0"/>
      <c r="T11" s="380"/>
    </row>
    <row r="12" spans="2:20">
      <c r="B12" s="380"/>
      <c r="C12" s="380"/>
      <c r="D12" s="380"/>
      <c r="E12" s="380"/>
      <c r="F12" s="380"/>
      <c r="G12" s="380"/>
      <c r="H12" s="380"/>
      <c r="I12" s="380"/>
      <c r="J12" s="380"/>
      <c r="K12" s="380"/>
      <c r="L12" s="380"/>
      <c r="M12" s="380"/>
      <c r="N12" s="380"/>
      <c r="O12" s="380"/>
      <c r="P12" s="380"/>
      <c r="Q12" s="380"/>
      <c r="R12" s="380"/>
      <c r="S12" s="380"/>
      <c r="T12" s="380"/>
    </row>
    <row r="13" spans="2:20"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/>
      <c r="Q13" s="380"/>
      <c r="R13" s="380"/>
      <c r="S13" s="380"/>
      <c r="T13" s="380"/>
    </row>
    <row r="14" spans="2:20">
      <c r="B14" s="380"/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/>
      <c r="P14" s="380"/>
      <c r="Q14" s="380"/>
      <c r="R14" s="380"/>
      <c r="S14" s="380"/>
      <c r="T14" s="380"/>
    </row>
    <row r="15" spans="2:20">
      <c r="B15" s="380"/>
      <c r="C15" s="380"/>
      <c r="D15" s="380"/>
      <c r="E15" s="380"/>
      <c r="F15" s="380"/>
      <c r="G15" s="380"/>
      <c r="H15" s="380"/>
      <c r="I15" s="380"/>
      <c r="J15" s="380"/>
      <c r="K15" s="380"/>
      <c r="L15" s="380"/>
      <c r="M15" s="380"/>
      <c r="N15" s="380"/>
      <c r="O15" s="380"/>
      <c r="P15" s="380"/>
      <c r="Q15" s="380"/>
      <c r="R15" s="380"/>
      <c r="S15" s="380"/>
      <c r="T15" s="380"/>
    </row>
    <row r="16" spans="2:20">
      <c r="B16" s="380"/>
      <c r="C16" s="380"/>
      <c r="D16" s="380"/>
      <c r="E16" s="380"/>
      <c r="F16" s="380"/>
      <c r="G16" s="380"/>
      <c r="H16" s="380"/>
      <c r="I16" s="380"/>
      <c r="J16" s="380"/>
      <c r="K16" s="380"/>
      <c r="L16" s="380"/>
      <c r="M16" s="380"/>
      <c r="N16" s="380"/>
      <c r="O16" s="380"/>
      <c r="P16" s="380"/>
      <c r="Q16" s="380"/>
      <c r="R16" s="380"/>
      <c r="S16" s="380"/>
      <c r="T16" s="380"/>
    </row>
    <row r="17" spans="2:20">
      <c r="B17" s="380"/>
      <c r="C17" s="380"/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80"/>
      <c r="T17" s="380"/>
    </row>
    <row r="18" spans="2:20">
      <c r="B18" s="380"/>
      <c r="C18" s="380"/>
      <c r="D18" s="380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</row>
    <row r="19" spans="2:20">
      <c r="B19" s="380"/>
      <c r="C19" s="380"/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/>
      <c r="P19" s="380"/>
      <c r="Q19" s="380"/>
      <c r="R19" s="380"/>
      <c r="S19" s="380"/>
      <c r="T19" s="380"/>
    </row>
    <row r="20" spans="2:20">
      <c r="B20" s="380"/>
      <c r="C20" s="380"/>
      <c r="D20" s="380"/>
      <c r="E20" s="380"/>
      <c r="F20" s="380"/>
      <c r="G20" s="380"/>
      <c r="H20" s="380"/>
      <c r="I20" s="380"/>
      <c r="J20" s="380"/>
      <c r="K20" s="380"/>
      <c r="L20" s="380"/>
      <c r="M20" s="380"/>
      <c r="N20" s="380"/>
      <c r="O20" s="380"/>
      <c r="P20" s="380"/>
      <c r="Q20" s="380"/>
      <c r="R20" s="380"/>
      <c r="S20" s="380"/>
      <c r="T20" s="380"/>
    </row>
    <row r="21" spans="2:20">
      <c r="B21" s="380"/>
      <c r="C21" s="380"/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/>
      <c r="Q21" s="380"/>
      <c r="R21" s="380"/>
      <c r="S21" s="380"/>
      <c r="T21" s="380"/>
    </row>
    <row r="22" spans="2:20">
      <c r="B22" s="380"/>
      <c r="C22" s="380"/>
      <c r="D22" s="380"/>
      <c r="E22" s="380"/>
      <c r="F22" s="380"/>
      <c r="G22" s="380"/>
      <c r="H22" s="380"/>
      <c r="I22" s="380"/>
      <c r="J22" s="380"/>
      <c r="K22" s="380"/>
      <c r="L22" s="380"/>
      <c r="M22" s="380"/>
      <c r="N22" s="380"/>
      <c r="O22" s="380"/>
      <c r="P22" s="380"/>
      <c r="Q22" s="380"/>
      <c r="R22" s="380"/>
      <c r="S22" s="380"/>
      <c r="T22" s="380"/>
    </row>
    <row r="23" spans="2:20">
      <c r="B23" s="380"/>
      <c r="C23" s="380"/>
      <c r="D23" s="380"/>
      <c r="E23" s="380"/>
      <c r="F23" s="380"/>
      <c r="G23" s="380"/>
      <c r="H23" s="380"/>
      <c r="I23" s="380"/>
      <c r="J23" s="380"/>
      <c r="K23" s="380"/>
      <c r="L23" s="380"/>
      <c r="M23" s="380"/>
      <c r="N23" s="380"/>
      <c r="O23" s="380"/>
      <c r="P23" s="380"/>
      <c r="Q23" s="380"/>
      <c r="R23" s="380"/>
      <c r="S23" s="380"/>
      <c r="T23" s="380"/>
    </row>
    <row r="24" spans="2:20">
      <c r="B24" s="380"/>
      <c r="C24" s="380"/>
      <c r="D24" s="380"/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</row>
    <row r="25" spans="2:20">
      <c r="B25" s="380"/>
      <c r="C25" s="380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</row>
    <row r="26" spans="2:20">
      <c r="B26" s="380"/>
      <c r="C26" s="380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</row>
    <row r="27" spans="2:20">
      <c r="B27" s="380"/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</row>
    <row r="28" spans="2:20">
      <c r="B28" s="380"/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</row>
    <row r="29" spans="2:20">
      <c r="B29" s="380"/>
      <c r="C29" s="380"/>
      <c r="D29" s="380"/>
      <c r="E29" s="380"/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</row>
    <row r="30" spans="2:20">
      <c r="B30" s="380"/>
      <c r="C30" s="380"/>
      <c r="D30" s="380"/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/>
      <c r="Q30" s="380"/>
      <c r="R30" s="380"/>
      <c r="S30" s="380"/>
      <c r="T30" s="380"/>
    </row>
    <row r="31" spans="2:20">
      <c r="B31" s="380"/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80"/>
      <c r="T31" s="380"/>
    </row>
    <row r="32" spans="2:20">
      <c r="B32" s="380"/>
      <c r="C32" s="380"/>
      <c r="D32" s="380"/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/>
      <c r="Q32" s="380"/>
      <c r="R32" s="380"/>
      <c r="S32" s="380"/>
      <c r="T32" s="380"/>
    </row>
    <row r="33" spans="2:20">
      <c r="B33" s="380"/>
      <c r="C33" s="380"/>
      <c r="D33" s="380"/>
      <c r="E33" s="380"/>
      <c r="F33" s="380"/>
      <c r="G33" s="380"/>
      <c r="H33" s="380"/>
      <c r="I33" s="380"/>
      <c r="J33" s="380"/>
      <c r="K33" s="380"/>
      <c r="L33" s="380"/>
      <c r="M33" s="380"/>
      <c r="N33" s="380"/>
      <c r="O33" s="380"/>
      <c r="P33" s="380"/>
      <c r="Q33" s="380"/>
      <c r="R33" s="380"/>
      <c r="S33" s="380"/>
      <c r="T33" s="380"/>
    </row>
    <row r="34" spans="2:20">
      <c r="B34" s="380"/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/>
      <c r="P34" s="380"/>
      <c r="Q34" s="380"/>
      <c r="R34" s="380"/>
      <c r="S34" s="380"/>
      <c r="T34" s="380"/>
    </row>
    <row r="35" spans="2:20">
      <c r="B35" s="380"/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0"/>
      <c r="N35" s="380"/>
      <c r="O35" s="380"/>
      <c r="P35" s="380"/>
      <c r="Q35" s="380"/>
      <c r="R35" s="380"/>
      <c r="S35" s="380"/>
      <c r="T35" s="380"/>
    </row>
    <row r="36" spans="2:20">
      <c r="B36" s="380"/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0"/>
      <c r="N36" s="380"/>
      <c r="O36" s="380"/>
      <c r="P36" s="380"/>
      <c r="Q36" s="380"/>
      <c r="R36" s="380"/>
      <c r="S36" s="380"/>
      <c r="T36" s="380"/>
    </row>
    <row r="37" spans="2:20">
      <c r="B37" s="380"/>
      <c r="C37" s="380"/>
      <c r="D37" s="380"/>
      <c r="E37" s="380"/>
      <c r="F37" s="380"/>
      <c r="G37" s="380"/>
      <c r="H37" s="380"/>
      <c r="I37" s="380"/>
      <c r="J37" s="380"/>
      <c r="K37" s="380"/>
      <c r="L37" s="380"/>
      <c r="M37" s="380"/>
      <c r="N37" s="380"/>
      <c r="O37" s="380"/>
      <c r="P37" s="380"/>
      <c r="Q37" s="380"/>
      <c r="R37" s="380"/>
      <c r="S37" s="380"/>
      <c r="T37" s="380"/>
    </row>
    <row r="38" spans="2:20">
      <c r="B38" s="380"/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N38" s="380"/>
      <c r="O38" s="380"/>
      <c r="P38" s="380"/>
      <c r="Q38" s="380"/>
      <c r="R38" s="380"/>
      <c r="S38" s="380"/>
      <c r="T38" s="380"/>
    </row>
    <row r="39" spans="2:20">
      <c r="B39" s="380"/>
      <c r="C39" s="380"/>
      <c r="D39" s="380"/>
      <c r="E39" s="380"/>
      <c r="F39" s="380"/>
      <c r="G39" s="380"/>
      <c r="H39" s="380"/>
      <c r="I39" s="380"/>
      <c r="J39" s="380"/>
      <c r="K39" s="380"/>
      <c r="L39" s="380"/>
      <c r="M39" s="380"/>
      <c r="N39" s="380"/>
      <c r="O39" s="380"/>
      <c r="P39" s="380"/>
      <c r="Q39" s="380"/>
      <c r="R39" s="380"/>
      <c r="S39" s="380"/>
      <c r="T39" s="380"/>
    </row>
    <row r="40" spans="2:20">
      <c r="B40" s="380"/>
      <c r="C40" s="380"/>
      <c r="D40" s="380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80"/>
      <c r="T40" s="380"/>
    </row>
    <row r="41" spans="2:20">
      <c r="B41" s="380"/>
      <c r="C41" s="380"/>
      <c r="D41" s="380"/>
      <c r="E41" s="380"/>
      <c r="F41" s="380"/>
      <c r="G41" s="380"/>
      <c r="H41" s="380"/>
      <c r="I41" s="380"/>
      <c r="J41" s="380"/>
      <c r="K41" s="380"/>
      <c r="L41" s="380"/>
      <c r="M41" s="380"/>
      <c r="N41" s="380"/>
      <c r="O41" s="380"/>
      <c r="P41" s="380"/>
      <c r="Q41" s="380"/>
      <c r="R41" s="380"/>
      <c r="S41" s="380"/>
      <c r="T41" s="380"/>
    </row>
    <row r="42" spans="2:20">
      <c r="B42" s="380"/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/>
      <c r="R42" s="380"/>
      <c r="S42" s="380"/>
      <c r="T42" s="380"/>
    </row>
    <row r="43" spans="2:20">
      <c r="B43" s="380"/>
      <c r="C43" s="380"/>
      <c r="D43" s="380"/>
      <c r="E43" s="380"/>
      <c r="F43" s="380"/>
      <c r="G43" s="380"/>
      <c r="H43" s="380"/>
      <c r="I43" s="380"/>
      <c r="J43" s="380"/>
      <c r="K43" s="380"/>
      <c r="L43" s="380"/>
      <c r="M43" s="380"/>
      <c r="N43" s="380"/>
      <c r="O43" s="380"/>
      <c r="P43" s="380"/>
      <c r="Q43" s="380"/>
      <c r="R43" s="380"/>
      <c r="S43" s="380"/>
      <c r="T43" s="380"/>
    </row>
    <row r="44" spans="2:20">
      <c r="B44" s="380"/>
      <c r="C44" s="380"/>
      <c r="D44" s="380"/>
      <c r="E44" s="380"/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/>
      <c r="S44" s="380"/>
      <c r="T44" s="380"/>
    </row>
    <row r="45" spans="2:20">
      <c r="B45" s="380"/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0"/>
      <c r="N45" s="380"/>
      <c r="O45" s="380"/>
      <c r="P45" s="380"/>
      <c r="Q45" s="380"/>
      <c r="R45" s="380"/>
      <c r="S45" s="380"/>
      <c r="T45" s="380"/>
    </row>
    <row r="46" spans="2:20">
      <c r="B46" s="380"/>
      <c r="C46" s="380"/>
      <c r="D46" s="380"/>
      <c r="E46" s="380"/>
      <c r="F46" s="380"/>
      <c r="G46" s="380"/>
      <c r="H46" s="380"/>
      <c r="I46" s="380"/>
      <c r="J46" s="380"/>
      <c r="K46" s="380"/>
      <c r="L46" s="380"/>
      <c r="M46" s="380"/>
      <c r="N46" s="380"/>
      <c r="O46" s="380"/>
      <c r="P46" s="380"/>
      <c r="Q46" s="380"/>
      <c r="R46" s="380"/>
      <c r="S46" s="380"/>
      <c r="T46" s="380"/>
    </row>
    <row r="47" spans="2:20">
      <c r="B47" s="380"/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80"/>
      <c r="T47" s="380"/>
    </row>
    <row r="48" spans="2:20">
      <c r="B48" s="380"/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0"/>
      <c r="N48" s="380"/>
      <c r="O48" s="380"/>
      <c r="P48" s="380"/>
      <c r="Q48" s="380"/>
      <c r="R48" s="380"/>
      <c r="S48" s="380"/>
      <c r="T48" s="380"/>
    </row>
    <row r="49" spans="2:20">
      <c r="B49" s="380"/>
      <c r="C49" s="380"/>
      <c r="D49" s="380"/>
      <c r="E49" s="380"/>
      <c r="F49" s="380"/>
      <c r="G49" s="380"/>
      <c r="H49" s="380"/>
      <c r="I49" s="380"/>
      <c r="J49" s="380"/>
      <c r="K49" s="380"/>
      <c r="L49" s="380"/>
      <c r="M49" s="380"/>
      <c r="N49" s="380"/>
      <c r="O49" s="380"/>
      <c r="P49" s="380"/>
      <c r="Q49" s="380"/>
      <c r="R49" s="380"/>
      <c r="S49" s="380"/>
      <c r="T49" s="380"/>
    </row>
    <row r="50" spans="2:20">
      <c r="B50" s="380"/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0"/>
      <c r="N50" s="380"/>
      <c r="O50" s="380"/>
      <c r="P50" s="380"/>
      <c r="Q50" s="380"/>
      <c r="R50" s="380"/>
      <c r="S50" s="380"/>
      <c r="T50" s="380"/>
    </row>
    <row r="51" spans="2:20">
      <c r="B51" s="380"/>
      <c r="C51" s="380"/>
      <c r="D51" s="380"/>
      <c r="E51" s="380"/>
      <c r="F51" s="380"/>
      <c r="G51" s="380"/>
      <c r="H51" s="380"/>
      <c r="I51" s="380"/>
      <c r="J51" s="380"/>
      <c r="K51" s="380"/>
      <c r="L51" s="380"/>
      <c r="M51" s="380"/>
      <c r="N51" s="380"/>
      <c r="O51" s="380"/>
      <c r="P51" s="380"/>
      <c r="Q51" s="380"/>
      <c r="R51" s="380"/>
      <c r="S51" s="380"/>
      <c r="T51" s="380"/>
    </row>
    <row r="52" spans="2:20">
      <c r="B52" s="380"/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0"/>
      <c r="N52" s="380"/>
      <c r="O52" s="380"/>
      <c r="P52" s="380"/>
      <c r="Q52" s="380"/>
      <c r="R52" s="380"/>
      <c r="S52" s="380"/>
      <c r="T52" s="380"/>
    </row>
    <row r="53" spans="2:20">
      <c r="B53" s="380"/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/>
      <c r="Q53" s="380"/>
      <c r="R53" s="380"/>
      <c r="S53" s="380"/>
      <c r="T53" s="380"/>
    </row>
    <row r="54" spans="2:20">
      <c r="B54" s="380"/>
      <c r="C54" s="380"/>
      <c r="D54" s="380"/>
      <c r="E54" s="380"/>
      <c r="F54" s="380"/>
      <c r="G54" s="380"/>
      <c r="H54" s="380"/>
      <c r="I54" s="380"/>
      <c r="J54" s="380"/>
      <c r="K54" s="380"/>
      <c r="L54" s="380"/>
      <c r="M54" s="380"/>
      <c r="N54" s="380"/>
      <c r="O54" s="380"/>
      <c r="P54" s="380"/>
      <c r="Q54" s="380"/>
      <c r="R54" s="380"/>
      <c r="S54" s="380"/>
      <c r="T54" s="380"/>
    </row>
    <row r="55" spans="2:20">
      <c r="B55" s="380"/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/>
      <c r="Q55" s="380"/>
      <c r="R55" s="380"/>
      <c r="S55" s="380"/>
      <c r="T55" s="380"/>
    </row>
    <row r="56" spans="2:20">
      <c r="B56" s="380"/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0"/>
      <c r="N56" s="380"/>
      <c r="O56" s="380"/>
      <c r="P56" s="380"/>
      <c r="Q56" s="380"/>
      <c r="R56" s="380"/>
      <c r="S56" s="380"/>
      <c r="T56" s="380"/>
    </row>
    <row r="57" spans="2:20">
      <c r="B57" s="380"/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0"/>
      <c r="N57" s="380"/>
      <c r="O57" s="380"/>
      <c r="P57" s="380"/>
      <c r="Q57" s="380"/>
      <c r="R57" s="380"/>
      <c r="S57" s="380"/>
      <c r="T57" s="380"/>
    </row>
    <row r="58" spans="2:20">
      <c r="B58" s="380"/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0"/>
      <c r="N58" s="380"/>
      <c r="O58" s="380"/>
      <c r="P58" s="380"/>
      <c r="Q58" s="380"/>
      <c r="R58" s="380"/>
      <c r="S58" s="380"/>
      <c r="T58" s="380"/>
    </row>
    <row r="59" spans="2:20">
      <c r="B59" s="380"/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0"/>
      <c r="N59" s="380"/>
      <c r="O59" s="380"/>
      <c r="P59" s="380"/>
      <c r="Q59" s="380"/>
      <c r="R59" s="380"/>
      <c r="S59" s="380"/>
      <c r="T59" s="380"/>
    </row>
    <row r="60" spans="2:20">
      <c r="B60" s="380"/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/>
      <c r="Q60" s="380"/>
      <c r="R60" s="380"/>
      <c r="S60" s="380"/>
      <c r="T60" s="380"/>
    </row>
    <row r="61" spans="2:20">
      <c r="B61" s="380"/>
      <c r="C61" s="380"/>
      <c r="D61" s="380"/>
      <c r="E61" s="380"/>
      <c r="F61" s="380"/>
      <c r="G61" s="380"/>
      <c r="H61" s="380"/>
      <c r="I61" s="380"/>
      <c r="J61" s="380"/>
      <c r="K61" s="380"/>
      <c r="L61" s="380"/>
      <c r="M61" s="380"/>
      <c r="N61" s="380"/>
      <c r="O61" s="380"/>
      <c r="P61" s="380"/>
      <c r="Q61" s="380"/>
      <c r="R61" s="380"/>
      <c r="S61" s="380"/>
      <c r="T61" s="380"/>
    </row>
    <row r="62" spans="2:20">
      <c r="B62" s="380"/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0"/>
      <c r="N62" s="380"/>
      <c r="O62" s="380"/>
      <c r="P62" s="380"/>
      <c r="Q62" s="380"/>
      <c r="R62" s="380"/>
      <c r="S62" s="380"/>
      <c r="T62" s="380"/>
    </row>
    <row r="63" spans="2:20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380"/>
      <c r="Q63" s="380"/>
      <c r="R63" s="380"/>
      <c r="S63" s="380"/>
      <c r="T63" s="380"/>
    </row>
    <row r="64" spans="2:20">
      <c r="B64" s="380"/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0"/>
      <c r="N64" s="380"/>
      <c r="O64" s="380"/>
      <c r="P64" s="380"/>
      <c r="Q64" s="380"/>
      <c r="R64" s="380"/>
      <c r="S64" s="380"/>
      <c r="T64" s="380"/>
    </row>
    <row r="65" spans="2:20">
      <c r="B65" s="380"/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0"/>
      <c r="N65" s="380"/>
      <c r="O65" s="380"/>
      <c r="P65" s="380"/>
      <c r="Q65" s="380"/>
      <c r="R65" s="380"/>
      <c r="S65" s="380"/>
      <c r="T65" s="380"/>
    </row>
    <row r="66" spans="2:20">
      <c r="B66" s="380"/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0"/>
      <c r="N66" s="380"/>
      <c r="O66" s="380"/>
      <c r="P66" s="380"/>
      <c r="Q66" s="380"/>
      <c r="R66" s="380"/>
      <c r="S66" s="380"/>
      <c r="T66" s="380"/>
    </row>
    <row r="67" spans="2:20">
      <c r="B67" s="380"/>
      <c r="C67" s="380"/>
      <c r="D67" s="380"/>
      <c r="E67" s="380"/>
      <c r="F67" s="380"/>
      <c r="G67" s="380"/>
      <c r="H67" s="380"/>
      <c r="I67" s="380"/>
      <c r="J67" s="380"/>
      <c r="K67" s="380"/>
      <c r="L67" s="380"/>
      <c r="M67" s="380"/>
      <c r="N67" s="380"/>
      <c r="O67" s="380"/>
      <c r="P67" s="380"/>
      <c r="Q67" s="380"/>
      <c r="R67" s="380"/>
      <c r="S67" s="380"/>
      <c r="T67" s="380"/>
    </row>
    <row r="68" spans="2:20">
      <c r="B68" s="380"/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0"/>
      <c r="N68" s="380"/>
      <c r="O68" s="380"/>
      <c r="P68" s="380"/>
      <c r="Q68" s="380"/>
      <c r="R68" s="380"/>
      <c r="S68" s="380"/>
      <c r="T68" s="380"/>
    </row>
    <row r="69" spans="2:20">
      <c r="B69" s="380"/>
      <c r="C69" s="380"/>
      <c r="D69" s="380"/>
      <c r="E69" s="380"/>
      <c r="F69" s="380"/>
      <c r="G69" s="380"/>
      <c r="H69" s="380"/>
      <c r="I69" s="380"/>
      <c r="J69" s="380"/>
      <c r="K69" s="380"/>
      <c r="L69" s="380"/>
      <c r="M69" s="380"/>
      <c r="N69" s="380"/>
      <c r="O69" s="380"/>
      <c r="P69" s="380"/>
      <c r="Q69" s="380"/>
      <c r="R69" s="380"/>
      <c r="S69" s="380"/>
      <c r="T69" s="380"/>
    </row>
    <row r="70" spans="2:20">
      <c r="B70" s="380"/>
      <c r="C70" s="380"/>
      <c r="D70" s="380"/>
      <c r="E70" s="380"/>
      <c r="F70" s="380"/>
      <c r="G70" s="380"/>
      <c r="H70" s="380"/>
      <c r="I70" s="380"/>
      <c r="J70" s="380"/>
      <c r="K70" s="380"/>
      <c r="L70" s="380"/>
      <c r="M70" s="380"/>
      <c r="N70" s="380"/>
      <c r="O70" s="380"/>
      <c r="P70" s="380"/>
      <c r="Q70" s="380"/>
      <c r="R70" s="380"/>
      <c r="S70" s="380"/>
      <c r="T70" s="380"/>
    </row>
    <row r="71" spans="2:20">
      <c r="B71" s="380"/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0"/>
      <c r="N71" s="380"/>
      <c r="O71" s="380"/>
      <c r="P71" s="380"/>
      <c r="Q71" s="380"/>
      <c r="R71" s="380"/>
      <c r="S71" s="380"/>
      <c r="T71" s="380"/>
    </row>
    <row r="72" spans="2:20">
      <c r="B72" s="380"/>
      <c r="C72" s="380"/>
      <c r="D72" s="380"/>
      <c r="E72" s="380"/>
      <c r="F72" s="380"/>
      <c r="G72" s="380"/>
      <c r="H72" s="380"/>
      <c r="I72" s="380"/>
      <c r="J72" s="380"/>
      <c r="K72" s="380"/>
      <c r="L72" s="380"/>
      <c r="M72" s="380"/>
      <c r="N72" s="380"/>
      <c r="O72" s="380"/>
      <c r="P72" s="380"/>
      <c r="Q72" s="380"/>
      <c r="R72" s="380"/>
      <c r="S72" s="380"/>
      <c r="T72" s="380"/>
    </row>
    <row r="73" spans="2:20">
      <c r="B73" s="380"/>
      <c r="C73" s="380"/>
      <c r="D73" s="380"/>
      <c r="E73" s="380"/>
      <c r="F73" s="380"/>
      <c r="G73" s="380"/>
      <c r="H73" s="380"/>
      <c r="I73" s="380"/>
      <c r="J73" s="380"/>
      <c r="K73" s="380"/>
      <c r="L73" s="380"/>
      <c r="M73" s="380"/>
      <c r="N73" s="380"/>
      <c r="O73" s="380"/>
      <c r="P73" s="380"/>
      <c r="Q73" s="380"/>
      <c r="R73" s="380"/>
      <c r="S73" s="380"/>
      <c r="T73" s="380"/>
    </row>
    <row r="74" spans="2:20">
      <c r="B74" s="380"/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380"/>
      <c r="S74" s="380"/>
      <c r="T74" s="380"/>
    </row>
    <row r="75" spans="2:20">
      <c r="B75" s="380"/>
      <c r="C75" s="380"/>
      <c r="D75" s="380"/>
      <c r="E75" s="380"/>
      <c r="F75" s="380"/>
      <c r="G75" s="380"/>
      <c r="H75" s="380"/>
      <c r="I75" s="380"/>
      <c r="J75" s="380"/>
      <c r="K75" s="380"/>
      <c r="L75" s="380"/>
      <c r="M75" s="380"/>
      <c r="N75" s="380"/>
      <c r="O75" s="380"/>
      <c r="P75" s="380"/>
      <c r="Q75" s="380"/>
      <c r="R75" s="380"/>
      <c r="S75" s="380"/>
      <c r="T75" s="380"/>
    </row>
    <row r="76" spans="2:20">
      <c r="B76" s="380"/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0"/>
      <c r="O76" s="380"/>
      <c r="P76" s="380"/>
      <c r="Q76" s="380"/>
      <c r="R76" s="380"/>
      <c r="S76" s="380"/>
      <c r="T76" s="380"/>
    </row>
    <row r="77" spans="2:20">
      <c r="B77" s="380"/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0"/>
      <c r="O77" s="380"/>
      <c r="P77" s="380"/>
      <c r="Q77" s="380"/>
      <c r="R77" s="380"/>
      <c r="S77" s="380"/>
      <c r="T77" s="380"/>
    </row>
    <row r="78" spans="2:20">
      <c r="B78" s="380"/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0"/>
      <c r="O78" s="380"/>
      <c r="P78" s="380"/>
      <c r="Q78" s="380"/>
      <c r="R78" s="380"/>
      <c r="S78" s="380"/>
      <c r="T78" s="380"/>
    </row>
    <row r="79" spans="2:20">
      <c r="B79" s="380"/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0"/>
      <c r="N79" s="380"/>
      <c r="O79" s="380"/>
      <c r="P79" s="380"/>
      <c r="Q79" s="380"/>
      <c r="R79" s="380"/>
      <c r="S79" s="380"/>
      <c r="T79" s="380"/>
    </row>
    <row r="80" spans="2:20">
      <c r="B80" s="380"/>
      <c r="C80" s="380"/>
      <c r="D80" s="380"/>
      <c r="E80" s="380"/>
      <c r="F80" s="380"/>
      <c r="G80" s="380"/>
      <c r="H80" s="380"/>
      <c r="I80" s="380"/>
      <c r="J80" s="380"/>
      <c r="K80" s="380"/>
      <c r="L80" s="380"/>
      <c r="M80" s="380"/>
      <c r="N80" s="380"/>
      <c r="O80" s="380"/>
      <c r="P80" s="380"/>
      <c r="Q80" s="380"/>
      <c r="R80" s="380"/>
      <c r="S80" s="380"/>
      <c r="T80" s="380"/>
    </row>
    <row r="81" spans="2:20">
      <c r="B81" s="380"/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0"/>
      <c r="N81" s="380"/>
      <c r="O81" s="380"/>
      <c r="P81" s="380"/>
      <c r="Q81" s="380"/>
      <c r="R81" s="380"/>
      <c r="S81" s="380"/>
      <c r="T81" s="380"/>
    </row>
    <row r="82" spans="2:20">
      <c r="B82" s="380"/>
      <c r="C82" s="380"/>
      <c r="D82" s="380"/>
      <c r="E82" s="380"/>
      <c r="F82" s="380"/>
      <c r="G82" s="380"/>
      <c r="H82" s="380"/>
      <c r="I82" s="380"/>
      <c r="J82" s="380"/>
      <c r="K82" s="380"/>
      <c r="L82" s="380"/>
      <c r="M82" s="380"/>
      <c r="N82" s="380"/>
      <c r="O82" s="380"/>
      <c r="P82" s="380"/>
      <c r="Q82" s="380"/>
      <c r="R82" s="380"/>
      <c r="S82" s="380"/>
      <c r="T82" s="380"/>
    </row>
    <row r="83" spans="2:20">
      <c r="B83" s="380"/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0"/>
      <c r="N83" s="380"/>
      <c r="O83" s="380"/>
      <c r="P83" s="380"/>
      <c r="Q83" s="380"/>
      <c r="R83" s="380"/>
      <c r="S83" s="380"/>
      <c r="T83" s="380"/>
    </row>
    <row r="84" spans="2:20">
      <c r="B84" s="380"/>
      <c r="C84" s="380"/>
      <c r="D84" s="380"/>
      <c r="E84" s="380"/>
      <c r="F84" s="380"/>
      <c r="G84" s="380"/>
      <c r="H84" s="380"/>
      <c r="I84" s="380"/>
      <c r="J84" s="380"/>
      <c r="K84" s="380"/>
      <c r="L84" s="380"/>
      <c r="M84" s="380"/>
      <c r="N84" s="380"/>
      <c r="O84" s="380"/>
      <c r="P84" s="380"/>
      <c r="Q84" s="380"/>
      <c r="R84" s="380"/>
      <c r="S84" s="380"/>
      <c r="T84" s="380"/>
    </row>
    <row r="85" spans="2:20">
      <c r="B85" s="380"/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0"/>
      <c r="N85" s="380"/>
      <c r="O85" s="380"/>
      <c r="P85" s="380"/>
      <c r="Q85" s="380"/>
      <c r="R85" s="380"/>
      <c r="S85" s="380"/>
      <c r="T85" s="380"/>
    </row>
    <row r="86" spans="2:20">
      <c r="B86" s="380"/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0"/>
      <c r="N86" s="380"/>
      <c r="O86" s="380"/>
      <c r="P86" s="380"/>
      <c r="Q86" s="380"/>
      <c r="R86" s="380"/>
      <c r="S86" s="380"/>
      <c r="T86" s="380"/>
    </row>
    <row r="87" spans="2:20">
      <c r="B87" s="380"/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0"/>
      <c r="N87" s="380"/>
      <c r="O87" s="380"/>
      <c r="P87" s="380"/>
      <c r="Q87" s="380"/>
      <c r="R87" s="380"/>
      <c r="S87" s="380"/>
      <c r="T87" s="380"/>
    </row>
    <row r="88" spans="2:20">
      <c r="B88" s="380"/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0"/>
      <c r="N88" s="380"/>
      <c r="O88" s="380"/>
      <c r="P88" s="380"/>
      <c r="Q88" s="380"/>
      <c r="R88" s="380"/>
      <c r="S88" s="380"/>
      <c r="T88" s="380"/>
    </row>
    <row r="89" spans="2:20">
      <c r="B89" s="380"/>
      <c r="C89" s="380"/>
      <c r="D89" s="380"/>
      <c r="E89" s="380"/>
      <c r="F89" s="380"/>
      <c r="G89" s="380"/>
      <c r="H89" s="380"/>
      <c r="I89" s="380"/>
      <c r="J89" s="380"/>
      <c r="K89" s="380"/>
      <c r="L89" s="380"/>
      <c r="M89" s="380"/>
      <c r="N89" s="380"/>
      <c r="O89" s="380"/>
      <c r="P89" s="380"/>
      <c r="Q89" s="380"/>
      <c r="R89" s="380"/>
      <c r="S89" s="380"/>
      <c r="T89" s="380"/>
    </row>
    <row r="90" spans="2:20">
      <c r="B90" s="380"/>
      <c r="C90" s="380"/>
      <c r="D90" s="380"/>
      <c r="E90" s="380"/>
      <c r="F90" s="380"/>
      <c r="G90" s="380"/>
      <c r="H90" s="380"/>
      <c r="I90" s="380"/>
      <c r="J90" s="380"/>
      <c r="K90" s="380"/>
      <c r="L90" s="380"/>
      <c r="M90" s="380"/>
      <c r="N90" s="380"/>
      <c r="O90" s="380"/>
      <c r="P90" s="380"/>
      <c r="Q90" s="380"/>
      <c r="R90" s="380"/>
      <c r="S90" s="380"/>
      <c r="T90" s="380"/>
    </row>
    <row r="91" spans="2:20">
      <c r="B91" s="380"/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0"/>
      <c r="N91" s="380"/>
      <c r="O91" s="380"/>
      <c r="P91" s="380"/>
      <c r="Q91" s="380"/>
      <c r="R91" s="380"/>
      <c r="S91" s="380"/>
      <c r="T91" s="380"/>
    </row>
    <row r="92" spans="2:20">
      <c r="B92" s="380"/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0"/>
      <c r="N92" s="380"/>
      <c r="O92" s="380"/>
      <c r="P92" s="380"/>
      <c r="Q92" s="380"/>
      <c r="R92" s="380"/>
      <c r="S92" s="380"/>
      <c r="T92" s="380"/>
    </row>
    <row r="93" spans="2:20">
      <c r="B93" s="380"/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0"/>
      <c r="N93" s="380"/>
      <c r="O93" s="380"/>
      <c r="P93" s="380"/>
      <c r="Q93" s="380"/>
      <c r="R93" s="380"/>
      <c r="S93" s="380"/>
      <c r="T93" s="380"/>
    </row>
    <row r="94" spans="2:20">
      <c r="B94" s="380"/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0"/>
      <c r="N94" s="380"/>
      <c r="O94" s="380"/>
      <c r="P94" s="380"/>
      <c r="Q94" s="380"/>
      <c r="R94" s="380"/>
      <c r="S94" s="380"/>
      <c r="T94" s="380"/>
    </row>
    <row r="95" spans="2:20">
      <c r="B95" s="380"/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0"/>
      <c r="N95" s="380"/>
      <c r="O95" s="380"/>
      <c r="P95" s="380"/>
      <c r="Q95" s="380"/>
      <c r="R95" s="380"/>
      <c r="S95" s="380"/>
      <c r="T95" s="380"/>
    </row>
    <row r="96" spans="2:20">
      <c r="B96" s="380"/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0"/>
      <c r="N96" s="380"/>
      <c r="O96" s="380"/>
      <c r="P96" s="380"/>
      <c r="Q96" s="380"/>
      <c r="R96" s="380"/>
      <c r="S96" s="380"/>
      <c r="T96" s="380"/>
    </row>
    <row r="97" spans="2:20">
      <c r="B97" s="380"/>
      <c r="C97" s="380"/>
      <c r="D97" s="380"/>
      <c r="E97" s="380"/>
      <c r="F97" s="380"/>
      <c r="G97" s="380"/>
      <c r="H97" s="380"/>
      <c r="I97" s="380"/>
      <c r="J97" s="380"/>
      <c r="K97" s="380"/>
      <c r="L97" s="380"/>
      <c r="M97" s="380"/>
      <c r="N97" s="380"/>
      <c r="O97" s="380"/>
      <c r="P97" s="380"/>
      <c r="Q97" s="380"/>
      <c r="R97" s="380"/>
      <c r="S97" s="380"/>
      <c r="T97" s="380"/>
    </row>
    <row r="98" spans="2:20">
      <c r="B98" s="380"/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0"/>
      <c r="N98" s="380"/>
      <c r="O98" s="380"/>
      <c r="P98" s="380"/>
      <c r="Q98" s="380"/>
      <c r="R98" s="380"/>
      <c r="S98" s="380"/>
      <c r="T98" s="380"/>
    </row>
    <row r="99" spans="2:20">
      <c r="B99" s="380"/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0"/>
      <c r="N99" s="380"/>
      <c r="O99" s="380"/>
      <c r="P99" s="380"/>
      <c r="Q99" s="380"/>
      <c r="R99" s="380"/>
      <c r="S99" s="380"/>
      <c r="T99" s="380"/>
    </row>
    <row r="100" spans="2:20">
      <c r="B100" s="380"/>
      <c r="C100" s="380"/>
      <c r="D100" s="380"/>
      <c r="E100" s="380"/>
      <c r="F100" s="380"/>
      <c r="G100" s="380"/>
      <c r="H100" s="380"/>
      <c r="I100" s="380"/>
      <c r="J100" s="380"/>
      <c r="K100" s="380"/>
      <c r="L100" s="380"/>
      <c r="M100" s="380"/>
      <c r="N100" s="380"/>
      <c r="O100" s="380"/>
      <c r="P100" s="380"/>
      <c r="Q100" s="380"/>
      <c r="R100" s="380"/>
      <c r="S100" s="380"/>
      <c r="T100" s="380"/>
    </row>
    <row r="101" spans="2:20">
      <c r="B101" s="380"/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0"/>
      <c r="N101" s="380"/>
      <c r="O101" s="380"/>
      <c r="P101" s="380"/>
      <c r="Q101" s="380"/>
      <c r="R101" s="380"/>
      <c r="S101" s="380"/>
      <c r="T101" s="380"/>
    </row>
    <row r="102" spans="2:20">
      <c r="B102" s="380"/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0"/>
      <c r="N102" s="380"/>
      <c r="O102" s="380"/>
      <c r="P102" s="380"/>
      <c r="Q102" s="380"/>
      <c r="R102" s="380"/>
      <c r="S102" s="380"/>
      <c r="T102" s="380"/>
    </row>
    <row r="103" spans="2:20">
      <c r="B103" s="380"/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0"/>
      <c r="N103" s="380"/>
      <c r="O103" s="380"/>
      <c r="P103" s="380"/>
      <c r="Q103" s="380"/>
      <c r="R103" s="380"/>
      <c r="S103" s="380"/>
      <c r="T103" s="380"/>
    </row>
    <row r="104" spans="2:20">
      <c r="B104" s="380"/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</row>
    <row r="105" spans="2:20">
      <c r="B105" s="380"/>
      <c r="C105" s="380"/>
      <c r="D105" s="380"/>
      <c r="E105" s="380"/>
      <c r="F105" s="380"/>
      <c r="G105" s="380"/>
      <c r="H105" s="380"/>
      <c r="I105" s="380"/>
      <c r="J105" s="380"/>
      <c r="K105" s="380"/>
      <c r="L105" s="380"/>
      <c r="M105" s="380"/>
      <c r="N105" s="380"/>
      <c r="O105" s="380"/>
      <c r="P105" s="380"/>
      <c r="Q105" s="380"/>
      <c r="R105" s="380"/>
      <c r="S105" s="380"/>
      <c r="T105" s="380"/>
    </row>
    <row r="106" spans="2:20">
      <c r="B106" s="380"/>
      <c r="C106" s="380"/>
      <c r="D106" s="380"/>
      <c r="E106" s="380"/>
      <c r="F106" s="380"/>
      <c r="G106" s="380"/>
      <c r="H106" s="380"/>
      <c r="I106" s="380"/>
      <c r="J106" s="380"/>
      <c r="K106" s="380"/>
      <c r="L106" s="380"/>
      <c r="M106" s="380"/>
      <c r="N106" s="380"/>
      <c r="O106" s="380"/>
      <c r="P106" s="380"/>
      <c r="Q106" s="380"/>
      <c r="R106" s="380"/>
      <c r="S106" s="380"/>
      <c r="T106" s="380"/>
    </row>
    <row r="107" spans="2:20">
      <c r="B107" s="380"/>
      <c r="C107" s="380"/>
      <c r="D107" s="380"/>
      <c r="E107" s="380"/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/>
      <c r="R107" s="380"/>
      <c r="S107" s="380"/>
      <c r="T107" s="380"/>
    </row>
    <row r="108" spans="2:20">
      <c r="B108" s="380"/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0"/>
      <c r="N108" s="380"/>
      <c r="O108" s="380"/>
      <c r="P108" s="380"/>
      <c r="Q108" s="380"/>
      <c r="R108" s="380"/>
      <c r="S108" s="380"/>
      <c r="T108" s="380"/>
    </row>
    <row r="109" spans="2:20">
      <c r="B109" s="380"/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0"/>
      <c r="N109" s="380"/>
      <c r="O109" s="380"/>
      <c r="P109" s="380"/>
      <c r="Q109" s="380"/>
      <c r="R109" s="380"/>
      <c r="S109" s="380"/>
      <c r="T109" s="380"/>
    </row>
    <row r="110" spans="2:20">
      <c r="B110" s="380"/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0"/>
      <c r="N110" s="380"/>
      <c r="O110" s="380"/>
      <c r="P110" s="380"/>
      <c r="Q110" s="380"/>
      <c r="R110" s="380"/>
      <c r="S110" s="380"/>
      <c r="T110" s="380"/>
    </row>
    <row r="111" spans="2:20">
      <c r="B111" s="380"/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0"/>
      <c r="N111" s="380"/>
      <c r="O111" s="380"/>
      <c r="P111" s="380"/>
      <c r="Q111" s="380"/>
      <c r="R111" s="380"/>
      <c r="S111" s="380"/>
      <c r="T111" s="380"/>
    </row>
    <row r="112" spans="2:20">
      <c r="B112" s="380"/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0"/>
      <c r="N112" s="380"/>
      <c r="O112" s="380"/>
      <c r="P112" s="380"/>
      <c r="Q112" s="380"/>
      <c r="R112" s="380"/>
      <c r="S112" s="380"/>
      <c r="T112" s="380"/>
    </row>
    <row r="113" spans="2:20">
      <c r="B113" s="380"/>
      <c r="C113" s="380"/>
      <c r="D113" s="380"/>
      <c r="E113" s="380"/>
      <c r="F113" s="380"/>
      <c r="G113" s="380"/>
      <c r="H113" s="380"/>
      <c r="I113" s="380"/>
      <c r="J113" s="380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</row>
    <row r="114" spans="2:20">
      <c r="B114" s="380"/>
      <c r="C114" s="380"/>
      <c r="D114" s="380"/>
      <c r="E114" s="380"/>
      <c r="F114" s="380"/>
      <c r="G114" s="380"/>
      <c r="H114" s="380"/>
      <c r="I114" s="380"/>
      <c r="J114" s="380"/>
      <c r="K114" s="380"/>
      <c r="L114" s="380"/>
      <c r="M114" s="380"/>
      <c r="N114" s="380"/>
      <c r="O114" s="380"/>
      <c r="P114" s="380"/>
      <c r="Q114" s="380"/>
      <c r="R114" s="380"/>
      <c r="S114" s="380"/>
      <c r="T114" s="380"/>
    </row>
    <row r="115" spans="2:20">
      <c r="B115" s="380"/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0"/>
      <c r="N115" s="380"/>
      <c r="O115" s="380"/>
      <c r="P115" s="380"/>
      <c r="Q115" s="380"/>
      <c r="R115" s="380"/>
      <c r="S115" s="380"/>
      <c r="T115" s="380"/>
    </row>
    <row r="116" spans="2:20"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</row>
    <row r="117" spans="2:20">
      <c r="B117" s="380"/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0"/>
      <c r="N117" s="380"/>
      <c r="O117" s="380"/>
      <c r="P117" s="380"/>
      <c r="Q117" s="380"/>
      <c r="R117" s="380"/>
      <c r="S117" s="380"/>
      <c r="T117" s="380"/>
    </row>
    <row r="118" spans="2:20">
      <c r="B118" s="380"/>
      <c r="C118" s="380"/>
      <c r="D118" s="380"/>
      <c r="E118" s="380"/>
      <c r="F118" s="380"/>
      <c r="G118" s="380"/>
      <c r="H118" s="380"/>
      <c r="I118" s="380"/>
      <c r="J118" s="380"/>
      <c r="K118" s="380"/>
      <c r="L118" s="380"/>
      <c r="M118" s="380"/>
      <c r="N118" s="380"/>
      <c r="O118" s="380"/>
      <c r="P118" s="380"/>
      <c r="Q118" s="380"/>
      <c r="R118" s="380"/>
      <c r="S118" s="380"/>
      <c r="T118" s="380"/>
    </row>
    <row r="119" spans="2:20">
      <c r="B119" s="380"/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</row>
    <row r="120" spans="2:20">
      <c r="B120" s="380"/>
      <c r="C120" s="380"/>
      <c r="D120" s="380"/>
      <c r="E120" s="380"/>
      <c r="F120" s="380"/>
      <c r="G120" s="380"/>
      <c r="H120" s="380"/>
      <c r="I120" s="380"/>
      <c r="J120" s="380"/>
      <c r="K120" s="380"/>
      <c r="L120" s="380"/>
      <c r="M120" s="380"/>
      <c r="N120" s="380"/>
      <c r="O120" s="380"/>
      <c r="P120" s="380"/>
      <c r="Q120" s="380"/>
      <c r="R120" s="380"/>
      <c r="S120" s="380"/>
      <c r="T120" s="380"/>
    </row>
    <row r="121" spans="2:20"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  <c r="Q121" s="380"/>
      <c r="R121" s="380"/>
      <c r="S121" s="380"/>
      <c r="T121" s="380"/>
    </row>
    <row r="122" spans="2:20">
      <c r="B122" s="380"/>
      <c r="C122" s="380"/>
      <c r="D122" s="380"/>
      <c r="E122" s="380"/>
      <c r="F122" s="380"/>
      <c r="G122" s="380"/>
      <c r="H122" s="380"/>
      <c r="I122" s="380"/>
      <c r="J122" s="380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</row>
    <row r="123" spans="2:20">
      <c r="B123" s="380"/>
      <c r="C123" s="380"/>
      <c r="D123" s="380"/>
      <c r="E123" s="380"/>
      <c r="F123" s="380"/>
      <c r="G123" s="380"/>
      <c r="H123" s="380"/>
      <c r="I123" s="380"/>
      <c r="J123" s="380"/>
      <c r="K123" s="380"/>
      <c r="L123" s="380"/>
      <c r="M123" s="380"/>
      <c r="N123" s="380"/>
      <c r="O123" s="380"/>
      <c r="P123" s="380"/>
      <c r="Q123" s="380"/>
      <c r="R123" s="380"/>
      <c r="S123" s="380"/>
      <c r="T123" s="380"/>
    </row>
    <row r="124" spans="2:20">
      <c r="B124" s="380"/>
      <c r="C124" s="380"/>
      <c r="D124" s="380"/>
      <c r="E124" s="380"/>
      <c r="F124" s="380"/>
      <c r="G124" s="380"/>
      <c r="H124" s="380"/>
      <c r="I124" s="380"/>
      <c r="J124" s="380"/>
      <c r="K124" s="380"/>
      <c r="L124" s="380"/>
      <c r="M124" s="380"/>
      <c r="N124" s="380"/>
      <c r="O124" s="380"/>
      <c r="P124" s="380"/>
      <c r="Q124" s="380"/>
      <c r="R124" s="380"/>
      <c r="S124" s="380"/>
      <c r="T124" s="380"/>
    </row>
    <row r="125" spans="2:20">
      <c r="B125" s="380"/>
      <c r="C125" s="380"/>
      <c r="D125" s="380"/>
      <c r="E125" s="380"/>
      <c r="F125" s="380"/>
      <c r="G125" s="380"/>
      <c r="H125" s="380"/>
      <c r="I125" s="380"/>
      <c r="J125" s="380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</row>
    <row r="126" spans="2:20">
      <c r="B126" s="380"/>
      <c r="C126" s="380"/>
      <c r="D126" s="380"/>
      <c r="E126" s="380"/>
      <c r="F126" s="380"/>
      <c r="G126" s="380"/>
      <c r="H126" s="380"/>
      <c r="I126" s="380"/>
      <c r="J126" s="380"/>
      <c r="K126" s="380"/>
      <c r="L126" s="380"/>
      <c r="M126" s="380"/>
      <c r="N126" s="380"/>
      <c r="O126" s="380"/>
      <c r="P126" s="380"/>
      <c r="Q126" s="380"/>
      <c r="R126" s="380"/>
      <c r="S126" s="380"/>
      <c r="T126" s="380"/>
    </row>
    <row r="127" spans="2:20">
      <c r="B127" s="380"/>
      <c r="C127" s="380"/>
      <c r="D127" s="380"/>
      <c r="E127" s="380"/>
      <c r="F127" s="380"/>
      <c r="G127" s="380"/>
      <c r="H127" s="380"/>
      <c r="I127" s="380"/>
      <c r="J127" s="380"/>
      <c r="K127" s="380"/>
      <c r="L127" s="380"/>
      <c r="M127" s="380"/>
      <c r="N127" s="380"/>
      <c r="O127" s="380"/>
      <c r="P127" s="380"/>
      <c r="Q127" s="380"/>
      <c r="R127" s="380"/>
      <c r="S127" s="380"/>
      <c r="T127" s="380"/>
    </row>
    <row r="128" spans="2:20">
      <c r="B128" s="380"/>
      <c r="C128" s="380"/>
      <c r="D128" s="380"/>
      <c r="E128" s="380"/>
      <c r="F128" s="380"/>
      <c r="G128" s="380"/>
      <c r="H128" s="380"/>
      <c r="I128" s="380"/>
      <c r="J128" s="380"/>
      <c r="K128" s="380"/>
      <c r="L128" s="380"/>
      <c r="M128" s="380"/>
      <c r="N128" s="380"/>
      <c r="O128" s="380"/>
      <c r="P128" s="380"/>
      <c r="Q128" s="380"/>
      <c r="R128" s="380"/>
      <c r="S128" s="380"/>
      <c r="T128" s="380"/>
    </row>
    <row r="129" spans="2:20">
      <c r="B129" s="380"/>
      <c r="C129" s="380"/>
      <c r="D129" s="380"/>
      <c r="E129" s="380"/>
      <c r="F129" s="380"/>
      <c r="G129" s="380"/>
      <c r="H129" s="380"/>
      <c r="I129" s="380"/>
      <c r="J129" s="380"/>
      <c r="K129" s="380"/>
      <c r="L129" s="380"/>
      <c r="M129" s="380"/>
      <c r="N129" s="380"/>
      <c r="O129" s="380"/>
      <c r="P129" s="380"/>
      <c r="Q129" s="380"/>
      <c r="R129" s="380"/>
      <c r="S129" s="380"/>
      <c r="T129" s="380"/>
    </row>
    <row r="130" spans="2:20">
      <c r="B130" s="380"/>
      <c r="C130" s="380"/>
      <c r="D130" s="380"/>
      <c r="E130" s="380"/>
      <c r="F130" s="380"/>
      <c r="G130" s="380"/>
      <c r="H130" s="380"/>
      <c r="I130" s="380"/>
      <c r="J130" s="380"/>
      <c r="K130" s="380"/>
      <c r="L130" s="380"/>
      <c r="M130" s="380"/>
      <c r="N130" s="380"/>
      <c r="O130" s="380"/>
      <c r="P130" s="380"/>
      <c r="Q130" s="380"/>
      <c r="R130" s="380"/>
      <c r="S130" s="380"/>
      <c r="T130" s="380"/>
    </row>
    <row r="131" spans="2:20">
      <c r="B131" s="380"/>
      <c r="C131" s="380"/>
      <c r="D131" s="380"/>
      <c r="E131" s="380"/>
      <c r="F131" s="380"/>
      <c r="G131" s="380"/>
      <c r="H131" s="380"/>
      <c r="I131" s="380"/>
      <c r="J131" s="380"/>
      <c r="K131" s="380"/>
      <c r="L131" s="380"/>
      <c r="M131" s="380"/>
      <c r="N131" s="380"/>
      <c r="O131" s="380"/>
      <c r="P131" s="380"/>
      <c r="Q131" s="380"/>
      <c r="R131" s="380"/>
      <c r="S131" s="380"/>
      <c r="T131" s="380"/>
    </row>
    <row r="132" spans="2:20">
      <c r="B132" s="380"/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0"/>
      <c r="N132" s="380"/>
      <c r="O132" s="380"/>
      <c r="P132" s="380"/>
      <c r="Q132" s="380"/>
      <c r="R132" s="380"/>
      <c r="S132" s="380"/>
      <c r="T132" s="380"/>
    </row>
    <row r="133" spans="2:20">
      <c r="B133" s="380"/>
      <c r="C133" s="380"/>
      <c r="D133" s="380"/>
      <c r="E133" s="380"/>
      <c r="F133" s="380"/>
      <c r="G133" s="380"/>
      <c r="H133" s="380"/>
      <c r="I133" s="380"/>
      <c r="J133" s="380"/>
      <c r="K133" s="380"/>
      <c r="L133" s="380"/>
      <c r="M133" s="380"/>
      <c r="N133" s="380"/>
      <c r="O133" s="380"/>
      <c r="P133" s="380"/>
      <c r="Q133" s="380"/>
      <c r="R133" s="380"/>
      <c r="S133" s="380"/>
      <c r="T133" s="380"/>
    </row>
    <row r="134" spans="2:20">
      <c r="B134" s="380"/>
      <c r="C134" s="380"/>
      <c r="D134" s="380"/>
      <c r="E134" s="380"/>
      <c r="F134" s="380"/>
      <c r="G134" s="380"/>
      <c r="H134" s="380"/>
      <c r="I134" s="380"/>
      <c r="J134" s="380"/>
      <c r="K134" s="380"/>
      <c r="L134" s="380"/>
      <c r="M134" s="380"/>
      <c r="N134" s="380"/>
      <c r="O134" s="380"/>
      <c r="P134" s="380"/>
      <c r="Q134" s="380"/>
      <c r="R134" s="380"/>
      <c r="S134" s="380"/>
      <c r="T134" s="380"/>
    </row>
    <row r="135" spans="2:20">
      <c r="B135" s="380"/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0"/>
      <c r="N135" s="380"/>
      <c r="O135" s="380"/>
      <c r="P135" s="380"/>
      <c r="Q135" s="380"/>
      <c r="R135" s="380"/>
      <c r="S135" s="380"/>
      <c r="T135" s="380"/>
    </row>
    <row r="136" spans="2:20">
      <c r="B136" s="380"/>
      <c r="C136" s="380"/>
      <c r="D136" s="380"/>
      <c r="E136" s="380"/>
      <c r="F136" s="380"/>
      <c r="G136" s="380"/>
      <c r="H136" s="380"/>
      <c r="I136" s="380"/>
      <c r="J136" s="380"/>
      <c r="K136" s="380"/>
      <c r="L136" s="380"/>
      <c r="M136" s="380"/>
      <c r="N136" s="380"/>
      <c r="O136" s="380"/>
      <c r="P136" s="380"/>
      <c r="Q136" s="380"/>
      <c r="R136" s="380"/>
      <c r="S136" s="380"/>
      <c r="T136" s="380"/>
    </row>
    <row r="137" spans="2:20">
      <c r="B137" s="380"/>
      <c r="C137" s="380"/>
      <c r="D137" s="380"/>
      <c r="E137" s="380"/>
      <c r="F137" s="380"/>
      <c r="G137" s="380"/>
      <c r="H137" s="380"/>
      <c r="I137" s="380"/>
      <c r="J137" s="380"/>
      <c r="K137" s="380"/>
      <c r="L137" s="380"/>
      <c r="M137" s="380"/>
      <c r="N137" s="380"/>
      <c r="O137" s="380"/>
      <c r="P137" s="380"/>
      <c r="Q137" s="380"/>
      <c r="R137" s="380"/>
      <c r="S137" s="380"/>
      <c r="T137" s="380"/>
    </row>
    <row r="138" spans="2:20">
      <c r="B138" s="380"/>
      <c r="C138" s="380"/>
      <c r="D138" s="380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0"/>
      <c r="P138" s="380"/>
      <c r="Q138" s="380"/>
      <c r="R138" s="380"/>
      <c r="S138" s="380"/>
      <c r="T138" s="380"/>
    </row>
    <row r="139" spans="2:20">
      <c r="B139" s="380"/>
      <c r="C139" s="380"/>
      <c r="D139" s="380"/>
      <c r="E139" s="380"/>
      <c r="F139" s="380"/>
      <c r="G139" s="380"/>
      <c r="H139" s="380"/>
      <c r="I139" s="380"/>
      <c r="J139" s="380"/>
      <c r="K139" s="380"/>
      <c r="L139" s="380"/>
      <c r="M139" s="380"/>
      <c r="N139" s="380"/>
      <c r="O139" s="380"/>
      <c r="P139" s="380"/>
      <c r="Q139" s="380"/>
      <c r="R139" s="380"/>
      <c r="S139" s="380"/>
      <c r="T139" s="380"/>
    </row>
    <row r="140" spans="2:20">
      <c r="B140" s="380"/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0"/>
      <c r="N140" s="380"/>
      <c r="O140" s="380"/>
      <c r="P140" s="380"/>
      <c r="Q140" s="380"/>
      <c r="R140" s="380"/>
      <c r="S140" s="380"/>
      <c r="T140" s="380"/>
    </row>
    <row r="141" spans="2:20">
      <c r="B141" s="380"/>
      <c r="C141" s="380"/>
      <c r="D141" s="380"/>
      <c r="E141" s="380"/>
      <c r="F141" s="380"/>
      <c r="G141" s="380"/>
      <c r="H141" s="380"/>
      <c r="I141" s="380"/>
      <c r="J141" s="380"/>
      <c r="K141" s="380"/>
      <c r="L141" s="380"/>
      <c r="M141" s="380"/>
      <c r="N141" s="380"/>
      <c r="O141" s="380"/>
      <c r="P141" s="380"/>
      <c r="Q141" s="380"/>
      <c r="R141" s="380"/>
      <c r="S141" s="380"/>
      <c r="T141" s="380"/>
    </row>
    <row r="142" spans="2:20">
      <c r="B142" s="380"/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0"/>
      <c r="N142" s="380"/>
      <c r="O142" s="380"/>
      <c r="P142" s="380"/>
      <c r="Q142" s="380"/>
      <c r="R142" s="380"/>
      <c r="S142" s="380"/>
      <c r="T142" s="380"/>
    </row>
    <row r="143" spans="2:20">
      <c r="B143" s="380"/>
      <c r="C143" s="380"/>
      <c r="D143" s="380"/>
      <c r="E143" s="380"/>
      <c r="F143" s="380"/>
      <c r="G143" s="380"/>
      <c r="H143" s="380"/>
      <c r="I143" s="380"/>
      <c r="J143" s="380"/>
      <c r="K143" s="380"/>
      <c r="L143" s="380"/>
      <c r="M143" s="380"/>
      <c r="N143" s="380"/>
      <c r="O143" s="380"/>
      <c r="P143" s="380"/>
      <c r="Q143" s="380"/>
      <c r="R143" s="380"/>
      <c r="S143" s="380"/>
      <c r="T143" s="380"/>
    </row>
    <row r="144" spans="2:20">
      <c r="B144" s="380"/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0"/>
      <c r="N144" s="380"/>
      <c r="O144" s="380"/>
      <c r="P144" s="380"/>
      <c r="Q144" s="380"/>
      <c r="R144" s="380"/>
      <c r="S144" s="380"/>
      <c r="T144" s="380"/>
    </row>
    <row r="145" spans="2:20">
      <c r="B145" s="380"/>
      <c r="C145" s="380"/>
      <c r="D145" s="380"/>
      <c r="E145" s="380"/>
      <c r="F145" s="380"/>
      <c r="G145" s="380"/>
      <c r="H145" s="380"/>
      <c r="I145" s="380"/>
      <c r="J145" s="380"/>
      <c r="K145" s="380"/>
      <c r="L145" s="380"/>
      <c r="M145" s="380"/>
      <c r="N145" s="380"/>
      <c r="O145" s="380"/>
      <c r="P145" s="380"/>
      <c r="Q145" s="380"/>
      <c r="R145" s="380"/>
      <c r="S145" s="380"/>
      <c r="T145" s="380"/>
    </row>
    <row r="146" spans="2:20">
      <c r="B146" s="380"/>
      <c r="C146" s="380"/>
      <c r="D146" s="380"/>
      <c r="E146" s="380"/>
      <c r="F146" s="380"/>
      <c r="G146" s="380"/>
      <c r="H146" s="380"/>
      <c r="I146" s="380"/>
      <c r="J146" s="380"/>
      <c r="K146" s="380"/>
      <c r="L146" s="380"/>
      <c r="M146" s="380"/>
      <c r="N146" s="380"/>
      <c r="O146" s="380"/>
      <c r="P146" s="380"/>
      <c r="Q146" s="380"/>
      <c r="R146" s="380"/>
      <c r="S146" s="380"/>
      <c r="T146" s="380"/>
    </row>
    <row r="147" spans="2:20"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  <c r="O147" s="380"/>
      <c r="P147" s="380"/>
      <c r="Q147" s="380"/>
      <c r="R147" s="380"/>
      <c r="S147" s="380"/>
      <c r="T147" s="380"/>
    </row>
    <row r="148" spans="2:20"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  <c r="O148" s="380"/>
      <c r="P148" s="380"/>
      <c r="Q148" s="380"/>
      <c r="R148" s="380"/>
      <c r="S148" s="380"/>
      <c r="T148" s="380"/>
    </row>
    <row r="149" spans="2:20"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  <c r="O149" s="380"/>
      <c r="P149" s="380"/>
      <c r="Q149" s="380"/>
      <c r="R149" s="380"/>
      <c r="S149" s="380"/>
      <c r="T149" s="380"/>
    </row>
    <row r="150" spans="2:20"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  <c r="O150" s="380"/>
      <c r="P150" s="380"/>
      <c r="Q150" s="380"/>
      <c r="R150" s="380"/>
      <c r="S150" s="380"/>
      <c r="T150" s="380"/>
    </row>
    <row r="151" spans="2:20"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  <c r="O151" s="380"/>
      <c r="P151" s="380"/>
      <c r="Q151" s="380"/>
      <c r="R151" s="380"/>
      <c r="S151" s="380"/>
      <c r="T151" s="380"/>
    </row>
    <row r="152" spans="2:20"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  <c r="Q152" s="380"/>
      <c r="R152" s="380"/>
      <c r="S152" s="380"/>
      <c r="T152" s="380"/>
    </row>
    <row r="153" spans="2:20"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  <c r="O153" s="380"/>
      <c r="P153" s="380"/>
      <c r="Q153" s="380"/>
      <c r="R153" s="380"/>
      <c r="S153" s="380"/>
      <c r="T153" s="380"/>
    </row>
    <row r="154" spans="2:20"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  <c r="O154" s="380"/>
      <c r="P154" s="380"/>
      <c r="Q154" s="380"/>
      <c r="R154" s="380"/>
      <c r="S154" s="380"/>
      <c r="T154" s="380"/>
    </row>
    <row r="155" spans="2:20"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  <c r="O155" s="380"/>
      <c r="P155" s="380"/>
      <c r="Q155" s="380"/>
      <c r="R155" s="380"/>
      <c r="S155" s="380"/>
      <c r="T155" s="380"/>
    </row>
    <row r="156" spans="2:20"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  <c r="O156" s="380"/>
      <c r="P156" s="380"/>
      <c r="Q156" s="380"/>
      <c r="R156" s="380"/>
      <c r="S156" s="380"/>
      <c r="T156" s="380"/>
    </row>
    <row r="157" spans="2:20"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  <c r="Q157" s="380"/>
      <c r="R157" s="380"/>
      <c r="S157" s="380"/>
      <c r="T157" s="380"/>
    </row>
    <row r="158" spans="2:20"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  <c r="O158" s="380"/>
      <c r="P158" s="380"/>
      <c r="Q158" s="380"/>
      <c r="R158" s="380"/>
      <c r="S158" s="380"/>
      <c r="T158" s="380"/>
    </row>
    <row r="159" spans="2:20"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380"/>
      <c r="Q159" s="380"/>
      <c r="R159" s="380"/>
      <c r="S159" s="380"/>
      <c r="T159" s="380"/>
    </row>
    <row r="160" spans="2:20"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  <c r="O160" s="380"/>
      <c r="P160" s="380"/>
      <c r="Q160" s="380"/>
      <c r="R160" s="380"/>
      <c r="S160" s="380"/>
      <c r="T160" s="380"/>
    </row>
    <row r="161" spans="2:20"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  <c r="O161" s="380"/>
      <c r="P161" s="380"/>
      <c r="Q161" s="380"/>
      <c r="R161" s="380"/>
      <c r="S161" s="380"/>
      <c r="T161" s="380"/>
    </row>
    <row r="162" spans="2:20"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  <c r="O162" s="380"/>
      <c r="P162" s="380"/>
      <c r="Q162" s="380"/>
      <c r="R162" s="380"/>
      <c r="S162" s="380"/>
      <c r="T162" s="380"/>
    </row>
    <row r="163" spans="2:20">
      <c r="B163" s="380"/>
      <c r="C163" s="380"/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  <c r="O163" s="380"/>
      <c r="P163" s="380"/>
      <c r="Q163" s="380"/>
      <c r="R163" s="380"/>
      <c r="S163" s="380"/>
      <c r="T163" s="380"/>
    </row>
    <row r="164" spans="2:20">
      <c r="B164" s="380"/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0"/>
      <c r="N164" s="380"/>
      <c r="O164" s="380"/>
      <c r="P164" s="380"/>
      <c r="Q164" s="380"/>
      <c r="R164" s="380"/>
      <c r="S164" s="380"/>
      <c r="T164" s="380"/>
    </row>
    <row r="165" spans="2:20">
      <c r="B165" s="380"/>
      <c r="C165" s="380"/>
      <c r="D165" s="380"/>
      <c r="E165" s="380"/>
      <c r="F165" s="380"/>
      <c r="G165" s="380"/>
      <c r="H165" s="380"/>
      <c r="I165" s="380"/>
      <c r="J165" s="380"/>
      <c r="K165" s="380"/>
      <c r="L165" s="380"/>
      <c r="M165" s="380"/>
      <c r="N165" s="380"/>
      <c r="O165" s="380"/>
      <c r="P165" s="380"/>
      <c r="Q165" s="380"/>
      <c r="R165" s="380"/>
      <c r="S165" s="380"/>
      <c r="T165" s="380"/>
    </row>
    <row r="166" spans="2:20">
      <c r="B166" s="380"/>
      <c r="C166" s="380"/>
      <c r="D166" s="380"/>
      <c r="E166" s="380"/>
      <c r="F166" s="380"/>
      <c r="G166" s="380"/>
      <c r="H166" s="380"/>
      <c r="I166" s="380"/>
      <c r="J166" s="380"/>
      <c r="K166" s="380"/>
      <c r="L166" s="380"/>
      <c r="M166" s="380"/>
      <c r="N166" s="380"/>
      <c r="O166" s="380"/>
      <c r="P166" s="380"/>
      <c r="Q166" s="380"/>
      <c r="R166" s="380"/>
      <c r="S166" s="380"/>
      <c r="T166" s="380"/>
    </row>
    <row r="167" spans="2:20">
      <c r="B167" s="380"/>
      <c r="C167" s="380"/>
      <c r="D167" s="380"/>
      <c r="E167" s="380"/>
      <c r="F167" s="380"/>
      <c r="G167" s="380"/>
      <c r="H167" s="380"/>
      <c r="I167" s="380"/>
      <c r="J167" s="380"/>
      <c r="K167" s="380"/>
      <c r="L167" s="380"/>
      <c r="M167" s="380"/>
      <c r="N167" s="380"/>
      <c r="O167" s="380"/>
      <c r="P167" s="380"/>
      <c r="Q167" s="380"/>
      <c r="R167" s="380"/>
      <c r="S167" s="380"/>
      <c r="T167" s="380"/>
    </row>
    <row r="168" spans="2:20">
      <c r="B168" s="380"/>
      <c r="C168" s="380"/>
      <c r="D168" s="380"/>
      <c r="E168" s="380"/>
      <c r="F168" s="380"/>
      <c r="G168" s="380"/>
      <c r="H168" s="380"/>
      <c r="I168" s="380"/>
      <c r="J168" s="380"/>
      <c r="K168" s="380"/>
      <c r="L168" s="380"/>
      <c r="M168" s="380"/>
      <c r="N168" s="380"/>
      <c r="O168" s="380"/>
      <c r="P168" s="380"/>
      <c r="Q168" s="380"/>
      <c r="R168" s="380"/>
      <c r="S168" s="380"/>
      <c r="T168" s="380"/>
    </row>
    <row r="169" spans="2:20">
      <c r="B169" s="380"/>
      <c r="C169" s="380"/>
      <c r="D169" s="380"/>
      <c r="E169" s="380"/>
      <c r="F169" s="380"/>
      <c r="G169" s="380"/>
      <c r="H169" s="380"/>
      <c r="I169" s="380"/>
      <c r="J169" s="380"/>
      <c r="K169" s="380"/>
      <c r="L169" s="380"/>
      <c r="M169" s="380"/>
      <c r="N169" s="380"/>
      <c r="O169" s="380"/>
      <c r="P169" s="380"/>
      <c r="Q169" s="380"/>
      <c r="R169" s="380"/>
      <c r="S169" s="380"/>
      <c r="T169" s="380"/>
    </row>
    <row r="170" spans="2:20">
      <c r="B170" s="380"/>
      <c r="C170" s="380"/>
      <c r="D170" s="380"/>
      <c r="E170" s="380"/>
      <c r="F170" s="380"/>
      <c r="G170" s="380"/>
      <c r="H170" s="380"/>
      <c r="I170" s="380"/>
      <c r="J170" s="380"/>
      <c r="K170" s="380"/>
      <c r="L170" s="380"/>
      <c r="M170" s="380"/>
      <c r="N170" s="380"/>
      <c r="O170" s="380"/>
      <c r="P170" s="380"/>
      <c r="Q170" s="380"/>
      <c r="R170" s="380"/>
      <c r="S170" s="380"/>
      <c r="T170" s="380"/>
    </row>
    <row r="171" spans="2:20">
      <c r="B171" s="380"/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0"/>
      <c r="N171" s="380"/>
      <c r="O171" s="380"/>
      <c r="P171" s="380"/>
      <c r="Q171" s="380"/>
      <c r="R171" s="380"/>
      <c r="S171" s="380"/>
      <c r="T171" s="380"/>
    </row>
    <row r="172" spans="2:20">
      <c r="B172" s="380"/>
      <c r="C172" s="380"/>
      <c r="D172" s="380"/>
      <c r="E172" s="380"/>
      <c r="F172" s="380"/>
      <c r="G172" s="380"/>
      <c r="H172" s="380"/>
      <c r="I172" s="380"/>
      <c r="J172" s="380"/>
      <c r="K172" s="380"/>
      <c r="L172" s="380"/>
      <c r="M172" s="380"/>
      <c r="N172" s="380"/>
      <c r="O172" s="380"/>
      <c r="P172" s="380"/>
      <c r="Q172" s="380"/>
      <c r="R172" s="380"/>
      <c r="S172" s="380"/>
      <c r="T172" s="380"/>
    </row>
    <row r="173" spans="2:20">
      <c r="B173" s="380"/>
      <c r="C173" s="380"/>
      <c r="D173" s="380"/>
      <c r="E173" s="380"/>
      <c r="F173" s="380"/>
      <c r="G173" s="380"/>
      <c r="H173" s="380"/>
      <c r="I173" s="380"/>
      <c r="J173" s="380"/>
      <c r="K173" s="380"/>
      <c r="L173" s="380"/>
      <c r="M173" s="380"/>
      <c r="N173" s="380"/>
      <c r="O173" s="380"/>
      <c r="P173" s="380"/>
      <c r="Q173" s="380"/>
      <c r="R173" s="380"/>
      <c r="S173" s="380"/>
      <c r="T173" s="380"/>
    </row>
    <row r="174" spans="2:20">
      <c r="B174" s="380"/>
      <c r="C174" s="380"/>
      <c r="D174" s="380"/>
      <c r="E174" s="380"/>
      <c r="F174" s="380"/>
      <c r="G174" s="380"/>
      <c r="H174" s="380"/>
      <c r="I174" s="380"/>
      <c r="J174" s="380"/>
      <c r="K174" s="380"/>
      <c r="L174" s="380"/>
      <c r="M174" s="380"/>
      <c r="N174" s="380"/>
      <c r="O174" s="380"/>
      <c r="P174" s="380"/>
      <c r="Q174" s="380"/>
      <c r="R174" s="380"/>
      <c r="S174" s="380"/>
      <c r="T174" s="380"/>
    </row>
    <row r="175" spans="2:20">
      <c r="B175" s="380"/>
      <c r="C175" s="380"/>
      <c r="D175" s="380"/>
      <c r="E175" s="380"/>
      <c r="F175" s="380"/>
      <c r="G175" s="380"/>
      <c r="H175" s="380"/>
      <c r="I175" s="380"/>
      <c r="J175" s="380"/>
      <c r="K175" s="380"/>
      <c r="L175" s="380"/>
      <c r="M175" s="380"/>
      <c r="N175" s="380"/>
      <c r="O175" s="380"/>
      <c r="P175" s="380"/>
      <c r="Q175" s="380"/>
      <c r="R175" s="380"/>
      <c r="S175" s="380"/>
      <c r="T175" s="380"/>
    </row>
    <row r="176" spans="2:20">
      <c r="B176" s="380"/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0"/>
      <c r="N176" s="380"/>
      <c r="O176" s="380"/>
      <c r="P176" s="380"/>
      <c r="Q176" s="380"/>
      <c r="R176" s="380"/>
      <c r="S176" s="380"/>
      <c r="T176" s="380"/>
    </row>
    <row r="177" spans="2:20">
      <c r="B177" s="380"/>
      <c r="C177" s="380"/>
      <c r="D177" s="380"/>
      <c r="E177" s="380"/>
      <c r="F177" s="380"/>
      <c r="G177" s="380"/>
      <c r="H177" s="380"/>
      <c r="I177" s="380"/>
      <c r="J177" s="380"/>
      <c r="K177" s="380"/>
      <c r="L177" s="380"/>
      <c r="M177" s="380"/>
      <c r="N177" s="380"/>
      <c r="O177" s="380"/>
      <c r="P177" s="380"/>
      <c r="Q177" s="380"/>
      <c r="R177" s="380"/>
      <c r="S177" s="380"/>
      <c r="T177" s="380"/>
    </row>
    <row r="178" spans="2:20">
      <c r="B178" s="380"/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0"/>
      <c r="N178" s="380"/>
      <c r="O178" s="380"/>
      <c r="P178" s="380"/>
      <c r="Q178" s="380"/>
      <c r="R178" s="380"/>
      <c r="S178" s="380"/>
      <c r="T178" s="380"/>
    </row>
    <row r="179" spans="2:20">
      <c r="B179" s="380"/>
      <c r="C179" s="380"/>
      <c r="D179" s="380"/>
      <c r="E179" s="380"/>
      <c r="F179" s="380"/>
      <c r="G179" s="380"/>
      <c r="H179" s="380"/>
      <c r="I179" s="380"/>
      <c r="J179" s="380"/>
      <c r="K179" s="380"/>
      <c r="L179" s="380"/>
      <c r="M179" s="380"/>
      <c r="N179" s="380"/>
      <c r="O179" s="380"/>
      <c r="P179" s="380"/>
      <c r="Q179" s="380"/>
      <c r="R179" s="380"/>
      <c r="S179" s="380"/>
      <c r="T179" s="380"/>
    </row>
    <row r="180" spans="2:20">
      <c r="B180" s="380"/>
      <c r="C180" s="380"/>
      <c r="D180" s="380"/>
      <c r="E180" s="380"/>
      <c r="F180" s="380"/>
      <c r="G180" s="380"/>
      <c r="H180" s="380"/>
      <c r="I180" s="380"/>
      <c r="J180" s="380"/>
      <c r="K180" s="380"/>
      <c r="L180" s="380"/>
      <c r="M180" s="380"/>
      <c r="N180" s="380"/>
      <c r="O180" s="380"/>
      <c r="P180" s="380"/>
      <c r="Q180" s="380"/>
      <c r="R180" s="380"/>
      <c r="S180" s="380"/>
      <c r="T180" s="380"/>
    </row>
    <row r="181" spans="2:20">
      <c r="B181" s="380"/>
      <c r="C181" s="380"/>
      <c r="D181" s="380"/>
      <c r="E181" s="380"/>
      <c r="F181" s="380"/>
      <c r="G181" s="380"/>
      <c r="H181" s="380"/>
      <c r="I181" s="380"/>
      <c r="J181" s="380"/>
      <c r="K181" s="380"/>
      <c r="L181" s="380"/>
      <c r="M181" s="380"/>
      <c r="N181" s="380"/>
      <c r="O181" s="380"/>
      <c r="P181" s="380"/>
      <c r="Q181" s="380"/>
      <c r="R181" s="380"/>
      <c r="S181" s="380"/>
      <c r="T181" s="380"/>
    </row>
    <row r="182" spans="2:20">
      <c r="B182" s="380"/>
      <c r="C182" s="380"/>
      <c r="D182" s="380"/>
      <c r="E182" s="380"/>
      <c r="F182" s="380"/>
      <c r="G182" s="380"/>
      <c r="H182" s="380"/>
      <c r="I182" s="380"/>
      <c r="J182" s="380"/>
      <c r="K182" s="380"/>
      <c r="L182" s="380"/>
      <c r="M182" s="380"/>
      <c r="N182" s="380"/>
      <c r="O182" s="380"/>
      <c r="P182" s="380"/>
      <c r="Q182" s="380"/>
      <c r="R182" s="380"/>
      <c r="S182" s="380"/>
      <c r="T182" s="380"/>
    </row>
    <row r="183" spans="2:20">
      <c r="B183" s="380"/>
      <c r="C183" s="380"/>
      <c r="D183" s="380"/>
      <c r="E183" s="380"/>
      <c r="F183" s="380"/>
      <c r="G183" s="380"/>
      <c r="H183" s="380"/>
      <c r="I183" s="380"/>
      <c r="J183" s="380"/>
      <c r="K183" s="380"/>
      <c r="L183" s="380"/>
      <c r="M183" s="380"/>
      <c r="N183" s="380"/>
      <c r="O183" s="380"/>
      <c r="P183" s="380"/>
      <c r="Q183" s="380"/>
      <c r="R183" s="380"/>
      <c r="S183" s="380"/>
      <c r="T183" s="380"/>
    </row>
    <row r="184" spans="2:20">
      <c r="B184" s="380"/>
      <c r="C184" s="380"/>
      <c r="D184" s="380"/>
      <c r="E184" s="380"/>
      <c r="F184" s="380"/>
      <c r="G184" s="380"/>
      <c r="H184" s="380"/>
      <c r="I184" s="380"/>
      <c r="J184" s="380"/>
      <c r="K184" s="380"/>
      <c r="L184" s="380"/>
      <c r="M184" s="380"/>
      <c r="N184" s="380"/>
      <c r="O184" s="380"/>
      <c r="P184" s="380"/>
      <c r="Q184" s="380"/>
      <c r="R184" s="380"/>
      <c r="S184" s="380"/>
      <c r="T184" s="380"/>
    </row>
    <row r="185" spans="2:20">
      <c r="B185" s="380"/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0"/>
      <c r="N185" s="380"/>
      <c r="O185" s="380"/>
      <c r="P185" s="380"/>
      <c r="Q185" s="380"/>
      <c r="R185" s="380"/>
      <c r="S185" s="380"/>
      <c r="T185" s="380"/>
    </row>
    <row r="186" spans="2:20">
      <c r="B186" s="380"/>
      <c r="C186" s="380"/>
      <c r="D186" s="380"/>
      <c r="E186" s="380"/>
      <c r="F186" s="380"/>
      <c r="G186" s="380"/>
      <c r="H186" s="380"/>
      <c r="I186" s="380"/>
      <c r="J186" s="380"/>
      <c r="K186" s="380"/>
      <c r="L186" s="380"/>
      <c r="M186" s="380"/>
      <c r="N186" s="380"/>
      <c r="O186" s="380"/>
      <c r="P186" s="380"/>
      <c r="Q186" s="380"/>
      <c r="R186" s="380"/>
      <c r="S186" s="380"/>
      <c r="T186" s="380"/>
    </row>
    <row r="187" spans="2:20">
      <c r="B187" s="380"/>
      <c r="C187" s="380"/>
      <c r="D187" s="380"/>
      <c r="E187" s="380"/>
      <c r="F187" s="380"/>
      <c r="G187" s="380"/>
      <c r="H187" s="380"/>
      <c r="I187" s="380"/>
      <c r="J187" s="380"/>
      <c r="K187" s="380"/>
      <c r="L187" s="380"/>
      <c r="M187" s="380"/>
      <c r="N187" s="380"/>
      <c r="O187" s="380"/>
      <c r="P187" s="380"/>
      <c r="Q187" s="380"/>
      <c r="R187" s="380"/>
      <c r="S187" s="380"/>
      <c r="T187" s="380"/>
    </row>
    <row r="188" spans="2:20">
      <c r="B188" s="380"/>
      <c r="C188" s="380"/>
      <c r="D188" s="380"/>
      <c r="E188" s="380"/>
      <c r="F188" s="380"/>
      <c r="G188" s="380"/>
      <c r="H188" s="380"/>
      <c r="I188" s="380"/>
      <c r="J188" s="380"/>
      <c r="K188" s="380"/>
      <c r="L188" s="380"/>
      <c r="M188" s="380"/>
      <c r="N188" s="380"/>
      <c r="O188" s="380"/>
      <c r="P188" s="380"/>
      <c r="Q188" s="380"/>
      <c r="R188" s="380"/>
      <c r="S188" s="380"/>
      <c r="T188" s="380"/>
    </row>
    <row r="189" spans="2:20">
      <c r="B189" s="380"/>
      <c r="C189" s="380"/>
      <c r="D189" s="380"/>
      <c r="E189" s="380"/>
      <c r="F189" s="380"/>
      <c r="G189" s="380"/>
      <c r="H189" s="380"/>
      <c r="I189" s="380"/>
      <c r="J189" s="380"/>
      <c r="K189" s="380"/>
      <c r="L189" s="380"/>
      <c r="M189" s="380"/>
      <c r="N189" s="380"/>
      <c r="O189" s="380"/>
      <c r="P189" s="380"/>
      <c r="Q189" s="380"/>
      <c r="R189" s="380"/>
      <c r="S189" s="380"/>
      <c r="T189" s="380"/>
    </row>
    <row r="190" spans="2:20">
      <c r="B190" s="380"/>
      <c r="C190" s="380"/>
      <c r="D190" s="380"/>
      <c r="E190" s="380"/>
      <c r="F190" s="380"/>
      <c r="G190" s="380"/>
      <c r="H190" s="380"/>
      <c r="I190" s="380"/>
      <c r="J190" s="380"/>
      <c r="K190" s="380"/>
      <c r="L190" s="380"/>
      <c r="M190" s="380"/>
      <c r="N190" s="380"/>
      <c r="O190" s="380"/>
      <c r="P190" s="380"/>
      <c r="Q190" s="380"/>
      <c r="R190" s="380"/>
      <c r="S190" s="380"/>
      <c r="T190" s="380"/>
    </row>
    <row r="191" spans="2:20">
      <c r="B191" s="380"/>
      <c r="C191" s="380"/>
      <c r="D191" s="380"/>
      <c r="E191" s="380"/>
      <c r="F191" s="380"/>
      <c r="G191" s="380"/>
      <c r="H191" s="380"/>
      <c r="I191" s="380"/>
      <c r="J191" s="380"/>
      <c r="K191" s="380"/>
      <c r="L191" s="380"/>
      <c r="M191" s="380"/>
      <c r="N191" s="380"/>
      <c r="O191" s="380"/>
      <c r="P191" s="380"/>
      <c r="Q191" s="380"/>
      <c r="R191" s="380"/>
      <c r="S191" s="380"/>
      <c r="T191" s="380"/>
    </row>
    <row r="192" spans="2:20">
      <c r="B192" s="380"/>
      <c r="C192" s="380"/>
      <c r="D192" s="380"/>
      <c r="E192" s="380"/>
      <c r="F192" s="380"/>
      <c r="G192" s="380"/>
      <c r="H192" s="380"/>
      <c r="I192" s="380"/>
      <c r="J192" s="380"/>
      <c r="K192" s="380"/>
      <c r="L192" s="380"/>
      <c r="M192" s="380"/>
      <c r="N192" s="380"/>
      <c r="O192" s="380"/>
      <c r="P192" s="380"/>
      <c r="Q192" s="380"/>
      <c r="R192" s="380"/>
      <c r="S192" s="380"/>
      <c r="T192" s="380"/>
    </row>
    <row r="193" spans="2:20">
      <c r="B193" s="380"/>
      <c r="C193" s="380"/>
      <c r="D193" s="380"/>
      <c r="E193" s="380"/>
      <c r="F193" s="380"/>
      <c r="G193" s="380"/>
      <c r="H193" s="380"/>
      <c r="I193" s="380"/>
      <c r="J193" s="380"/>
      <c r="K193" s="380"/>
      <c r="L193" s="380"/>
      <c r="M193" s="380"/>
      <c r="N193" s="380"/>
      <c r="O193" s="380"/>
      <c r="P193" s="380"/>
      <c r="Q193" s="380"/>
      <c r="R193" s="380"/>
      <c r="S193" s="380"/>
      <c r="T193" s="380"/>
    </row>
    <row r="194" spans="2:20">
      <c r="B194" s="380"/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0"/>
      <c r="N194" s="380"/>
      <c r="O194" s="380"/>
      <c r="P194" s="380"/>
      <c r="Q194" s="380"/>
      <c r="R194" s="380"/>
      <c r="S194" s="380"/>
      <c r="T194" s="380"/>
    </row>
    <row r="195" spans="2:20">
      <c r="B195" s="380"/>
      <c r="C195" s="380"/>
      <c r="D195" s="380"/>
      <c r="E195" s="380"/>
      <c r="F195" s="380"/>
      <c r="G195" s="380"/>
      <c r="H195" s="380"/>
      <c r="I195" s="380"/>
      <c r="J195" s="380"/>
      <c r="K195" s="380"/>
      <c r="L195" s="380"/>
      <c r="M195" s="380"/>
      <c r="N195" s="380"/>
      <c r="O195" s="380"/>
      <c r="P195" s="380"/>
      <c r="Q195" s="380"/>
      <c r="R195" s="380"/>
      <c r="S195" s="380"/>
      <c r="T195" s="380"/>
    </row>
    <row r="196" spans="2:20">
      <c r="B196" s="380"/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0"/>
      <c r="N196" s="380"/>
      <c r="O196" s="380"/>
      <c r="P196" s="380"/>
      <c r="Q196" s="380"/>
      <c r="R196" s="380"/>
      <c r="S196" s="380"/>
      <c r="T196" s="380"/>
    </row>
    <row r="197" spans="2:20">
      <c r="B197" s="380"/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0"/>
      <c r="N197" s="380"/>
      <c r="O197" s="380"/>
      <c r="P197" s="380"/>
      <c r="Q197" s="380"/>
      <c r="R197" s="380"/>
      <c r="S197" s="380"/>
      <c r="T197" s="380"/>
    </row>
    <row r="198" spans="2:20">
      <c r="B198" s="380"/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0"/>
      <c r="N198" s="380"/>
      <c r="O198" s="380"/>
      <c r="P198" s="380"/>
      <c r="Q198" s="380"/>
      <c r="R198" s="380"/>
      <c r="S198" s="380"/>
      <c r="T198" s="380"/>
    </row>
    <row r="199" spans="2:20">
      <c r="B199" s="380"/>
      <c r="C199" s="380"/>
      <c r="D199" s="380"/>
      <c r="E199" s="380"/>
      <c r="F199" s="380"/>
      <c r="G199" s="380"/>
      <c r="H199" s="380"/>
      <c r="I199" s="380"/>
      <c r="J199" s="380"/>
      <c r="K199" s="380"/>
      <c r="L199" s="380"/>
      <c r="M199" s="380"/>
      <c r="N199" s="380"/>
      <c r="O199" s="380"/>
      <c r="P199" s="380"/>
      <c r="Q199" s="380"/>
      <c r="R199" s="380"/>
      <c r="S199" s="380"/>
      <c r="T199" s="380"/>
    </row>
    <row r="200" spans="2:20">
      <c r="B200" s="380"/>
      <c r="C200" s="380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</row>
    <row r="201" spans="2:20">
      <c r="B201" s="380"/>
      <c r="C201" s="380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0"/>
      <c r="T201" s="380"/>
    </row>
    <row r="202" spans="2:20">
      <c r="B202" s="380"/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0"/>
      <c r="T202" s="380"/>
    </row>
    <row r="203" spans="2:20">
      <c r="B203" s="380"/>
      <c r="C203" s="380"/>
      <c r="D203" s="380"/>
      <c r="E203" s="380"/>
      <c r="F203" s="380"/>
      <c r="G203" s="380"/>
      <c r="H203" s="380"/>
      <c r="I203" s="380"/>
      <c r="J203" s="380"/>
      <c r="K203" s="380"/>
      <c r="L203" s="380"/>
      <c r="M203" s="380"/>
      <c r="N203" s="380"/>
      <c r="O203" s="380"/>
      <c r="P203" s="380"/>
      <c r="Q203" s="380"/>
      <c r="R203" s="380"/>
      <c r="S203" s="380"/>
      <c r="T203" s="380"/>
    </row>
    <row r="204" spans="2:20">
      <c r="B204" s="380"/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0"/>
      <c r="N204" s="380"/>
      <c r="O204" s="380"/>
      <c r="P204" s="380"/>
      <c r="Q204" s="380"/>
      <c r="R204" s="380"/>
      <c r="S204" s="380"/>
      <c r="T204" s="380"/>
    </row>
    <row r="205" spans="2:20">
      <c r="B205" s="380"/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0"/>
      <c r="N205" s="380"/>
      <c r="O205" s="380"/>
      <c r="P205" s="380"/>
      <c r="Q205" s="380"/>
      <c r="R205" s="380"/>
      <c r="S205" s="380"/>
      <c r="T205" s="380"/>
    </row>
    <row r="206" spans="2:20">
      <c r="B206" s="380"/>
      <c r="C206" s="380"/>
      <c r="D206" s="380"/>
      <c r="E206" s="380"/>
      <c r="F206" s="380"/>
      <c r="G206" s="380"/>
      <c r="H206" s="380"/>
      <c r="I206" s="380"/>
      <c r="J206" s="380"/>
      <c r="K206" s="380"/>
      <c r="L206" s="380"/>
      <c r="M206" s="380"/>
      <c r="N206" s="380"/>
      <c r="O206" s="380"/>
      <c r="P206" s="380"/>
      <c r="Q206" s="380"/>
      <c r="R206" s="380"/>
      <c r="S206" s="380"/>
      <c r="T206" s="380"/>
    </row>
    <row r="207" spans="2:20">
      <c r="B207" s="380"/>
      <c r="C207" s="380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0"/>
      <c r="T207" s="380"/>
    </row>
    <row r="208" spans="2:20">
      <c r="B208" s="380"/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0"/>
      <c r="T208" s="380"/>
    </row>
    <row r="209" spans="2:20">
      <c r="B209" s="380"/>
      <c r="C209" s="380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0"/>
      <c r="T209" s="380"/>
    </row>
    <row r="210" spans="2:20">
      <c r="B210" s="380"/>
      <c r="C210" s="380"/>
      <c r="D210" s="380"/>
      <c r="E210" s="380"/>
      <c r="F210" s="380"/>
      <c r="G210" s="380"/>
      <c r="H210" s="380"/>
      <c r="I210" s="380"/>
      <c r="J210" s="380"/>
      <c r="K210" s="380"/>
      <c r="L210" s="380"/>
      <c r="M210" s="380"/>
      <c r="N210" s="380"/>
      <c r="O210" s="380"/>
      <c r="P210" s="380"/>
      <c r="Q210" s="380"/>
      <c r="R210" s="380"/>
      <c r="S210" s="380"/>
      <c r="T210" s="380"/>
    </row>
    <row r="211" spans="2:20">
      <c r="B211" s="380"/>
      <c r="C211" s="380"/>
      <c r="D211" s="380"/>
      <c r="E211" s="380"/>
      <c r="F211" s="380"/>
      <c r="G211" s="380"/>
      <c r="H211" s="380"/>
      <c r="I211" s="380"/>
      <c r="J211" s="380"/>
      <c r="K211" s="380"/>
      <c r="L211" s="380"/>
      <c r="M211" s="380"/>
      <c r="N211" s="380"/>
      <c r="O211" s="380"/>
      <c r="P211" s="380"/>
      <c r="Q211" s="380"/>
      <c r="R211" s="380"/>
      <c r="S211" s="380"/>
      <c r="T211" s="380"/>
    </row>
    <row r="212" spans="2:20">
      <c r="B212" s="380"/>
      <c r="C212" s="380"/>
      <c r="D212" s="380"/>
      <c r="E212" s="380"/>
      <c r="F212" s="380"/>
      <c r="G212" s="380"/>
      <c r="H212" s="380"/>
      <c r="I212" s="380"/>
      <c r="J212" s="380"/>
      <c r="K212" s="380"/>
      <c r="L212" s="380"/>
      <c r="M212" s="380"/>
      <c r="N212" s="380"/>
      <c r="O212" s="380"/>
      <c r="P212" s="380"/>
      <c r="Q212" s="380"/>
      <c r="R212" s="380"/>
      <c r="S212" s="380"/>
      <c r="T212" s="380"/>
    </row>
    <row r="213" spans="2:20">
      <c r="B213" s="380"/>
      <c r="C213" s="380"/>
      <c r="D213" s="380"/>
      <c r="E213" s="380"/>
      <c r="F213" s="380"/>
      <c r="G213" s="380"/>
      <c r="H213" s="380"/>
      <c r="I213" s="380"/>
      <c r="J213" s="380"/>
      <c r="K213" s="380"/>
      <c r="L213" s="380"/>
      <c r="M213" s="380"/>
      <c r="N213" s="380"/>
      <c r="O213" s="380"/>
      <c r="P213" s="380"/>
      <c r="Q213" s="380"/>
      <c r="R213" s="380"/>
      <c r="S213" s="380"/>
      <c r="T213" s="380"/>
    </row>
    <row r="214" spans="2:20">
      <c r="B214" s="380"/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0"/>
      <c r="T214" s="380"/>
    </row>
    <row r="215" spans="2:20">
      <c r="B215" s="380"/>
      <c r="C215" s="380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0"/>
      <c r="T215" s="380"/>
    </row>
    <row r="216" spans="2:20">
      <c r="B216" s="380"/>
      <c r="C216" s="380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0"/>
      <c r="T216" s="380"/>
    </row>
    <row r="217" spans="2:20">
      <c r="B217" s="380"/>
      <c r="C217" s="380"/>
      <c r="D217" s="380"/>
      <c r="E217" s="380"/>
      <c r="F217" s="380"/>
      <c r="G217" s="380"/>
      <c r="H217" s="380"/>
      <c r="I217" s="380"/>
      <c r="J217" s="380"/>
      <c r="K217" s="380"/>
      <c r="L217" s="380"/>
      <c r="M217" s="380"/>
      <c r="N217" s="380"/>
      <c r="O217" s="380"/>
      <c r="P217" s="380"/>
      <c r="Q217" s="380"/>
      <c r="R217" s="380"/>
      <c r="S217" s="380"/>
      <c r="T217" s="380"/>
    </row>
    <row r="218" spans="2:20">
      <c r="B218" s="380"/>
      <c r="C218" s="380"/>
      <c r="D218" s="380"/>
      <c r="E218" s="380"/>
      <c r="F218" s="380"/>
      <c r="G218" s="380"/>
      <c r="H218" s="380"/>
      <c r="I218" s="380"/>
      <c r="J218" s="380"/>
      <c r="K218" s="380"/>
      <c r="L218" s="380"/>
      <c r="M218" s="380"/>
      <c r="N218" s="380"/>
      <c r="O218" s="380"/>
      <c r="P218" s="380"/>
      <c r="Q218" s="380"/>
      <c r="R218" s="380"/>
      <c r="S218" s="380"/>
      <c r="T218" s="380"/>
    </row>
    <row r="219" spans="2:20">
      <c r="B219" s="380"/>
      <c r="C219" s="380"/>
      <c r="D219" s="380"/>
      <c r="E219" s="380"/>
      <c r="F219" s="380"/>
      <c r="G219" s="380"/>
      <c r="H219" s="380"/>
      <c r="I219" s="380"/>
      <c r="J219" s="380"/>
      <c r="K219" s="380"/>
      <c r="L219" s="380"/>
      <c r="M219" s="380"/>
      <c r="N219" s="380"/>
      <c r="O219" s="380"/>
      <c r="P219" s="380"/>
      <c r="Q219" s="380"/>
      <c r="R219" s="380"/>
      <c r="S219" s="380"/>
      <c r="T219" s="380"/>
    </row>
    <row r="220" spans="2:20">
      <c r="B220" s="380"/>
      <c r="C220" s="380"/>
      <c r="D220" s="380"/>
      <c r="E220" s="380"/>
      <c r="F220" s="380"/>
      <c r="G220" s="380"/>
      <c r="H220" s="380"/>
      <c r="I220" s="380"/>
      <c r="J220" s="380"/>
      <c r="K220" s="380"/>
      <c r="L220" s="380"/>
      <c r="M220" s="380"/>
      <c r="N220" s="380"/>
      <c r="O220" s="380"/>
      <c r="P220" s="380"/>
      <c r="Q220" s="380"/>
      <c r="R220" s="380"/>
      <c r="S220" s="380"/>
      <c r="T220" s="380"/>
    </row>
    <row r="221" spans="2:20">
      <c r="B221" s="380"/>
      <c r="C221" s="380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</row>
    <row r="222" spans="2:20">
      <c r="B222" s="380"/>
      <c r="C222" s="380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</row>
    <row r="223" spans="2:20">
      <c r="B223" s="380"/>
      <c r="C223" s="380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0"/>
      <c r="T223" s="380"/>
    </row>
    <row r="224" spans="2:20">
      <c r="B224" s="380"/>
      <c r="C224" s="380"/>
      <c r="D224" s="380"/>
      <c r="E224" s="380"/>
      <c r="F224" s="380"/>
      <c r="G224" s="380"/>
      <c r="H224" s="380"/>
      <c r="I224" s="380"/>
      <c r="J224" s="380"/>
      <c r="K224" s="380"/>
      <c r="L224" s="380"/>
      <c r="M224" s="380"/>
      <c r="N224" s="380"/>
      <c r="O224" s="380"/>
      <c r="P224" s="380"/>
      <c r="Q224" s="380"/>
      <c r="R224" s="380"/>
      <c r="S224" s="380"/>
      <c r="T224" s="380"/>
    </row>
    <row r="225" spans="2:20">
      <c r="B225" s="380"/>
      <c r="C225" s="380"/>
      <c r="D225" s="380"/>
      <c r="E225" s="380"/>
      <c r="F225" s="380"/>
      <c r="G225" s="380"/>
      <c r="H225" s="380"/>
      <c r="I225" s="380"/>
      <c r="J225" s="380"/>
      <c r="K225" s="380"/>
      <c r="L225" s="380"/>
      <c r="M225" s="380"/>
      <c r="N225" s="380"/>
      <c r="O225" s="380"/>
      <c r="P225" s="380"/>
      <c r="Q225" s="380"/>
      <c r="R225" s="380"/>
      <c r="S225" s="380"/>
      <c r="T225" s="380"/>
    </row>
    <row r="226" spans="2:20">
      <c r="B226" s="380"/>
      <c r="C226" s="380"/>
      <c r="D226" s="380"/>
      <c r="E226" s="380"/>
      <c r="F226" s="380"/>
      <c r="G226" s="380"/>
      <c r="H226" s="380"/>
      <c r="I226" s="380"/>
      <c r="J226" s="380"/>
      <c r="K226" s="380"/>
      <c r="L226" s="380"/>
      <c r="M226" s="380"/>
      <c r="N226" s="380"/>
      <c r="O226" s="380"/>
      <c r="P226" s="380"/>
      <c r="Q226" s="380"/>
      <c r="R226" s="380"/>
      <c r="S226" s="380"/>
      <c r="T226" s="380"/>
    </row>
    <row r="227" spans="2:20">
      <c r="B227" s="380"/>
      <c r="C227" s="380"/>
      <c r="D227" s="380"/>
      <c r="E227" s="380"/>
      <c r="F227" s="380"/>
      <c r="G227" s="380"/>
      <c r="H227" s="380"/>
      <c r="I227" s="380"/>
      <c r="J227" s="380"/>
      <c r="K227" s="380"/>
      <c r="L227" s="380"/>
      <c r="M227" s="380"/>
      <c r="N227" s="380"/>
      <c r="O227" s="380"/>
      <c r="P227" s="380"/>
      <c r="Q227" s="380"/>
      <c r="R227" s="380"/>
      <c r="S227" s="380"/>
      <c r="T227" s="380"/>
    </row>
    <row r="228" spans="2:20">
      <c r="B228" s="380"/>
      <c r="C228" s="380"/>
      <c r="D228" s="380"/>
      <c r="E228" s="380"/>
      <c r="F228" s="380"/>
      <c r="G228" s="380"/>
      <c r="H228" s="380"/>
      <c r="I228" s="380"/>
      <c r="J228" s="380"/>
      <c r="K228" s="380"/>
      <c r="L228" s="380"/>
      <c r="M228" s="380"/>
      <c r="N228" s="380"/>
      <c r="O228" s="380"/>
      <c r="P228" s="380"/>
      <c r="Q228" s="380"/>
      <c r="R228" s="380"/>
      <c r="S228" s="380"/>
      <c r="T228" s="380"/>
    </row>
    <row r="229" spans="2:20">
      <c r="B229" s="380"/>
      <c r="C229" s="380"/>
      <c r="D229" s="380"/>
      <c r="E229" s="380"/>
      <c r="F229" s="380"/>
      <c r="G229" s="380"/>
      <c r="H229" s="380"/>
      <c r="I229" s="380"/>
      <c r="J229" s="380"/>
      <c r="K229" s="380"/>
      <c r="L229" s="380"/>
      <c r="M229" s="380"/>
      <c r="N229" s="380"/>
      <c r="O229" s="380"/>
      <c r="P229" s="380"/>
      <c r="Q229" s="380"/>
      <c r="R229" s="380"/>
      <c r="S229" s="380"/>
      <c r="T229" s="380"/>
    </row>
    <row r="230" spans="2:20">
      <c r="B230" s="380"/>
      <c r="C230" s="380"/>
      <c r="D230" s="380"/>
      <c r="E230" s="380"/>
      <c r="F230" s="380"/>
      <c r="G230" s="380"/>
      <c r="H230" s="380"/>
      <c r="I230" s="380"/>
      <c r="J230" s="380"/>
      <c r="K230" s="380"/>
      <c r="L230" s="380"/>
      <c r="M230" s="380"/>
      <c r="N230" s="380"/>
      <c r="O230" s="380"/>
      <c r="P230" s="380"/>
      <c r="Q230" s="380"/>
      <c r="R230" s="380"/>
      <c r="S230" s="380"/>
      <c r="T230" s="380"/>
    </row>
    <row r="231" spans="2:20">
      <c r="B231" s="380"/>
      <c r="C231" s="380"/>
      <c r="D231" s="380"/>
      <c r="E231" s="380"/>
      <c r="F231" s="380"/>
      <c r="G231" s="380"/>
      <c r="H231" s="380"/>
      <c r="I231" s="380"/>
      <c r="J231" s="380"/>
      <c r="K231" s="380"/>
      <c r="L231" s="380"/>
      <c r="M231" s="380"/>
      <c r="N231" s="380"/>
      <c r="O231" s="380"/>
      <c r="P231" s="380"/>
      <c r="Q231" s="380"/>
      <c r="R231" s="380"/>
      <c r="S231" s="380"/>
      <c r="T231" s="380"/>
    </row>
    <row r="232" spans="2:20">
      <c r="B232" s="380"/>
      <c r="C232" s="380"/>
      <c r="D232" s="380"/>
      <c r="E232" s="380"/>
      <c r="F232" s="380"/>
      <c r="G232" s="380"/>
      <c r="H232" s="380"/>
      <c r="I232" s="380"/>
      <c r="J232" s="380"/>
      <c r="K232" s="380"/>
      <c r="L232" s="380"/>
      <c r="M232" s="380"/>
      <c r="N232" s="380"/>
      <c r="O232" s="380"/>
      <c r="P232" s="380"/>
      <c r="Q232" s="380"/>
      <c r="R232" s="380"/>
      <c r="S232" s="380"/>
      <c r="T232" s="380"/>
    </row>
    <row r="233" spans="2:20">
      <c r="B233" s="380"/>
      <c r="C233" s="380"/>
      <c r="D233" s="380"/>
      <c r="E233" s="380"/>
      <c r="F233" s="380"/>
      <c r="G233" s="380"/>
      <c r="H233" s="380"/>
      <c r="I233" s="380"/>
      <c r="J233" s="380"/>
      <c r="K233" s="380"/>
      <c r="L233" s="380"/>
      <c r="M233" s="380"/>
      <c r="N233" s="380"/>
      <c r="O233" s="380"/>
      <c r="P233" s="380"/>
      <c r="Q233" s="380"/>
      <c r="R233" s="380"/>
      <c r="S233" s="380"/>
      <c r="T233" s="380"/>
    </row>
    <row r="234" spans="2:20">
      <c r="B234" s="380"/>
      <c r="C234" s="380"/>
      <c r="D234" s="380"/>
      <c r="E234" s="380"/>
      <c r="F234" s="380"/>
      <c r="G234" s="380"/>
      <c r="H234" s="380"/>
      <c r="I234" s="380"/>
      <c r="J234" s="380"/>
      <c r="K234" s="380"/>
      <c r="L234" s="380"/>
      <c r="M234" s="380"/>
      <c r="N234" s="380"/>
      <c r="O234" s="380"/>
      <c r="P234" s="380"/>
      <c r="Q234" s="380"/>
      <c r="R234" s="380"/>
      <c r="S234" s="380"/>
      <c r="T234" s="380"/>
    </row>
    <row r="235" spans="2:20">
      <c r="B235" s="380"/>
      <c r="C235" s="380"/>
      <c r="D235" s="380"/>
      <c r="E235" s="380"/>
      <c r="F235" s="380"/>
      <c r="G235" s="380"/>
      <c r="H235" s="380"/>
      <c r="I235" s="380"/>
      <c r="J235" s="380"/>
      <c r="K235" s="380"/>
      <c r="L235" s="380"/>
      <c r="M235" s="380"/>
      <c r="N235" s="380"/>
      <c r="O235" s="380"/>
      <c r="P235" s="380"/>
      <c r="Q235" s="380"/>
      <c r="R235" s="380"/>
      <c r="S235" s="380"/>
      <c r="T235" s="380"/>
    </row>
    <row r="236" spans="2:20">
      <c r="B236" s="380"/>
      <c r="C236" s="380"/>
      <c r="D236" s="380"/>
      <c r="E236" s="380"/>
      <c r="F236" s="380"/>
      <c r="G236" s="380"/>
      <c r="H236" s="380"/>
      <c r="I236" s="380"/>
      <c r="J236" s="380"/>
      <c r="K236" s="380"/>
      <c r="L236" s="380"/>
      <c r="M236" s="380"/>
      <c r="N236" s="380"/>
      <c r="O236" s="380"/>
      <c r="P236" s="380"/>
      <c r="Q236" s="380"/>
      <c r="R236" s="380"/>
      <c r="S236" s="380"/>
      <c r="T236" s="380"/>
    </row>
    <row r="237" spans="2:20">
      <c r="B237" s="380"/>
      <c r="C237" s="380"/>
      <c r="D237" s="380"/>
      <c r="E237" s="380"/>
      <c r="F237" s="380"/>
      <c r="G237" s="380"/>
      <c r="H237" s="380"/>
      <c r="I237" s="380"/>
      <c r="J237" s="380"/>
      <c r="K237" s="380"/>
      <c r="L237" s="380"/>
      <c r="M237" s="380"/>
      <c r="N237" s="380"/>
      <c r="O237" s="380"/>
      <c r="P237" s="380"/>
      <c r="Q237" s="380"/>
      <c r="R237" s="380"/>
      <c r="S237" s="380"/>
      <c r="T237" s="380"/>
    </row>
    <row r="238" spans="2:20">
      <c r="B238" s="380"/>
      <c r="C238" s="380"/>
      <c r="D238" s="380"/>
      <c r="E238" s="380"/>
      <c r="F238" s="380"/>
      <c r="G238" s="380"/>
      <c r="H238" s="380"/>
      <c r="I238" s="380"/>
      <c r="J238" s="380"/>
      <c r="K238" s="380"/>
      <c r="L238" s="380"/>
      <c r="M238" s="380"/>
      <c r="N238" s="380"/>
      <c r="O238" s="380"/>
      <c r="P238" s="380"/>
      <c r="Q238" s="380"/>
      <c r="R238" s="380"/>
      <c r="S238" s="380"/>
      <c r="T238" s="380"/>
    </row>
    <row r="239" spans="2:20">
      <c r="B239" s="380"/>
      <c r="C239" s="380"/>
      <c r="D239" s="380"/>
      <c r="E239" s="380"/>
      <c r="F239" s="380"/>
      <c r="G239" s="380"/>
      <c r="H239" s="380"/>
      <c r="I239" s="380"/>
      <c r="J239" s="380"/>
      <c r="K239" s="380"/>
      <c r="L239" s="380"/>
      <c r="M239" s="380"/>
      <c r="N239" s="380"/>
      <c r="O239" s="380"/>
      <c r="P239" s="380"/>
      <c r="Q239" s="380"/>
      <c r="R239" s="380"/>
      <c r="S239" s="380"/>
      <c r="T239" s="380"/>
    </row>
    <row r="240" spans="2:20">
      <c r="B240" s="380"/>
      <c r="C240" s="380"/>
      <c r="D240" s="380"/>
      <c r="E240" s="380"/>
      <c r="F240" s="380"/>
      <c r="G240" s="380"/>
      <c r="H240" s="380"/>
      <c r="I240" s="380"/>
      <c r="J240" s="380"/>
      <c r="K240" s="380"/>
      <c r="L240" s="380"/>
      <c r="M240" s="380"/>
      <c r="N240" s="380"/>
      <c r="O240" s="380"/>
      <c r="P240" s="380"/>
      <c r="Q240" s="380"/>
      <c r="R240" s="380"/>
      <c r="S240" s="380"/>
      <c r="T240" s="380"/>
    </row>
    <row r="241" spans="2:20">
      <c r="B241" s="380"/>
      <c r="C241" s="380"/>
      <c r="D241" s="380"/>
      <c r="E241" s="380"/>
      <c r="F241" s="380"/>
      <c r="G241" s="380"/>
      <c r="H241" s="380"/>
      <c r="I241" s="380"/>
      <c r="J241" s="380"/>
      <c r="K241" s="380"/>
      <c r="L241" s="380"/>
      <c r="M241" s="380"/>
      <c r="N241" s="380"/>
      <c r="O241" s="380"/>
      <c r="P241" s="380"/>
      <c r="Q241" s="380"/>
      <c r="R241" s="380"/>
      <c r="S241" s="380"/>
      <c r="T241" s="380"/>
    </row>
    <row r="242" spans="2:20">
      <c r="B242" s="380"/>
      <c r="C242" s="380"/>
      <c r="D242" s="380"/>
      <c r="E242" s="380"/>
      <c r="F242" s="380"/>
      <c r="G242" s="380"/>
      <c r="H242" s="380"/>
      <c r="I242" s="380"/>
      <c r="J242" s="380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</row>
    <row r="243" spans="2:20">
      <c r="B243" s="380"/>
      <c r="C243" s="380"/>
      <c r="D243" s="380"/>
      <c r="E243" s="380"/>
      <c r="F243" s="380"/>
      <c r="G243" s="380"/>
      <c r="H243" s="380"/>
      <c r="I243" s="380"/>
      <c r="J243" s="380"/>
      <c r="K243" s="380"/>
      <c r="L243" s="380"/>
      <c r="M243" s="380"/>
      <c r="N243" s="380"/>
      <c r="O243" s="380"/>
      <c r="P243" s="380"/>
      <c r="Q243" s="380"/>
      <c r="R243" s="380"/>
      <c r="S243" s="380"/>
      <c r="T243" s="380"/>
    </row>
    <row r="244" spans="2:20">
      <c r="B244" s="380"/>
      <c r="C244" s="380"/>
      <c r="D244" s="380"/>
      <c r="E244" s="380"/>
      <c r="F244" s="380"/>
      <c r="G244" s="380"/>
      <c r="H244" s="380"/>
      <c r="I244" s="380"/>
      <c r="J244" s="380"/>
      <c r="K244" s="380"/>
      <c r="L244" s="380"/>
      <c r="M244" s="380"/>
      <c r="N244" s="380"/>
      <c r="O244" s="380"/>
      <c r="P244" s="380"/>
      <c r="Q244" s="380"/>
      <c r="R244" s="380"/>
      <c r="S244" s="380"/>
      <c r="T244" s="380"/>
    </row>
    <row r="245" spans="2:20">
      <c r="B245" s="380"/>
      <c r="C245" s="380"/>
      <c r="D245" s="380"/>
      <c r="E245" s="380"/>
      <c r="F245" s="380"/>
      <c r="G245" s="380"/>
      <c r="H245" s="380"/>
      <c r="I245" s="380"/>
      <c r="J245" s="380"/>
      <c r="K245" s="380"/>
      <c r="L245" s="380"/>
      <c r="M245" s="380"/>
      <c r="N245" s="380"/>
      <c r="O245" s="380"/>
      <c r="P245" s="380"/>
      <c r="Q245" s="380"/>
      <c r="R245" s="380"/>
      <c r="S245" s="380"/>
      <c r="T245" s="380"/>
    </row>
    <row r="246" spans="2:20">
      <c r="B246" s="380"/>
      <c r="C246" s="380"/>
      <c r="D246" s="380"/>
      <c r="E246" s="380"/>
      <c r="F246" s="380"/>
      <c r="G246" s="380"/>
      <c r="H246" s="380"/>
      <c r="I246" s="380"/>
      <c r="J246" s="380"/>
      <c r="K246" s="380"/>
      <c r="L246" s="380"/>
      <c r="M246" s="380"/>
      <c r="N246" s="380"/>
      <c r="O246" s="380"/>
      <c r="P246" s="380"/>
      <c r="Q246" s="380"/>
      <c r="R246" s="380"/>
      <c r="S246" s="380"/>
      <c r="T246" s="380"/>
    </row>
    <row r="247" spans="2:20">
      <c r="B247" s="380"/>
      <c r="C247" s="380"/>
      <c r="D247" s="380"/>
      <c r="E247" s="380"/>
      <c r="F247" s="380"/>
      <c r="G247" s="380"/>
      <c r="H247" s="380"/>
      <c r="I247" s="380"/>
      <c r="J247" s="380"/>
      <c r="K247" s="380"/>
      <c r="L247" s="380"/>
      <c r="M247" s="380"/>
      <c r="N247" s="380"/>
      <c r="O247" s="380"/>
      <c r="P247" s="380"/>
      <c r="Q247" s="380"/>
      <c r="R247" s="380"/>
      <c r="S247" s="380"/>
      <c r="T247" s="380"/>
    </row>
    <row r="248" spans="2:20">
      <c r="B248" s="380"/>
      <c r="C248" s="380"/>
      <c r="D248" s="380"/>
      <c r="E248" s="380"/>
      <c r="F248" s="380"/>
      <c r="G248" s="380"/>
      <c r="H248" s="380"/>
      <c r="I248" s="380"/>
      <c r="J248" s="380"/>
      <c r="K248" s="380"/>
      <c r="L248" s="380"/>
      <c r="M248" s="380"/>
      <c r="N248" s="380"/>
      <c r="O248" s="380"/>
      <c r="P248" s="380"/>
      <c r="Q248" s="380"/>
      <c r="R248" s="380"/>
      <c r="S248" s="380"/>
      <c r="T248" s="380"/>
    </row>
    <row r="249" spans="2:20">
      <c r="B249" s="380"/>
      <c r="C249" s="380"/>
      <c r="D249" s="380"/>
      <c r="E249" s="380"/>
      <c r="F249" s="380"/>
      <c r="G249" s="380"/>
      <c r="H249" s="380"/>
      <c r="I249" s="380"/>
      <c r="J249" s="380"/>
      <c r="K249" s="380"/>
      <c r="L249" s="380"/>
      <c r="M249" s="380"/>
      <c r="N249" s="380"/>
      <c r="O249" s="380"/>
      <c r="P249" s="380"/>
      <c r="Q249" s="380"/>
      <c r="R249" s="380"/>
      <c r="S249" s="380"/>
      <c r="T249" s="380"/>
    </row>
    <row r="250" spans="2:20">
      <c r="B250" s="380"/>
      <c r="C250" s="380"/>
      <c r="D250" s="380"/>
      <c r="E250" s="380"/>
      <c r="F250" s="380"/>
      <c r="G250" s="380"/>
      <c r="H250" s="380"/>
      <c r="I250" s="380"/>
      <c r="J250" s="380"/>
      <c r="K250" s="380"/>
      <c r="L250" s="380"/>
      <c r="M250" s="380"/>
      <c r="N250" s="380"/>
      <c r="O250" s="380"/>
      <c r="P250" s="380"/>
      <c r="Q250" s="380"/>
      <c r="R250" s="380"/>
      <c r="S250" s="380"/>
      <c r="T250" s="380"/>
    </row>
    <row r="251" spans="2:20">
      <c r="B251" s="380"/>
      <c r="C251" s="380"/>
      <c r="D251" s="380"/>
      <c r="E251" s="380"/>
      <c r="F251" s="380"/>
      <c r="G251" s="380"/>
      <c r="H251" s="380"/>
      <c r="I251" s="380"/>
      <c r="J251" s="380"/>
      <c r="K251" s="380"/>
      <c r="L251" s="380"/>
      <c r="M251" s="380"/>
      <c r="N251" s="380"/>
      <c r="O251" s="380"/>
      <c r="P251" s="380"/>
      <c r="Q251" s="380"/>
      <c r="R251" s="380"/>
      <c r="S251" s="380"/>
      <c r="T251" s="380"/>
    </row>
    <row r="252" spans="2:20">
      <c r="B252" s="380"/>
      <c r="C252" s="380"/>
      <c r="D252" s="380"/>
      <c r="E252" s="380"/>
      <c r="F252" s="380"/>
      <c r="G252" s="380"/>
      <c r="H252" s="380"/>
      <c r="I252" s="380"/>
      <c r="J252" s="380"/>
      <c r="K252" s="380"/>
      <c r="L252" s="380"/>
      <c r="M252" s="380"/>
      <c r="N252" s="380"/>
      <c r="O252" s="380"/>
      <c r="P252" s="380"/>
      <c r="Q252" s="380"/>
      <c r="R252" s="380"/>
      <c r="S252" s="380"/>
      <c r="T252" s="380"/>
    </row>
    <row r="253" spans="2:20">
      <c r="B253" s="380"/>
      <c r="C253" s="380"/>
      <c r="D253" s="380"/>
      <c r="E253" s="380"/>
      <c r="F253" s="380"/>
      <c r="G253" s="380"/>
      <c r="H253" s="380"/>
      <c r="I253" s="380"/>
      <c r="J253" s="380"/>
      <c r="K253" s="380"/>
      <c r="L253" s="380"/>
      <c r="M253" s="380"/>
      <c r="N253" s="380"/>
      <c r="O253" s="380"/>
      <c r="P253" s="380"/>
      <c r="Q253" s="380"/>
      <c r="R253" s="380"/>
      <c r="S253" s="380"/>
      <c r="T253" s="380"/>
    </row>
    <row r="254" spans="2:20">
      <c r="B254" s="380"/>
      <c r="C254" s="380"/>
      <c r="D254" s="380"/>
      <c r="E254" s="380"/>
      <c r="F254" s="380"/>
      <c r="G254" s="380"/>
      <c r="H254" s="380"/>
      <c r="I254" s="380"/>
      <c r="J254" s="380"/>
      <c r="K254" s="380"/>
      <c r="L254" s="380"/>
      <c r="M254" s="380"/>
      <c r="N254" s="380"/>
      <c r="O254" s="380"/>
      <c r="P254" s="380"/>
      <c r="Q254" s="380"/>
      <c r="R254" s="380"/>
      <c r="S254" s="380"/>
      <c r="T254" s="380"/>
    </row>
    <row r="255" spans="2:20">
      <c r="B255" s="380"/>
      <c r="C255" s="380"/>
      <c r="D255" s="380"/>
      <c r="E255" s="380"/>
      <c r="F255" s="380"/>
      <c r="G255" s="380"/>
      <c r="H255" s="380"/>
      <c r="I255" s="380"/>
      <c r="J255" s="380"/>
      <c r="K255" s="380"/>
      <c r="L255" s="380"/>
      <c r="M255" s="380"/>
      <c r="N255" s="380"/>
      <c r="O255" s="380"/>
      <c r="P255" s="380"/>
      <c r="Q255" s="380"/>
      <c r="R255" s="380"/>
      <c r="S255" s="380"/>
      <c r="T255" s="380"/>
    </row>
    <row r="256" spans="2:20">
      <c r="B256" s="380"/>
      <c r="C256" s="380"/>
      <c r="D256" s="380"/>
      <c r="E256" s="380"/>
      <c r="F256" s="380"/>
      <c r="G256" s="380"/>
      <c r="H256" s="380"/>
      <c r="I256" s="380"/>
      <c r="J256" s="380"/>
      <c r="K256" s="380"/>
      <c r="L256" s="380"/>
      <c r="M256" s="380"/>
      <c r="N256" s="380"/>
      <c r="O256" s="380"/>
      <c r="P256" s="380"/>
      <c r="Q256" s="380"/>
      <c r="R256" s="380"/>
      <c r="S256" s="380"/>
      <c r="T256" s="380"/>
    </row>
    <row r="257" spans="2:20">
      <c r="B257" s="380"/>
      <c r="C257" s="380"/>
      <c r="D257" s="380"/>
      <c r="E257" s="380"/>
      <c r="F257" s="380"/>
      <c r="G257" s="380"/>
      <c r="H257" s="380"/>
      <c r="I257" s="380"/>
      <c r="J257" s="380"/>
      <c r="K257" s="380"/>
      <c r="L257" s="380"/>
      <c r="M257" s="380"/>
      <c r="N257" s="380"/>
      <c r="O257" s="380"/>
      <c r="P257" s="380"/>
      <c r="Q257" s="380"/>
      <c r="R257" s="380"/>
      <c r="S257" s="380"/>
      <c r="T257" s="380"/>
    </row>
    <row r="258" spans="2:20">
      <c r="B258" s="380"/>
      <c r="C258" s="380"/>
      <c r="D258" s="380"/>
      <c r="E258" s="380"/>
      <c r="F258" s="380"/>
      <c r="G258" s="380"/>
      <c r="H258" s="380"/>
      <c r="I258" s="380"/>
      <c r="J258" s="380"/>
      <c r="K258" s="380"/>
      <c r="L258" s="380"/>
      <c r="M258" s="380"/>
      <c r="N258" s="380"/>
      <c r="O258" s="380"/>
      <c r="P258" s="380"/>
      <c r="Q258" s="380"/>
      <c r="R258" s="380"/>
      <c r="S258" s="380"/>
      <c r="T258" s="380"/>
    </row>
    <row r="259" spans="2:20">
      <c r="B259" s="380"/>
      <c r="C259" s="380"/>
      <c r="D259" s="380"/>
      <c r="E259" s="380"/>
      <c r="F259" s="380"/>
      <c r="G259" s="380"/>
      <c r="H259" s="380"/>
      <c r="I259" s="380"/>
      <c r="J259" s="380"/>
      <c r="K259" s="380"/>
      <c r="L259" s="380"/>
      <c r="M259" s="380"/>
      <c r="N259" s="380"/>
      <c r="O259" s="380"/>
      <c r="P259" s="380"/>
      <c r="Q259" s="380"/>
      <c r="R259" s="380"/>
      <c r="S259" s="380"/>
      <c r="T259" s="380"/>
    </row>
    <row r="260" spans="2:20">
      <c r="B260" s="380"/>
      <c r="C260" s="380"/>
      <c r="D260" s="380"/>
      <c r="E260" s="380"/>
      <c r="F260" s="380"/>
      <c r="G260" s="380"/>
      <c r="H260" s="380"/>
      <c r="I260" s="380"/>
      <c r="J260" s="380"/>
      <c r="K260" s="380"/>
      <c r="L260" s="380"/>
      <c r="M260" s="380"/>
      <c r="N260" s="380"/>
      <c r="O260" s="380"/>
      <c r="P260" s="380"/>
      <c r="Q260" s="380"/>
      <c r="R260" s="380"/>
      <c r="S260" s="380"/>
      <c r="T260" s="380"/>
    </row>
    <row r="261" spans="2:20">
      <c r="B261" s="380"/>
      <c r="C261" s="380"/>
      <c r="D261" s="380"/>
      <c r="E261" s="380"/>
      <c r="F261" s="380"/>
      <c r="G261" s="380"/>
      <c r="H261" s="380"/>
      <c r="I261" s="380"/>
      <c r="J261" s="380"/>
      <c r="K261" s="380"/>
      <c r="L261" s="380"/>
      <c r="M261" s="380"/>
      <c r="N261" s="380"/>
      <c r="O261" s="380"/>
      <c r="P261" s="380"/>
      <c r="Q261" s="380"/>
      <c r="R261" s="380"/>
      <c r="S261" s="380"/>
      <c r="T261" s="380"/>
    </row>
    <row r="262" spans="2:20">
      <c r="B262" s="380"/>
      <c r="C262" s="380"/>
      <c r="D262" s="380"/>
      <c r="E262" s="380"/>
      <c r="F262" s="380"/>
      <c r="G262" s="380"/>
      <c r="H262" s="380"/>
      <c r="I262" s="380"/>
      <c r="J262" s="380"/>
      <c r="K262" s="380"/>
      <c r="L262" s="380"/>
      <c r="M262" s="380"/>
      <c r="N262" s="380"/>
      <c r="O262" s="380"/>
      <c r="P262" s="380"/>
      <c r="Q262" s="380"/>
      <c r="R262" s="380"/>
      <c r="S262" s="380"/>
      <c r="T262" s="380"/>
    </row>
    <row r="263" spans="2:20">
      <c r="B263" s="380"/>
      <c r="C263" s="380"/>
      <c r="D263" s="380"/>
      <c r="E263" s="380"/>
      <c r="F263" s="380"/>
      <c r="G263" s="380"/>
      <c r="H263" s="380"/>
      <c r="I263" s="380"/>
      <c r="J263" s="380"/>
      <c r="K263" s="380"/>
      <c r="L263" s="380"/>
      <c r="M263" s="380"/>
      <c r="N263" s="380"/>
      <c r="O263" s="380"/>
      <c r="P263" s="380"/>
      <c r="Q263" s="380"/>
      <c r="R263" s="380"/>
      <c r="S263" s="380"/>
      <c r="T263" s="380"/>
    </row>
    <row r="264" spans="2:20">
      <c r="B264" s="380"/>
      <c r="C264" s="380"/>
      <c r="D264" s="380"/>
      <c r="E264" s="380"/>
      <c r="F264" s="380"/>
      <c r="G264" s="380"/>
      <c r="H264" s="380"/>
      <c r="I264" s="380"/>
      <c r="J264" s="380"/>
      <c r="K264" s="380"/>
      <c r="L264" s="380"/>
      <c r="M264" s="380"/>
      <c r="N264" s="380"/>
      <c r="O264" s="380"/>
      <c r="P264" s="380"/>
      <c r="Q264" s="380"/>
      <c r="R264" s="380"/>
      <c r="S264" s="380"/>
      <c r="T264" s="380"/>
    </row>
    <row r="265" spans="2:20">
      <c r="B265" s="380"/>
      <c r="C265" s="380"/>
      <c r="D265" s="380"/>
      <c r="E265" s="380"/>
      <c r="F265" s="380"/>
      <c r="G265" s="380"/>
      <c r="H265" s="380"/>
      <c r="I265" s="380"/>
      <c r="J265" s="380"/>
      <c r="K265" s="380"/>
      <c r="L265" s="380"/>
      <c r="M265" s="380"/>
      <c r="N265" s="380"/>
      <c r="O265" s="380"/>
      <c r="P265" s="380"/>
      <c r="Q265" s="380"/>
      <c r="R265" s="380"/>
      <c r="S265" s="380"/>
      <c r="T265" s="380"/>
    </row>
    <row r="266" spans="2:20">
      <c r="B266" s="380"/>
      <c r="C266" s="380"/>
      <c r="D266" s="380"/>
      <c r="E266" s="380"/>
      <c r="F266" s="380"/>
      <c r="G266" s="380"/>
      <c r="H266" s="380"/>
      <c r="I266" s="380"/>
      <c r="J266" s="380"/>
      <c r="K266" s="380"/>
      <c r="L266" s="380"/>
      <c r="M266" s="380"/>
      <c r="N266" s="380"/>
      <c r="O266" s="380"/>
      <c r="P266" s="380"/>
      <c r="Q266" s="380"/>
      <c r="R266" s="380"/>
      <c r="S266" s="380"/>
      <c r="T266" s="380"/>
    </row>
    <row r="267" spans="2:20">
      <c r="B267" s="380"/>
      <c r="C267" s="380"/>
      <c r="D267" s="380"/>
      <c r="E267" s="380"/>
      <c r="F267" s="380"/>
      <c r="G267" s="380"/>
      <c r="H267" s="380"/>
      <c r="I267" s="380"/>
      <c r="J267" s="380"/>
      <c r="K267" s="380"/>
      <c r="L267" s="380"/>
      <c r="M267" s="380"/>
      <c r="N267" s="380"/>
      <c r="O267" s="380"/>
      <c r="P267" s="380"/>
      <c r="Q267" s="380"/>
      <c r="R267" s="380"/>
      <c r="S267" s="380"/>
      <c r="T267" s="380"/>
    </row>
    <row r="268" spans="2:20">
      <c r="B268" s="380"/>
      <c r="C268" s="380"/>
      <c r="D268" s="380"/>
      <c r="E268" s="380"/>
      <c r="F268" s="380"/>
      <c r="G268" s="380"/>
      <c r="H268" s="380"/>
      <c r="I268" s="380"/>
      <c r="J268" s="380"/>
      <c r="K268" s="380"/>
      <c r="L268" s="380"/>
      <c r="M268" s="380"/>
      <c r="N268" s="380"/>
      <c r="O268" s="380"/>
      <c r="P268" s="380"/>
      <c r="Q268" s="380"/>
      <c r="R268" s="380"/>
      <c r="S268" s="380"/>
      <c r="T268" s="380"/>
    </row>
    <row r="269" spans="2:20">
      <c r="B269" s="380"/>
      <c r="C269" s="380"/>
      <c r="D269" s="380"/>
      <c r="E269" s="380"/>
      <c r="F269" s="380"/>
      <c r="G269" s="380"/>
      <c r="H269" s="380"/>
      <c r="I269" s="380"/>
      <c r="J269" s="380"/>
      <c r="K269" s="380"/>
      <c r="L269" s="380"/>
      <c r="M269" s="380"/>
      <c r="N269" s="380"/>
      <c r="O269" s="380"/>
      <c r="P269" s="380"/>
      <c r="Q269" s="380"/>
      <c r="R269" s="380"/>
      <c r="S269" s="380"/>
      <c r="T269" s="380"/>
    </row>
    <row r="270" spans="2:20">
      <c r="B270" s="380"/>
      <c r="C270" s="380"/>
      <c r="D270" s="380"/>
      <c r="E270" s="380"/>
      <c r="F270" s="380"/>
      <c r="G270" s="380"/>
      <c r="H270" s="380"/>
      <c r="I270" s="380"/>
      <c r="J270" s="380"/>
      <c r="K270" s="380"/>
      <c r="L270" s="380"/>
      <c r="M270" s="380"/>
      <c r="N270" s="380"/>
      <c r="O270" s="380"/>
      <c r="P270" s="380"/>
      <c r="Q270" s="380"/>
      <c r="R270" s="380"/>
      <c r="S270" s="380"/>
      <c r="T270" s="380"/>
    </row>
    <row r="271" spans="2:20">
      <c r="B271" s="380"/>
      <c r="C271" s="380"/>
      <c r="D271" s="380"/>
      <c r="E271" s="380"/>
      <c r="F271" s="380"/>
      <c r="G271" s="380"/>
      <c r="H271" s="380"/>
      <c r="I271" s="380"/>
      <c r="J271" s="380"/>
      <c r="K271" s="380"/>
      <c r="L271" s="380"/>
      <c r="M271" s="380"/>
      <c r="N271" s="380"/>
      <c r="O271" s="380"/>
      <c r="P271" s="380"/>
      <c r="Q271" s="380"/>
      <c r="R271" s="380"/>
      <c r="S271" s="380"/>
      <c r="T271" s="380"/>
    </row>
    <row r="272" spans="2:20">
      <c r="B272" s="380"/>
      <c r="C272" s="380"/>
      <c r="D272" s="380"/>
      <c r="E272" s="380"/>
      <c r="F272" s="380"/>
      <c r="G272" s="380"/>
      <c r="H272" s="380"/>
      <c r="I272" s="380"/>
      <c r="J272" s="380"/>
      <c r="K272" s="380"/>
      <c r="L272" s="380"/>
      <c r="M272" s="380"/>
      <c r="N272" s="380"/>
      <c r="O272" s="380"/>
      <c r="P272" s="380"/>
      <c r="Q272" s="380"/>
      <c r="R272" s="380"/>
      <c r="S272" s="380"/>
      <c r="T272" s="380"/>
    </row>
    <row r="273" spans="2:20">
      <c r="B273" s="380"/>
      <c r="C273" s="380"/>
      <c r="D273" s="380"/>
      <c r="E273" s="380"/>
      <c r="F273" s="380"/>
      <c r="G273" s="380"/>
      <c r="H273" s="380"/>
      <c r="I273" s="380"/>
      <c r="J273" s="380"/>
      <c r="K273" s="380"/>
      <c r="L273" s="380"/>
      <c r="M273" s="380"/>
      <c r="N273" s="380"/>
      <c r="O273" s="380"/>
      <c r="P273" s="380"/>
      <c r="Q273" s="380"/>
      <c r="R273" s="380"/>
      <c r="S273" s="380"/>
      <c r="T273" s="380"/>
    </row>
    <row r="274" spans="2:20">
      <c r="B274" s="380"/>
      <c r="C274" s="380"/>
      <c r="D274" s="380"/>
      <c r="E274" s="380"/>
      <c r="F274" s="380"/>
      <c r="G274" s="380"/>
      <c r="H274" s="380"/>
      <c r="I274" s="380"/>
      <c r="J274" s="380"/>
      <c r="K274" s="380"/>
      <c r="L274" s="380"/>
      <c r="M274" s="380"/>
      <c r="N274" s="380"/>
      <c r="O274" s="380"/>
      <c r="P274" s="380"/>
      <c r="Q274" s="380"/>
      <c r="R274" s="380"/>
      <c r="S274" s="380"/>
      <c r="T274" s="380"/>
    </row>
    <row r="275" spans="2:20">
      <c r="B275" s="380"/>
      <c r="C275" s="380"/>
      <c r="D275" s="380"/>
      <c r="E275" s="380"/>
      <c r="F275" s="380"/>
      <c r="G275" s="380"/>
      <c r="H275" s="380"/>
      <c r="I275" s="380"/>
      <c r="J275" s="380"/>
      <c r="K275" s="380"/>
      <c r="L275" s="380"/>
      <c r="M275" s="380"/>
      <c r="N275" s="380"/>
      <c r="O275" s="380"/>
      <c r="P275" s="380"/>
      <c r="Q275" s="380"/>
      <c r="R275" s="380"/>
      <c r="S275" s="380"/>
      <c r="T275" s="380"/>
    </row>
    <row r="276" spans="2:20">
      <c r="B276" s="380"/>
      <c r="C276" s="380"/>
      <c r="D276" s="380"/>
      <c r="E276" s="380"/>
      <c r="F276" s="380"/>
      <c r="G276" s="380"/>
      <c r="H276" s="380"/>
      <c r="I276" s="380"/>
      <c r="J276" s="380"/>
      <c r="K276" s="380"/>
      <c r="L276" s="380"/>
      <c r="M276" s="380"/>
      <c r="N276" s="380"/>
      <c r="O276" s="380"/>
      <c r="P276" s="380"/>
      <c r="Q276" s="380"/>
      <c r="R276" s="380"/>
      <c r="S276" s="380"/>
      <c r="T276" s="380"/>
    </row>
    <row r="277" spans="2:20">
      <c r="B277" s="380"/>
      <c r="C277" s="380"/>
      <c r="D277" s="380"/>
      <c r="E277" s="380"/>
      <c r="F277" s="380"/>
      <c r="G277" s="380"/>
      <c r="H277" s="380"/>
      <c r="I277" s="380"/>
      <c r="J277" s="380"/>
      <c r="K277" s="380"/>
      <c r="L277" s="380"/>
      <c r="M277" s="380"/>
      <c r="N277" s="380"/>
      <c r="O277" s="380"/>
      <c r="P277" s="380"/>
      <c r="Q277" s="380"/>
      <c r="R277" s="380"/>
      <c r="S277" s="380"/>
      <c r="T277" s="380"/>
    </row>
    <row r="278" spans="2:20">
      <c r="B278" s="380"/>
      <c r="C278" s="380"/>
      <c r="D278" s="380"/>
      <c r="E278" s="380"/>
      <c r="F278" s="380"/>
      <c r="G278" s="380"/>
      <c r="H278" s="380"/>
      <c r="I278" s="380"/>
      <c r="J278" s="380"/>
      <c r="K278" s="380"/>
      <c r="L278" s="380"/>
      <c r="M278" s="380"/>
      <c r="N278" s="380"/>
      <c r="O278" s="380"/>
      <c r="P278" s="380"/>
      <c r="Q278" s="380"/>
      <c r="R278" s="380"/>
      <c r="S278" s="380"/>
      <c r="T278" s="380"/>
    </row>
    <row r="279" spans="2:20">
      <c r="B279" s="380"/>
      <c r="C279" s="380"/>
      <c r="D279" s="380"/>
      <c r="E279" s="380"/>
      <c r="F279" s="380"/>
      <c r="G279" s="380"/>
      <c r="H279" s="380"/>
      <c r="I279" s="380"/>
      <c r="J279" s="380"/>
      <c r="K279" s="380"/>
      <c r="L279" s="380"/>
      <c r="M279" s="380"/>
      <c r="N279" s="380"/>
      <c r="O279" s="380"/>
      <c r="P279" s="380"/>
      <c r="Q279" s="380"/>
      <c r="R279" s="380"/>
      <c r="S279" s="380"/>
      <c r="T279" s="380"/>
    </row>
    <row r="280" spans="2:20">
      <c r="B280" s="380"/>
      <c r="C280" s="380"/>
      <c r="D280" s="380"/>
      <c r="E280" s="380"/>
      <c r="F280" s="380"/>
      <c r="G280" s="380"/>
      <c r="H280" s="380"/>
      <c r="I280" s="380"/>
      <c r="J280" s="380"/>
      <c r="K280" s="380"/>
      <c r="L280" s="380"/>
      <c r="M280" s="380"/>
      <c r="N280" s="380"/>
      <c r="O280" s="380"/>
      <c r="P280" s="380"/>
      <c r="Q280" s="380"/>
      <c r="R280" s="380"/>
      <c r="S280" s="380"/>
      <c r="T280" s="380"/>
    </row>
    <row r="281" spans="2:20">
      <c r="B281" s="380"/>
      <c r="C281" s="380"/>
      <c r="D281" s="380"/>
      <c r="E281" s="380"/>
      <c r="F281" s="380"/>
      <c r="G281" s="380"/>
      <c r="H281" s="380"/>
      <c r="I281" s="380"/>
      <c r="J281" s="380"/>
      <c r="K281" s="380"/>
      <c r="L281" s="380"/>
      <c r="M281" s="380"/>
      <c r="N281" s="380"/>
      <c r="O281" s="380"/>
      <c r="P281" s="380"/>
      <c r="Q281" s="380"/>
      <c r="R281" s="380"/>
      <c r="S281" s="380"/>
      <c r="T281" s="380"/>
    </row>
    <row r="282" spans="2:20">
      <c r="B282" s="380"/>
      <c r="C282" s="380"/>
      <c r="D282" s="380"/>
      <c r="E282" s="380"/>
      <c r="F282" s="380"/>
      <c r="G282" s="380"/>
      <c r="H282" s="380"/>
      <c r="I282" s="380"/>
      <c r="J282" s="380"/>
      <c r="K282" s="380"/>
      <c r="L282" s="380"/>
      <c r="M282" s="380"/>
      <c r="N282" s="380"/>
      <c r="O282" s="380"/>
      <c r="P282" s="380"/>
      <c r="Q282" s="380"/>
      <c r="R282" s="380"/>
      <c r="S282" s="380"/>
      <c r="T282" s="380"/>
    </row>
    <row r="283" spans="2:20">
      <c r="B283" s="380"/>
      <c r="C283" s="380"/>
      <c r="D283" s="380"/>
      <c r="E283" s="380"/>
      <c r="F283" s="380"/>
      <c r="G283" s="380"/>
      <c r="H283" s="380"/>
      <c r="I283" s="380"/>
      <c r="J283" s="380"/>
      <c r="K283" s="380"/>
      <c r="L283" s="380"/>
      <c r="M283" s="380"/>
      <c r="N283" s="380"/>
      <c r="O283" s="380"/>
      <c r="P283" s="380"/>
      <c r="Q283" s="380"/>
      <c r="R283" s="380"/>
      <c r="S283" s="380"/>
      <c r="T283" s="380"/>
    </row>
    <row r="284" spans="2:20">
      <c r="B284" s="380"/>
      <c r="C284" s="380"/>
      <c r="D284" s="380"/>
      <c r="E284" s="380"/>
      <c r="F284" s="380"/>
      <c r="G284" s="380"/>
      <c r="H284" s="380"/>
      <c r="I284" s="380"/>
      <c r="J284" s="380"/>
      <c r="K284" s="380"/>
      <c r="L284" s="380"/>
      <c r="M284" s="380"/>
      <c r="N284" s="380"/>
      <c r="O284" s="380"/>
      <c r="P284" s="380"/>
      <c r="Q284" s="380"/>
      <c r="R284" s="380"/>
      <c r="S284" s="380"/>
      <c r="T284" s="380"/>
    </row>
    <row r="285" spans="2:20">
      <c r="B285" s="380"/>
      <c r="C285" s="380"/>
      <c r="D285" s="380"/>
      <c r="E285" s="380"/>
      <c r="F285" s="380"/>
      <c r="G285" s="380"/>
      <c r="H285" s="380"/>
      <c r="I285" s="380"/>
      <c r="J285" s="380"/>
      <c r="K285" s="380"/>
      <c r="L285" s="380"/>
      <c r="M285" s="380"/>
      <c r="N285" s="380"/>
      <c r="O285" s="380"/>
      <c r="P285" s="380"/>
      <c r="Q285" s="380"/>
      <c r="R285" s="380"/>
      <c r="S285" s="380"/>
      <c r="T285" s="380"/>
    </row>
    <row r="286" spans="2:20">
      <c r="B286" s="380"/>
      <c r="C286" s="380"/>
      <c r="D286" s="380"/>
      <c r="E286" s="380"/>
      <c r="F286" s="380"/>
      <c r="G286" s="380"/>
      <c r="H286" s="380"/>
      <c r="I286" s="380"/>
      <c r="J286" s="380"/>
      <c r="K286" s="380"/>
      <c r="L286" s="380"/>
      <c r="M286" s="380"/>
      <c r="N286" s="380"/>
      <c r="O286" s="380"/>
      <c r="P286" s="380"/>
      <c r="Q286" s="380"/>
      <c r="R286" s="380"/>
      <c r="S286" s="380"/>
      <c r="T286" s="380"/>
    </row>
    <row r="287" spans="2:20">
      <c r="B287" s="380"/>
      <c r="C287" s="380"/>
      <c r="D287" s="380"/>
      <c r="E287" s="380"/>
      <c r="F287" s="380"/>
      <c r="G287" s="380"/>
      <c r="H287" s="380"/>
      <c r="I287" s="380"/>
      <c r="J287" s="380"/>
      <c r="K287" s="380"/>
      <c r="L287" s="380"/>
      <c r="M287" s="380"/>
      <c r="N287" s="380"/>
      <c r="O287" s="380"/>
      <c r="P287" s="380"/>
      <c r="Q287" s="380"/>
      <c r="R287" s="380"/>
      <c r="S287" s="380"/>
      <c r="T287" s="380"/>
    </row>
    <row r="288" spans="2:20">
      <c r="B288" s="380"/>
      <c r="C288" s="380"/>
      <c r="D288" s="380"/>
      <c r="E288" s="380"/>
      <c r="F288" s="380"/>
      <c r="G288" s="380"/>
      <c r="H288" s="380"/>
      <c r="I288" s="380"/>
      <c r="J288" s="380"/>
      <c r="K288" s="380"/>
      <c r="L288" s="380"/>
      <c r="M288" s="380"/>
      <c r="N288" s="380"/>
      <c r="O288" s="380"/>
      <c r="P288" s="380"/>
      <c r="Q288" s="380"/>
      <c r="R288" s="380"/>
      <c r="S288" s="380"/>
      <c r="T288" s="380"/>
    </row>
    <row r="289" spans="2:20">
      <c r="B289" s="380"/>
      <c r="C289" s="380"/>
      <c r="D289" s="380"/>
      <c r="E289" s="380"/>
      <c r="F289" s="380"/>
      <c r="G289" s="380"/>
      <c r="H289" s="380"/>
      <c r="I289" s="380"/>
      <c r="J289" s="380"/>
      <c r="K289" s="380"/>
      <c r="L289" s="380"/>
      <c r="M289" s="380"/>
      <c r="N289" s="380"/>
      <c r="O289" s="380"/>
      <c r="P289" s="380"/>
      <c r="Q289" s="380"/>
      <c r="R289" s="380"/>
      <c r="S289" s="380"/>
      <c r="T289" s="380"/>
    </row>
    <row r="290" spans="2:20">
      <c r="B290" s="380"/>
      <c r="C290" s="380"/>
      <c r="D290" s="380"/>
      <c r="E290" s="380"/>
      <c r="F290" s="380"/>
      <c r="G290" s="380"/>
      <c r="H290" s="380"/>
      <c r="I290" s="380"/>
      <c r="J290" s="380"/>
      <c r="K290" s="380"/>
      <c r="L290" s="380"/>
      <c r="M290" s="380"/>
      <c r="N290" s="380"/>
      <c r="O290" s="380"/>
      <c r="P290" s="380"/>
      <c r="Q290" s="380"/>
      <c r="R290" s="380"/>
      <c r="S290" s="380"/>
      <c r="T290" s="380"/>
    </row>
    <row r="291" spans="2:20">
      <c r="B291" s="380"/>
      <c r="C291" s="380"/>
      <c r="D291" s="380"/>
      <c r="E291" s="380"/>
      <c r="F291" s="380"/>
      <c r="G291" s="380"/>
      <c r="H291" s="380"/>
      <c r="I291" s="380"/>
      <c r="J291" s="380"/>
      <c r="K291" s="380"/>
      <c r="L291" s="380"/>
      <c r="M291" s="380"/>
      <c r="N291" s="380"/>
      <c r="O291" s="380"/>
      <c r="P291" s="380"/>
      <c r="Q291" s="380"/>
      <c r="R291" s="380"/>
      <c r="S291" s="380"/>
      <c r="T291" s="380"/>
    </row>
    <row r="292" spans="2:20">
      <c r="B292" s="380"/>
      <c r="C292" s="380"/>
      <c r="D292" s="380"/>
      <c r="E292" s="380"/>
      <c r="F292" s="380"/>
      <c r="G292" s="380"/>
      <c r="H292" s="380"/>
      <c r="I292" s="380"/>
      <c r="J292" s="380"/>
      <c r="K292" s="380"/>
      <c r="L292" s="380"/>
      <c r="M292" s="380"/>
      <c r="N292" s="380"/>
      <c r="O292" s="380"/>
      <c r="P292" s="380"/>
      <c r="Q292" s="380"/>
      <c r="R292" s="380"/>
      <c r="S292" s="380"/>
      <c r="T292" s="380"/>
    </row>
    <row r="293" spans="2:20">
      <c r="B293" s="380"/>
      <c r="C293" s="380"/>
      <c r="D293" s="380"/>
      <c r="E293" s="380"/>
      <c r="F293" s="380"/>
      <c r="G293" s="380"/>
      <c r="H293" s="380"/>
      <c r="I293" s="380"/>
      <c r="J293" s="380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</row>
    <row r="294" spans="2:20">
      <c r="B294" s="380"/>
      <c r="C294" s="380"/>
      <c r="D294" s="380"/>
      <c r="E294" s="380"/>
      <c r="F294" s="380"/>
      <c r="G294" s="380"/>
      <c r="H294" s="380"/>
      <c r="I294" s="380"/>
      <c r="J294" s="380"/>
      <c r="K294" s="380"/>
      <c r="L294" s="380"/>
      <c r="M294" s="380"/>
      <c r="N294" s="380"/>
      <c r="O294" s="380"/>
      <c r="P294" s="380"/>
      <c r="Q294" s="380"/>
      <c r="R294" s="380"/>
      <c r="S294" s="380"/>
      <c r="T294" s="380"/>
    </row>
    <row r="295" spans="2:20">
      <c r="B295" s="380"/>
      <c r="C295" s="380"/>
      <c r="D295" s="380"/>
      <c r="E295" s="380"/>
      <c r="F295" s="380"/>
      <c r="G295" s="380"/>
      <c r="H295" s="380"/>
      <c r="I295" s="380"/>
      <c r="J295" s="380"/>
      <c r="K295" s="380"/>
      <c r="L295" s="380"/>
      <c r="M295" s="380"/>
      <c r="N295" s="380"/>
      <c r="O295" s="380"/>
      <c r="P295" s="380"/>
      <c r="Q295" s="380"/>
      <c r="R295" s="380"/>
      <c r="S295" s="380"/>
      <c r="T295" s="380"/>
    </row>
    <row r="296" spans="2:20">
      <c r="B296" s="380"/>
      <c r="C296" s="380"/>
      <c r="D296" s="380"/>
      <c r="E296" s="380"/>
      <c r="F296" s="380"/>
      <c r="G296" s="380"/>
      <c r="H296" s="380"/>
      <c r="I296" s="380"/>
      <c r="J296" s="380"/>
      <c r="K296" s="380"/>
      <c r="L296" s="380"/>
      <c r="M296" s="380"/>
      <c r="N296" s="380"/>
      <c r="O296" s="380"/>
      <c r="P296" s="380"/>
      <c r="Q296" s="380"/>
      <c r="R296" s="380"/>
      <c r="S296" s="380"/>
      <c r="T296" s="380"/>
    </row>
    <row r="297" spans="2:20">
      <c r="B297" s="380"/>
      <c r="C297" s="380"/>
      <c r="D297" s="380"/>
      <c r="E297" s="380"/>
      <c r="F297" s="380"/>
      <c r="G297" s="380"/>
      <c r="H297" s="380"/>
      <c r="I297" s="380"/>
      <c r="J297" s="380"/>
      <c r="K297" s="380"/>
      <c r="L297" s="380"/>
      <c r="M297" s="380"/>
      <c r="N297" s="380"/>
      <c r="O297" s="380"/>
      <c r="P297" s="380"/>
      <c r="Q297" s="380"/>
      <c r="R297" s="380"/>
      <c r="S297" s="380"/>
      <c r="T297" s="380"/>
    </row>
    <row r="298" spans="2:20">
      <c r="B298" s="380"/>
      <c r="C298" s="380"/>
      <c r="D298" s="380"/>
      <c r="E298" s="380"/>
      <c r="F298" s="380"/>
      <c r="G298" s="380"/>
      <c r="H298" s="380"/>
      <c r="I298" s="380"/>
      <c r="J298" s="380"/>
      <c r="K298" s="380"/>
      <c r="L298" s="380"/>
      <c r="M298" s="380"/>
      <c r="N298" s="380"/>
      <c r="O298" s="380"/>
      <c r="P298" s="380"/>
      <c r="Q298" s="380"/>
      <c r="R298" s="380"/>
      <c r="S298" s="380"/>
      <c r="T298" s="380"/>
    </row>
    <row r="299" spans="2:20">
      <c r="B299" s="380"/>
      <c r="C299" s="380"/>
      <c r="D299" s="380"/>
      <c r="E299" s="380"/>
      <c r="F299" s="380"/>
      <c r="G299" s="380"/>
      <c r="H299" s="380"/>
      <c r="I299" s="380"/>
      <c r="J299" s="380"/>
      <c r="K299" s="380"/>
      <c r="L299" s="380"/>
      <c r="M299" s="380"/>
      <c r="N299" s="380"/>
      <c r="O299" s="380"/>
      <c r="P299" s="380"/>
      <c r="Q299" s="380"/>
      <c r="R299" s="380"/>
      <c r="S299" s="380"/>
      <c r="T299" s="380"/>
    </row>
    <row r="300" spans="2:20">
      <c r="B300" s="380"/>
      <c r="C300" s="380"/>
      <c r="D300" s="380"/>
      <c r="E300" s="380"/>
      <c r="F300" s="380"/>
      <c r="G300" s="380"/>
      <c r="H300" s="380"/>
      <c r="I300" s="380"/>
      <c r="J300" s="380"/>
      <c r="K300" s="380"/>
      <c r="L300" s="380"/>
      <c r="M300" s="380"/>
      <c r="N300" s="380"/>
      <c r="O300" s="380"/>
      <c r="P300" s="380"/>
      <c r="Q300" s="380"/>
      <c r="R300" s="380"/>
      <c r="S300" s="380"/>
      <c r="T300" s="380"/>
    </row>
    <row r="301" spans="2:20">
      <c r="B301" s="380"/>
      <c r="C301" s="380"/>
      <c r="D301" s="380"/>
      <c r="E301" s="380"/>
      <c r="F301" s="380"/>
      <c r="G301" s="380"/>
      <c r="H301" s="380"/>
      <c r="I301" s="380"/>
      <c r="J301" s="380"/>
      <c r="K301" s="380"/>
      <c r="L301" s="380"/>
      <c r="M301" s="380"/>
      <c r="N301" s="380"/>
      <c r="O301" s="380"/>
      <c r="P301" s="380"/>
      <c r="Q301" s="380"/>
      <c r="R301" s="380"/>
      <c r="S301" s="380"/>
      <c r="T301" s="380"/>
    </row>
    <row r="302" spans="2:20">
      <c r="B302" s="381"/>
      <c r="C302" s="381"/>
      <c r="D302" s="381"/>
      <c r="G302" s="381"/>
      <c r="H302" s="381"/>
      <c r="I302" s="381"/>
      <c r="M302" s="382"/>
      <c r="S302" s="381"/>
      <c r="T302" s="381"/>
    </row>
    <row r="303" spans="2:20" ht="115.5">
      <c r="B303" s="383" t="s">
        <v>95</v>
      </c>
      <c r="C303" s="383" t="s">
        <v>96</v>
      </c>
      <c r="D303" s="383" t="s">
        <v>97</v>
      </c>
      <c r="E303" s="383" t="s">
        <v>98</v>
      </c>
      <c r="F303" s="383" t="s">
        <v>99</v>
      </c>
      <c r="G303" s="383" t="s">
        <v>100</v>
      </c>
      <c r="H303" s="383" t="s">
        <v>101</v>
      </c>
      <c r="I303" s="383" t="s">
        <v>102</v>
      </c>
      <c r="J303" s="383" t="s">
        <v>103</v>
      </c>
      <c r="K303" s="384"/>
      <c r="L303" s="384"/>
      <c r="M303" s="385"/>
      <c r="N303" s="384"/>
      <c r="O303" s="384"/>
      <c r="P303" s="384"/>
      <c r="Q303" s="384"/>
      <c r="R303" s="384"/>
      <c r="S303" s="386"/>
      <c r="T303" s="386"/>
    </row>
    <row r="304" spans="2:20">
      <c r="B304" s="380"/>
      <c r="C304" s="380"/>
      <c r="D304" s="380"/>
      <c r="E304" s="380"/>
      <c r="F304" s="380"/>
      <c r="G304" s="380"/>
      <c r="H304" s="380"/>
      <c r="I304" s="380"/>
      <c r="J304" s="380"/>
      <c r="M304" s="382"/>
      <c r="S304" s="381"/>
      <c r="T304" s="381"/>
    </row>
    <row r="305" spans="2:20">
      <c r="B305" s="380"/>
      <c r="C305" s="380"/>
      <c r="D305" s="380"/>
      <c r="E305" s="380"/>
      <c r="F305" s="380"/>
      <c r="G305" s="380"/>
      <c r="H305" s="380"/>
      <c r="I305" s="380"/>
      <c r="J305" s="380"/>
      <c r="M305" s="382"/>
      <c r="S305" s="381"/>
      <c r="T305" s="381"/>
    </row>
    <row r="306" spans="2:20">
      <c r="B306" s="380"/>
      <c r="C306" s="380"/>
      <c r="D306" s="380"/>
      <c r="E306" s="380"/>
      <c r="F306" s="380"/>
      <c r="G306" s="380"/>
      <c r="H306" s="380"/>
      <c r="I306" s="380"/>
      <c r="J306" s="380"/>
      <c r="M306" s="382"/>
      <c r="S306" s="381"/>
      <c r="T306" s="381"/>
    </row>
    <row r="307" spans="2:20">
      <c r="B307" s="380"/>
      <c r="C307" s="380"/>
      <c r="D307" s="380"/>
      <c r="E307" s="380"/>
      <c r="F307" s="380"/>
      <c r="G307" s="380"/>
      <c r="H307" s="380"/>
      <c r="I307" s="380"/>
      <c r="J307" s="380"/>
      <c r="M307" s="382"/>
      <c r="S307" s="381"/>
      <c r="T307" s="381"/>
    </row>
    <row r="308" spans="2:20">
      <c r="B308" s="380"/>
      <c r="C308" s="380"/>
      <c r="D308" s="380"/>
      <c r="E308" s="380"/>
      <c r="F308" s="380"/>
      <c r="G308" s="380"/>
      <c r="H308" s="380"/>
      <c r="I308" s="380"/>
      <c r="J308" s="380"/>
      <c r="M308" s="382"/>
      <c r="S308" s="381"/>
      <c r="T308" s="381"/>
    </row>
    <row r="309" spans="2:20">
      <c r="B309" s="380"/>
      <c r="C309" s="380"/>
      <c r="D309" s="380"/>
      <c r="E309" s="380"/>
      <c r="F309" s="380"/>
      <c r="G309" s="380"/>
      <c r="H309" s="380"/>
      <c r="I309" s="380"/>
      <c r="J309" s="380"/>
      <c r="M309" s="382"/>
      <c r="S309" s="381"/>
      <c r="T309" s="38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7"/>
  <sheetViews>
    <sheetView topLeftCell="C1" zoomScaleNormal="100" workbookViewId="0">
      <selection activeCell="F13" sqref="F13"/>
    </sheetView>
  </sheetViews>
  <sheetFormatPr defaultColWidth="9.140625" defaultRowHeight="15.75"/>
  <cols>
    <col min="1" max="1" width="18.28515625" style="886" bestFit="1" customWidth="1"/>
    <col min="2" max="2" width="71.42578125" style="886" bestFit="1" customWidth="1"/>
    <col min="3" max="3" width="9.5703125" style="886" customWidth="1"/>
    <col min="4" max="4" width="15.42578125" style="886" customWidth="1"/>
    <col min="5" max="5" width="8.85546875" style="886" customWidth="1"/>
    <col min="6" max="6" width="19.42578125" style="886" customWidth="1"/>
    <col min="7" max="7" width="17.7109375" style="886" customWidth="1"/>
    <col min="8" max="8" width="16.5703125" style="886" customWidth="1"/>
    <col min="9" max="10" width="12.7109375" style="886" customWidth="1"/>
    <col min="11" max="11" width="13.28515625" style="886" customWidth="1"/>
    <col min="12" max="13" width="12.7109375" style="886" customWidth="1"/>
    <col min="14" max="14" width="15.85546875" style="886" customWidth="1"/>
    <col min="15" max="16" width="12.7109375" style="886" customWidth="1"/>
    <col min="17" max="17" width="12" style="886" customWidth="1"/>
    <col min="18" max="18" width="12.7109375" style="886" customWidth="1"/>
    <col min="19" max="19" width="14.28515625" style="886" customWidth="1"/>
    <col min="20" max="20" width="12.7109375" style="886" customWidth="1"/>
    <col min="21" max="21" width="12" style="886" customWidth="1"/>
    <col min="22" max="22" width="16.85546875" style="886" customWidth="1"/>
    <col min="23" max="24" width="12.7109375" style="886" customWidth="1"/>
    <col min="25" max="25" width="12" style="886" customWidth="1"/>
    <col min="26" max="26" width="10.5703125" style="886" customWidth="1"/>
    <col min="27" max="27" width="10.5703125" style="886" bestFit="1" customWidth="1"/>
    <col min="28" max="28" width="9.85546875" style="886" bestFit="1" customWidth="1"/>
    <col min="29" max="29" width="12" style="886" bestFit="1" customWidth="1"/>
    <col min="30" max="30" width="13.28515625" style="887" bestFit="1" customWidth="1"/>
    <col min="31" max="31" width="11.7109375" style="886" bestFit="1" customWidth="1"/>
    <col min="32" max="32" width="12.7109375" style="886" bestFit="1" customWidth="1"/>
    <col min="33" max="34" width="10.5703125" style="886" bestFit="1" customWidth="1"/>
    <col min="35" max="16384" width="9.140625" style="886"/>
  </cols>
  <sheetData>
    <row r="1" spans="1:34">
      <c r="A1" t="s">
        <v>104</v>
      </c>
      <c r="B1" t="s">
        <v>105</v>
      </c>
      <c r="C1" t="s">
        <v>106</v>
      </c>
      <c r="D1" t="s">
        <v>107</v>
      </c>
      <c r="E1" s="234" t="s">
        <v>108</v>
      </c>
      <c r="F1" s="234" t="s">
        <v>109</v>
      </c>
      <c r="G1" s="235" t="s">
        <v>110</v>
      </c>
      <c r="H1" s="234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41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s="886" t="s">
        <v>136</v>
      </c>
    </row>
    <row r="2" spans="1:34">
      <c r="A2">
        <v>1</v>
      </c>
      <c r="B2">
        <v>26</v>
      </c>
      <c r="C2" t="s">
        <v>137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893">
        <v>44043</v>
      </c>
      <c r="J2">
        <v>1</v>
      </c>
      <c r="K2" t="s">
        <v>137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893">
        <v>44043</v>
      </c>
      <c r="AH2" s="888">
        <f>DATE(YEAR(I2),MONTH(I2),1)</f>
        <v>44013</v>
      </c>
    </row>
    <row r="3" spans="1:34">
      <c r="A3">
        <v>2</v>
      </c>
      <c r="B3">
        <v>26</v>
      </c>
      <c r="C3" t="s">
        <v>137</v>
      </c>
      <c r="D3">
        <v>146</v>
      </c>
      <c r="E3">
        <v>0</v>
      </c>
      <c r="F3">
        <v>0</v>
      </c>
      <c r="G3" t="s">
        <v>138</v>
      </c>
      <c r="H3" t="s">
        <v>138</v>
      </c>
      <c r="I3" s="893">
        <v>44055</v>
      </c>
      <c r="J3">
        <v>2</v>
      </c>
      <c r="K3" t="s">
        <v>137</v>
      </c>
      <c r="L3">
        <v>26</v>
      </c>
      <c r="M3">
        <v>0</v>
      </c>
      <c r="N3" t="s">
        <v>138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138</v>
      </c>
      <c r="Z3" t="s">
        <v>138</v>
      </c>
      <c r="AA3" t="s">
        <v>138</v>
      </c>
      <c r="AB3" t="s">
        <v>138</v>
      </c>
      <c r="AC3" t="s">
        <v>138</v>
      </c>
      <c r="AD3" t="s">
        <v>138</v>
      </c>
      <c r="AE3" t="s">
        <v>138</v>
      </c>
      <c r="AF3" t="s">
        <v>138</v>
      </c>
      <c r="AG3" s="893">
        <v>44055</v>
      </c>
      <c r="AH3" s="888">
        <f t="shared" ref="AH3:AH66" si="0">DATE(YEAR(I3),MONTH(I3),1)</f>
        <v>44044</v>
      </c>
    </row>
    <row r="4" spans="1:34">
      <c r="A4">
        <v>3</v>
      </c>
      <c r="B4">
        <v>26</v>
      </c>
      <c r="C4" t="s">
        <v>137</v>
      </c>
      <c r="D4">
        <v>146</v>
      </c>
      <c r="E4">
        <v>0</v>
      </c>
      <c r="F4">
        <v>0</v>
      </c>
      <c r="G4" t="s">
        <v>138</v>
      </c>
      <c r="H4" t="s">
        <v>138</v>
      </c>
      <c r="I4" s="893">
        <v>44088</v>
      </c>
      <c r="J4">
        <v>3</v>
      </c>
      <c r="K4" t="s">
        <v>137</v>
      </c>
      <c r="L4">
        <v>26</v>
      </c>
      <c r="M4">
        <v>0</v>
      </c>
      <c r="N4" t="s">
        <v>138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  <c r="AD4" t="s">
        <v>138</v>
      </c>
      <c r="AE4" t="s">
        <v>138</v>
      </c>
      <c r="AF4" t="s">
        <v>138</v>
      </c>
      <c r="AG4" s="893">
        <v>44088</v>
      </c>
      <c r="AH4" s="888">
        <f t="shared" si="0"/>
        <v>44075</v>
      </c>
    </row>
    <row r="5" spans="1:34">
      <c r="A5">
        <v>4</v>
      </c>
      <c r="B5">
        <v>26</v>
      </c>
      <c r="C5" t="s">
        <v>137</v>
      </c>
      <c r="D5">
        <v>146</v>
      </c>
      <c r="E5">
        <v>0</v>
      </c>
      <c r="F5">
        <v>0</v>
      </c>
      <c r="G5" t="s">
        <v>138</v>
      </c>
      <c r="H5" t="s">
        <v>138</v>
      </c>
      <c r="I5" s="893">
        <v>44117</v>
      </c>
      <c r="J5">
        <v>4</v>
      </c>
      <c r="K5" t="s">
        <v>137</v>
      </c>
      <c r="L5">
        <v>26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138</v>
      </c>
      <c r="X5" t="s">
        <v>138</v>
      </c>
      <c r="Y5" t="s">
        <v>138</v>
      </c>
      <c r="Z5" t="s">
        <v>138</v>
      </c>
      <c r="AA5" t="s">
        <v>138</v>
      </c>
      <c r="AB5" t="s">
        <v>138</v>
      </c>
      <c r="AC5" t="s">
        <v>138</v>
      </c>
      <c r="AD5" t="s">
        <v>138</v>
      </c>
      <c r="AE5" t="s">
        <v>138</v>
      </c>
      <c r="AF5" t="s">
        <v>138</v>
      </c>
      <c r="AG5" s="893">
        <v>44117</v>
      </c>
      <c r="AH5" s="888">
        <f t="shared" si="0"/>
        <v>44105</v>
      </c>
    </row>
    <row r="6" spans="1:34">
      <c r="A6">
        <v>5</v>
      </c>
      <c r="B6">
        <v>26</v>
      </c>
      <c r="C6" t="s">
        <v>137</v>
      </c>
      <c r="D6">
        <v>146</v>
      </c>
      <c r="E6">
        <v>0</v>
      </c>
      <c r="F6">
        <v>0</v>
      </c>
      <c r="G6" t="s">
        <v>138</v>
      </c>
      <c r="H6" t="s">
        <v>138</v>
      </c>
      <c r="I6" s="893">
        <v>44147</v>
      </c>
      <c r="J6">
        <v>5</v>
      </c>
      <c r="K6" t="s">
        <v>137</v>
      </c>
      <c r="L6">
        <v>26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  <c r="AD6" t="s">
        <v>138</v>
      </c>
      <c r="AE6" t="s">
        <v>138</v>
      </c>
      <c r="AF6" t="s">
        <v>138</v>
      </c>
      <c r="AG6" s="893">
        <v>44147</v>
      </c>
      <c r="AH6" s="888">
        <f t="shared" si="0"/>
        <v>44136</v>
      </c>
    </row>
    <row r="7" spans="1:34">
      <c r="A7">
        <v>6</v>
      </c>
      <c r="B7">
        <v>26</v>
      </c>
      <c r="C7" t="s">
        <v>137</v>
      </c>
      <c r="D7">
        <v>146</v>
      </c>
      <c r="E7">
        <v>0</v>
      </c>
      <c r="F7">
        <v>0</v>
      </c>
      <c r="G7" t="s">
        <v>138</v>
      </c>
      <c r="H7" t="s">
        <v>138</v>
      </c>
      <c r="I7" s="893">
        <v>44179</v>
      </c>
      <c r="J7">
        <v>6</v>
      </c>
      <c r="K7" t="s">
        <v>137</v>
      </c>
      <c r="L7">
        <v>26</v>
      </c>
      <c r="M7" t="s">
        <v>138</v>
      </c>
      <c r="N7" t="s">
        <v>138</v>
      </c>
      <c r="O7" t="s">
        <v>138</v>
      </c>
      <c r="P7" t="s">
        <v>138</v>
      </c>
      <c r="Q7" t="s">
        <v>138</v>
      </c>
      <c r="R7" t="s">
        <v>138</v>
      </c>
      <c r="S7" t="s">
        <v>138</v>
      </c>
      <c r="T7" t="s">
        <v>138</v>
      </c>
      <c r="U7" t="s">
        <v>138</v>
      </c>
      <c r="V7" t="s">
        <v>138</v>
      </c>
      <c r="W7" t="s">
        <v>138</v>
      </c>
      <c r="X7" t="s">
        <v>138</v>
      </c>
      <c r="Y7" t="s">
        <v>138</v>
      </c>
      <c r="Z7" t="s">
        <v>138</v>
      </c>
      <c r="AA7" t="s">
        <v>138</v>
      </c>
      <c r="AB7" t="s">
        <v>138</v>
      </c>
      <c r="AC7" t="s">
        <v>138</v>
      </c>
      <c r="AD7" t="s">
        <v>138</v>
      </c>
      <c r="AE7" t="s">
        <v>138</v>
      </c>
      <c r="AF7" t="s">
        <v>138</v>
      </c>
      <c r="AG7" s="893">
        <v>44179</v>
      </c>
      <c r="AH7" s="888">
        <f t="shared" si="0"/>
        <v>44166</v>
      </c>
    </row>
    <row r="8" spans="1:34">
      <c r="A8">
        <v>7</v>
      </c>
      <c r="B8">
        <v>26</v>
      </c>
      <c r="C8" t="s">
        <v>137</v>
      </c>
      <c r="D8">
        <v>146</v>
      </c>
      <c r="E8">
        <v>0</v>
      </c>
      <c r="F8">
        <v>0</v>
      </c>
      <c r="G8" t="s">
        <v>138</v>
      </c>
      <c r="H8" t="s">
        <v>138</v>
      </c>
      <c r="I8" s="893">
        <v>44193</v>
      </c>
      <c r="J8">
        <v>7</v>
      </c>
      <c r="K8" t="s">
        <v>137</v>
      </c>
      <c r="L8">
        <v>26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  <c r="AD8" t="s">
        <v>138</v>
      </c>
      <c r="AE8" t="s">
        <v>138</v>
      </c>
      <c r="AF8" t="s">
        <v>138</v>
      </c>
      <c r="AG8" s="893">
        <v>44193</v>
      </c>
      <c r="AH8" s="888">
        <f t="shared" si="0"/>
        <v>44166</v>
      </c>
    </row>
    <row r="9" spans="1:34">
      <c r="A9">
        <v>8</v>
      </c>
      <c r="B9">
        <v>26</v>
      </c>
      <c r="C9" t="s">
        <v>137</v>
      </c>
      <c r="D9">
        <v>146</v>
      </c>
      <c r="E9">
        <v>0</v>
      </c>
      <c r="F9">
        <v>0</v>
      </c>
      <c r="G9" t="s">
        <v>138</v>
      </c>
      <c r="H9" t="s">
        <v>138</v>
      </c>
      <c r="I9" s="893">
        <v>44208</v>
      </c>
      <c r="J9">
        <v>8</v>
      </c>
      <c r="K9" t="s">
        <v>137</v>
      </c>
      <c r="L9">
        <v>26</v>
      </c>
      <c r="M9" t="s">
        <v>138</v>
      </c>
      <c r="N9" t="s">
        <v>138</v>
      </c>
      <c r="O9" t="s">
        <v>138</v>
      </c>
      <c r="P9" t="s">
        <v>138</v>
      </c>
      <c r="Q9" t="s">
        <v>138</v>
      </c>
      <c r="R9" t="s">
        <v>138</v>
      </c>
      <c r="S9" t="s">
        <v>138</v>
      </c>
      <c r="T9" t="s">
        <v>138</v>
      </c>
      <c r="U9" t="s">
        <v>138</v>
      </c>
      <c r="V9" t="s">
        <v>138</v>
      </c>
      <c r="W9" t="s">
        <v>138</v>
      </c>
      <c r="X9" t="s">
        <v>138</v>
      </c>
      <c r="Y9" t="s">
        <v>138</v>
      </c>
      <c r="Z9" t="s">
        <v>138</v>
      </c>
      <c r="AA9" t="s">
        <v>138</v>
      </c>
      <c r="AB9" t="s">
        <v>138</v>
      </c>
      <c r="AC9" t="s">
        <v>138</v>
      </c>
      <c r="AD9" t="s">
        <v>138</v>
      </c>
      <c r="AE9" t="s">
        <v>138</v>
      </c>
      <c r="AF9" t="s">
        <v>138</v>
      </c>
      <c r="AG9" s="893">
        <v>44208</v>
      </c>
      <c r="AH9" s="888">
        <f t="shared" si="0"/>
        <v>44197</v>
      </c>
    </row>
    <row r="10" spans="1:34">
      <c r="A10">
        <v>1</v>
      </c>
      <c r="B10">
        <v>31</v>
      </c>
      <c r="C10" t="s">
        <v>139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893">
        <v>44043</v>
      </c>
      <c r="J10">
        <v>1</v>
      </c>
      <c r="K10" t="s">
        <v>139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893">
        <v>44043</v>
      </c>
      <c r="AH10" s="888">
        <f t="shared" si="0"/>
        <v>44013</v>
      </c>
    </row>
    <row r="11" spans="1:34">
      <c r="A11">
        <v>2</v>
      </c>
      <c r="B11">
        <v>31</v>
      </c>
      <c r="C11" t="s">
        <v>139</v>
      </c>
      <c r="D11">
        <v>107</v>
      </c>
      <c r="E11">
        <v>9387066.6099999994</v>
      </c>
      <c r="F11">
        <v>1520926.9382040601</v>
      </c>
      <c r="G11" t="s">
        <v>138</v>
      </c>
      <c r="H11" t="s">
        <v>138</v>
      </c>
      <c r="I11" s="893">
        <v>44055</v>
      </c>
      <c r="J11">
        <v>2</v>
      </c>
      <c r="K11" t="s">
        <v>139</v>
      </c>
      <c r="L11">
        <v>31</v>
      </c>
      <c r="M11">
        <v>1</v>
      </c>
      <c r="N11" t="s">
        <v>138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138</v>
      </c>
      <c r="Z11" t="s">
        <v>138</v>
      </c>
      <c r="AA11" t="s">
        <v>138</v>
      </c>
      <c r="AB11" t="s">
        <v>138</v>
      </c>
      <c r="AC11" t="s">
        <v>138</v>
      </c>
      <c r="AD11" t="s">
        <v>138</v>
      </c>
      <c r="AE11" t="s">
        <v>138</v>
      </c>
      <c r="AF11" t="s">
        <v>138</v>
      </c>
      <c r="AG11" s="893">
        <v>44055</v>
      </c>
      <c r="AH11" s="888">
        <f t="shared" si="0"/>
        <v>44044</v>
      </c>
    </row>
    <row r="12" spans="1:34">
      <c r="A12">
        <v>3</v>
      </c>
      <c r="B12">
        <v>31</v>
      </c>
      <c r="C12" t="s">
        <v>139</v>
      </c>
      <c r="D12">
        <v>107</v>
      </c>
      <c r="E12">
        <v>3863681.65</v>
      </c>
      <c r="F12">
        <v>7044279.0856746603</v>
      </c>
      <c r="G12" t="s">
        <v>138</v>
      </c>
      <c r="H12" t="s">
        <v>138</v>
      </c>
      <c r="I12" s="893">
        <v>44088</v>
      </c>
      <c r="J12">
        <v>3</v>
      </c>
      <c r="K12" t="s">
        <v>139</v>
      </c>
      <c r="L12">
        <v>31</v>
      </c>
      <c r="M12">
        <v>1</v>
      </c>
      <c r="N12" t="s">
        <v>138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  <c r="AD12" t="s">
        <v>138</v>
      </c>
      <c r="AE12" t="s">
        <v>138</v>
      </c>
      <c r="AF12" t="s">
        <v>138</v>
      </c>
      <c r="AG12" s="893">
        <v>44088</v>
      </c>
      <c r="AH12" s="888">
        <f t="shared" si="0"/>
        <v>44075</v>
      </c>
    </row>
    <row r="13" spans="1:34">
      <c r="A13">
        <v>4</v>
      </c>
      <c r="B13">
        <v>31</v>
      </c>
      <c r="C13" t="s">
        <v>139</v>
      </c>
      <c r="D13">
        <v>107</v>
      </c>
      <c r="E13">
        <v>2232796.634079</v>
      </c>
      <c r="F13">
        <v>8675123.1015956607</v>
      </c>
      <c r="G13" t="s">
        <v>138</v>
      </c>
      <c r="H13" t="s">
        <v>138</v>
      </c>
      <c r="I13" s="893">
        <v>44117</v>
      </c>
      <c r="J13">
        <v>4</v>
      </c>
      <c r="K13" t="s">
        <v>139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138</v>
      </c>
      <c r="Z13" t="s">
        <v>138</v>
      </c>
      <c r="AA13" t="s">
        <v>138</v>
      </c>
      <c r="AB13" t="s">
        <v>138</v>
      </c>
      <c r="AC13" t="s">
        <v>138</v>
      </c>
      <c r="AD13" t="s">
        <v>138</v>
      </c>
      <c r="AE13" t="s">
        <v>138</v>
      </c>
      <c r="AF13" t="s">
        <v>138</v>
      </c>
      <c r="AG13" s="893">
        <v>44117</v>
      </c>
      <c r="AH13" s="888">
        <f t="shared" si="0"/>
        <v>44105</v>
      </c>
    </row>
    <row r="14" spans="1:34">
      <c r="A14">
        <v>5</v>
      </c>
      <c r="B14">
        <v>31</v>
      </c>
      <c r="C14" t="s">
        <v>139</v>
      </c>
      <c r="D14">
        <v>107</v>
      </c>
      <c r="E14">
        <v>10691198.7471429</v>
      </c>
      <c r="F14">
        <v>0</v>
      </c>
      <c r="G14" t="s">
        <v>138</v>
      </c>
      <c r="H14" t="s">
        <v>138</v>
      </c>
      <c r="I14" s="893">
        <v>44147</v>
      </c>
      <c r="J14">
        <v>5</v>
      </c>
      <c r="K14" t="s">
        <v>139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  <c r="AD14" t="s">
        <v>138</v>
      </c>
      <c r="AE14" t="s">
        <v>138</v>
      </c>
      <c r="AF14" t="s">
        <v>138</v>
      </c>
      <c r="AG14" s="893">
        <v>44147</v>
      </c>
      <c r="AH14" s="888">
        <f t="shared" si="0"/>
        <v>44136</v>
      </c>
    </row>
    <row r="15" spans="1:34">
      <c r="A15">
        <v>6</v>
      </c>
      <c r="B15">
        <v>31</v>
      </c>
      <c r="C15" t="s">
        <v>139</v>
      </c>
      <c r="D15">
        <v>107</v>
      </c>
      <c r="E15">
        <v>9476340.8571428601</v>
      </c>
      <c r="F15">
        <v>0</v>
      </c>
      <c r="G15" t="s">
        <v>138</v>
      </c>
      <c r="H15" t="s">
        <v>138</v>
      </c>
      <c r="I15" s="893">
        <v>44179</v>
      </c>
      <c r="J15">
        <v>6</v>
      </c>
      <c r="K15" t="s">
        <v>139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138</v>
      </c>
      <c r="Z15" t="s">
        <v>138</v>
      </c>
      <c r="AA15" t="s">
        <v>138</v>
      </c>
      <c r="AB15" t="s">
        <v>138</v>
      </c>
      <c r="AC15" t="s">
        <v>138</v>
      </c>
      <c r="AD15" t="s">
        <v>138</v>
      </c>
      <c r="AE15" t="s">
        <v>138</v>
      </c>
      <c r="AF15" t="s">
        <v>138</v>
      </c>
      <c r="AG15" s="893">
        <v>44179</v>
      </c>
      <c r="AH15" s="888">
        <f t="shared" si="0"/>
        <v>44166</v>
      </c>
    </row>
    <row r="16" spans="1:34">
      <c r="A16">
        <v>7</v>
      </c>
      <c r="B16">
        <v>31</v>
      </c>
      <c r="C16" t="s">
        <v>139</v>
      </c>
      <c r="D16">
        <v>107</v>
      </c>
      <c r="E16">
        <v>9476340.8571428601</v>
      </c>
      <c r="F16">
        <v>0</v>
      </c>
      <c r="G16" t="s">
        <v>138</v>
      </c>
      <c r="H16" t="s">
        <v>138</v>
      </c>
      <c r="I16" s="893">
        <v>44193</v>
      </c>
      <c r="J16">
        <v>7</v>
      </c>
      <c r="K16" t="s">
        <v>139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138</v>
      </c>
      <c r="Z16" t="s">
        <v>138</v>
      </c>
      <c r="AA16" t="s">
        <v>138</v>
      </c>
      <c r="AB16" t="s">
        <v>138</v>
      </c>
      <c r="AC16" t="s">
        <v>138</v>
      </c>
      <c r="AD16" t="s">
        <v>138</v>
      </c>
      <c r="AE16" t="s">
        <v>138</v>
      </c>
      <c r="AF16" t="s">
        <v>138</v>
      </c>
      <c r="AG16" s="893">
        <v>44193</v>
      </c>
      <c r="AH16" s="888">
        <f t="shared" si="0"/>
        <v>44166</v>
      </c>
    </row>
    <row r="17" spans="1:34">
      <c r="A17">
        <v>8</v>
      </c>
      <c r="B17">
        <v>31</v>
      </c>
      <c r="C17" t="s">
        <v>139</v>
      </c>
      <c r="D17">
        <v>107</v>
      </c>
      <c r="E17">
        <v>0</v>
      </c>
      <c r="F17">
        <v>0</v>
      </c>
      <c r="G17" t="s">
        <v>138</v>
      </c>
      <c r="H17" t="s">
        <v>138</v>
      </c>
      <c r="I17" s="893">
        <v>44208</v>
      </c>
      <c r="J17">
        <v>8</v>
      </c>
      <c r="K17" t="s">
        <v>139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138</v>
      </c>
      <c r="Z17" t="s">
        <v>138</v>
      </c>
      <c r="AA17" t="s">
        <v>138</v>
      </c>
      <c r="AB17" t="s">
        <v>138</v>
      </c>
      <c r="AC17" t="s">
        <v>138</v>
      </c>
      <c r="AD17" t="s">
        <v>138</v>
      </c>
      <c r="AE17" t="s">
        <v>138</v>
      </c>
      <c r="AF17" t="s">
        <v>138</v>
      </c>
      <c r="AG17" s="893">
        <v>44208</v>
      </c>
      <c r="AH17" s="888">
        <f t="shared" si="0"/>
        <v>44197</v>
      </c>
    </row>
    <row r="18" spans="1:34">
      <c r="A18">
        <v>1</v>
      </c>
      <c r="B18">
        <v>32</v>
      </c>
      <c r="C18" t="s">
        <v>140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893">
        <v>44043</v>
      </c>
      <c r="J18">
        <v>1</v>
      </c>
      <c r="K18" t="s">
        <v>140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893">
        <v>44043</v>
      </c>
      <c r="AH18" s="888">
        <f t="shared" si="0"/>
        <v>44013</v>
      </c>
    </row>
    <row r="19" spans="1:34">
      <c r="A19">
        <v>2</v>
      </c>
      <c r="B19">
        <v>32</v>
      </c>
      <c r="C19" t="s">
        <v>140</v>
      </c>
      <c r="D19">
        <v>115</v>
      </c>
      <c r="E19">
        <v>4045832.8318431899</v>
      </c>
      <c r="F19">
        <v>0</v>
      </c>
      <c r="G19" t="s">
        <v>138</v>
      </c>
      <c r="H19" t="s">
        <v>138</v>
      </c>
      <c r="I19" s="893">
        <v>44055</v>
      </c>
      <c r="J19">
        <v>2</v>
      </c>
      <c r="K19" t="s">
        <v>140</v>
      </c>
      <c r="L19">
        <v>32</v>
      </c>
      <c r="M19">
        <v>0.73114540059084998</v>
      </c>
      <c r="N19" t="s">
        <v>138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138</v>
      </c>
      <c r="Z19" t="s">
        <v>138</v>
      </c>
      <c r="AA19" t="s">
        <v>138</v>
      </c>
      <c r="AB19" t="s">
        <v>138</v>
      </c>
      <c r="AC19" t="s">
        <v>138</v>
      </c>
      <c r="AD19" t="s">
        <v>138</v>
      </c>
      <c r="AE19" t="s">
        <v>138</v>
      </c>
      <c r="AF19" t="s">
        <v>138</v>
      </c>
      <c r="AG19" s="893">
        <v>44055</v>
      </c>
      <c r="AH19" s="888">
        <f t="shared" si="0"/>
        <v>44044</v>
      </c>
    </row>
    <row r="20" spans="1:34">
      <c r="A20">
        <v>3</v>
      </c>
      <c r="B20">
        <v>32</v>
      </c>
      <c r="C20" t="s">
        <v>140</v>
      </c>
      <c r="D20">
        <v>115</v>
      </c>
      <c r="E20">
        <v>0</v>
      </c>
      <c r="F20">
        <v>0</v>
      </c>
      <c r="G20" t="s">
        <v>138</v>
      </c>
      <c r="H20" t="s">
        <v>138</v>
      </c>
      <c r="I20" s="893">
        <v>44088</v>
      </c>
      <c r="J20">
        <v>3</v>
      </c>
      <c r="K20" t="s">
        <v>140</v>
      </c>
      <c r="L20">
        <v>32</v>
      </c>
      <c r="M20">
        <v>0</v>
      </c>
      <c r="N20" t="s">
        <v>138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138</v>
      </c>
      <c r="Z20" t="s">
        <v>138</v>
      </c>
      <c r="AA20" t="s">
        <v>138</v>
      </c>
      <c r="AB20" t="s">
        <v>138</v>
      </c>
      <c r="AC20" t="s">
        <v>138</v>
      </c>
      <c r="AD20" t="s">
        <v>138</v>
      </c>
      <c r="AE20" t="s">
        <v>138</v>
      </c>
      <c r="AF20" t="s">
        <v>138</v>
      </c>
      <c r="AG20" s="893">
        <v>44088</v>
      </c>
      <c r="AH20" s="888">
        <f t="shared" si="0"/>
        <v>44075</v>
      </c>
    </row>
    <row r="21" spans="1:34">
      <c r="A21">
        <v>4</v>
      </c>
      <c r="B21">
        <v>32</v>
      </c>
      <c r="C21" t="s">
        <v>140</v>
      </c>
      <c r="D21">
        <v>115</v>
      </c>
      <c r="E21">
        <v>0</v>
      </c>
      <c r="F21">
        <v>0</v>
      </c>
      <c r="G21" t="s">
        <v>138</v>
      </c>
      <c r="H21" t="s">
        <v>138</v>
      </c>
      <c r="I21" s="893">
        <v>44117</v>
      </c>
      <c r="J21">
        <v>4</v>
      </c>
      <c r="K21" t="s">
        <v>140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138</v>
      </c>
      <c r="Z21" t="s">
        <v>138</v>
      </c>
      <c r="AA21" t="s">
        <v>138</v>
      </c>
      <c r="AB21" t="s">
        <v>138</v>
      </c>
      <c r="AC21" t="s">
        <v>138</v>
      </c>
      <c r="AD21" t="s">
        <v>138</v>
      </c>
      <c r="AE21" t="s">
        <v>138</v>
      </c>
      <c r="AF21" t="s">
        <v>138</v>
      </c>
      <c r="AG21" s="893">
        <v>44117</v>
      </c>
      <c r="AH21" s="888">
        <f t="shared" si="0"/>
        <v>44105</v>
      </c>
    </row>
    <row r="22" spans="1:34">
      <c r="A22">
        <v>5</v>
      </c>
      <c r="B22">
        <v>32</v>
      </c>
      <c r="C22" t="s">
        <v>140</v>
      </c>
      <c r="D22">
        <v>115</v>
      </c>
      <c r="E22">
        <v>142006.51088978999</v>
      </c>
      <c r="F22">
        <v>0</v>
      </c>
      <c r="G22" t="s">
        <v>138</v>
      </c>
      <c r="H22" t="s">
        <v>138</v>
      </c>
      <c r="I22" s="893">
        <v>44147</v>
      </c>
      <c r="J22">
        <v>5</v>
      </c>
      <c r="K22" t="s">
        <v>140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138</v>
      </c>
      <c r="Z22" t="s">
        <v>138</v>
      </c>
      <c r="AA22" t="s">
        <v>138</v>
      </c>
      <c r="AB22" t="s">
        <v>138</v>
      </c>
      <c r="AC22" t="s">
        <v>138</v>
      </c>
      <c r="AD22" t="s">
        <v>138</v>
      </c>
      <c r="AE22" t="s">
        <v>138</v>
      </c>
      <c r="AF22" t="s">
        <v>138</v>
      </c>
      <c r="AG22" s="893">
        <v>44147</v>
      </c>
      <c r="AH22" s="888">
        <f t="shared" si="0"/>
        <v>44136</v>
      </c>
    </row>
    <row r="23" spans="1:34">
      <c r="A23">
        <v>6</v>
      </c>
      <c r="B23">
        <v>32</v>
      </c>
      <c r="C23" t="s">
        <v>140</v>
      </c>
      <c r="D23">
        <v>115</v>
      </c>
      <c r="E23">
        <v>3722767.8101610602</v>
      </c>
      <c r="F23">
        <v>0</v>
      </c>
      <c r="G23" t="s">
        <v>138</v>
      </c>
      <c r="H23" t="s">
        <v>138</v>
      </c>
      <c r="I23" s="893">
        <v>44179</v>
      </c>
      <c r="J23">
        <v>6</v>
      </c>
      <c r="K23" t="s">
        <v>140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138</v>
      </c>
      <c r="Z23" t="s">
        <v>138</v>
      </c>
      <c r="AA23" t="s">
        <v>138</v>
      </c>
      <c r="AB23" t="s">
        <v>138</v>
      </c>
      <c r="AC23" t="s">
        <v>138</v>
      </c>
      <c r="AD23" t="s">
        <v>138</v>
      </c>
      <c r="AE23" t="s">
        <v>138</v>
      </c>
      <c r="AF23" t="s">
        <v>138</v>
      </c>
      <c r="AG23" s="893">
        <v>44179</v>
      </c>
      <c r="AH23" s="888">
        <f t="shared" si="0"/>
        <v>44166</v>
      </c>
    </row>
    <row r="24" spans="1:34">
      <c r="A24">
        <v>7</v>
      </c>
      <c r="B24">
        <v>32</v>
      </c>
      <c r="C24" t="s">
        <v>140</v>
      </c>
      <c r="D24">
        <v>115</v>
      </c>
      <c r="E24">
        <v>5486888.5087920399</v>
      </c>
      <c r="F24">
        <v>0</v>
      </c>
      <c r="G24" t="s">
        <v>138</v>
      </c>
      <c r="H24" t="s">
        <v>138</v>
      </c>
      <c r="I24" s="893">
        <v>44193</v>
      </c>
      <c r="J24">
        <v>7</v>
      </c>
      <c r="K24" t="s">
        <v>140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138</v>
      </c>
      <c r="Z24" t="s">
        <v>138</v>
      </c>
      <c r="AA24" t="s">
        <v>138</v>
      </c>
      <c r="AB24" t="s">
        <v>138</v>
      </c>
      <c r="AC24" t="s">
        <v>138</v>
      </c>
      <c r="AD24" t="s">
        <v>138</v>
      </c>
      <c r="AE24" t="s">
        <v>138</v>
      </c>
      <c r="AF24" t="s">
        <v>138</v>
      </c>
      <c r="AG24" s="893">
        <v>44193</v>
      </c>
      <c r="AH24" s="888">
        <f t="shared" si="0"/>
        <v>44166</v>
      </c>
    </row>
    <row r="25" spans="1:34">
      <c r="A25">
        <v>8</v>
      </c>
      <c r="B25">
        <v>32</v>
      </c>
      <c r="C25" t="s">
        <v>140</v>
      </c>
      <c r="D25">
        <v>115</v>
      </c>
      <c r="E25">
        <v>0</v>
      </c>
      <c r="F25">
        <v>0</v>
      </c>
      <c r="G25" t="s">
        <v>138</v>
      </c>
      <c r="H25" t="s">
        <v>138</v>
      </c>
      <c r="I25" s="893">
        <v>44208</v>
      </c>
      <c r="J25">
        <v>8</v>
      </c>
      <c r="K25" t="s">
        <v>140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138</v>
      </c>
      <c r="Z25" t="s">
        <v>138</v>
      </c>
      <c r="AA25" t="s">
        <v>138</v>
      </c>
      <c r="AB25" t="s">
        <v>138</v>
      </c>
      <c r="AC25" t="s">
        <v>138</v>
      </c>
      <c r="AD25" t="s">
        <v>138</v>
      </c>
      <c r="AE25" t="s">
        <v>138</v>
      </c>
      <c r="AF25" t="s">
        <v>138</v>
      </c>
      <c r="AG25" s="893">
        <v>44208</v>
      </c>
      <c r="AH25" s="888">
        <f t="shared" si="0"/>
        <v>44197</v>
      </c>
    </row>
    <row r="26" spans="1:34">
      <c r="A26">
        <v>1</v>
      </c>
      <c r="B26">
        <v>37</v>
      </c>
      <c r="C26" t="s">
        <v>141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893">
        <v>44043</v>
      </c>
      <c r="J26">
        <v>1</v>
      </c>
      <c r="K26" t="s">
        <v>141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893">
        <v>44043</v>
      </c>
      <c r="AH26" s="888">
        <f t="shared" si="0"/>
        <v>44013</v>
      </c>
    </row>
    <row r="27" spans="1:34">
      <c r="A27">
        <v>2</v>
      </c>
      <c r="B27">
        <v>37</v>
      </c>
      <c r="C27" t="s">
        <v>141</v>
      </c>
      <c r="D27">
        <v>116</v>
      </c>
      <c r="E27">
        <v>19113923.609999999</v>
      </c>
      <c r="F27">
        <v>0</v>
      </c>
      <c r="G27" t="s">
        <v>138</v>
      </c>
      <c r="H27" t="s">
        <v>138</v>
      </c>
      <c r="I27" s="893">
        <v>44055</v>
      </c>
      <c r="J27">
        <v>2</v>
      </c>
      <c r="K27" t="s">
        <v>141</v>
      </c>
      <c r="L27">
        <v>37</v>
      </c>
      <c r="M27">
        <v>1</v>
      </c>
      <c r="N27" t="s">
        <v>138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138</v>
      </c>
      <c r="Z27" t="s">
        <v>138</v>
      </c>
      <c r="AA27" t="s">
        <v>138</v>
      </c>
      <c r="AB27" t="s">
        <v>138</v>
      </c>
      <c r="AC27" t="s">
        <v>138</v>
      </c>
      <c r="AD27" t="s">
        <v>138</v>
      </c>
      <c r="AE27" t="s">
        <v>138</v>
      </c>
      <c r="AF27" t="s">
        <v>138</v>
      </c>
      <c r="AG27" s="893">
        <v>44055</v>
      </c>
      <c r="AH27" s="888">
        <f t="shared" si="0"/>
        <v>44044</v>
      </c>
    </row>
    <row r="28" spans="1:34">
      <c r="A28">
        <v>3</v>
      </c>
      <c r="B28">
        <v>37</v>
      </c>
      <c r="C28" t="s">
        <v>141</v>
      </c>
      <c r="D28">
        <v>116</v>
      </c>
      <c r="E28">
        <v>9471914.5500000007</v>
      </c>
      <c r="F28">
        <v>0</v>
      </c>
      <c r="G28" t="s">
        <v>138</v>
      </c>
      <c r="H28" t="s">
        <v>138</v>
      </c>
      <c r="I28" s="893">
        <v>44088</v>
      </c>
      <c r="J28">
        <v>3</v>
      </c>
      <c r="K28" t="s">
        <v>141</v>
      </c>
      <c r="L28">
        <v>37</v>
      </c>
      <c r="M28">
        <v>0.90118828787101202</v>
      </c>
      <c r="N28" t="s">
        <v>138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138</v>
      </c>
      <c r="Z28" t="s">
        <v>138</v>
      </c>
      <c r="AA28" t="s">
        <v>138</v>
      </c>
      <c r="AB28" t="s">
        <v>138</v>
      </c>
      <c r="AC28" t="s">
        <v>138</v>
      </c>
      <c r="AD28" t="s">
        <v>138</v>
      </c>
      <c r="AE28" t="s">
        <v>138</v>
      </c>
      <c r="AF28" t="s">
        <v>138</v>
      </c>
      <c r="AG28" s="893">
        <v>44088</v>
      </c>
      <c r="AH28" s="888">
        <f t="shared" si="0"/>
        <v>44075</v>
      </c>
    </row>
    <row r="29" spans="1:34">
      <c r="A29">
        <v>4</v>
      </c>
      <c r="B29">
        <v>37</v>
      </c>
      <c r="C29" t="s">
        <v>141</v>
      </c>
      <c r="D29">
        <v>116</v>
      </c>
      <c r="E29">
        <v>206412.44741226599</v>
      </c>
      <c r="F29">
        <v>0</v>
      </c>
      <c r="G29" t="s">
        <v>138</v>
      </c>
      <c r="H29" t="s">
        <v>138</v>
      </c>
      <c r="I29" s="893">
        <v>44117</v>
      </c>
      <c r="J29">
        <v>4</v>
      </c>
      <c r="K29" t="s">
        <v>141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138</v>
      </c>
      <c r="R29" t="s">
        <v>138</v>
      </c>
      <c r="S29" t="s">
        <v>138</v>
      </c>
      <c r="T29" t="s">
        <v>138</v>
      </c>
      <c r="U29" t="s">
        <v>138</v>
      </c>
      <c r="V29" t="s">
        <v>138</v>
      </c>
      <c r="W29" t="s">
        <v>138</v>
      </c>
      <c r="X29" t="s">
        <v>138</v>
      </c>
      <c r="Y29" t="s">
        <v>138</v>
      </c>
      <c r="Z29" t="s">
        <v>138</v>
      </c>
      <c r="AA29" t="s">
        <v>138</v>
      </c>
      <c r="AB29" t="s">
        <v>138</v>
      </c>
      <c r="AC29" t="s">
        <v>138</v>
      </c>
      <c r="AD29" t="s">
        <v>138</v>
      </c>
      <c r="AE29" t="s">
        <v>138</v>
      </c>
      <c r="AF29" t="s">
        <v>138</v>
      </c>
      <c r="AG29" s="893">
        <v>44117</v>
      </c>
      <c r="AH29" s="888">
        <f t="shared" si="0"/>
        <v>44105</v>
      </c>
    </row>
    <row r="30" spans="1:34">
      <c r="A30">
        <v>5</v>
      </c>
      <c r="B30">
        <v>37</v>
      </c>
      <c r="C30" t="s">
        <v>141</v>
      </c>
      <c r="D30">
        <v>116</v>
      </c>
      <c r="E30">
        <v>1698280.7748001199</v>
      </c>
      <c r="F30">
        <v>0</v>
      </c>
      <c r="G30" t="s">
        <v>138</v>
      </c>
      <c r="H30" t="s">
        <v>138</v>
      </c>
      <c r="I30" s="893">
        <v>44147</v>
      </c>
      <c r="J30">
        <v>5</v>
      </c>
      <c r="K30" t="s">
        <v>141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138</v>
      </c>
      <c r="R30" t="s">
        <v>138</v>
      </c>
      <c r="S30" t="s">
        <v>138</v>
      </c>
      <c r="T30" t="s">
        <v>138</v>
      </c>
      <c r="U30" t="s">
        <v>138</v>
      </c>
      <c r="V30" t="s">
        <v>138</v>
      </c>
      <c r="W30" t="s">
        <v>138</v>
      </c>
      <c r="X30" t="s">
        <v>138</v>
      </c>
      <c r="Y30" t="s">
        <v>138</v>
      </c>
      <c r="Z30" t="s">
        <v>138</v>
      </c>
      <c r="AA30" t="s">
        <v>138</v>
      </c>
      <c r="AB30" t="s">
        <v>138</v>
      </c>
      <c r="AC30" t="s">
        <v>138</v>
      </c>
      <c r="AD30" t="s">
        <v>138</v>
      </c>
      <c r="AE30" t="s">
        <v>138</v>
      </c>
      <c r="AF30" t="s">
        <v>138</v>
      </c>
      <c r="AG30" s="893">
        <v>44147</v>
      </c>
      <c r="AH30" s="888">
        <f t="shared" si="0"/>
        <v>44136</v>
      </c>
    </row>
    <row r="31" spans="1:34">
      <c r="A31">
        <v>6</v>
      </c>
      <c r="B31">
        <v>37</v>
      </c>
      <c r="C31" t="s">
        <v>141</v>
      </c>
      <c r="D31">
        <v>116</v>
      </c>
      <c r="E31">
        <v>59930390.2610709</v>
      </c>
      <c r="F31">
        <v>0</v>
      </c>
      <c r="G31" t="s">
        <v>138</v>
      </c>
      <c r="H31" t="s">
        <v>138</v>
      </c>
      <c r="I31" s="893">
        <v>44179</v>
      </c>
      <c r="J31">
        <v>6</v>
      </c>
      <c r="K31" t="s">
        <v>141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138</v>
      </c>
      <c r="Z31" t="s">
        <v>138</v>
      </c>
      <c r="AA31" t="s">
        <v>138</v>
      </c>
      <c r="AB31" t="s">
        <v>138</v>
      </c>
      <c r="AC31" t="s">
        <v>138</v>
      </c>
      <c r="AD31" t="s">
        <v>138</v>
      </c>
      <c r="AE31" t="s">
        <v>138</v>
      </c>
      <c r="AF31" t="s">
        <v>138</v>
      </c>
      <c r="AG31" s="893">
        <v>44179</v>
      </c>
      <c r="AH31" s="888">
        <f t="shared" si="0"/>
        <v>44166</v>
      </c>
    </row>
    <row r="32" spans="1:34">
      <c r="A32">
        <v>7</v>
      </c>
      <c r="B32">
        <v>37</v>
      </c>
      <c r="C32" t="s">
        <v>141</v>
      </c>
      <c r="D32">
        <v>116</v>
      </c>
      <c r="E32">
        <v>0</v>
      </c>
      <c r="F32">
        <v>0</v>
      </c>
      <c r="G32" t="s">
        <v>138</v>
      </c>
      <c r="H32" t="s">
        <v>138</v>
      </c>
      <c r="I32" s="893">
        <v>44193</v>
      </c>
      <c r="J32">
        <v>7</v>
      </c>
      <c r="K32" t="s">
        <v>141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138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s="893">
        <v>44193</v>
      </c>
      <c r="AH32" s="888">
        <f t="shared" si="0"/>
        <v>44166</v>
      </c>
    </row>
    <row r="33" spans="1:34">
      <c r="A33">
        <v>8</v>
      </c>
      <c r="B33">
        <v>37</v>
      </c>
      <c r="C33" t="s">
        <v>141</v>
      </c>
      <c r="D33">
        <v>116</v>
      </c>
      <c r="E33">
        <v>38126623.351973899</v>
      </c>
      <c r="F33">
        <v>0</v>
      </c>
      <c r="G33" t="s">
        <v>138</v>
      </c>
      <c r="H33" t="s">
        <v>138</v>
      </c>
      <c r="I33" s="893">
        <v>44208</v>
      </c>
      <c r="J33">
        <v>8</v>
      </c>
      <c r="K33" t="s">
        <v>141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138</v>
      </c>
      <c r="Z33" t="s">
        <v>138</v>
      </c>
      <c r="AA33" t="s">
        <v>138</v>
      </c>
      <c r="AB33" t="s">
        <v>138</v>
      </c>
      <c r="AC33" t="s">
        <v>138</v>
      </c>
      <c r="AD33" t="s">
        <v>138</v>
      </c>
      <c r="AE33" t="s">
        <v>138</v>
      </c>
      <c r="AF33" t="s">
        <v>138</v>
      </c>
      <c r="AG33" s="893">
        <v>44208</v>
      </c>
      <c r="AH33" s="888">
        <f t="shared" si="0"/>
        <v>44197</v>
      </c>
    </row>
    <row r="34" spans="1:34">
      <c r="A34">
        <v>1</v>
      </c>
      <c r="B34">
        <v>38</v>
      </c>
      <c r="C34" t="s">
        <v>142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893">
        <v>44043</v>
      </c>
      <c r="J34">
        <v>1</v>
      </c>
      <c r="K34" t="s">
        <v>142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893">
        <v>44043</v>
      </c>
      <c r="AH34" s="888">
        <f t="shared" si="0"/>
        <v>44013</v>
      </c>
    </row>
    <row r="35" spans="1:34">
      <c r="A35">
        <v>2</v>
      </c>
      <c r="B35">
        <v>38</v>
      </c>
      <c r="C35" t="s">
        <v>142</v>
      </c>
      <c r="D35">
        <v>119</v>
      </c>
      <c r="E35">
        <v>22634418.23</v>
      </c>
      <c r="F35">
        <v>0</v>
      </c>
      <c r="G35" t="s">
        <v>138</v>
      </c>
      <c r="H35" t="s">
        <v>138</v>
      </c>
      <c r="I35" s="893">
        <v>44055</v>
      </c>
      <c r="J35">
        <v>2</v>
      </c>
      <c r="K35" t="s">
        <v>142</v>
      </c>
      <c r="L35">
        <v>38</v>
      </c>
      <c r="M35">
        <v>0.743960440050213</v>
      </c>
      <c r="N35" t="s">
        <v>138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138</v>
      </c>
      <c r="Z35" t="s">
        <v>138</v>
      </c>
      <c r="AA35" t="s">
        <v>138</v>
      </c>
      <c r="AB35" t="s">
        <v>138</v>
      </c>
      <c r="AC35" t="s">
        <v>138</v>
      </c>
      <c r="AD35" t="s">
        <v>138</v>
      </c>
      <c r="AE35" t="s">
        <v>138</v>
      </c>
      <c r="AF35" t="s">
        <v>138</v>
      </c>
      <c r="AG35" s="893">
        <v>44055</v>
      </c>
      <c r="AH35" s="888">
        <f t="shared" si="0"/>
        <v>44044</v>
      </c>
    </row>
    <row r="36" spans="1:34">
      <c r="A36">
        <v>3</v>
      </c>
      <c r="B36">
        <v>38</v>
      </c>
      <c r="C36" t="s">
        <v>142</v>
      </c>
      <c r="D36">
        <v>119</v>
      </c>
      <c r="E36">
        <v>13433571.3306059</v>
      </c>
      <c r="F36">
        <v>0</v>
      </c>
      <c r="G36" t="s">
        <v>138</v>
      </c>
      <c r="H36" t="s">
        <v>138</v>
      </c>
      <c r="I36" s="893">
        <v>44088</v>
      </c>
      <c r="J36">
        <v>3</v>
      </c>
      <c r="K36" t="s">
        <v>142</v>
      </c>
      <c r="L36">
        <v>38</v>
      </c>
      <c r="M36">
        <v>0.59257676855169805</v>
      </c>
      <c r="N36" t="s">
        <v>138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138</v>
      </c>
      <c r="Z36" t="s">
        <v>138</v>
      </c>
      <c r="AA36" t="s">
        <v>138</v>
      </c>
      <c r="AB36" t="s">
        <v>138</v>
      </c>
      <c r="AC36" t="s">
        <v>138</v>
      </c>
      <c r="AD36" t="s">
        <v>138</v>
      </c>
      <c r="AE36" t="s">
        <v>138</v>
      </c>
      <c r="AF36" t="s">
        <v>138</v>
      </c>
      <c r="AG36" s="893">
        <v>44088</v>
      </c>
      <c r="AH36" s="888">
        <f t="shared" si="0"/>
        <v>44075</v>
      </c>
    </row>
    <row r="37" spans="1:34">
      <c r="A37">
        <v>4</v>
      </c>
      <c r="B37">
        <v>38</v>
      </c>
      <c r="C37" t="s">
        <v>142</v>
      </c>
      <c r="D37">
        <v>119</v>
      </c>
      <c r="E37">
        <v>10694858.018706299</v>
      </c>
      <c r="F37">
        <v>0</v>
      </c>
      <c r="G37" t="s">
        <v>138</v>
      </c>
      <c r="H37" t="s">
        <v>138</v>
      </c>
      <c r="I37" s="893">
        <v>44117</v>
      </c>
      <c r="J37">
        <v>4</v>
      </c>
      <c r="K37" t="s">
        <v>142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138</v>
      </c>
      <c r="Z37" t="s">
        <v>138</v>
      </c>
      <c r="AA37" t="s">
        <v>138</v>
      </c>
      <c r="AB37" t="s">
        <v>138</v>
      </c>
      <c r="AC37" t="s">
        <v>138</v>
      </c>
      <c r="AD37" t="s">
        <v>138</v>
      </c>
      <c r="AE37" t="s">
        <v>138</v>
      </c>
      <c r="AF37" t="s">
        <v>138</v>
      </c>
      <c r="AG37" s="893">
        <v>44117</v>
      </c>
      <c r="AH37" s="888">
        <f t="shared" si="0"/>
        <v>44105</v>
      </c>
    </row>
    <row r="38" spans="1:34">
      <c r="A38">
        <v>5</v>
      </c>
      <c r="B38">
        <v>38</v>
      </c>
      <c r="C38" t="s">
        <v>142</v>
      </c>
      <c r="D38">
        <v>119</v>
      </c>
      <c r="E38">
        <v>6087882.7013617698</v>
      </c>
      <c r="F38">
        <v>0</v>
      </c>
      <c r="G38" t="s">
        <v>138</v>
      </c>
      <c r="H38" t="s">
        <v>138</v>
      </c>
      <c r="I38" s="893">
        <v>44147</v>
      </c>
      <c r="J38">
        <v>5</v>
      </c>
      <c r="K38" t="s">
        <v>142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138</v>
      </c>
      <c r="Z38" t="s">
        <v>138</v>
      </c>
      <c r="AA38" t="s">
        <v>138</v>
      </c>
      <c r="AB38" t="s">
        <v>138</v>
      </c>
      <c r="AC38" t="s">
        <v>138</v>
      </c>
      <c r="AD38" t="s">
        <v>138</v>
      </c>
      <c r="AE38" t="s">
        <v>138</v>
      </c>
      <c r="AF38" t="s">
        <v>138</v>
      </c>
      <c r="AG38" s="893">
        <v>44147</v>
      </c>
      <c r="AH38" s="888">
        <f t="shared" si="0"/>
        <v>44136</v>
      </c>
    </row>
    <row r="39" spans="1:34">
      <c r="A39">
        <v>6</v>
      </c>
      <c r="B39">
        <v>38</v>
      </c>
      <c r="C39" t="s">
        <v>142</v>
      </c>
      <c r="D39">
        <v>119</v>
      </c>
      <c r="E39">
        <v>3103184.6917414698</v>
      </c>
      <c r="F39">
        <v>0</v>
      </c>
      <c r="G39" t="s">
        <v>138</v>
      </c>
      <c r="H39" t="s">
        <v>138</v>
      </c>
      <c r="I39" s="893">
        <v>44179</v>
      </c>
      <c r="J39">
        <v>6</v>
      </c>
      <c r="K39" t="s">
        <v>142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138</v>
      </c>
      <c r="Z39" t="s">
        <v>138</v>
      </c>
      <c r="AA39" t="s">
        <v>138</v>
      </c>
      <c r="AB39" t="s">
        <v>138</v>
      </c>
      <c r="AC39" t="s">
        <v>138</v>
      </c>
      <c r="AD39" t="s">
        <v>138</v>
      </c>
      <c r="AE39" t="s">
        <v>138</v>
      </c>
      <c r="AF39" t="s">
        <v>138</v>
      </c>
      <c r="AG39" s="893">
        <v>44179</v>
      </c>
      <c r="AH39" s="888">
        <f t="shared" si="0"/>
        <v>44166</v>
      </c>
    </row>
    <row r="40" spans="1:34">
      <c r="A40">
        <v>7</v>
      </c>
      <c r="B40">
        <v>38</v>
      </c>
      <c r="C40" t="s">
        <v>142</v>
      </c>
      <c r="D40">
        <v>119</v>
      </c>
      <c r="E40">
        <v>0</v>
      </c>
      <c r="F40">
        <v>0</v>
      </c>
      <c r="G40" t="s">
        <v>138</v>
      </c>
      <c r="H40" t="s">
        <v>138</v>
      </c>
      <c r="I40" s="893">
        <v>44193</v>
      </c>
      <c r="J40">
        <v>7</v>
      </c>
      <c r="K40" t="s">
        <v>142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138</v>
      </c>
      <c r="Z40" t="s">
        <v>138</v>
      </c>
      <c r="AA40" t="s">
        <v>138</v>
      </c>
      <c r="AB40" t="s">
        <v>138</v>
      </c>
      <c r="AC40" t="s">
        <v>138</v>
      </c>
      <c r="AD40" t="s">
        <v>138</v>
      </c>
      <c r="AE40" t="s">
        <v>138</v>
      </c>
      <c r="AF40" t="s">
        <v>138</v>
      </c>
      <c r="AG40" s="893">
        <v>44193</v>
      </c>
      <c r="AH40" s="888">
        <f t="shared" si="0"/>
        <v>44166</v>
      </c>
    </row>
    <row r="41" spans="1:34">
      <c r="A41">
        <v>8</v>
      </c>
      <c r="B41">
        <v>38</v>
      </c>
      <c r="C41" t="s">
        <v>142</v>
      </c>
      <c r="D41">
        <v>119</v>
      </c>
      <c r="E41">
        <v>0</v>
      </c>
      <c r="F41">
        <v>0</v>
      </c>
      <c r="G41" t="s">
        <v>138</v>
      </c>
      <c r="H41" t="s">
        <v>138</v>
      </c>
      <c r="I41" s="893">
        <v>44208</v>
      </c>
      <c r="J41">
        <v>8</v>
      </c>
      <c r="K41" t="s">
        <v>142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138</v>
      </c>
      <c r="Z41" t="s">
        <v>138</v>
      </c>
      <c r="AA41" t="s">
        <v>138</v>
      </c>
      <c r="AB41" t="s">
        <v>138</v>
      </c>
      <c r="AC41" t="s">
        <v>138</v>
      </c>
      <c r="AD41" t="s">
        <v>138</v>
      </c>
      <c r="AE41" t="s">
        <v>138</v>
      </c>
      <c r="AF41" t="s">
        <v>138</v>
      </c>
      <c r="AG41" s="893">
        <v>44208</v>
      </c>
      <c r="AH41" s="888">
        <f t="shared" si="0"/>
        <v>44197</v>
      </c>
    </row>
    <row r="42" spans="1:34">
      <c r="A42">
        <v>1</v>
      </c>
      <c r="B42">
        <v>39</v>
      </c>
      <c r="C42" t="s">
        <v>143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893">
        <v>44043</v>
      </c>
      <c r="J42">
        <v>1</v>
      </c>
      <c r="K42" t="s">
        <v>143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893">
        <v>44043</v>
      </c>
      <c r="AH42" s="888">
        <f t="shared" si="0"/>
        <v>44013</v>
      </c>
    </row>
    <row r="43" spans="1:34">
      <c r="A43">
        <v>2</v>
      </c>
      <c r="B43">
        <v>39</v>
      </c>
      <c r="C43" t="s">
        <v>143</v>
      </c>
      <c r="D43">
        <v>130</v>
      </c>
      <c r="E43">
        <v>13387324.99</v>
      </c>
      <c r="F43">
        <v>0</v>
      </c>
      <c r="G43" t="s">
        <v>138</v>
      </c>
      <c r="H43" t="s">
        <v>138</v>
      </c>
      <c r="I43" s="893">
        <v>44055</v>
      </c>
      <c r="J43">
        <v>2</v>
      </c>
      <c r="K43" t="s">
        <v>143</v>
      </c>
      <c r="L43">
        <v>39</v>
      </c>
      <c r="M43">
        <v>0.48551746237622001</v>
      </c>
      <c r="N43" t="s">
        <v>138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138</v>
      </c>
      <c r="Z43" t="s">
        <v>138</v>
      </c>
      <c r="AA43" t="s">
        <v>138</v>
      </c>
      <c r="AB43" t="s">
        <v>138</v>
      </c>
      <c r="AC43" t="s">
        <v>138</v>
      </c>
      <c r="AD43" t="s">
        <v>138</v>
      </c>
      <c r="AE43" t="s">
        <v>138</v>
      </c>
      <c r="AF43" t="s">
        <v>138</v>
      </c>
      <c r="AG43" s="893">
        <v>44055</v>
      </c>
      <c r="AH43" s="888">
        <f t="shared" si="0"/>
        <v>44044</v>
      </c>
    </row>
    <row r="44" spans="1:34">
      <c r="A44">
        <v>3</v>
      </c>
      <c r="B44">
        <v>39</v>
      </c>
      <c r="C44" t="s">
        <v>143</v>
      </c>
      <c r="D44">
        <v>130</v>
      </c>
      <c r="E44">
        <v>55242282.350000001</v>
      </c>
      <c r="F44">
        <v>0</v>
      </c>
      <c r="G44" t="s">
        <v>138</v>
      </c>
      <c r="H44" t="s">
        <v>138</v>
      </c>
      <c r="I44" s="893">
        <v>44088</v>
      </c>
      <c r="J44">
        <v>3</v>
      </c>
      <c r="K44" t="s">
        <v>143</v>
      </c>
      <c r="L44">
        <v>39</v>
      </c>
      <c r="M44">
        <v>0.71712321923716804</v>
      </c>
      <c r="N44" t="s">
        <v>138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138</v>
      </c>
      <c r="Z44" t="s">
        <v>138</v>
      </c>
      <c r="AA44" t="s">
        <v>138</v>
      </c>
      <c r="AB44" t="s">
        <v>138</v>
      </c>
      <c r="AC44" t="s">
        <v>138</v>
      </c>
      <c r="AD44" t="s">
        <v>138</v>
      </c>
      <c r="AE44" t="s">
        <v>138</v>
      </c>
      <c r="AF44" t="s">
        <v>138</v>
      </c>
      <c r="AG44" s="893">
        <v>44088</v>
      </c>
      <c r="AH44" s="888">
        <f t="shared" si="0"/>
        <v>44075</v>
      </c>
    </row>
    <row r="45" spans="1:34">
      <c r="A45">
        <v>4</v>
      </c>
      <c r="B45">
        <v>39</v>
      </c>
      <c r="C45" t="s">
        <v>143</v>
      </c>
      <c r="D45">
        <v>130</v>
      </c>
      <c r="E45">
        <v>16459523.9296073</v>
      </c>
      <c r="F45">
        <v>0</v>
      </c>
      <c r="G45" t="s">
        <v>138</v>
      </c>
      <c r="H45" t="s">
        <v>138</v>
      </c>
      <c r="I45" s="893">
        <v>44117</v>
      </c>
      <c r="J45">
        <v>4</v>
      </c>
      <c r="K45" t="s">
        <v>143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138</v>
      </c>
      <c r="Z45" t="s">
        <v>138</v>
      </c>
      <c r="AA45" t="s">
        <v>138</v>
      </c>
      <c r="AB45" t="s">
        <v>138</v>
      </c>
      <c r="AC45" t="s">
        <v>138</v>
      </c>
      <c r="AD45" t="s">
        <v>138</v>
      </c>
      <c r="AE45" t="s">
        <v>138</v>
      </c>
      <c r="AF45" t="s">
        <v>138</v>
      </c>
      <c r="AG45" s="893">
        <v>44117</v>
      </c>
      <c r="AH45" s="888">
        <f t="shared" si="0"/>
        <v>44105</v>
      </c>
    </row>
    <row r="46" spans="1:34">
      <c r="A46">
        <v>5</v>
      </c>
      <c r="B46">
        <v>39</v>
      </c>
      <c r="C46" t="s">
        <v>143</v>
      </c>
      <c r="D46">
        <v>130</v>
      </c>
      <c r="E46">
        <v>56019997.980832599</v>
      </c>
      <c r="F46">
        <v>0</v>
      </c>
      <c r="G46" t="s">
        <v>138</v>
      </c>
      <c r="H46" t="s">
        <v>138</v>
      </c>
      <c r="I46" s="893">
        <v>44147</v>
      </c>
      <c r="J46">
        <v>5</v>
      </c>
      <c r="K46" t="s">
        <v>143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138</v>
      </c>
      <c r="Z46" t="s">
        <v>138</v>
      </c>
      <c r="AA46" t="s">
        <v>138</v>
      </c>
      <c r="AB46" t="s">
        <v>138</v>
      </c>
      <c r="AC46" t="s">
        <v>138</v>
      </c>
      <c r="AD46" t="s">
        <v>138</v>
      </c>
      <c r="AE46" t="s">
        <v>138</v>
      </c>
      <c r="AF46" t="s">
        <v>138</v>
      </c>
      <c r="AG46" s="893">
        <v>44147</v>
      </c>
      <c r="AH46" s="888">
        <f t="shared" si="0"/>
        <v>44136</v>
      </c>
    </row>
    <row r="47" spans="1:34">
      <c r="A47">
        <v>6</v>
      </c>
      <c r="B47">
        <v>39</v>
      </c>
      <c r="C47" t="s">
        <v>143</v>
      </c>
      <c r="D47">
        <v>130</v>
      </c>
      <c r="E47">
        <v>0</v>
      </c>
      <c r="F47">
        <v>0</v>
      </c>
      <c r="G47" t="s">
        <v>138</v>
      </c>
      <c r="H47" t="s">
        <v>138</v>
      </c>
      <c r="I47" s="893">
        <v>44179</v>
      </c>
      <c r="J47">
        <v>6</v>
      </c>
      <c r="K47" t="s">
        <v>143</v>
      </c>
      <c r="L47">
        <v>39</v>
      </c>
      <c r="M47" t="s">
        <v>138</v>
      </c>
      <c r="N47">
        <v>0</v>
      </c>
      <c r="O47" t="s">
        <v>138</v>
      </c>
      <c r="P47" t="s">
        <v>138</v>
      </c>
      <c r="Q47" t="s">
        <v>138</v>
      </c>
      <c r="R47" t="s">
        <v>138</v>
      </c>
      <c r="S47" t="s">
        <v>138</v>
      </c>
      <c r="T47" t="s">
        <v>138</v>
      </c>
      <c r="U47" t="s">
        <v>138</v>
      </c>
      <c r="V47" t="s">
        <v>138</v>
      </c>
      <c r="W47" t="s">
        <v>138</v>
      </c>
      <c r="X47" t="s">
        <v>138</v>
      </c>
      <c r="Y47" t="s">
        <v>138</v>
      </c>
      <c r="Z47" t="s">
        <v>138</v>
      </c>
      <c r="AA47" t="s">
        <v>138</v>
      </c>
      <c r="AB47" t="s">
        <v>138</v>
      </c>
      <c r="AC47" t="s">
        <v>138</v>
      </c>
      <c r="AD47" t="s">
        <v>138</v>
      </c>
      <c r="AE47" t="s">
        <v>138</v>
      </c>
      <c r="AF47" t="s">
        <v>138</v>
      </c>
      <c r="AG47" s="893">
        <v>44179</v>
      </c>
      <c r="AH47" s="888">
        <f t="shared" si="0"/>
        <v>44166</v>
      </c>
    </row>
    <row r="48" spans="1:34">
      <c r="A48">
        <v>7</v>
      </c>
      <c r="B48">
        <v>39</v>
      </c>
      <c r="C48" t="s">
        <v>143</v>
      </c>
      <c r="D48">
        <v>130</v>
      </c>
      <c r="E48">
        <v>0</v>
      </c>
      <c r="F48">
        <v>0</v>
      </c>
      <c r="G48" t="s">
        <v>138</v>
      </c>
      <c r="H48" t="s">
        <v>138</v>
      </c>
      <c r="I48" s="893">
        <v>44193</v>
      </c>
      <c r="J48">
        <v>7</v>
      </c>
      <c r="K48" t="s">
        <v>143</v>
      </c>
      <c r="L48">
        <v>39</v>
      </c>
      <c r="M48" t="s">
        <v>138</v>
      </c>
      <c r="N48">
        <v>0</v>
      </c>
      <c r="O48" t="s">
        <v>138</v>
      </c>
      <c r="P48" t="s">
        <v>138</v>
      </c>
      <c r="Q48" t="s">
        <v>138</v>
      </c>
      <c r="R48" t="s">
        <v>138</v>
      </c>
      <c r="S48" t="s">
        <v>138</v>
      </c>
      <c r="T48" t="s">
        <v>138</v>
      </c>
      <c r="U48" t="s">
        <v>138</v>
      </c>
      <c r="V48" t="s">
        <v>138</v>
      </c>
      <c r="W48" t="s">
        <v>138</v>
      </c>
      <c r="X48" t="s">
        <v>138</v>
      </c>
      <c r="Y48" t="s">
        <v>138</v>
      </c>
      <c r="Z48" t="s">
        <v>138</v>
      </c>
      <c r="AA48" t="s">
        <v>138</v>
      </c>
      <c r="AB48" t="s">
        <v>138</v>
      </c>
      <c r="AC48" t="s">
        <v>138</v>
      </c>
      <c r="AD48" t="s">
        <v>138</v>
      </c>
      <c r="AE48" t="s">
        <v>138</v>
      </c>
      <c r="AF48" t="s">
        <v>138</v>
      </c>
      <c r="AG48" s="893">
        <v>44193</v>
      </c>
      <c r="AH48" s="888">
        <f t="shared" si="0"/>
        <v>44166</v>
      </c>
    </row>
    <row r="49" spans="1:34">
      <c r="A49">
        <v>8</v>
      </c>
      <c r="B49">
        <v>39</v>
      </c>
      <c r="C49" t="s">
        <v>143</v>
      </c>
      <c r="D49">
        <v>130</v>
      </c>
      <c r="E49">
        <v>0</v>
      </c>
      <c r="F49">
        <v>0</v>
      </c>
      <c r="G49" t="s">
        <v>138</v>
      </c>
      <c r="H49" t="s">
        <v>138</v>
      </c>
      <c r="I49" s="893">
        <v>44208</v>
      </c>
      <c r="J49">
        <v>8</v>
      </c>
      <c r="K49" t="s">
        <v>143</v>
      </c>
      <c r="L49">
        <v>39</v>
      </c>
      <c r="M49" t="s">
        <v>138</v>
      </c>
      <c r="N49">
        <v>0</v>
      </c>
      <c r="O49" t="s">
        <v>138</v>
      </c>
      <c r="P49" t="s">
        <v>138</v>
      </c>
      <c r="Q49" t="s">
        <v>138</v>
      </c>
      <c r="R49" t="s">
        <v>138</v>
      </c>
      <c r="S49" t="s">
        <v>138</v>
      </c>
      <c r="T49" t="s">
        <v>138</v>
      </c>
      <c r="U49" t="s">
        <v>138</v>
      </c>
      <c r="V49" t="s">
        <v>138</v>
      </c>
      <c r="W49" t="s">
        <v>138</v>
      </c>
      <c r="X49" t="s">
        <v>138</v>
      </c>
      <c r="Y49" t="s">
        <v>138</v>
      </c>
      <c r="Z49" t="s">
        <v>138</v>
      </c>
      <c r="AA49" t="s">
        <v>138</v>
      </c>
      <c r="AB49" t="s">
        <v>138</v>
      </c>
      <c r="AC49" t="s">
        <v>138</v>
      </c>
      <c r="AD49" t="s">
        <v>138</v>
      </c>
      <c r="AE49" t="s">
        <v>138</v>
      </c>
      <c r="AF49" t="s">
        <v>138</v>
      </c>
      <c r="AG49" s="893">
        <v>44208</v>
      </c>
      <c r="AH49" s="888">
        <f t="shared" si="0"/>
        <v>44197</v>
      </c>
    </row>
    <row r="50" spans="1:34">
      <c r="A50">
        <v>1</v>
      </c>
      <c r="B50">
        <v>40</v>
      </c>
      <c r="C50" t="s">
        <v>144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893">
        <v>44043</v>
      </c>
      <c r="J50">
        <v>1</v>
      </c>
      <c r="K50" t="s">
        <v>144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893">
        <v>44043</v>
      </c>
      <c r="AH50" s="888">
        <f t="shared" si="0"/>
        <v>44013</v>
      </c>
    </row>
    <row r="51" spans="1:34">
      <c r="A51">
        <v>2</v>
      </c>
      <c r="B51">
        <v>40</v>
      </c>
      <c r="C51" t="s">
        <v>144</v>
      </c>
      <c r="D51">
        <v>133</v>
      </c>
      <c r="E51">
        <v>11928356.92</v>
      </c>
      <c r="F51">
        <v>0</v>
      </c>
      <c r="G51" t="s">
        <v>138</v>
      </c>
      <c r="H51" t="s">
        <v>138</v>
      </c>
      <c r="I51" s="893">
        <v>44055</v>
      </c>
      <c r="J51">
        <v>2</v>
      </c>
      <c r="K51" t="s">
        <v>144</v>
      </c>
      <c r="L51">
        <v>40</v>
      </c>
      <c r="M51">
        <v>0.48686343611096899</v>
      </c>
      <c r="N51" t="s">
        <v>138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138</v>
      </c>
      <c r="Z51" t="s">
        <v>138</v>
      </c>
      <c r="AA51" t="s">
        <v>138</v>
      </c>
      <c r="AB51" t="s">
        <v>138</v>
      </c>
      <c r="AC51" t="s">
        <v>138</v>
      </c>
      <c r="AD51" t="s">
        <v>138</v>
      </c>
      <c r="AE51" t="s">
        <v>138</v>
      </c>
      <c r="AF51" t="s">
        <v>138</v>
      </c>
      <c r="AG51" s="893">
        <v>44055</v>
      </c>
      <c r="AH51" s="888">
        <f t="shared" si="0"/>
        <v>44044</v>
      </c>
    </row>
    <row r="52" spans="1:34">
      <c r="A52">
        <v>3</v>
      </c>
      <c r="B52">
        <v>40</v>
      </c>
      <c r="C52" t="s">
        <v>144</v>
      </c>
      <c r="D52">
        <v>133</v>
      </c>
      <c r="E52">
        <v>17272465</v>
      </c>
      <c r="F52">
        <v>0</v>
      </c>
      <c r="G52" t="s">
        <v>138</v>
      </c>
      <c r="H52" t="s">
        <v>138</v>
      </c>
      <c r="I52" s="893">
        <v>44088</v>
      </c>
      <c r="J52">
        <v>3</v>
      </c>
      <c r="K52" t="s">
        <v>144</v>
      </c>
      <c r="L52">
        <v>40</v>
      </c>
      <c r="M52">
        <v>0.368343424526275</v>
      </c>
      <c r="N52" t="s">
        <v>138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138</v>
      </c>
      <c r="Z52" t="s">
        <v>138</v>
      </c>
      <c r="AA52" t="s">
        <v>138</v>
      </c>
      <c r="AB52" t="s">
        <v>138</v>
      </c>
      <c r="AC52" t="s">
        <v>138</v>
      </c>
      <c r="AD52" t="s">
        <v>138</v>
      </c>
      <c r="AE52" t="s">
        <v>138</v>
      </c>
      <c r="AF52" t="s">
        <v>138</v>
      </c>
      <c r="AG52" s="893">
        <v>44088</v>
      </c>
      <c r="AH52" s="888">
        <f t="shared" si="0"/>
        <v>44075</v>
      </c>
    </row>
    <row r="53" spans="1:34">
      <c r="A53">
        <v>4</v>
      </c>
      <c r="B53">
        <v>40</v>
      </c>
      <c r="C53" t="s">
        <v>144</v>
      </c>
      <c r="D53">
        <v>133</v>
      </c>
      <c r="E53">
        <v>0</v>
      </c>
      <c r="F53">
        <v>0</v>
      </c>
      <c r="G53" t="s">
        <v>138</v>
      </c>
      <c r="H53" t="s">
        <v>138</v>
      </c>
      <c r="I53" s="893">
        <v>44117</v>
      </c>
      <c r="J53">
        <v>4</v>
      </c>
      <c r="K53" t="s">
        <v>144</v>
      </c>
      <c r="L53">
        <v>40</v>
      </c>
      <c r="M53" t="s">
        <v>138</v>
      </c>
      <c r="N53" t="s">
        <v>138</v>
      </c>
      <c r="O53" t="s">
        <v>138</v>
      </c>
      <c r="P53" t="s">
        <v>138</v>
      </c>
      <c r="Q53" t="s">
        <v>138</v>
      </c>
      <c r="R53" t="s">
        <v>138</v>
      </c>
      <c r="S53" t="s">
        <v>138</v>
      </c>
      <c r="T53" t="s">
        <v>138</v>
      </c>
      <c r="U53" t="s">
        <v>138</v>
      </c>
      <c r="V53" t="s">
        <v>138</v>
      </c>
      <c r="W53" t="s">
        <v>138</v>
      </c>
      <c r="X53" t="s">
        <v>138</v>
      </c>
      <c r="Y53" t="s">
        <v>138</v>
      </c>
      <c r="Z53" t="s">
        <v>138</v>
      </c>
      <c r="AA53" t="s">
        <v>138</v>
      </c>
      <c r="AB53" t="s">
        <v>138</v>
      </c>
      <c r="AC53" t="s">
        <v>138</v>
      </c>
      <c r="AD53" t="s">
        <v>138</v>
      </c>
      <c r="AE53" t="s">
        <v>138</v>
      </c>
      <c r="AF53" t="s">
        <v>138</v>
      </c>
      <c r="AG53" s="893">
        <v>44117</v>
      </c>
      <c r="AH53" s="888">
        <f t="shared" si="0"/>
        <v>44105</v>
      </c>
    </row>
    <row r="54" spans="1:34">
      <c r="A54">
        <v>5</v>
      </c>
      <c r="B54">
        <v>40</v>
      </c>
      <c r="C54" t="s">
        <v>144</v>
      </c>
      <c r="D54">
        <v>133</v>
      </c>
      <c r="E54">
        <v>0</v>
      </c>
      <c r="F54">
        <v>0</v>
      </c>
      <c r="G54" t="s">
        <v>138</v>
      </c>
      <c r="H54" t="s">
        <v>138</v>
      </c>
      <c r="I54" s="893">
        <v>44147</v>
      </c>
      <c r="J54">
        <v>5</v>
      </c>
      <c r="K54" t="s">
        <v>144</v>
      </c>
      <c r="L54">
        <v>40</v>
      </c>
      <c r="M54" t="s">
        <v>138</v>
      </c>
      <c r="N54" t="s">
        <v>138</v>
      </c>
      <c r="O54" t="s">
        <v>138</v>
      </c>
      <c r="P54" t="s">
        <v>138</v>
      </c>
      <c r="Q54" t="s">
        <v>138</v>
      </c>
      <c r="R54" t="s">
        <v>138</v>
      </c>
      <c r="S54" t="s">
        <v>138</v>
      </c>
      <c r="T54" t="s">
        <v>138</v>
      </c>
      <c r="U54" t="s">
        <v>138</v>
      </c>
      <c r="V54" t="s">
        <v>138</v>
      </c>
      <c r="W54" t="s">
        <v>138</v>
      </c>
      <c r="X54" t="s">
        <v>138</v>
      </c>
      <c r="Y54" t="s">
        <v>138</v>
      </c>
      <c r="Z54" t="s">
        <v>138</v>
      </c>
      <c r="AA54" t="s">
        <v>138</v>
      </c>
      <c r="AB54" t="s">
        <v>138</v>
      </c>
      <c r="AC54" t="s">
        <v>138</v>
      </c>
      <c r="AD54" t="s">
        <v>138</v>
      </c>
      <c r="AE54" t="s">
        <v>138</v>
      </c>
      <c r="AF54" t="s">
        <v>138</v>
      </c>
      <c r="AG54" s="893">
        <v>44147</v>
      </c>
      <c r="AH54" s="888">
        <f t="shared" si="0"/>
        <v>44136</v>
      </c>
    </row>
    <row r="55" spans="1:34">
      <c r="A55">
        <v>6</v>
      </c>
      <c r="B55">
        <v>40</v>
      </c>
      <c r="C55" t="s">
        <v>144</v>
      </c>
      <c r="D55">
        <v>133</v>
      </c>
      <c r="E55">
        <v>0</v>
      </c>
      <c r="F55">
        <v>0</v>
      </c>
      <c r="G55" t="s">
        <v>138</v>
      </c>
      <c r="H55" t="s">
        <v>138</v>
      </c>
      <c r="I55" s="893">
        <v>44179</v>
      </c>
      <c r="J55">
        <v>6</v>
      </c>
      <c r="K55" t="s">
        <v>144</v>
      </c>
      <c r="L55">
        <v>40</v>
      </c>
      <c r="M55" t="s">
        <v>138</v>
      </c>
      <c r="N55" t="s">
        <v>138</v>
      </c>
      <c r="O55" t="s">
        <v>138</v>
      </c>
      <c r="P55" t="s">
        <v>138</v>
      </c>
      <c r="Q55" t="s">
        <v>138</v>
      </c>
      <c r="R55" t="s">
        <v>138</v>
      </c>
      <c r="S55" t="s">
        <v>138</v>
      </c>
      <c r="T55" t="s">
        <v>138</v>
      </c>
      <c r="U55" t="s">
        <v>138</v>
      </c>
      <c r="V55" t="s">
        <v>138</v>
      </c>
      <c r="W55" t="s">
        <v>138</v>
      </c>
      <c r="X55" t="s">
        <v>138</v>
      </c>
      <c r="Y55" t="s">
        <v>138</v>
      </c>
      <c r="Z55" t="s">
        <v>138</v>
      </c>
      <c r="AA55" t="s">
        <v>138</v>
      </c>
      <c r="AB55" t="s">
        <v>138</v>
      </c>
      <c r="AC55" t="s">
        <v>138</v>
      </c>
      <c r="AD55" t="s">
        <v>138</v>
      </c>
      <c r="AE55" t="s">
        <v>138</v>
      </c>
      <c r="AF55" t="s">
        <v>138</v>
      </c>
      <c r="AG55" s="893">
        <v>44179</v>
      </c>
      <c r="AH55" s="888">
        <f t="shared" si="0"/>
        <v>44166</v>
      </c>
    </row>
    <row r="56" spans="1:34">
      <c r="A56">
        <v>7</v>
      </c>
      <c r="B56">
        <v>40</v>
      </c>
      <c r="C56" t="s">
        <v>144</v>
      </c>
      <c r="D56">
        <v>133</v>
      </c>
      <c r="E56">
        <v>0</v>
      </c>
      <c r="F56">
        <v>0</v>
      </c>
      <c r="G56" t="s">
        <v>138</v>
      </c>
      <c r="H56" t="s">
        <v>138</v>
      </c>
      <c r="I56" s="893">
        <v>44193</v>
      </c>
      <c r="J56">
        <v>7</v>
      </c>
      <c r="K56" t="s">
        <v>144</v>
      </c>
      <c r="L56">
        <v>40</v>
      </c>
      <c r="M56" t="s">
        <v>138</v>
      </c>
      <c r="N56" t="s">
        <v>138</v>
      </c>
      <c r="O56" t="s">
        <v>138</v>
      </c>
      <c r="P56" t="s">
        <v>138</v>
      </c>
      <c r="Q56" t="s">
        <v>138</v>
      </c>
      <c r="R56" t="s">
        <v>138</v>
      </c>
      <c r="S56" t="s">
        <v>138</v>
      </c>
      <c r="T56" t="s">
        <v>138</v>
      </c>
      <c r="U56" t="s">
        <v>138</v>
      </c>
      <c r="V56" t="s">
        <v>138</v>
      </c>
      <c r="W56" t="s">
        <v>138</v>
      </c>
      <c r="X56" t="s">
        <v>138</v>
      </c>
      <c r="Y56" t="s">
        <v>138</v>
      </c>
      <c r="Z56" t="s">
        <v>138</v>
      </c>
      <c r="AA56" t="s">
        <v>138</v>
      </c>
      <c r="AB56" t="s">
        <v>138</v>
      </c>
      <c r="AC56" t="s">
        <v>138</v>
      </c>
      <c r="AD56" t="s">
        <v>138</v>
      </c>
      <c r="AE56" t="s">
        <v>138</v>
      </c>
      <c r="AF56" t="s">
        <v>138</v>
      </c>
      <c r="AG56" s="893">
        <v>44193</v>
      </c>
      <c r="AH56" s="888">
        <f t="shared" si="0"/>
        <v>44166</v>
      </c>
    </row>
    <row r="57" spans="1:34">
      <c r="A57">
        <v>8</v>
      </c>
      <c r="B57">
        <v>40</v>
      </c>
      <c r="C57" t="s">
        <v>144</v>
      </c>
      <c r="D57">
        <v>133</v>
      </c>
      <c r="E57">
        <v>0</v>
      </c>
      <c r="F57">
        <v>0</v>
      </c>
      <c r="G57" t="s">
        <v>138</v>
      </c>
      <c r="H57" t="s">
        <v>138</v>
      </c>
      <c r="I57" s="893">
        <v>44208</v>
      </c>
      <c r="J57">
        <v>8</v>
      </c>
      <c r="K57" t="s">
        <v>144</v>
      </c>
      <c r="L57">
        <v>40</v>
      </c>
      <c r="M57" t="s">
        <v>138</v>
      </c>
      <c r="N57" t="s">
        <v>138</v>
      </c>
      <c r="O57" t="s">
        <v>138</v>
      </c>
      <c r="P57" t="s">
        <v>138</v>
      </c>
      <c r="Q57" t="s">
        <v>138</v>
      </c>
      <c r="R57" t="s">
        <v>138</v>
      </c>
      <c r="S57" t="s">
        <v>138</v>
      </c>
      <c r="T57" t="s">
        <v>138</v>
      </c>
      <c r="U57" t="s">
        <v>138</v>
      </c>
      <c r="V57" t="s">
        <v>138</v>
      </c>
      <c r="W57" t="s">
        <v>138</v>
      </c>
      <c r="X57" t="s">
        <v>138</v>
      </c>
      <c r="Y57" t="s">
        <v>138</v>
      </c>
      <c r="Z57" t="s">
        <v>138</v>
      </c>
      <c r="AA57" t="s">
        <v>138</v>
      </c>
      <c r="AB57" t="s">
        <v>138</v>
      </c>
      <c r="AC57" t="s">
        <v>138</v>
      </c>
      <c r="AD57" t="s">
        <v>138</v>
      </c>
      <c r="AE57" t="s">
        <v>138</v>
      </c>
      <c r="AF57" t="s">
        <v>138</v>
      </c>
      <c r="AG57" s="893">
        <v>44208</v>
      </c>
      <c r="AH57" s="888">
        <f t="shared" si="0"/>
        <v>44197</v>
      </c>
    </row>
    <row r="58" spans="1:34">
      <c r="A58">
        <v>1</v>
      </c>
      <c r="B58">
        <v>43</v>
      </c>
      <c r="C58" t="s">
        <v>145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893">
        <v>44043</v>
      </c>
      <c r="J58">
        <v>1</v>
      </c>
      <c r="K58" t="s">
        <v>145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893">
        <v>44043</v>
      </c>
      <c r="AH58" s="888">
        <f t="shared" si="0"/>
        <v>44013</v>
      </c>
    </row>
    <row r="59" spans="1:34">
      <c r="A59">
        <v>2</v>
      </c>
      <c r="B59">
        <v>43</v>
      </c>
      <c r="C59" t="s">
        <v>145</v>
      </c>
      <c r="D59">
        <v>114</v>
      </c>
      <c r="E59">
        <v>52402519.450000003</v>
      </c>
      <c r="F59">
        <v>0</v>
      </c>
      <c r="G59" t="s">
        <v>138</v>
      </c>
      <c r="H59" t="s">
        <v>138</v>
      </c>
      <c r="I59" s="893">
        <v>44055</v>
      </c>
      <c r="J59">
        <v>2</v>
      </c>
      <c r="K59" t="s">
        <v>145</v>
      </c>
      <c r="L59">
        <v>43</v>
      </c>
      <c r="M59">
        <v>0.62644250671241297</v>
      </c>
      <c r="N59" t="s">
        <v>138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138</v>
      </c>
      <c r="Z59" t="s">
        <v>138</v>
      </c>
      <c r="AA59" t="s">
        <v>138</v>
      </c>
      <c r="AB59" t="s">
        <v>138</v>
      </c>
      <c r="AC59" t="s">
        <v>138</v>
      </c>
      <c r="AD59" t="s">
        <v>138</v>
      </c>
      <c r="AE59" t="s">
        <v>138</v>
      </c>
      <c r="AF59" t="s">
        <v>138</v>
      </c>
      <c r="AG59" s="893">
        <v>44055</v>
      </c>
      <c r="AH59" s="888">
        <f t="shared" si="0"/>
        <v>44044</v>
      </c>
    </row>
    <row r="60" spans="1:34">
      <c r="A60">
        <v>3</v>
      </c>
      <c r="B60">
        <v>43</v>
      </c>
      <c r="C60" t="s">
        <v>145</v>
      </c>
      <c r="D60">
        <v>114</v>
      </c>
      <c r="E60">
        <v>57169107.359999999</v>
      </c>
      <c r="F60">
        <v>0</v>
      </c>
      <c r="G60" t="s">
        <v>138</v>
      </c>
      <c r="H60" t="s">
        <v>138</v>
      </c>
      <c r="I60" s="893">
        <v>44088</v>
      </c>
      <c r="J60">
        <v>3</v>
      </c>
      <c r="K60" t="s">
        <v>145</v>
      </c>
      <c r="L60">
        <v>43</v>
      </c>
      <c r="M60">
        <v>0.27673241949230598</v>
      </c>
      <c r="N60" t="s">
        <v>138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138</v>
      </c>
      <c r="Z60" t="s">
        <v>138</v>
      </c>
      <c r="AA60" t="s">
        <v>138</v>
      </c>
      <c r="AB60" t="s">
        <v>138</v>
      </c>
      <c r="AC60" t="s">
        <v>138</v>
      </c>
      <c r="AD60" t="s">
        <v>138</v>
      </c>
      <c r="AE60" t="s">
        <v>138</v>
      </c>
      <c r="AF60" t="s">
        <v>138</v>
      </c>
      <c r="AG60" s="893">
        <v>44088</v>
      </c>
      <c r="AH60" s="888">
        <f t="shared" si="0"/>
        <v>44075</v>
      </c>
    </row>
    <row r="61" spans="1:34">
      <c r="A61">
        <v>4</v>
      </c>
      <c r="B61">
        <v>43</v>
      </c>
      <c r="C61" t="s">
        <v>145</v>
      </c>
      <c r="D61">
        <v>114</v>
      </c>
      <c r="E61">
        <v>0</v>
      </c>
      <c r="F61">
        <v>0</v>
      </c>
      <c r="G61" t="s">
        <v>138</v>
      </c>
      <c r="H61" t="s">
        <v>138</v>
      </c>
      <c r="I61" s="893">
        <v>44117</v>
      </c>
      <c r="J61">
        <v>4</v>
      </c>
      <c r="K61" t="s">
        <v>145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138</v>
      </c>
      <c r="Z61" t="s">
        <v>138</v>
      </c>
      <c r="AA61" t="s">
        <v>138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s="893">
        <v>44117</v>
      </c>
      <c r="AH61" s="888">
        <f t="shared" si="0"/>
        <v>44105</v>
      </c>
    </row>
    <row r="62" spans="1:34">
      <c r="A62">
        <v>5</v>
      </c>
      <c r="B62">
        <v>43</v>
      </c>
      <c r="C62" t="s">
        <v>145</v>
      </c>
      <c r="D62">
        <v>114</v>
      </c>
      <c r="E62">
        <v>0</v>
      </c>
      <c r="F62">
        <v>0</v>
      </c>
      <c r="G62" t="s">
        <v>138</v>
      </c>
      <c r="H62" t="s">
        <v>138</v>
      </c>
      <c r="I62" s="893">
        <v>44147</v>
      </c>
      <c r="J62">
        <v>5</v>
      </c>
      <c r="K62" t="s">
        <v>145</v>
      </c>
      <c r="L62">
        <v>43</v>
      </c>
      <c r="M62" t="s">
        <v>138</v>
      </c>
      <c r="N62" t="s">
        <v>138</v>
      </c>
      <c r="O62" t="s">
        <v>138</v>
      </c>
      <c r="P62" t="s">
        <v>138</v>
      </c>
      <c r="Q62" t="s">
        <v>138</v>
      </c>
      <c r="R62" t="s">
        <v>138</v>
      </c>
      <c r="S62" t="s">
        <v>138</v>
      </c>
      <c r="T62" t="s">
        <v>138</v>
      </c>
      <c r="U62" t="s">
        <v>138</v>
      </c>
      <c r="V62" t="s">
        <v>138</v>
      </c>
      <c r="W62" t="s">
        <v>138</v>
      </c>
      <c r="X62" t="s">
        <v>138</v>
      </c>
      <c r="Y62" t="s">
        <v>138</v>
      </c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s="893">
        <v>44147</v>
      </c>
      <c r="AH62" s="888">
        <f t="shared" si="0"/>
        <v>44136</v>
      </c>
    </row>
    <row r="63" spans="1:34">
      <c r="A63">
        <v>6</v>
      </c>
      <c r="B63">
        <v>43</v>
      </c>
      <c r="C63" t="s">
        <v>145</v>
      </c>
      <c r="D63">
        <v>114</v>
      </c>
      <c r="E63">
        <v>0</v>
      </c>
      <c r="F63">
        <v>0</v>
      </c>
      <c r="G63" t="s">
        <v>138</v>
      </c>
      <c r="H63" t="s">
        <v>138</v>
      </c>
      <c r="I63" s="893">
        <v>44179</v>
      </c>
      <c r="J63">
        <v>6</v>
      </c>
      <c r="K63" t="s">
        <v>145</v>
      </c>
      <c r="L63">
        <v>43</v>
      </c>
      <c r="M63" t="s">
        <v>138</v>
      </c>
      <c r="N63" t="s">
        <v>138</v>
      </c>
      <c r="O63" t="s">
        <v>138</v>
      </c>
      <c r="P63" t="s">
        <v>138</v>
      </c>
      <c r="Q63" t="s">
        <v>138</v>
      </c>
      <c r="R63" t="s">
        <v>138</v>
      </c>
      <c r="S63" t="s">
        <v>138</v>
      </c>
      <c r="T63" t="s">
        <v>138</v>
      </c>
      <c r="U63" t="s">
        <v>138</v>
      </c>
      <c r="V63" t="s">
        <v>138</v>
      </c>
      <c r="W63" t="s">
        <v>138</v>
      </c>
      <c r="X63" t="s">
        <v>138</v>
      </c>
      <c r="Y63" t="s">
        <v>138</v>
      </c>
      <c r="Z63" t="s">
        <v>138</v>
      </c>
      <c r="AA63" t="s">
        <v>138</v>
      </c>
      <c r="AB63" t="s">
        <v>138</v>
      </c>
      <c r="AC63" t="s">
        <v>138</v>
      </c>
      <c r="AD63" t="s">
        <v>138</v>
      </c>
      <c r="AE63" t="s">
        <v>138</v>
      </c>
      <c r="AF63" t="s">
        <v>138</v>
      </c>
      <c r="AG63" s="893">
        <v>44179</v>
      </c>
      <c r="AH63" s="888">
        <f t="shared" si="0"/>
        <v>44166</v>
      </c>
    </row>
    <row r="64" spans="1:34">
      <c r="A64">
        <v>7</v>
      </c>
      <c r="B64">
        <v>43</v>
      </c>
      <c r="C64" t="s">
        <v>145</v>
      </c>
      <c r="D64">
        <v>114</v>
      </c>
      <c r="E64">
        <v>0</v>
      </c>
      <c r="F64">
        <v>0</v>
      </c>
      <c r="G64" t="s">
        <v>138</v>
      </c>
      <c r="H64" t="s">
        <v>138</v>
      </c>
      <c r="I64" s="893">
        <v>44193</v>
      </c>
      <c r="J64">
        <v>7</v>
      </c>
      <c r="K64" t="s">
        <v>145</v>
      </c>
      <c r="L64">
        <v>43</v>
      </c>
      <c r="M64" t="s">
        <v>138</v>
      </c>
      <c r="N64" t="s">
        <v>138</v>
      </c>
      <c r="O64" t="s">
        <v>138</v>
      </c>
      <c r="P64" t="s">
        <v>138</v>
      </c>
      <c r="Q64" t="s">
        <v>138</v>
      </c>
      <c r="R64" t="s">
        <v>138</v>
      </c>
      <c r="S64" t="s">
        <v>138</v>
      </c>
      <c r="T64" t="s">
        <v>138</v>
      </c>
      <c r="U64" t="s">
        <v>138</v>
      </c>
      <c r="V64" t="s">
        <v>138</v>
      </c>
      <c r="W64" t="s">
        <v>138</v>
      </c>
      <c r="X64" t="s">
        <v>138</v>
      </c>
      <c r="Y64" t="s">
        <v>138</v>
      </c>
      <c r="Z64" t="s">
        <v>138</v>
      </c>
      <c r="AA64" t="s">
        <v>138</v>
      </c>
      <c r="AB64" t="s">
        <v>138</v>
      </c>
      <c r="AC64" t="s">
        <v>138</v>
      </c>
      <c r="AD64" t="s">
        <v>138</v>
      </c>
      <c r="AE64" t="s">
        <v>138</v>
      </c>
      <c r="AF64" t="s">
        <v>138</v>
      </c>
      <c r="AG64" s="893">
        <v>44193</v>
      </c>
      <c r="AH64" s="888">
        <f t="shared" si="0"/>
        <v>44166</v>
      </c>
    </row>
    <row r="65" spans="1:34">
      <c r="A65">
        <v>8</v>
      </c>
      <c r="B65">
        <v>43</v>
      </c>
      <c r="C65" t="s">
        <v>145</v>
      </c>
      <c r="D65">
        <v>114</v>
      </c>
      <c r="E65">
        <v>0</v>
      </c>
      <c r="F65">
        <v>0</v>
      </c>
      <c r="G65" t="s">
        <v>138</v>
      </c>
      <c r="H65" t="s">
        <v>138</v>
      </c>
      <c r="I65" s="893">
        <v>44208</v>
      </c>
      <c r="J65">
        <v>8</v>
      </c>
      <c r="K65" t="s">
        <v>145</v>
      </c>
      <c r="L65">
        <v>43</v>
      </c>
      <c r="M65" t="s">
        <v>138</v>
      </c>
      <c r="N65" t="s">
        <v>138</v>
      </c>
      <c r="O65" t="s">
        <v>138</v>
      </c>
      <c r="P65" t="s">
        <v>138</v>
      </c>
      <c r="Q65" t="s">
        <v>138</v>
      </c>
      <c r="R65" t="s">
        <v>138</v>
      </c>
      <c r="S65" t="s">
        <v>138</v>
      </c>
      <c r="T65" t="s">
        <v>138</v>
      </c>
      <c r="U65" t="s">
        <v>138</v>
      </c>
      <c r="V65" t="s">
        <v>138</v>
      </c>
      <c r="W65" t="s">
        <v>138</v>
      </c>
      <c r="X65" t="s">
        <v>138</v>
      </c>
      <c r="Y65" t="s">
        <v>138</v>
      </c>
      <c r="Z65" t="s">
        <v>138</v>
      </c>
      <c r="AA65" t="s">
        <v>138</v>
      </c>
      <c r="AB65" t="s">
        <v>138</v>
      </c>
      <c r="AC65" t="s">
        <v>138</v>
      </c>
      <c r="AD65" t="s">
        <v>138</v>
      </c>
      <c r="AE65" t="s">
        <v>138</v>
      </c>
      <c r="AF65" t="s">
        <v>138</v>
      </c>
      <c r="AG65" s="893">
        <v>44208</v>
      </c>
      <c r="AH65" s="888">
        <f t="shared" si="0"/>
        <v>44197</v>
      </c>
    </row>
    <row r="66" spans="1:34">
      <c r="A66">
        <v>1</v>
      </c>
      <c r="B66">
        <v>44</v>
      </c>
      <c r="C66" t="s">
        <v>146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893">
        <v>44043</v>
      </c>
      <c r="J66">
        <v>1</v>
      </c>
      <c r="K66" t="s">
        <v>146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893">
        <v>44043</v>
      </c>
      <c r="AH66" s="888">
        <f t="shared" si="0"/>
        <v>44013</v>
      </c>
    </row>
    <row r="67" spans="1:34">
      <c r="A67">
        <v>2</v>
      </c>
      <c r="B67">
        <v>44</v>
      </c>
      <c r="C67" t="s">
        <v>146</v>
      </c>
      <c r="D67">
        <v>108</v>
      </c>
      <c r="E67">
        <v>3689304.8349740701</v>
      </c>
      <c r="F67">
        <v>0</v>
      </c>
      <c r="G67" t="s">
        <v>138</v>
      </c>
      <c r="H67" t="s">
        <v>138</v>
      </c>
      <c r="I67" s="893">
        <v>44055</v>
      </c>
      <c r="J67">
        <v>2</v>
      </c>
      <c r="K67" t="s">
        <v>146</v>
      </c>
      <c r="L67">
        <v>44</v>
      </c>
      <c r="M67">
        <v>0.80009057102396697</v>
      </c>
      <c r="N67" t="s">
        <v>138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138</v>
      </c>
      <c r="Z67" t="s">
        <v>138</v>
      </c>
      <c r="AA67" t="s">
        <v>138</v>
      </c>
      <c r="AB67" t="s">
        <v>138</v>
      </c>
      <c r="AC67" t="s">
        <v>138</v>
      </c>
      <c r="AD67" t="s">
        <v>138</v>
      </c>
      <c r="AE67" t="s">
        <v>138</v>
      </c>
      <c r="AF67" t="s">
        <v>138</v>
      </c>
      <c r="AG67" s="893">
        <v>44055</v>
      </c>
      <c r="AH67" s="888">
        <f t="shared" ref="AH67:AH130" si="1">DATE(YEAR(I67),MONTH(I67),1)</f>
        <v>44044</v>
      </c>
    </row>
    <row r="68" spans="1:34">
      <c r="A68">
        <v>3</v>
      </c>
      <c r="B68">
        <v>44</v>
      </c>
      <c r="C68" t="s">
        <v>146</v>
      </c>
      <c r="D68">
        <v>108</v>
      </c>
      <c r="E68">
        <v>0</v>
      </c>
      <c r="F68">
        <v>0</v>
      </c>
      <c r="G68" t="s">
        <v>138</v>
      </c>
      <c r="H68" t="s">
        <v>138</v>
      </c>
      <c r="I68" s="893">
        <v>44088</v>
      </c>
      <c r="J68">
        <v>3</v>
      </c>
      <c r="K68" t="s">
        <v>146</v>
      </c>
      <c r="L68">
        <v>44</v>
      </c>
      <c r="M68">
        <v>0.56317249110675205</v>
      </c>
      <c r="N68" t="s">
        <v>138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138</v>
      </c>
      <c r="Z68" t="s">
        <v>138</v>
      </c>
      <c r="AA68" t="s">
        <v>138</v>
      </c>
      <c r="AB68" t="s">
        <v>138</v>
      </c>
      <c r="AC68" t="s">
        <v>138</v>
      </c>
      <c r="AD68" t="s">
        <v>138</v>
      </c>
      <c r="AE68" t="s">
        <v>138</v>
      </c>
      <c r="AF68" t="s">
        <v>138</v>
      </c>
      <c r="AG68" s="893">
        <v>44088</v>
      </c>
      <c r="AH68" s="888">
        <f t="shared" si="1"/>
        <v>44075</v>
      </c>
    </row>
    <row r="69" spans="1:34">
      <c r="A69">
        <v>4</v>
      </c>
      <c r="B69">
        <v>44</v>
      </c>
      <c r="C69" t="s">
        <v>146</v>
      </c>
      <c r="D69">
        <v>108</v>
      </c>
      <c r="E69">
        <v>0</v>
      </c>
      <c r="F69">
        <v>0</v>
      </c>
      <c r="G69" t="s">
        <v>138</v>
      </c>
      <c r="H69" t="s">
        <v>138</v>
      </c>
      <c r="I69" s="893">
        <v>44117</v>
      </c>
      <c r="J69">
        <v>4</v>
      </c>
      <c r="K69" t="s">
        <v>146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138</v>
      </c>
      <c r="Z69" t="s">
        <v>138</v>
      </c>
      <c r="AA69" t="s">
        <v>138</v>
      </c>
      <c r="AB69" t="s">
        <v>138</v>
      </c>
      <c r="AC69" t="s">
        <v>138</v>
      </c>
      <c r="AD69" t="s">
        <v>138</v>
      </c>
      <c r="AE69" t="s">
        <v>138</v>
      </c>
      <c r="AF69" t="s">
        <v>138</v>
      </c>
      <c r="AG69" s="893">
        <v>44117</v>
      </c>
      <c r="AH69" s="888">
        <f t="shared" si="1"/>
        <v>44105</v>
      </c>
    </row>
    <row r="70" spans="1:34">
      <c r="A70">
        <v>5</v>
      </c>
      <c r="B70">
        <v>44</v>
      </c>
      <c r="C70" t="s">
        <v>146</v>
      </c>
      <c r="D70">
        <v>108</v>
      </c>
      <c r="E70">
        <v>0</v>
      </c>
      <c r="F70">
        <v>0</v>
      </c>
      <c r="G70" t="s">
        <v>138</v>
      </c>
      <c r="H70" t="s">
        <v>138</v>
      </c>
      <c r="I70" s="893">
        <v>44147</v>
      </c>
      <c r="J70">
        <v>5</v>
      </c>
      <c r="K70" t="s">
        <v>146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138</v>
      </c>
      <c r="Z70" t="s">
        <v>138</v>
      </c>
      <c r="AA70" t="s">
        <v>138</v>
      </c>
      <c r="AB70" t="s">
        <v>138</v>
      </c>
      <c r="AC70" t="s">
        <v>138</v>
      </c>
      <c r="AD70" t="s">
        <v>138</v>
      </c>
      <c r="AE70" t="s">
        <v>138</v>
      </c>
      <c r="AF70" t="s">
        <v>138</v>
      </c>
      <c r="AG70" s="893">
        <v>44147</v>
      </c>
      <c r="AH70" s="888">
        <f t="shared" si="1"/>
        <v>44136</v>
      </c>
    </row>
    <row r="71" spans="1:34">
      <c r="A71">
        <v>6</v>
      </c>
      <c r="B71">
        <v>44</v>
      </c>
      <c r="C71" t="s">
        <v>146</v>
      </c>
      <c r="D71">
        <v>108</v>
      </c>
      <c r="E71">
        <v>0</v>
      </c>
      <c r="F71">
        <v>0</v>
      </c>
      <c r="G71" t="s">
        <v>138</v>
      </c>
      <c r="H71" t="s">
        <v>138</v>
      </c>
      <c r="I71" s="893">
        <v>44179</v>
      </c>
      <c r="J71">
        <v>6</v>
      </c>
      <c r="K71" t="s">
        <v>146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s="893">
        <v>44179</v>
      </c>
      <c r="AH71" s="888">
        <f t="shared" si="1"/>
        <v>44166</v>
      </c>
    </row>
    <row r="72" spans="1:34">
      <c r="A72">
        <v>7</v>
      </c>
      <c r="B72">
        <v>44</v>
      </c>
      <c r="C72" t="s">
        <v>146</v>
      </c>
      <c r="D72">
        <v>108</v>
      </c>
      <c r="E72">
        <v>0</v>
      </c>
      <c r="F72">
        <v>0</v>
      </c>
      <c r="G72" t="s">
        <v>138</v>
      </c>
      <c r="H72" t="s">
        <v>138</v>
      </c>
      <c r="I72" s="893">
        <v>44193</v>
      </c>
      <c r="J72">
        <v>7</v>
      </c>
      <c r="K72" t="s">
        <v>146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138</v>
      </c>
      <c r="Z72" t="s">
        <v>138</v>
      </c>
      <c r="AA72" t="s">
        <v>138</v>
      </c>
      <c r="AB72" t="s">
        <v>138</v>
      </c>
      <c r="AC72" t="s">
        <v>138</v>
      </c>
      <c r="AD72" t="s">
        <v>138</v>
      </c>
      <c r="AE72" t="s">
        <v>138</v>
      </c>
      <c r="AF72" t="s">
        <v>138</v>
      </c>
      <c r="AG72" s="893">
        <v>44193</v>
      </c>
      <c r="AH72" s="888">
        <f t="shared" si="1"/>
        <v>44166</v>
      </c>
    </row>
    <row r="73" spans="1:34">
      <c r="A73">
        <v>8</v>
      </c>
      <c r="B73">
        <v>44</v>
      </c>
      <c r="C73" t="s">
        <v>146</v>
      </c>
      <c r="D73">
        <v>108</v>
      </c>
      <c r="E73">
        <v>0</v>
      </c>
      <c r="F73">
        <v>0</v>
      </c>
      <c r="G73" t="s">
        <v>138</v>
      </c>
      <c r="H73" t="s">
        <v>138</v>
      </c>
      <c r="I73" s="893">
        <v>44208</v>
      </c>
      <c r="J73">
        <v>8</v>
      </c>
      <c r="K73" t="s">
        <v>146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138</v>
      </c>
      <c r="Z73" t="s">
        <v>138</v>
      </c>
      <c r="AA73" t="s">
        <v>138</v>
      </c>
      <c r="AB73" t="s">
        <v>138</v>
      </c>
      <c r="AC73" t="s">
        <v>138</v>
      </c>
      <c r="AD73" t="s">
        <v>138</v>
      </c>
      <c r="AE73" t="s">
        <v>138</v>
      </c>
      <c r="AF73" t="s">
        <v>138</v>
      </c>
      <c r="AG73" s="893">
        <v>44208</v>
      </c>
      <c r="AH73" s="888">
        <f t="shared" si="1"/>
        <v>44197</v>
      </c>
    </row>
    <row r="74" spans="1:34">
      <c r="A74">
        <v>1</v>
      </c>
      <c r="B74">
        <v>46</v>
      </c>
      <c r="C74" t="s">
        <v>147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893">
        <v>44043</v>
      </c>
      <c r="J74">
        <v>1</v>
      </c>
      <c r="K74" t="s">
        <v>147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893">
        <v>44043</v>
      </c>
      <c r="AH74" s="888">
        <f t="shared" si="1"/>
        <v>44013</v>
      </c>
    </row>
    <row r="75" spans="1:34">
      <c r="A75">
        <v>2</v>
      </c>
      <c r="B75">
        <v>46</v>
      </c>
      <c r="C75" t="s">
        <v>147</v>
      </c>
      <c r="D75">
        <v>163</v>
      </c>
      <c r="E75">
        <v>67939.73</v>
      </c>
      <c r="F75">
        <v>301217.75170634402</v>
      </c>
      <c r="G75" t="s">
        <v>138</v>
      </c>
      <c r="H75" t="s">
        <v>138</v>
      </c>
      <c r="I75" s="893">
        <v>44055</v>
      </c>
      <c r="J75">
        <v>2</v>
      </c>
      <c r="K75" t="s">
        <v>147</v>
      </c>
      <c r="L75">
        <v>46</v>
      </c>
      <c r="M75">
        <v>1</v>
      </c>
      <c r="N75" t="s">
        <v>138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138</v>
      </c>
      <c r="Z75" t="s">
        <v>138</v>
      </c>
      <c r="AA75" t="s">
        <v>138</v>
      </c>
      <c r="AB75" t="s">
        <v>138</v>
      </c>
      <c r="AC75" t="s">
        <v>138</v>
      </c>
      <c r="AD75" t="s">
        <v>138</v>
      </c>
      <c r="AE75" t="s">
        <v>138</v>
      </c>
      <c r="AF75" t="s">
        <v>138</v>
      </c>
      <c r="AG75" s="893">
        <v>44055</v>
      </c>
      <c r="AH75" s="888">
        <f t="shared" si="1"/>
        <v>44044</v>
      </c>
    </row>
    <row r="76" spans="1:34">
      <c r="A76">
        <v>3</v>
      </c>
      <c r="B76">
        <v>46</v>
      </c>
      <c r="C76" t="s">
        <v>147</v>
      </c>
      <c r="D76">
        <v>163</v>
      </c>
      <c r="E76">
        <v>786145.29</v>
      </c>
      <c r="F76">
        <v>305683.80688622198</v>
      </c>
      <c r="G76" t="s">
        <v>138</v>
      </c>
      <c r="H76" t="s">
        <v>138</v>
      </c>
      <c r="I76" s="893">
        <v>44088</v>
      </c>
      <c r="J76">
        <v>3</v>
      </c>
      <c r="K76" t="s">
        <v>147</v>
      </c>
      <c r="L76">
        <v>46</v>
      </c>
      <c r="M76">
        <v>0.905151952220839</v>
      </c>
      <c r="N76" t="s">
        <v>138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138</v>
      </c>
      <c r="Z76" t="s">
        <v>138</v>
      </c>
      <c r="AA76" t="s">
        <v>138</v>
      </c>
      <c r="AB76" t="s">
        <v>138</v>
      </c>
      <c r="AC76" t="s">
        <v>138</v>
      </c>
      <c r="AD76" t="s">
        <v>138</v>
      </c>
      <c r="AE76" t="s">
        <v>138</v>
      </c>
      <c r="AF76" t="s">
        <v>138</v>
      </c>
      <c r="AG76" s="893">
        <v>44088</v>
      </c>
      <c r="AH76" s="888">
        <f t="shared" si="1"/>
        <v>44075</v>
      </c>
    </row>
    <row r="77" spans="1:34">
      <c r="A77">
        <v>4</v>
      </c>
      <c r="B77">
        <v>46</v>
      </c>
      <c r="C77" t="s">
        <v>147</v>
      </c>
      <c r="D77">
        <v>163</v>
      </c>
      <c r="E77">
        <v>988742.25581026904</v>
      </c>
      <c r="F77">
        <v>309595.28161982098</v>
      </c>
      <c r="G77" t="s">
        <v>138</v>
      </c>
      <c r="H77" t="s">
        <v>138</v>
      </c>
      <c r="I77" s="893">
        <v>44117</v>
      </c>
      <c r="J77">
        <v>4</v>
      </c>
      <c r="K77" t="s">
        <v>147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138</v>
      </c>
      <c r="Z77" t="s">
        <v>138</v>
      </c>
      <c r="AA77" t="s">
        <v>138</v>
      </c>
      <c r="AB77" t="s">
        <v>138</v>
      </c>
      <c r="AC77" t="s">
        <v>138</v>
      </c>
      <c r="AD77" t="s">
        <v>138</v>
      </c>
      <c r="AE77" t="s">
        <v>138</v>
      </c>
      <c r="AF77" t="s">
        <v>138</v>
      </c>
      <c r="AG77" s="893">
        <v>44117</v>
      </c>
      <c r="AH77" s="888">
        <f t="shared" si="1"/>
        <v>44105</v>
      </c>
    </row>
    <row r="78" spans="1:34">
      <c r="A78">
        <v>5</v>
      </c>
      <c r="B78">
        <v>46</v>
      </c>
      <c r="C78" t="s">
        <v>147</v>
      </c>
      <c r="D78">
        <v>163</v>
      </c>
      <c r="E78">
        <v>922646.55641199998</v>
      </c>
      <c r="F78">
        <v>327243.17350868299</v>
      </c>
      <c r="G78" t="s">
        <v>138</v>
      </c>
      <c r="H78" t="s">
        <v>138</v>
      </c>
      <c r="I78" s="893">
        <v>44147</v>
      </c>
      <c r="J78">
        <v>5</v>
      </c>
      <c r="K78" t="s">
        <v>147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138</v>
      </c>
      <c r="Z78" t="s">
        <v>138</v>
      </c>
      <c r="AA78" t="s">
        <v>138</v>
      </c>
      <c r="AB78" t="s">
        <v>138</v>
      </c>
      <c r="AC78" t="s">
        <v>138</v>
      </c>
      <c r="AD78" t="s">
        <v>138</v>
      </c>
      <c r="AE78" t="s">
        <v>138</v>
      </c>
      <c r="AF78" t="s">
        <v>138</v>
      </c>
      <c r="AG78" s="893">
        <v>44147</v>
      </c>
      <c r="AH78" s="888">
        <f t="shared" si="1"/>
        <v>44136</v>
      </c>
    </row>
    <row r="79" spans="1:34">
      <c r="A79">
        <v>6</v>
      </c>
      <c r="B79">
        <v>46</v>
      </c>
      <c r="C79" t="s">
        <v>147</v>
      </c>
      <c r="D79">
        <v>163</v>
      </c>
      <c r="E79">
        <v>868976.73846716504</v>
      </c>
      <c r="F79">
        <v>290902.44957750902</v>
      </c>
      <c r="G79" t="s">
        <v>138</v>
      </c>
      <c r="H79" t="s">
        <v>138</v>
      </c>
      <c r="I79" s="893">
        <v>44179</v>
      </c>
      <c r="J79">
        <v>6</v>
      </c>
      <c r="K79" t="s">
        <v>147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138</v>
      </c>
      <c r="Z79" t="s">
        <v>138</v>
      </c>
      <c r="AA79" t="s">
        <v>138</v>
      </c>
      <c r="AB79" t="s">
        <v>138</v>
      </c>
      <c r="AC79" t="s">
        <v>138</v>
      </c>
      <c r="AD79" t="s">
        <v>138</v>
      </c>
      <c r="AE79" t="s">
        <v>138</v>
      </c>
      <c r="AF79" t="s">
        <v>138</v>
      </c>
      <c r="AG79" s="893">
        <v>44179</v>
      </c>
      <c r="AH79" s="888">
        <f t="shared" si="1"/>
        <v>44166</v>
      </c>
    </row>
    <row r="80" spans="1:34">
      <c r="A80">
        <v>7</v>
      </c>
      <c r="B80">
        <v>46</v>
      </c>
      <c r="C80" t="s">
        <v>147</v>
      </c>
      <c r="D80">
        <v>163</v>
      </c>
      <c r="E80">
        <v>0</v>
      </c>
      <c r="F80">
        <v>311667.774571285</v>
      </c>
      <c r="G80" t="s">
        <v>138</v>
      </c>
      <c r="H80" t="s">
        <v>138</v>
      </c>
      <c r="I80" s="893">
        <v>44193</v>
      </c>
      <c r="J80">
        <v>7</v>
      </c>
      <c r="K80" t="s">
        <v>147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138</v>
      </c>
      <c r="Z80" t="s">
        <v>138</v>
      </c>
      <c r="AA80" t="s">
        <v>138</v>
      </c>
      <c r="AB80" t="s">
        <v>138</v>
      </c>
      <c r="AC80" t="s">
        <v>138</v>
      </c>
      <c r="AD80" t="s">
        <v>138</v>
      </c>
      <c r="AE80" t="s">
        <v>138</v>
      </c>
      <c r="AF80" t="s">
        <v>138</v>
      </c>
      <c r="AG80" s="893">
        <v>44193</v>
      </c>
      <c r="AH80" s="888">
        <f t="shared" si="1"/>
        <v>44166</v>
      </c>
    </row>
    <row r="81" spans="1:34">
      <c r="A81">
        <v>8</v>
      </c>
      <c r="B81">
        <v>46</v>
      </c>
      <c r="C81" t="s">
        <v>147</v>
      </c>
      <c r="D81">
        <v>163</v>
      </c>
      <c r="E81">
        <v>820248.74603349704</v>
      </c>
      <c r="F81">
        <v>0</v>
      </c>
      <c r="G81" t="s">
        <v>138</v>
      </c>
      <c r="H81" t="s">
        <v>138</v>
      </c>
      <c r="I81" s="893">
        <v>44208</v>
      </c>
      <c r="J81">
        <v>8</v>
      </c>
      <c r="K81" t="s">
        <v>147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138</v>
      </c>
      <c r="Z81" t="s">
        <v>138</v>
      </c>
      <c r="AA81" t="s">
        <v>138</v>
      </c>
      <c r="AB81" t="s">
        <v>138</v>
      </c>
      <c r="AC81" t="s">
        <v>138</v>
      </c>
      <c r="AD81" t="s">
        <v>138</v>
      </c>
      <c r="AE81" t="s">
        <v>138</v>
      </c>
      <c r="AF81" t="s">
        <v>138</v>
      </c>
      <c r="AG81" s="893">
        <v>44208</v>
      </c>
      <c r="AH81" s="888">
        <f t="shared" si="1"/>
        <v>44197</v>
      </c>
    </row>
    <row r="82" spans="1:34">
      <c r="A82">
        <v>1</v>
      </c>
      <c r="B82">
        <v>47</v>
      </c>
      <c r="C82" t="s">
        <v>148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893">
        <v>44043</v>
      </c>
      <c r="J82">
        <v>1</v>
      </c>
      <c r="K82" t="s">
        <v>148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893">
        <v>44043</v>
      </c>
      <c r="AH82" s="888">
        <f t="shared" si="1"/>
        <v>44013</v>
      </c>
    </row>
    <row r="83" spans="1:34">
      <c r="A83">
        <v>2</v>
      </c>
      <c r="B83">
        <v>47</v>
      </c>
      <c r="C83" t="s">
        <v>148</v>
      </c>
      <c r="D83">
        <v>129</v>
      </c>
      <c r="E83">
        <v>47668138.219999999</v>
      </c>
      <c r="F83">
        <v>0</v>
      </c>
      <c r="G83" t="s">
        <v>138</v>
      </c>
      <c r="H83" t="s">
        <v>138</v>
      </c>
      <c r="I83" s="893">
        <v>44055</v>
      </c>
      <c r="J83">
        <v>2</v>
      </c>
      <c r="K83" t="s">
        <v>148</v>
      </c>
      <c r="L83">
        <v>47</v>
      </c>
      <c r="M83">
        <v>0.85752394227114104</v>
      </c>
      <c r="N83" t="s">
        <v>138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138</v>
      </c>
      <c r="Z83" t="s">
        <v>138</v>
      </c>
      <c r="AA83" t="s">
        <v>138</v>
      </c>
      <c r="AB83" t="s">
        <v>138</v>
      </c>
      <c r="AC83" t="s">
        <v>138</v>
      </c>
      <c r="AD83" t="s">
        <v>138</v>
      </c>
      <c r="AE83" t="s">
        <v>138</v>
      </c>
      <c r="AF83" t="s">
        <v>138</v>
      </c>
      <c r="AG83" s="893">
        <v>44055</v>
      </c>
      <c r="AH83" s="888">
        <f t="shared" si="1"/>
        <v>44044</v>
      </c>
    </row>
    <row r="84" spans="1:34">
      <c r="A84">
        <v>3</v>
      </c>
      <c r="B84">
        <v>47</v>
      </c>
      <c r="C84" t="s">
        <v>148</v>
      </c>
      <c r="D84">
        <v>129</v>
      </c>
      <c r="E84">
        <v>44208245.990000002</v>
      </c>
      <c r="F84">
        <v>0</v>
      </c>
      <c r="G84" t="s">
        <v>138</v>
      </c>
      <c r="H84" t="s">
        <v>138</v>
      </c>
      <c r="I84" s="893">
        <v>44088</v>
      </c>
      <c r="J84">
        <v>3</v>
      </c>
      <c r="K84" t="s">
        <v>148</v>
      </c>
      <c r="L84">
        <v>47</v>
      </c>
      <c r="M84">
        <v>0.58496159295740302</v>
      </c>
      <c r="N84" t="s">
        <v>138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138</v>
      </c>
      <c r="Z84" t="s">
        <v>138</v>
      </c>
      <c r="AA84" t="s">
        <v>138</v>
      </c>
      <c r="AB84" t="s">
        <v>138</v>
      </c>
      <c r="AC84" t="s">
        <v>138</v>
      </c>
      <c r="AD84" t="s">
        <v>138</v>
      </c>
      <c r="AE84" t="s">
        <v>138</v>
      </c>
      <c r="AF84" t="s">
        <v>138</v>
      </c>
      <c r="AG84" s="893">
        <v>44088</v>
      </c>
      <c r="AH84" s="888">
        <f t="shared" si="1"/>
        <v>44075</v>
      </c>
    </row>
    <row r="85" spans="1:34">
      <c r="A85">
        <v>4</v>
      </c>
      <c r="B85">
        <v>47</v>
      </c>
      <c r="C85" t="s">
        <v>148</v>
      </c>
      <c r="D85">
        <v>129</v>
      </c>
      <c r="E85">
        <v>0</v>
      </c>
      <c r="F85">
        <v>0</v>
      </c>
      <c r="G85" t="s">
        <v>138</v>
      </c>
      <c r="H85" t="s">
        <v>138</v>
      </c>
      <c r="I85" s="893">
        <v>44117</v>
      </c>
      <c r="J85">
        <v>4</v>
      </c>
      <c r="K85" t="s">
        <v>148</v>
      </c>
      <c r="L85">
        <v>47</v>
      </c>
      <c r="M85" t="s">
        <v>138</v>
      </c>
      <c r="N85" t="s">
        <v>138</v>
      </c>
      <c r="O85" t="s">
        <v>138</v>
      </c>
      <c r="P85" t="s">
        <v>138</v>
      </c>
      <c r="Q85" t="s">
        <v>138</v>
      </c>
      <c r="R85" t="s">
        <v>138</v>
      </c>
      <c r="S85" t="s">
        <v>138</v>
      </c>
      <c r="T85" t="s">
        <v>138</v>
      </c>
      <c r="U85" t="s">
        <v>138</v>
      </c>
      <c r="V85" t="s">
        <v>138</v>
      </c>
      <c r="W85" t="s">
        <v>138</v>
      </c>
      <c r="X85" t="s">
        <v>138</v>
      </c>
      <c r="Y85" t="s">
        <v>138</v>
      </c>
      <c r="Z85" t="s">
        <v>138</v>
      </c>
      <c r="AA85" t="s">
        <v>138</v>
      </c>
      <c r="AB85" t="s">
        <v>138</v>
      </c>
      <c r="AC85" t="s">
        <v>138</v>
      </c>
      <c r="AD85" t="s">
        <v>138</v>
      </c>
      <c r="AE85" t="s">
        <v>138</v>
      </c>
      <c r="AF85" t="s">
        <v>138</v>
      </c>
      <c r="AG85" s="893">
        <v>44117</v>
      </c>
      <c r="AH85" s="888">
        <f t="shared" si="1"/>
        <v>44105</v>
      </c>
    </row>
    <row r="86" spans="1:34">
      <c r="A86">
        <v>5</v>
      </c>
      <c r="B86">
        <v>47</v>
      </c>
      <c r="C86" t="s">
        <v>148</v>
      </c>
      <c r="D86">
        <v>129</v>
      </c>
      <c r="E86">
        <v>0</v>
      </c>
      <c r="F86">
        <v>0</v>
      </c>
      <c r="G86" t="s">
        <v>138</v>
      </c>
      <c r="H86" t="s">
        <v>138</v>
      </c>
      <c r="I86" s="893">
        <v>44147</v>
      </c>
      <c r="J86">
        <v>5</v>
      </c>
      <c r="K86" t="s">
        <v>148</v>
      </c>
      <c r="L86">
        <v>47</v>
      </c>
      <c r="M86" t="s">
        <v>138</v>
      </c>
      <c r="N86" t="s">
        <v>138</v>
      </c>
      <c r="O86" t="s">
        <v>138</v>
      </c>
      <c r="P86" t="s">
        <v>138</v>
      </c>
      <c r="Q86" t="s">
        <v>138</v>
      </c>
      <c r="R86" t="s">
        <v>138</v>
      </c>
      <c r="S86" t="s">
        <v>138</v>
      </c>
      <c r="T86" t="s">
        <v>138</v>
      </c>
      <c r="U86" t="s">
        <v>138</v>
      </c>
      <c r="V86" t="s">
        <v>138</v>
      </c>
      <c r="W86" t="s">
        <v>138</v>
      </c>
      <c r="X86" t="s">
        <v>138</v>
      </c>
      <c r="Y86" t="s">
        <v>138</v>
      </c>
      <c r="Z86" t="s">
        <v>138</v>
      </c>
      <c r="AA86" t="s">
        <v>138</v>
      </c>
      <c r="AB86" t="s">
        <v>138</v>
      </c>
      <c r="AC86" t="s">
        <v>138</v>
      </c>
      <c r="AD86" t="s">
        <v>138</v>
      </c>
      <c r="AE86" t="s">
        <v>138</v>
      </c>
      <c r="AF86" t="s">
        <v>138</v>
      </c>
      <c r="AG86" s="893">
        <v>44147</v>
      </c>
      <c r="AH86" s="888">
        <f t="shared" si="1"/>
        <v>44136</v>
      </c>
    </row>
    <row r="87" spans="1:34">
      <c r="A87">
        <v>6</v>
      </c>
      <c r="B87">
        <v>47</v>
      </c>
      <c r="C87" t="s">
        <v>148</v>
      </c>
      <c r="D87">
        <v>129</v>
      </c>
      <c r="E87">
        <v>0</v>
      </c>
      <c r="F87">
        <v>0</v>
      </c>
      <c r="G87" t="s">
        <v>138</v>
      </c>
      <c r="H87" t="s">
        <v>138</v>
      </c>
      <c r="I87" s="893">
        <v>44179</v>
      </c>
      <c r="J87">
        <v>6</v>
      </c>
      <c r="K87" t="s">
        <v>148</v>
      </c>
      <c r="L87">
        <v>47</v>
      </c>
      <c r="M87" t="s">
        <v>138</v>
      </c>
      <c r="N87" t="s">
        <v>138</v>
      </c>
      <c r="O87" t="s">
        <v>138</v>
      </c>
      <c r="P87" t="s">
        <v>138</v>
      </c>
      <c r="Q87" t="s">
        <v>138</v>
      </c>
      <c r="R87" t="s">
        <v>138</v>
      </c>
      <c r="S87" t="s">
        <v>138</v>
      </c>
      <c r="T87" t="s">
        <v>138</v>
      </c>
      <c r="U87" t="s">
        <v>138</v>
      </c>
      <c r="V87" t="s">
        <v>138</v>
      </c>
      <c r="W87" t="s">
        <v>138</v>
      </c>
      <c r="X87" t="s">
        <v>138</v>
      </c>
      <c r="Y87" t="s">
        <v>138</v>
      </c>
      <c r="Z87" t="s">
        <v>138</v>
      </c>
      <c r="AA87" t="s">
        <v>138</v>
      </c>
      <c r="AB87" t="s">
        <v>138</v>
      </c>
      <c r="AC87" t="s">
        <v>138</v>
      </c>
      <c r="AD87" t="s">
        <v>138</v>
      </c>
      <c r="AE87" t="s">
        <v>138</v>
      </c>
      <c r="AF87" t="s">
        <v>138</v>
      </c>
      <c r="AG87" s="893">
        <v>44179</v>
      </c>
      <c r="AH87" s="888">
        <f t="shared" si="1"/>
        <v>44166</v>
      </c>
    </row>
    <row r="88" spans="1:34">
      <c r="A88">
        <v>7</v>
      </c>
      <c r="B88">
        <v>47</v>
      </c>
      <c r="C88" t="s">
        <v>148</v>
      </c>
      <c r="D88">
        <v>129</v>
      </c>
      <c r="E88">
        <v>0</v>
      </c>
      <c r="F88">
        <v>0</v>
      </c>
      <c r="G88" t="s">
        <v>138</v>
      </c>
      <c r="H88" t="s">
        <v>138</v>
      </c>
      <c r="I88" s="893">
        <v>44193</v>
      </c>
      <c r="J88">
        <v>7</v>
      </c>
      <c r="K88" t="s">
        <v>148</v>
      </c>
      <c r="L88">
        <v>47</v>
      </c>
      <c r="M88" t="s">
        <v>138</v>
      </c>
      <c r="N88" t="s">
        <v>138</v>
      </c>
      <c r="O88" t="s">
        <v>138</v>
      </c>
      <c r="P88" t="s">
        <v>138</v>
      </c>
      <c r="Q88" t="s">
        <v>138</v>
      </c>
      <c r="R88" t="s">
        <v>138</v>
      </c>
      <c r="S88" t="s">
        <v>138</v>
      </c>
      <c r="T88" t="s">
        <v>138</v>
      </c>
      <c r="U88" t="s">
        <v>138</v>
      </c>
      <c r="V88" t="s">
        <v>138</v>
      </c>
      <c r="W88" t="s">
        <v>138</v>
      </c>
      <c r="X88" t="s">
        <v>138</v>
      </c>
      <c r="Y88" t="s">
        <v>138</v>
      </c>
      <c r="Z88" t="s">
        <v>138</v>
      </c>
      <c r="AA88" t="s">
        <v>138</v>
      </c>
      <c r="AB88" t="s">
        <v>138</v>
      </c>
      <c r="AC88" t="s">
        <v>138</v>
      </c>
      <c r="AD88" t="s">
        <v>138</v>
      </c>
      <c r="AE88" t="s">
        <v>138</v>
      </c>
      <c r="AF88" t="s">
        <v>138</v>
      </c>
      <c r="AG88" s="893">
        <v>44193</v>
      </c>
      <c r="AH88" s="888">
        <f t="shared" si="1"/>
        <v>44166</v>
      </c>
    </row>
    <row r="89" spans="1:34">
      <c r="A89">
        <v>8</v>
      </c>
      <c r="B89">
        <v>47</v>
      </c>
      <c r="C89" t="s">
        <v>148</v>
      </c>
      <c r="D89">
        <v>129</v>
      </c>
      <c r="E89">
        <v>0</v>
      </c>
      <c r="F89">
        <v>0</v>
      </c>
      <c r="G89" t="s">
        <v>138</v>
      </c>
      <c r="H89" t="s">
        <v>138</v>
      </c>
      <c r="I89" s="893">
        <v>44208</v>
      </c>
      <c r="J89">
        <v>8</v>
      </c>
      <c r="K89" t="s">
        <v>148</v>
      </c>
      <c r="L89">
        <v>47</v>
      </c>
      <c r="M89" t="s">
        <v>138</v>
      </c>
      <c r="N89" t="s">
        <v>138</v>
      </c>
      <c r="O89" t="s">
        <v>138</v>
      </c>
      <c r="P89" t="s">
        <v>138</v>
      </c>
      <c r="Q89" t="s">
        <v>138</v>
      </c>
      <c r="R89" t="s">
        <v>138</v>
      </c>
      <c r="S89" t="s">
        <v>138</v>
      </c>
      <c r="T89" t="s">
        <v>138</v>
      </c>
      <c r="U89" t="s">
        <v>138</v>
      </c>
      <c r="V89" t="s">
        <v>138</v>
      </c>
      <c r="W89" t="s">
        <v>138</v>
      </c>
      <c r="X89" t="s">
        <v>138</v>
      </c>
      <c r="Y89" t="s">
        <v>138</v>
      </c>
      <c r="Z89" t="s">
        <v>138</v>
      </c>
      <c r="AA89" t="s">
        <v>138</v>
      </c>
      <c r="AB89" t="s">
        <v>138</v>
      </c>
      <c r="AC89" t="s">
        <v>138</v>
      </c>
      <c r="AD89" t="s">
        <v>138</v>
      </c>
      <c r="AE89" t="s">
        <v>138</v>
      </c>
      <c r="AF89" t="s">
        <v>138</v>
      </c>
      <c r="AG89" s="893">
        <v>44208</v>
      </c>
      <c r="AH89" s="888">
        <f t="shared" si="1"/>
        <v>44197</v>
      </c>
    </row>
    <row r="90" spans="1:34">
      <c r="A90">
        <v>1</v>
      </c>
      <c r="B90">
        <v>51</v>
      </c>
      <c r="C90" t="s">
        <v>149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893">
        <v>44043</v>
      </c>
      <c r="J90">
        <v>1</v>
      </c>
      <c r="K90" t="s">
        <v>149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893">
        <v>44043</v>
      </c>
      <c r="AH90" s="888">
        <f t="shared" si="1"/>
        <v>44013</v>
      </c>
    </row>
    <row r="91" spans="1:34">
      <c r="A91">
        <v>2</v>
      </c>
      <c r="B91">
        <v>51</v>
      </c>
      <c r="C91" t="s">
        <v>149</v>
      </c>
      <c r="D91">
        <v>139</v>
      </c>
      <c r="E91">
        <v>534196.42000000004</v>
      </c>
      <c r="F91">
        <v>0</v>
      </c>
      <c r="G91" t="s">
        <v>138</v>
      </c>
      <c r="H91" t="s">
        <v>138</v>
      </c>
      <c r="I91" s="893">
        <v>44055</v>
      </c>
      <c r="J91">
        <v>2</v>
      </c>
      <c r="K91" t="s">
        <v>149</v>
      </c>
      <c r="L91">
        <v>51</v>
      </c>
      <c r="M91">
        <v>0.85215709260474803</v>
      </c>
      <c r="N91" t="s">
        <v>138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138</v>
      </c>
      <c r="Z91" t="s">
        <v>138</v>
      </c>
      <c r="AA91" t="s">
        <v>138</v>
      </c>
      <c r="AB91" t="s">
        <v>138</v>
      </c>
      <c r="AC91" t="s">
        <v>138</v>
      </c>
      <c r="AD91" t="s">
        <v>138</v>
      </c>
      <c r="AE91" t="s">
        <v>138</v>
      </c>
      <c r="AF91" t="s">
        <v>138</v>
      </c>
      <c r="AG91" s="893">
        <v>44055</v>
      </c>
      <c r="AH91" s="888">
        <f t="shared" si="1"/>
        <v>44044</v>
      </c>
    </row>
    <row r="92" spans="1:34">
      <c r="A92">
        <v>3</v>
      </c>
      <c r="B92">
        <v>51</v>
      </c>
      <c r="C92" t="s">
        <v>149</v>
      </c>
      <c r="D92">
        <v>139</v>
      </c>
      <c r="E92">
        <v>0</v>
      </c>
      <c r="F92">
        <v>0</v>
      </c>
      <c r="G92" t="s">
        <v>138</v>
      </c>
      <c r="H92" t="s">
        <v>138</v>
      </c>
      <c r="I92" s="893">
        <v>44088</v>
      </c>
      <c r="J92">
        <v>3</v>
      </c>
      <c r="K92" t="s">
        <v>149</v>
      </c>
      <c r="L92">
        <v>51</v>
      </c>
      <c r="M92">
        <v>0</v>
      </c>
      <c r="N92" t="s">
        <v>138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138</v>
      </c>
      <c r="Z92" t="s">
        <v>138</v>
      </c>
      <c r="AA92" t="s">
        <v>138</v>
      </c>
      <c r="AB92" t="s">
        <v>138</v>
      </c>
      <c r="AC92" t="s">
        <v>138</v>
      </c>
      <c r="AD92" t="s">
        <v>138</v>
      </c>
      <c r="AE92" t="s">
        <v>138</v>
      </c>
      <c r="AF92" t="s">
        <v>138</v>
      </c>
      <c r="AG92" s="893">
        <v>44088</v>
      </c>
      <c r="AH92" s="888">
        <f t="shared" si="1"/>
        <v>44075</v>
      </c>
    </row>
    <row r="93" spans="1:34">
      <c r="A93">
        <v>4</v>
      </c>
      <c r="B93">
        <v>51</v>
      </c>
      <c r="C93" t="s">
        <v>149</v>
      </c>
      <c r="D93">
        <v>139</v>
      </c>
      <c r="E93">
        <v>0</v>
      </c>
      <c r="F93">
        <v>0</v>
      </c>
      <c r="G93" t="s">
        <v>138</v>
      </c>
      <c r="H93" t="s">
        <v>138</v>
      </c>
      <c r="I93" s="893">
        <v>44117</v>
      </c>
      <c r="J93">
        <v>4</v>
      </c>
      <c r="K93" t="s">
        <v>149</v>
      </c>
      <c r="L93">
        <v>51</v>
      </c>
      <c r="M93" t="s">
        <v>138</v>
      </c>
      <c r="N93" t="s">
        <v>138</v>
      </c>
      <c r="O93" t="s">
        <v>138</v>
      </c>
      <c r="P93" t="s">
        <v>138</v>
      </c>
      <c r="Q93" t="s">
        <v>138</v>
      </c>
      <c r="R93" t="s">
        <v>138</v>
      </c>
      <c r="S93" t="s">
        <v>138</v>
      </c>
      <c r="T93" t="s">
        <v>138</v>
      </c>
      <c r="U93" t="s">
        <v>138</v>
      </c>
      <c r="V93" t="s">
        <v>138</v>
      </c>
      <c r="W93" t="s">
        <v>138</v>
      </c>
      <c r="X93" t="s">
        <v>138</v>
      </c>
      <c r="Y93" t="s">
        <v>138</v>
      </c>
      <c r="Z93" t="s">
        <v>138</v>
      </c>
      <c r="AA93" t="s">
        <v>138</v>
      </c>
      <c r="AB93" t="s">
        <v>138</v>
      </c>
      <c r="AC93" t="s">
        <v>138</v>
      </c>
      <c r="AD93" t="s">
        <v>138</v>
      </c>
      <c r="AE93" t="s">
        <v>138</v>
      </c>
      <c r="AF93" t="s">
        <v>138</v>
      </c>
      <c r="AG93" s="893">
        <v>44117</v>
      </c>
      <c r="AH93" s="888">
        <f t="shared" si="1"/>
        <v>44105</v>
      </c>
    </row>
    <row r="94" spans="1:34">
      <c r="A94">
        <v>5</v>
      </c>
      <c r="B94">
        <v>51</v>
      </c>
      <c r="C94" t="s">
        <v>149</v>
      </c>
      <c r="D94">
        <v>139</v>
      </c>
      <c r="E94">
        <v>0</v>
      </c>
      <c r="F94">
        <v>0</v>
      </c>
      <c r="G94" t="s">
        <v>138</v>
      </c>
      <c r="H94" t="s">
        <v>138</v>
      </c>
      <c r="I94" s="893">
        <v>44147</v>
      </c>
      <c r="J94">
        <v>5</v>
      </c>
      <c r="K94" t="s">
        <v>149</v>
      </c>
      <c r="L94">
        <v>51</v>
      </c>
      <c r="M94" t="s">
        <v>138</v>
      </c>
      <c r="N94" t="s">
        <v>138</v>
      </c>
      <c r="O94" t="s">
        <v>138</v>
      </c>
      <c r="P94" t="s">
        <v>138</v>
      </c>
      <c r="Q94" t="s">
        <v>138</v>
      </c>
      <c r="R94" t="s">
        <v>138</v>
      </c>
      <c r="S94" t="s">
        <v>138</v>
      </c>
      <c r="T94" t="s">
        <v>138</v>
      </c>
      <c r="U94" t="s">
        <v>138</v>
      </c>
      <c r="V94" t="s">
        <v>138</v>
      </c>
      <c r="W94" t="s">
        <v>138</v>
      </c>
      <c r="X94" t="s">
        <v>138</v>
      </c>
      <c r="Y94" t="s">
        <v>138</v>
      </c>
      <c r="Z94" t="s">
        <v>138</v>
      </c>
      <c r="AA94" t="s">
        <v>138</v>
      </c>
      <c r="AB94" t="s">
        <v>138</v>
      </c>
      <c r="AC94" t="s">
        <v>138</v>
      </c>
      <c r="AD94" t="s">
        <v>138</v>
      </c>
      <c r="AE94" t="s">
        <v>138</v>
      </c>
      <c r="AF94" t="s">
        <v>138</v>
      </c>
      <c r="AG94" s="893">
        <v>44147</v>
      </c>
      <c r="AH94" s="888">
        <f t="shared" si="1"/>
        <v>44136</v>
      </c>
    </row>
    <row r="95" spans="1:34">
      <c r="A95">
        <v>6</v>
      </c>
      <c r="B95">
        <v>51</v>
      </c>
      <c r="C95" t="s">
        <v>149</v>
      </c>
      <c r="D95">
        <v>139</v>
      </c>
      <c r="E95">
        <v>0</v>
      </c>
      <c r="F95">
        <v>0</v>
      </c>
      <c r="G95" t="s">
        <v>138</v>
      </c>
      <c r="H95" t="s">
        <v>138</v>
      </c>
      <c r="I95" s="893">
        <v>44179</v>
      </c>
      <c r="J95">
        <v>6</v>
      </c>
      <c r="K95" t="s">
        <v>149</v>
      </c>
      <c r="L95">
        <v>51</v>
      </c>
      <c r="M95" t="s">
        <v>138</v>
      </c>
      <c r="N95" t="s">
        <v>138</v>
      </c>
      <c r="O95" t="s">
        <v>138</v>
      </c>
      <c r="P95" t="s">
        <v>138</v>
      </c>
      <c r="Q95" t="s">
        <v>138</v>
      </c>
      <c r="R95" t="s">
        <v>138</v>
      </c>
      <c r="S95" t="s">
        <v>138</v>
      </c>
      <c r="T95" t="s">
        <v>138</v>
      </c>
      <c r="U95" t="s">
        <v>138</v>
      </c>
      <c r="V95" t="s">
        <v>138</v>
      </c>
      <c r="W95" t="s">
        <v>138</v>
      </c>
      <c r="X95" t="s">
        <v>138</v>
      </c>
      <c r="Y95" t="s">
        <v>138</v>
      </c>
      <c r="Z95" t="s">
        <v>138</v>
      </c>
      <c r="AA95" t="s">
        <v>138</v>
      </c>
      <c r="AB95" t="s">
        <v>138</v>
      </c>
      <c r="AC95" t="s">
        <v>138</v>
      </c>
      <c r="AD95" t="s">
        <v>138</v>
      </c>
      <c r="AE95" t="s">
        <v>138</v>
      </c>
      <c r="AF95" t="s">
        <v>138</v>
      </c>
      <c r="AG95" s="893">
        <v>44179</v>
      </c>
      <c r="AH95" s="888">
        <f t="shared" si="1"/>
        <v>44166</v>
      </c>
    </row>
    <row r="96" spans="1:34">
      <c r="A96">
        <v>7</v>
      </c>
      <c r="B96">
        <v>51</v>
      </c>
      <c r="C96" t="s">
        <v>149</v>
      </c>
      <c r="D96">
        <v>139</v>
      </c>
      <c r="E96">
        <v>0</v>
      </c>
      <c r="F96">
        <v>0</v>
      </c>
      <c r="G96" t="s">
        <v>138</v>
      </c>
      <c r="H96" t="s">
        <v>138</v>
      </c>
      <c r="I96" s="893">
        <v>44193</v>
      </c>
      <c r="J96">
        <v>7</v>
      </c>
      <c r="K96" t="s">
        <v>149</v>
      </c>
      <c r="L96">
        <v>51</v>
      </c>
      <c r="M96" t="s">
        <v>138</v>
      </c>
      <c r="N96" t="s">
        <v>138</v>
      </c>
      <c r="O96" t="s">
        <v>138</v>
      </c>
      <c r="P96" t="s">
        <v>138</v>
      </c>
      <c r="Q96" t="s">
        <v>138</v>
      </c>
      <c r="R96" t="s">
        <v>138</v>
      </c>
      <c r="S96" t="s">
        <v>138</v>
      </c>
      <c r="T96" t="s">
        <v>138</v>
      </c>
      <c r="U96" t="s">
        <v>138</v>
      </c>
      <c r="V96" t="s">
        <v>138</v>
      </c>
      <c r="W96" t="s">
        <v>138</v>
      </c>
      <c r="X96" t="s">
        <v>138</v>
      </c>
      <c r="Y96" t="s">
        <v>138</v>
      </c>
      <c r="Z96" t="s">
        <v>138</v>
      </c>
      <c r="AA96" t="s">
        <v>138</v>
      </c>
      <c r="AB96" t="s">
        <v>138</v>
      </c>
      <c r="AC96" t="s">
        <v>138</v>
      </c>
      <c r="AD96" t="s">
        <v>138</v>
      </c>
      <c r="AE96" t="s">
        <v>138</v>
      </c>
      <c r="AF96" t="s">
        <v>138</v>
      </c>
      <c r="AG96" s="893">
        <v>44193</v>
      </c>
      <c r="AH96" s="888">
        <f t="shared" si="1"/>
        <v>44166</v>
      </c>
    </row>
    <row r="97" spans="1:34">
      <c r="A97">
        <v>8</v>
      </c>
      <c r="B97">
        <v>51</v>
      </c>
      <c r="C97" t="s">
        <v>149</v>
      </c>
      <c r="D97">
        <v>139</v>
      </c>
      <c r="E97">
        <v>0</v>
      </c>
      <c r="F97">
        <v>0</v>
      </c>
      <c r="G97" t="s">
        <v>138</v>
      </c>
      <c r="H97" t="s">
        <v>138</v>
      </c>
      <c r="I97" s="893">
        <v>44208</v>
      </c>
      <c r="J97">
        <v>8</v>
      </c>
      <c r="K97" t="s">
        <v>149</v>
      </c>
      <c r="L97">
        <v>51</v>
      </c>
      <c r="M97" t="s">
        <v>138</v>
      </c>
      <c r="N97" t="s">
        <v>138</v>
      </c>
      <c r="O97" t="s">
        <v>138</v>
      </c>
      <c r="P97" t="s">
        <v>138</v>
      </c>
      <c r="Q97" t="s">
        <v>138</v>
      </c>
      <c r="R97" t="s">
        <v>138</v>
      </c>
      <c r="S97" t="s">
        <v>138</v>
      </c>
      <c r="T97" t="s">
        <v>138</v>
      </c>
      <c r="U97" t="s">
        <v>138</v>
      </c>
      <c r="V97" t="s">
        <v>138</v>
      </c>
      <c r="W97" t="s">
        <v>138</v>
      </c>
      <c r="X97" t="s">
        <v>138</v>
      </c>
      <c r="Y97" t="s">
        <v>138</v>
      </c>
      <c r="Z97" t="s">
        <v>138</v>
      </c>
      <c r="AA97" t="s">
        <v>138</v>
      </c>
      <c r="AB97" t="s">
        <v>138</v>
      </c>
      <c r="AC97" t="s">
        <v>138</v>
      </c>
      <c r="AD97" t="s">
        <v>138</v>
      </c>
      <c r="AE97" t="s">
        <v>138</v>
      </c>
      <c r="AF97" t="s">
        <v>138</v>
      </c>
      <c r="AG97" s="893">
        <v>44208</v>
      </c>
      <c r="AH97" s="888">
        <f t="shared" si="1"/>
        <v>44197</v>
      </c>
    </row>
    <row r="98" spans="1:34">
      <c r="A98">
        <v>1</v>
      </c>
      <c r="B98">
        <v>63</v>
      </c>
      <c r="C98" t="s">
        <v>150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893">
        <v>44043</v>
      </c>
      <c r="J98">
        <v>1</v>
      </c>
      <c r="K98" t="s">
        <v>150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893">
        <v>44043</v>
      </c>
      <c r="AH98" s="888">
        <f t="shared" si="1"/>
        <v>44013</v>
      </c>
    </row>
    <row r="99" spans="1:34">
      <c r="A99">
        <v>2</v>
      </c>
      <c r="B99">
        <v>63</v>
      </c>
      <c r="C99" t="s">
        <v>150</v>
      </c>
      <c r="D99">
        <v>136</v>
      </c>
      <c r="E99">
        <v>135033530.408793</v>
      </c>
      <c r="F99">
        <v>0</v>
      </c>
      <c r="G99" t="s">
        <v>138</v>
      </c>
      <c r="H99" t="s">
        <v>138</v>
      </c>
      <c r="I99" s="893">
        <v>44055</v>
      </c>
      <c r="J99">
        <v>2</v>
      </c>
      <c r="K99" t="s">
        <v>150</v>
      </c>
      <c r="L99">
        <v>63</v>
      </c>
      <c r="M99">
        <v>0.377201872994542</v>
      </c>
      <c r="N99" t="s">
        <v>138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138</v>
      </c>
      <c r="Z99" t="s">
        <v>138</v>
      </c>
      <c r="AA99" t="s">
        <v>138</v>
      </c>
      <c r="AB99" t="s">
        <v>138</v>
      </c>
      <c r="AC99" t="s">
        <v>138</v>
      </c>
      <c r="AD99" t="s">
        <v>138</v>
      </c>
      <c r="AE99" t="s">
        <v>138</v>
      </c>
      <c r="AF99" t="s">
        <v>138</v>
      </c>
      <c r="AG99" s="893">
        <v>44055</v>
      </c>
      <c r="AH99" s="888">
        <f t="shared" si="1"/>
        <v>44044</v>
      </c>
    </row>
    <row r="100" spans="1:34">
      <c r="A100">
        <v>3</v>
      </c>
      <c r="B100">
        <v>63</v>
      </c>
      <c r="C100" t="s">
        <v>150</v>
      </c>
      <c r="D100">
        <v>136</v>
      </c>
      <c r="E100">
        <v>115192320.08158199</v>
      </c>
      <c r="F100">
        <v>0</v>
      </c>
      <c r="G100" t="s">
        <v>138</v>
      </c>
      <c r="H100" t="s">
        <v>138</v>
      </c>
      <c r="I100" s="893">
        <v>44088</v>
      </c>
      <c r="J100">
        <v>3</v>
      </c>
      <c r="K100" t="s">
        <v>150</v>
      </c>
      <c r="L100">
        <v>63</v>
      </c>
      <c r="M100">
        <v>0.52550710484585506</v>
      </c>
      <c r="N100" t="s">
        <v>138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138</v>
      </c>
      <c r="Z100" t="s">
        <v>138</v>
      </c>
      <c r="AA100" t="s">
        <v>138</v>
      </c>
      <c r="AB100" t="s">
        <v>138</v>
      </c>
      <c r="AC100" t="s">
        <v>138</v>
      </c>
      <c r="AD100" t="s">
        <v>138</v>
      </c>
      <c r="AE100" t="s">
        <v>138</v>
      </c>
      <c r="AF100" t="s">
        <v>138</v>
      </c>
      <c r="AG100" s="893">
        <v>44088</v>
      </c>
      <c r="AH100" s="888">
        <f t="shared" si="1"/>
        <v>44075</v>
      </c>
    </row>
    <row r="101" spans="1:34">
      <c r="A101">
        <v>4</v>
      </c>
      <c r="B101">
        <v>63</v>
      </c>
      <c r="C101" t="s">
        <v>150</v>
      </c>
      <c r="D101">
        <v>136</v>
      </c>
      <c r="E101">
        <v>46301450.609888501</v>
      </c>
      <c r="F101">
        <v>0</v>
      </c>
      <c r="G101" t="s">
        <v>138</v>
      </c>
      <c r="H101" t="s">
        <v>138</v>
      </c>
      <c r="I101" s="893">
        <v>44117</v>
      </c>
      <c r="J101">
        <v>4</v>
      </c>
      <c r="K101" t="s">
        <v>150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138</v>
      </c>
      <c r="Z101" t="s">
        <v>138</v>
      </c>
      <c r="AA101" t="s">
        <v>138</v>
      </c>
      <c r="AB101" t="s">
        <v>138</v>
      </c>
      <c r="AC101" t="s">
        <v>138</v>
      </c>
      <c r="AD101" t="s">
        <v>138</v>
      </c>
      <c r="AE101" t="s">
        <v>138</v>
      </c>
      <c r="AF101" t="s">
        <v>138</v>
      </c>
      <c r="AG101" s="893">
        <v>44117</v>
      </c>
      <c r="AH101" s="888">
        <f t="shared" si="1"/>
        <v>44105</v>
      </c>
    </row>
    <row r="102" spans="1:34">
      <c r="A102">
        <v>5</v>
      </c>
      <c r="B102">
        <v>63</v>
      </c>
      <c r="C102" t="s">
        <v>150</v>
      </c>
      <c r="D102">
        <v>136</v>
      </c>
      <c r="E102">
        <v>0</v>
      </c>
      <c r="F102">
        <v>0</v>
      </c>
      <c r="G102" t="s">
        <v>138</v>
      </c>
      <c r="H102" t="s">
        <v>138</v>
      </c>
      <c r="I102" s="893">
        <v>44147</v>
      </c>
      <c r="J102">
        <v>5</v>
      </c>
      <c r="K102" t="s">
        <v>150</v>
      </c>
      <c r="L102">
        <v>63</v>
      </c>
      <c r="M102" t="s">
        <v>138</v>
      </c>
      <c r="N102" t="s">
        <v>138</v>
      </c>
      <c r="O102" t="s">
        <v>138</v>
      </c>
      <c r="P102" t="s">
        <v>138</v>
      </c>
      <c r="Q102" t="s">
        <v>138</v>
      </c>
      <c r="R102" t="s">
        <v>138</v>
      </c>
      <c r="S102" t="s">
        <v>138</v>
      </c>
      <c r="T102" t="s">
        <v>138</v>
      </c>
      <c r="U102" t="s">
        <v>138</v>
      </c>
      <c r="V102" t="s">
        <v>138</v>
      </c>
      <c r="W102" t="s">
        <v>138</v>
      </c>
      <c r="X102" t="s">
        <v>138</v>
      </c>
      <c r="Y102" t="s">
        <v>138</v>
      </c>
      <c r="Z102" t="s">
        <v>138</v>
      </c>
      <c r="AA102" t="s">
        <v>138</v>
      </c>
      <c r="AB102" t="s">
        <v>138</v>
      </c>
      <c r="AC102" t="s">
        <v>138</v>
      </c>
      <c r="AD102" t="s">
        <v>138</v>
      </c>
      <c r="AE102" t="s">
        <v>138</v>
      </c>
      <c r="AF102" t="s">
        <v>138</v>
      </c>
      <c r="AG102" s="893">
        <v>44147</v>
      </c>
      <c r="AH102" s="888">
        <f t="shared" si="1"/>
        <v>44136</v>
      </c>
    </row>
    <row r="103" spans="1:34">
      <c r="A103">
        <v>6</v>
      </c>
      <c r="B103">
        <v>63</v>
      </c>
      <c r="C103" t="s">
        <v>150</v>
      </c>
      <c r="D103">
        <v>136</v>
      </c>
      <c r="E103">
        <v>0</v>
      </c>
      <c r="F103">
        <v>0</v>
      </c>
      <c r="G103" t="s">
        <v>138</v>
      </c>
      <c r="H103" t="s">
        <v>138</v>
      </c>
      <c r="I103" s="893">
        <v>44179</v>
      </c>
      <c r="J103">
        <v>6</v>
      </c>
      <c r="K103" t="s">
        <v>150</v>
      </c>
      <c r="L103">
        <v>63</v>
      </c>
      <c r="M103" t="s">
        <v>138</v>
      </c>
      <c r="N103" t="s">
        <v>138</v>
      </c>
      <c r="O103" t="s">
        <v>138</v>
      </c>
      <c r="P103" t="s">
        <v>138</v>
      </c>
      <c r="Q103" t="s">
        <v>138</v>
      </c>
      <c r="R103" t="s">
        <v>138</v>
      </c>
      <c r="S103" t="s">
        <v>138</v>
      </c>
      <c r="T103" t="s">
        <v>138</v>
      </c>
      <c r="U103" t="s">
        <v>138</v>
      </c>
      <c r="V103" t="s">
        <v>138</v>
      </c>
      <c r="W103" t="s">
        <v>138</v>
      </c>
      <c r="X103" t="s">
        <v>138</v>
      </c>
      <c r="Y103" t="s">
        <v>138</v>
      </c>
      <c r="Z103" t="s">
        <v>138</v>
      </c>
      <c r="AA103" t="s">
        <v>138</v>
      </c>
      <c r="AB103" t="s">
        <v>138</v>
      </c>
      <c r="AC103" t="s">
        <v>138</v>
      </c>
      <c r="AD103" t="s">
        <v>138</v>
      </c>
      <c r="AE103" t="s">
        <v>138</v>
      </c>
      <c r="AF103" t="s">
        <v>138</v>
      </c>
      <c r="AG103" s="893">
        <v>44179</v>
      </c>
      <c r="AH103" s="888">
        <f t="shared" si="1"/>
        <v>44166</v>
      </c>
    </row>
    <row r="104" spans="1:34">
      <c r="A104">
        <v>7</v>
      </c>
      <c r="B104">
        <v>63</v>
      </c>
      <c r="C104" t="s">
        <v>150</v>
      </c>
      <c r="D104">
        <v>136</v>
      </c>
      <c r="E104">
        <v>0</v>
      </c>
      <c r="F104">
        <v>0</v>
      </c>
      <c r="G104" t="s">
        <v>138</v>
      </c>
      <c r="H104" t="s">
        <v>138</v>
      </c>
      <c r="I104" s="893">
        <v>44193</v>
      </c>
      <c r="J104">
        <v>7</v>
      </c>
      <c r="K104" t="s">
        <v>150</v>
      </c>
      <c r="L104">
        <v>63</v>
      </c>
      <c r="M104" t="s">
        <v>138</v>
      </c>
      <c r="N104" t="s">
        <v>138</v>
      </c>
      <c r="O104" t="s">
        <v>138</v>
      </c>
      <c r="P104" t="s">
        <v>138</v>
      </c>
      <c r="Q104" t="s">
        <v>138</v>
      </c>
      <c r="R104" t="s">
        <v>138</v>
      </c>
      <c r="S104" t="s">
        <v>138</v>
      </c>
      <c r="T104" t="s">
        <v>138</v>
      </c>
      <c r="U104" t="s">
        <v>138</v>
      </c>
      <c r="V104" t="s">
        <v>138</v>
      </c>
      <c r="W104" t="s">
        <v>138</v>
      </c>
      <c r="X104" t="s">
        <v>138</v>
      </c>
      <c r="Y104" t="s">
        <v>138</v>
      </c>
      <c r="Z104" t="s">
        <v>138</v>
      </c>
      <c r="AA104" t="s">
        <v>138</v>
      </c>
      <c r="AB104" t="s">
        <v>138</v>
      </c>
      <c r="AC104" t="s">
        <v>138</v>
      </c>
      <c r="AD104" t="s">
        <v>138</v>
      </c>
      <c r="AE104" t="s">
        <v>138</v>
      </c>
      <c r="AF104" t="s">
        <v>138</v>
      </c>
      <c r="AG104" s="893">
        <v>44193</v>
      </c>
      <c r="AH104" s="888">
        <f t="shared" si="1"/>
        <v>44166</v>
      </c>
    </row>
    <row r="105" spans="1:34">
      <c r="A105">
        <v>8</v>
      </c>
      <c r="B105">
        <v>63</v>
      </c>
      <c r="C105" t="s">
        <v>150</v>
      </c>
      <c r="D105">
        <v>136</v>
      </c>
      <c r="E105">
        <v>0</v>
      </c>
      <c r="F105">
        <v>0</v>
      </c>
      <c r="G105" t="s">
        <v>138</v>
      </c>
      <c r="H105" t="s">
        <v>138</v>
      </c>
      <c r="I105" s="893">
        <v>44208</v>
      </c>
      <c r="J105">
        <v>8</v>
      </c>
      <c r="K105" t="s">
        <v>150</v>
      </c>
      <c r="L105">
        <v>63</v>
      </c>
      <c r="M105" t="s">
        <v>138</v>
      </c>
      <c r="N105" t="s">
        <v>138</v>
      </c>
      <c r="O105" t="s">
        <v>138</v>
      </c>
      <c r="P105" t="s">
        <v>138</v>
      </c>
      <c r="Q105" t="s">
        <v>138</v>
      </c>
      <c r="R105" t="s">
        <v>138</v>
      </c>
      <c r="S105" t="s">
        <v>138</v>
      </c>
      <c r="T105" t="s">
        <v>138</v>
      </c>
      <c r="U105" t="s">
        <v>138</v>
      </c>
      <c r="V105" t="s">
        <v>138</v>
      </c>
      <c r="W105" t="s">
        <v>138</v>
      </c>
      <c r="X105" t="s">
        <v>138</v>
      </c>
      <c r="Y105" t="s">
        <v>138</v>
      </c>
      <c r="Z105" t="s">
        <v>138</v>
      </c>
      <c r="AA105" t="s">
        <v>138</v>
      </c>
      <c r="AB105" t="s">
        <v>138</v>
      </c>
      <c r="AC105" t="s">
        <v>138</v>
      </c>
      <c r="AD105" t="s">
        <v>138</v>
      </c>
      <c r="AE105" t="s">
        <v>138</v>
      </c>
      <c r="AF105" t="s">
        <v>138</v>
      </c>
      <c r="AG105" s="893">
        <v>44208</v>
      </c>
      <c r="AH105" s="888">
        <f t="shared" si="1"/>
        <v>44197</v>
      </c>
    </row>
    <row r="106" spans="1:34">
      <c r="A106">
        <v>1</v>
      </c>
      <c r="B106">
        <v>82</v>
      </c>
      <c r="C106" t="s">
        <v>151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893">
        <v>44043</v>
      </c>
      <c r="J106">
        <v>1</v>
      </c>
      <c r="K106" t="s">
        <v>151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893">
        <v>44043</v>
      </c>
      <c r="AH106" s="888">
        <f t="shared" si="1"/>
        <v>44013</v>
      </c>
    </row>
    <row r="107" spans="1:34">
      <c r="A107">
        <v>2</v>
      </c>
      <c r="B107">
        <v>82</v>
      </c>
      <c r="C107" t="s">
        <v>151</v>
      </c>
      <c r="D107">
        <v>128</v>
      </c>
      <c r="E107">
        <v>257091.67356004499</v>
      </c>
      <c r="F107">
        <v>0</v>
      </c>
      <c r="G107" t="s">
        <v>138</v>
      </c>
      <c r="H107" t="s">
        <v>138</v>
      </c>
      <c r="I107" s="893">
        <v>44055</v>
      </c>
      <c r="J107">
        <v>2</v>
      </c>
      <c r="K107" t="s">
        <v>151</v>
      </c>
      <c r="L107">
        <v>82</v>
      </c>
      <c r="M107">
        <v>1</v>
      </c>
      <c r="N107" t="s">
        <v>138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138</v>
      </c>
      <c r="Z107" t="s">
        <v>138</v>
      </c>
      <c r="AA107" t="s">
        <v>138</v>
      </c>
      <c r="AB107" t="s">
        <v>138</v>
      </c>
      <c r="AC107" t="s">
        <v>138</v>
      </c>
      <c r="AD107" t="s">
        <v>138</v>
      </c>
      <c r="AE107" t="s">
        <v>138</v>
      </c>
      <c r="AF107" t="s">
        <v>138</v>
      </c>
      <c r="AG107" s="893">
        <v>44055</v>
      </c>
      <c r="AH107" s="888">
        <f t="shared" si="1"/>
        <v>44044</v>
      </c>
    </row>
    <row r="108" spans="1:34">
      <c r="A108">
        <v>3</v>
      </c>
      <c r="B108">
        <v>82</v>
      </c>
      <c r="C108" t="s">
        <v>151</v>
      </c>
      <c r="D108">
        <v>128</v>
      </c>
      <c r="E108">
        <v>257091.67356004499</v>
      </c>
      <c r="F108">
        <v>0</v>
      </c>
      <c r="G108" t="s">
        <v>138</v>
      </c>
      <c r="H108" t="s">
        <v>138</v>
      </c>
      <c r="I108" s="893">
        <v>44088</v>
      </c>
      <c r="J108">
        <v>3</v>
      </c>
      <c r="K108" t="s">
        <v>151</v>
      </c>
      <c r="L108">
        <v>82</v>
      </c>
      <c r="M108">
        <v>1</v>
      </c>
      <c r="N108" t="s">
        <v>138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138</v>
      </c>
      <c r="Z108" t="s">
        <v>138</v>
      </c>
      <c r="AA108" t="s">
        <v>138</v>
      </c>
      <c r="AB108" t="s">
        <v>138</v>
      </c>
      <c r="AC108" t="s">
        <v>138</v>
      </c>
      <c r="AD108" t="s">
        <v>138</v>
      </c>
      <c r="AE108" t="s">
        <v>138</v>
      </c>
      <c r="AF108" t="s">
        <v>138</v>
      </c>
      <c r="AG108" s="893">
        <v>44088</v>
      </c>
      <c r="AH108" s="888">
        <f t="shared" si="1"/>
        <v>44075</v>
      </c>
    </row>
    <row r="109" spans="1:34">
      <c r="A109">
        <v>4</v>
      </c>
      <c r="B109">
        <v>82</v>
      </c>
      <c r="C109" t="s">
        <v>151</v>
      </c>
      <c r="D109">
        <v>128</v>
      </c>
      <c r="E109">
        <v>983.43948882298196</v>
      </c>
      <c r="F109">
        <v>0</v>
      </c>
      <c r="G109" t="s">
        <v>138</v>
      </c>
      <c r="H109" t="s">
        <v>138</v>
      </c>
      <c r="I109" s="893">
        <v>44117</v>
      </c>
      <c r="J109">
        <v>4</v>
      </c>
      <c r="K109" t="s">
        <v>151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138</v>
      </c>
      <c r="Z109" t="s">
        <v>138</v>
      </c>
      <c r="AA109" t="s">
        <v>138</v>
      </c>
      <c r="AB109" t="s">
        <v>138</v>
      </c>
      <c r="AC109" t="s">
        <v>138</v>
      </c>
      <c r="AD109" t="s">
        <v>138</v>
      </c>
      <c r="AE109" t="s">
        <v>138</v>
      </c>
      <c r="AF109" t="s">
        <v>138</v>
      </c>
      <c r="AG109" s="893">
        <v>44117</v>
      </c>
      <c r="AH109" s="888">
        <f t="shared" si="1"/>
        <v>44105</v>
      </c>
    </row>
    <row r="110" spans="1:34">
      <c r="A110">
        <v>5</v>
      </c>
      <c r="B110">
        <v>82</v>
      </c>
      <c r="C110" t="s">
        <v>151</v>
      </c>
      <c r="D110">
        <v>128</v>
      </c>
      <c r="E110">
        <v>0</v>
      </c>
      <c r="F110">
        <v>0</v>
      </c>
      <c r="G110" t="s">
        <v>138</v>
      </c>
      <c r="H110" t="s">
        <v>138</v>
      </c>
      <c r="I110" s="893">
        <v>44147</v>
      </c>
      <c r="J110">
        <v>5</v>
      </c>
      <c r="K110" t="s">
        <v>151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138</v>
      </c>
      <c r="Z110" t="s">
        <v>138</v>
      </c>
      <c r="AA110" t="s">
        <v>138</v>
      </c>
      <c r="AB110" t="s">
        <v>138</v>
      </c>
      <c r="AC110" t="s">
        <v>138</v>
      </c>
      <c r="AD110" t="s">
        <v>138</v>
      </c>
      <c r="AE110" t="s">
        <v>138</v>
      </c>
      <c r="AF110" t="s">
        <v>138</v>
      </c>
      <c r="AG110" s="893">
        <v>44147</v>
      </c>
      <c r="AH110" s="888">
        <f t="shared" si="1"/>
        <v>44136</v>
      </c>
    </row>
    <row r="111" spans="1:34">
      <c r="A111">
        <v>6</v>
      </c>
      <c r="B111">
        <v>82</v>
      </c>
      <c r="C111" t="s">
        <v>151</v>
      </c>
      <c r="D111">
        <v>128</v>
      </c>
      <c r="E111">
        <v>0</v>
      </c>
      <c r="F111">
        <v>0</v>
      </c>
      <c r="G111" t="s">
        <v>138</v>
      </c>
      <c r="H111" t="s">
        <v>138</v>
      </c>
      <c r="I111" s="893">
        <v>44179</v>
      </c>
      <c r="J111">
        <v>6</v>
      </c>
      <c r="K111" t="s">
        <v>151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138</v>
      </c>
      <c r="Z111" t="s">
        <v>138</v>
      </c>
      <c r="AA111" t="s">
        <v>138</v>
      </c>
      <c r="AB111" t="s">
        <v>138</v>
      </c>
      <c r="AC111" t="s">
        <v>138</v>
      </c>
      <c r="AD111" t="s">
        <v>138</v>
      </c>
      <c r="AE111" t="s">
        <v>138</v>
      </c>
      <c r="AF111" t="s">
        <v>138</v>
      </c>
      <c r="AG111" s="893">
        <v>44179</v>
      </c>
      <c r="AH111" s="888">
        <f t="shared" si="1"/>
        <v>44166</v>
      </c>
    </row>
    <row r="112" spans="1:34">
      <c r="A112">
        <v>7</v>
      </c>
      <c r="B112">
        <v>82</v>
      </c>
      <c r="C112" t="s">
        <v>151</v>
      </c>
      <c r="D112">
        <v>128</v>
      </c>
      <c r="E112">
        <v>0</v>
      </c>
      <c r="F112">
        <v>0</v>
      </c>
      <c r="G112" t="s">
        <v>138</v>
      </c>
      <c r="H112" t="s">
        <v>138</v>
      </c>
      <c r="I112" s="893">
        <v>44193</v>
      </c>
      <c r="J112">
        <v>7</v>
      </c>
      <c r="K112" t="s">
        <v>151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138</v>
      </c>
      <c r="Z112" t="s">
        <v>138</v>
      </c>
      <c r="AA112" t="s">
        <v>138</v>
      </c>
      <c r="AB112" t="s">
        <v>138</v>
      </c>
      <c r="AC112" t="s">
        <v>138</v>
      </c>
      <c r="AD112" t="s">
        <v>138</v>
      </c>
      <c r="AE112" t="s">
        <v>138</v>
      </c>
      <c r="AF112" t="s">
        <v>138</v>
      </c>
      <c r="AG112" s="893">
        <v>44193</v>
      </c>
      <c r="AH112" s="888">
        <f t="shared" si="1"/>
        <v>44166</v>
      </c>
    </row>
    <row r="113" spans="1:34">
      <c r="A113">
        <v>8</v>
      </c>
      <c r="B113">
        <v>82</v>
      </c>
      <c r="C113" t="s">
        <v>151</v>
      </c>
      <c r="D113">
        <v>128</v>
      </c>
      <c r="E113">
        <v>0</v>
      </c>
      <c r="F113">
        <v>0</v>
      </c>
      <c r="G113" t="s">
        <v>138</v>
      </c>
      <c r="H113" t="s">
        <v>138</v>
      </c>
      <c r="I113" s="893">
        <v>44208</v>
      </c>
      <c r="J113">
        <v>8</v>
      </c>
      <c r="K113" t="s">
        <v>151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138</v>
      </c>
      <c r="Z113" t="s">
        <v>138</v>
      </c>
      <c r="AA113" t="s">
        <v>138</v>
      </c>
      <c r="AB113" t="s">
        <v>138</v>
      </c>
      <c r="AC113" t="s">
        <v>138</v>
      </c>
      <c r="AD113" t="s">
        <v>138</v>
      </c>
      <c r="AE113" t="s">
        <v>138</v>
      </c>
      <c r="AF113" t="s">
        <v>138</v>
      </c>
      <c r="AG113" s="893">
        <v>44208</v>
      </c>
      <c r="AH113" s="888">
        <f t="shared" si="1"/>
        <v>44197</v>
      </c>
    </row>
    <row r="114" spans="1:34">
      <c r="A114">
        <v>1</v>
      </c>
      <c r="B114">
        <v>86</v>
      </c>
      <c r="C114" t="s">
        <v>152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893">
        <v>44043</v>
      </c>
      <c r="J114">
        <v>1</v>
      </c>
      <c r="K114" t="s">
        <v>152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893">
        <v>44043</v>
      </c>
      <c r="AH114" s="888">
        <f t="shared" si="1"/>
        <v>44013</v>
      </c>
    </row>
    <row r="115" spans="1:34">
      <c r="A115">
        <v>2</v>
      </c>
      <c r="B115">
        <v>86</v>
      </c>
      <c r="C115" t="s">
        <v>152</v>
      </c>
      <c r="D115">
        <v>144</v>
      </c>
      <c r="E115">
        <v>318724.3</v>
      </c>
      <c r="F115">
        <v>0</v>
      </c>
      <c r="G115" t="s">
        <v>138</v>
      </c>
      <c r="H115" t="s">
        <v>138</v>
      </c>
      <c r="I115" s="893">
        <v>44055</v>
      </c>
      <c r="J115">
        <v>2</v>
      </c>
      <c r="K115" t="s">
        <v>152</v>
      </c>
      <c r="L115">
        <v>86</v>
      </c>
      <c r="M115">
        <v>1</v>
      </c>
      <c r="N115" t="s">
        <v>138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138</v>
      </c>
      <c r="Z115" t="s">
        <v>138</v>
      </c>
      <c r="AA115" t="s">
        <v>138</v>
      </c>
      <c r="AB115" t="s">
        <v>138</v>
      </c>
      <c r="AC115" t="s">
        <v>138</v>
      </c>
      <c r="AD115" t="s">
        <v>138</v>
      </c>
      <c r="AE115" t="s">
        <v>138</v>
      </c>
      <c r="AF115" t="s">
        <v>138</v>
      </c>
      <c r="AG115" s="893">
        <v>44055</v>
      </c>
      <c r="AH115" s="888">
        <f t="shared" si="1"/>
        <v>44044</v>
      </c>
    </row>
    <row r="116" spans="1:34">
      <c r="A116">
        <v>3</v>
      </c>
      <c r="B116">
        <v>86</v>
      </c>
      <c r="C116" t="s">
        <v>152</v>
      </c>
      <c r="D116">
        <v>144</v>
      </c>
      <c r="E116">
        <v>80551.190000000104</v>
      </c>
      <c r="F116">
        <v>0</v>
      </c>
      <c r="G116" t="s">
        <v>138</v>
      </c>
      <c r="H116" t="s">
        <v>138</v>
      </c>
      <c r="I116" s="893">
        <v>44088</v>
      </c>
      <c r="J116">
        <v>3</v>
      </c>
      <c r="K116" t="s">
        <v>152</v>
      </c>
      <c r="L116">
        <v>86</v>
      </c>
      <c r="M116">
        <v>0</v>
      </c>
      <c r="N116" t="s">
        <v>138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138</v>
      </c>
      <c r="Z116" t="s">
        <v>138</v>
      </c>
      <c r="AA116" t="s">
        <v>138</v>
      </c>
      <c r="AB116" t="s">
        <v>138</v>
      </c>
      <c r="AC116" t="s">
        <v>138</v>
      </c>
      <c r="AD116" t="s">
        <v>138</v>
      </c>
      <c r="AE116" t="s">
        <v>138</v>
      </c>
      <c r="AF116" t="s">
        <v>138</v>
      </c>
      <c r="AG116" s="893">
        <v>44088</v>
      </c>
      <c r="AH116" s="888">
        <f t="shared" si="1"/>
        <v>44075</v>
      </c>
    </row>
    <row r="117" spans="1:34">
      <c r="A117">
        <v>4</v>
      </c>
      <c r="B117">
        <v>86</v>
      </c>
      <c r="C117" t="s">
        <v>152</v>
      </c>
      <c r="D117">
        <v>144</v>
      </c>
      <c r="E117">
        <v>0</v>
      </c>
      <c r="F117">
        <v>0</v>
      </c>
      <c r="G117" t="s">
        <v>138</v>
      </c>
      <c r="H117" t="s">
        <v>138</v>
      </c>
      <c r="I117" s="893">
        <v>44117</v>
      </c>
      <c r="J117">
        <v>4</v>
      </c>
      <c r="K117" t="s">
        <v>152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138</v>
      </c>
      <c r="Z117" t="s">
        <v>138</v>
      </c>
      <c r="AA117" t="s">
        <v>138</v>
      </c>
      <c r="AB117" t="s">
        <v>138</v>
      </c>
      <c r="AC117" t="s">
        <v>138</v>
      </c>
      <c r="AD117" t="s">
        <v>138</v>
      </c>
      <c r="AE117" t="s">
        <v>138</v>
      </c>
      <c r="AF117" t="s">
        <v>138</v>
      </c>
      <c r="AG117" s="893">
        <v>44117</v>
      </c>
      <c r="AH117" s="888">
        <f t="shared" si="1"/>
        <v>44105</v>
      </c>
    </row>
    <row r="118" spans="1:34">
      <c r="A118">
        <v>5</v>
      </c>
      <c r="B118">
        <v>86</v>
      </c>
      <c r="C118" t="s">
        <v>152</v>
      </c>
      <c r="D118">
        <v>144</v>
      </c>
      <c r="E118">
        <v>0</v>
      </c>
      <c r="F118">
        <v>0</v>
      </c>
      <c r="G118" t="s">
        <v>138</v>
      </c>
      <c r="H118" t="s">
        <v>138</v>
      </c>
      <c r="I118" s="893">
        <v>44147</v>
      </c>
      <c r="J118">
        <v>5</v>
      </c>
      <c r="K118" t="s">
        <v>152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138</v>
      </c>
      <c r="Z118" t="s">
        <v>138</v>
      </c>
      <c r="AA118" t="s">
        <v>138</v>
      </c>
      <c r="AB118" t="s">
        <v>138</v>
      </c>
      <c r="AC118" t="s">
        <v>138</v>
      </c>
      <c r="AD118" t="s">
        <v>138</v>
      </c>
      <c r="AE118" t="s">
        <v>138</v>
      </c>
      <c r="AF118" t="s">
        <v>138</v>
      </c>
      <c r="AG118" s="893">
        <v>44147</v>
      </c>
      <c r="AH118" s="888">
        <f t="shared" si="1"/>
        <v>44136</v>
      </c>
    </row>
    <row r="119" spans="1:34">
      <c r="A119">
        <v>6</v>
      </c>
      <c r="B119">
        <v>86</v>
      </c>
      <c r="C119" t="s">
        <v>152</v>
      </c>
      <c r="D119">
        <v>144</v>
      </c>
      <c r="E119">
        <v>0</v>
      </c>
      <c r="F119">
        <v>0</v>
      </c>
      <c r="G119" t="s">
        <v>138</v>
      </c>
      <c r="H119" t="s">
        <v>138</v>
      </c>
      <c r="I119" s="893">
        <v>44179</v>
      </c>
      <c r="J119">
        <v>6</v>
      </c>
      <c r="K119" t="s">
        <v>152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138</v>
      </c>
      <c r="Z119" t="s">
        <v>138</v>
      </c>
      <c r="AA119" t="s">
        <v>138</v>
      </c>
      <c r="AB119" t="s">
        <v>138</v>
      </c>
      <c r="AC119" t="s">
        <v>138</v>
      </c>
      <c r="AD119" t="s">
        <v>138</v>
      </c>
      <c r="AE119" t="s">
        <v>138</v>
      </c>
      <c r="AF119" t="s">
        <v>138</v>
      </c>
      <c r="AG119" s="893">
        <v>44179</v>
      </c>
      <c r="AH119" s="888">
        <f t="shared" si="1"/>
        <v>44166</v>
      </c>
    </row>
    <row r="120" spans="1:34">
      <c r="A120">
        <v>7</v>
      </c>
      <c r="B120">
        <v>86</v>
      </c>
      <c r="C120" t="s">
        <v>152</v>
      </c>
      <c r="D120">
        <v>144</v>
      </c>
      <c r="E120">
        <v>0</v>
      </c>
      <c r="F120">
        <v>0</v>
      </c>
      <c r="G120" t="s">
        <v>138</v>
      </c>
      <c r="H120" t="s">
        <v>138</v>
      </c>
      <c r="I120" s="893">
        <v>44193</v>
      </c>
      <c r="J120">
        <v>7</v>
      </c>
      <c r="K120" t="s">
        <v>152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138</v>
      </c>
      <c r="Z120" t="s">
        <v>138</v>
      </c>
      <c r="AA120" t="s">
        <v>138</v>
      </c>
      <c r="AB120" t="s">
        <v>138</v>
      </c>
      <c r="AC120" t="s">
        <v>138</v>
      </c>
      <c r="AD120" t="s">
        <v>138</v>
      </c>
      <c r="AE120" t="s">
        <v>138</v>
      </c>
      <c r="AF120" t="s">
        <v>138</v>
      </c>
      <c r="AG120" s="893">
        <v>44193</v>
      </c>
      <c r="AH120" s="888">
        <f t="shared" si="1"/>
        <v>44166</v>
      </c>
    </row>
    <row r="121" spans="1:34">
      <c r="A121">
        <v>8</v>
      </c>
      <c r="B121">
        <v>86</v>
      </c>
      <c r="C121" t="s">
        <v>152</v>
      </c>
      <c r="D121">
        <v>144</v>
      </c>
      <c r="E121">
        <v>0</v>
      </c>
      <c r="F121">
        <v>0</v>
      </c>
      <c r="G121" t="s">
        <v>138</v>
      </c>
      <c r="H121" t="s">
        <v>138</v>
      </c>
      <c r="I121" s="893">
        <v>44208</v>
      </c>
      <c r="J121">
        <v>8</v>
      </c>
      <c r="K121" t="s">
        <v>152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138</v>
      </c>
      <c r="Z121" t="s">
        <v>138</v>
      </c>
      <c r="AA121" t="s">
        <v>138</v>
      </c>
      <c r="AB121" t="s">
        <v>138</v>
      </c>
      <c r="AC121" t="s">
        <v>138</v>
      </c>
      <c r="AD121" t="s">
        <v>138</v>
      </c>
      <c r="AE121" t="s">
        <v>138</v>
      </c>
      <c r="AF121" t="s">
        <v>138</v>
      </c>
      <c r="AG121" s="893">
        <v>44208</v>
      </c>
      <c r="AH121" s="888">
        <f t="shared" si="1"/>
        <v>44197</v>
      </c>
    </row>
    <row r="122" spans="1:34">
      <c r="A122">
        <v>1</v>
      </c>
      <c r="B122">
        <v>87</v>
      </c>
      <c r="C122" t="s">
        <v>153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893">
        <v>44043</v>
      </c>
      <c r="J122">
        <v>1</v>
      </c>
      <c r="K122" t="s">
        <v>153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893">
        <v>44043</v>
      </c>
      <c r="AH122" s="888">
        <f t="shared" si="1"/>
        <v>44013</v>
      </c>
    </row>
    <row r="123" spans="1:34">
      <c r="A123">
        <v>2</v>
      </c>
      <c r="B123">
        <v>87</v>
      </c>
      <c r="C123" t="s">
        <v>153</v>
      </c>
      <c r="D123">
        <v>158</v>
      </c>
      <c r="E123">
        <v>585374.22950037697</v>
      </c>
      <c r="F123">
        <v>0</v>
      </c>
      <c r="G123" t="s">
        <v>138</v>
      </c>
      <c r="H123" t="s">
        <v>138</v>
      </c>
      <c r="I123" s="893">
        <v>44055</v>
      </c>
      <c r="J123">
        <v>2</v>
      </c>
      <c r="K123" t="s">
        <v>153</v>
      </c>
      <c r="L123">
        <v>87</v>
      </c>
      <c r="M123">
        <v>1</v>
      </c>
      <c r="N123" t="s">
        <v>138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138</v>
      </c>
      <c r="Z123" t="s">
        <v>138</v>
      </c>
      <c r="AA123" t="s">
        <v>138</v>
      </c>
      <c r="AB123" t="s">
        <v>138</v>
      </c>
      <c r="AC123" t="s">
        <v>138</v>
      </c>
      <c r="AD123" t="s">
        <v>138</v>
      </c>
      <c r="AE123" t="s">
        <v>138</v>
      </c>
      <c r="AF123" t="s">
        <v>138</v>
      </c>
      <c r="AG123" s="893">
        <v>44055</v>
      </c>
      <c r="AH123" s="888">
        <f t="shared" si="1"/>
        <v>44044</v>
      </c>
    </row>
    <row r="124" spans="1:34">
      <c r="A124">
        <v>3</v>
      </c>
      <c r="B124">
        <v>87</v>
      </c>
      <c r="C124" t="s">
        <v>153</v>
      </c>
      <c r="D124">
        <v>158</v>
      </c>
      <c r="E124">
        <v>585739.73314096604</v>
      </c>
      <c r="F124">
        <v>0</v>
      </c>
      <c r="G124" t="s">
        <v>138</v>
      </c>
      <c r="H124" t="s">
        <v>138</v>
      </c>
      <c r="I124" s="893">
        <v>44088</v>
      </c>
      <c r="J124">
        <v>3</v>
      </c>
      <c r="K124" t="s">
        <v>153</v>
      </c>
      <c r="L124">
        <v>87</v>
      </c>
      <c r="M124">
        <v>0.91382268035737801</v>
      </c>
      <c r="N124" t="s">
        <v>138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138</v>
      </c>
      <c r="Z124" t="s">
        <v>138</v>
      </c>
      <c r="AA124" t="s">
        <v>138</v>
      </c>
      <c r="AB124" t="s">
        <v>138</v>
      </c>
      <c r="AC124" t="s">
        <v>138</v>
      </c>
      <c r="AD124" t="s">
        <v>138</v>
      </c>
      <c r="AE124" t="s">
        <v>138</v>
      </c>
      <c r="AF124" t="s">
        <v>138</v>
      </c>
      <c r="AG124" s="893">
        <v>44088</v>
      </c>
      <c r="AH124" s="888">
        <f t="shared" si="1"/>
        <v>44075</v>
      </c>
    </row>
    <row r="125" spans="1:34">
      <c r="A125">
        <v>4</v>
      </c>
      <c r="B125">
        <v>87</v>
      </c>
      <c r="C125" t="s">
        <v>153</v>
      </c>
      <c r="D125">
        <v>158</v>
      </c>
      <c r="E125">
        <v>586106.27819280303</v>
      </c>
      <c r="F125">
        <v>0</v>
      </c>
      <c r="G125" t="s">
        <v>138</v>
      </c>
      <c r="H125" t="s">
        <v>138</v>
      </c>
      <c r="I125" s="893">
        <v>44117</v>
      </c>
      <c r="J125">
        <v>4</v>
      </c>
      <c r="K125" t="s">
        <v>153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138</v>
      </c>
      <c r="Z125" t="s">
        <v>138</v>
      </c>
      <c r="AA125" t="s">
        <v>138</v>
      </c>
      <c r="AB125" t="s">
        <v>138</v>
      </c>
      <c r="AC125" t="s">
        <v>138</v>
      </c>
      <c r="AD125" t="s">
        <v>138</v>
      </c>
      <c r="AE125" t="s">
        <v>138</v>
      </c>
      <c r="AF125" t="s">
        <v>138</v>
      </c>
      <c r="AG125" s="893">
        <v>44117</v>
      </c>
      <c r="AH125" s="888">
        <f t="shared" si="1"/>
        <v>44105</v>
      </c>
    </row>
    <row r="126" spans="1:34">
      <c r="A126">
        <v>5</v>
      </c>
      <c r="B126">
        <v>87</v>
      </c>
      <c r="C126" t="s">
        <v>153</v>
      </c>
      <c r="D126">
        <v>158</v>
      </c>
      <c r="E126">
        <v>586473.867623128</v>
      </c>
      <c r="F126">
        <v>0</v>
      </c>
      <c r="G126" t="s">
        <v>138</v>
      </c>
      <c r="H126" t="s">
        <v>138</v>
      </c>
      <c r="I126" s="893">
        <v>44147</v>
      </c>
      <c r="J126">
        <v>5</v>
      </c>
      <c r="K126" t="s">
        <v>153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138</v>
      </c>
      <c r="Z126" t="s">
        <v>138</v>
      </c>
      <c r="AA126" t="s">
        <v>138</v>
      </c>
      <c r="AB126" t="s">
        <v>138</v>
      </c>
      <c r="AC126" t="s">
        <v>138</v>
      </c>
      <c r="AD126" t="s">
        <v>138</v>
      </c>
      <c r="AE126" t="s">
        <v>138</v>
      </c>
      <c r="AF126" t="s">
        <v>138</v>
      </c>
      <c r="AG126" s="893">
        <v>44147</v>
      </c>
      <c r="AH126" s="888">
        <f t="shared" si="1"/>
        <v>44136</v>
      </c>
    </row>
    <row r="127" spans="1:34">
      <c r="A127">
        <v>6</v>
      </c>
      <c r="B127">
        <v>87</v>
      </c>
      <c r="C127" t="s">
        <v>153</v>
      </c>
      <c r="D127">
        <v>158</v>
      </c>
      <c r="E127">
        <v>586842.50440763903</v>
      </c>
      <c r="F127">
        <v>0</v>
      </c>
      <c r="G127" t="s">
        <v>138</v>
      </c>
      <c r="H127" t="s">
        <v>138</v>
      </c>
      <c r="I127" s="893">
        <v>44179</v>
      </c>
      <c r="J127">
        <v>6</v>
      </c>
      <c r="K127" t="s">
        <v>153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138</v>
      </c>
      <c r="Z127" t="s">
        <v>138</v>
      </c>
      <c r="AA127" t="s">
        <v>138</v>
      </c>
      <c r="AB127" t="s">
        <v>138</v>
      </c>
      <c r="AC127" t="s">
        <v>138</v>
      </c>
      <c r="AD127" t="s">
        <v>138</v>
      </c>
      <c r="AE127" t="s">
        <v>138</v>
      </c>
      <c r="AF127" t="s">
        <v>138</v>
      </c>
      <c r="AG127" s="893">
        <v>44179</v>
      </c>
      <c r="AH127" s="888">
        <f t="shared" si="1"/>
        <v>44166</v>
      </c>
    </row>
    <row r="128" spans="1:34">
      <c r="A128">
        <v>7</v>
      </c>
      <c r="B128">
        <v>87</v>
      </c>
      <c r="C128" t="s">
        <v>153</v>
      </c>
      <c r="D128">
        <v>158</v>
      </c>
      <c r="E128">
        <v>587212.19153050706</v>
      </c>
      <c r="F128">
        <v>0</v>
      </c>
      <c r="G128" t="s">
        <v>138</v>
      </c>
      <c r="H128" t="s">
        <v>138</v>
      </c>
      <c r="I128" s="893">
        <v>44193</v>
      </c>
      <c r="J128">
        <v>7</v>
      </c>
      <c r="K128" t="s">
        <v>153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138</v>
      </c>
      <c r="Z128" t="s">
        <v>138</v>
      </c>
      <c r="AA128" t="s">
        <v>138</v>
      </c>
      <c r="AB128" t="s">
        <v>138</v>
      </c>
      <c r="AC128" t="s">
        <v>138</v>
      </c>
      <c r="AD128" t="s">
        <v>138</v>
      </c>
      <c r="AE128" t="s">
        <v>138</v>
      </c>
      <c r="AF128" t="s">
        <v>138</v>
      </c>
      <c r="AG128" s="893">
        <v>44193</v>
      </c>
      <c r="AH128" s="888">
        <f t="shared" si="1"/>
        <v>44166</v>
      </c>
    </row>
    <row r="129" spans="1:34">
      <c r="A129">
        <v>8</v>
      </c>
      <c r="B129">
        <v>87</v>
      </c>
      <c r="C129" t="s">
        <v>153</v>
      </c>
      <c r="D129">
        <v>158</v>
      </c>
      <c r="E129">
        <v>0</v>
      </c>
      <c r="F129">
        <v>0</v>
      </c>
      <c r="G129" t="s">
        <v>138</v>
      </c>
      <c r="H129" t="s">
        <v>138</v>
      </c>
      <c r="I129" s="893">
        <v>44208</v>
      </c>
      <c r="J129">
        <v>8</v>
      </c>
      <c r="K129" t="s">
        <v>153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138</v>
      </c>
      <c r="Z129" t="s">
        <v>138</v>
      </c>
      <c r="AA129" t="s">
        <v>138</v>
      </c>
      <c r="AB129" t="s">
        <v>138</v>
      </c>
      <c r="AC129" t="s">
        <v>138</v>
      </c>
      <c r="AD129" t="s">
        <v>138</v>
      </c>
      <c r="AE129" t="s">
        <v>138</v>
      </c>
      <c r="AF129" t="s">
        <v>138</v>
      </c>
      <c r="AG129" s="893">
        <v>44208</v>
      </c>
      <c r="AH129" s="888">
        <f t="shared" si="1"/>
        <v>44197</v>
      </c>
    </row>
    <row r="130" spans="1:34">
      <c r="A130">
        <v>1</v>
      </c>
      <c r="B130">
        <v>95</v>
      </c>
      <c r="C130" t="s">
        <v>154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893">
        <v>44043</v>
      </c>
      <c r="J130">
        <v>1</v>
      </c>
      <c r="K130" t="s">
        <v>154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893">
        <v>44043</v>
      </c>
      <c r="AH130" s="888">
        <f t="shared" si="1"/>
        <v>44013</v>
      </c>
    </row>
    <row r="131" spans="1:34">
      <c r="A131">
        <v>2</v>
      </c>
      <c r="B131">
        <v>95</v>
      </c>
      <c r="C131" t="s">
        <v>154</v>
      </c>
      <c r="D131">
        <v>138</v>
      </c>
      <c r="E131">
        <v>0</v>
      </c>
      <c r="F131">
        <v>0</v>
      </c>
      <c r="G131" t="s">
        <v>138</v>
      </c>
      <c r="H131" t="s">
        <v>138</v>
      </c>
      <c r="I131" s="893">
        <v>44055</v>
      </c>
      <c r="J131">
        <v>2</v>
      </c>
      <c r="K131" t="s">
        <v>154</v>
      </c>
      <c r="L131">
        <v>95</v>
      </c>
      <c r="M131">
        <v>1</v>
      </c>
      <c r="N131" t="s">
        <v>138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138</v>
      </c>
      <c r="Z131" t="s">
        <v>138</v>
      </c>
      <c r="AA131" t="s">
        <v>138</v>
      </c>
      <c r="AB131" t="s">
        <v>138</v>
      </c>
      <c r="AC131" t="s">
        <v>138</v>
      </c>
      <c r="AD131" t="s">
        <v>138</v>
      </c>
      <c r="AE131" t="s">
        <v>138</v>
      </c>
      <c r="AF131" t="s">
        <v>138</v>
      </c>
      <c r="AG131" s="893">
        <v>44055</v>
      </c>
      <c r="AH131" s="888">
        <f t="shared" ref="AH131:AH194" si="2">DATE(YEAR(I131),MONTH(I131),1)</f>
        <v>44044</v>
      </c>
    </row>
    <row r="132" spans="1:34">
      <c r="A132">
        <v>3</v>
      </c>
      <c r="B132">
        <v>95</v>
      </c>
      <c r="C132" t="s">
        <v>154</v>
      </c>
      <c r="D132">
        <v>138</v>
      </c>
      <c r="E132">
        <v>0</v>
      </c>
      <c r="F132">
        <v>0</v>
      </c>
      <c r="G132" t="s">
        <v>138</v>
      </c>
      <c r="H132" t="s">
        <v>138</v>
      </c>
      <c r="I132" s="893">
        <v>44088</v>
      </c>
      <c r="J132">
        <v>3</v>
      </c>
      <c r="K132" t="s">
        <v>154</v>
      </c>
      <c r="L132">
        <v>95</v>
      </c>
      <c r="M132">
        <v>0</v>
      </c>
      <c r="N132" t="s">
        <v>138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138</v>
      </c>
      <c r="Z132" t="s">
        <v>138</v>
      </c>
      <c r="AA132" t="s">
        <v>138</v>
      </c>
      <c r="AB132" t="s">
        <v>138</v>
      </c>
      <c r="AC132" t="s">
        <v>138</v>
      </c>
      <c r="AD132" t="s">
        <v>138</v>
      </c>
      <c r="AE132" t="s">
        <v>138</v>
      </c>
      <c r="AF132" t="s">
        <v>138</v>
      </c>
      <c r="AG132" s="893">
        <v>44088</v>
      </c>
      <c r="AH132" s="888">
        <f t="shared" si="2"/>
        <v>44075</v>
      </c>
    </row>
    <row r="133" spans="1:34">
      <c r="A133">
        <v>4</v>
      </c>
      <c r="B133">
        <v>95</v>
      </c>
      <c r="C133" t="s">
        <v>154</v>
      </c>
      <c r="D133">
        <v>138</v>
      </c>
      <c r="E133">
        <v>0</v>
      </c>
      <c r="F133">
        <v>0</v>
      </c>
      <c r="G133" t="s">
        <v>138</v>
      </c>
      <c r="H133" t="s">
        <v>138</v>
      </c>
      <c r="I133" s="893">
        <v>44117</v>
      </c>
      <c r="J133">
        <v>4</v>
      </c>
      <c r="K133" t="s">
        <v>154</v>
      </c>
      <c r="L133">
        <v>95</v>
      </c>
      <c r="M133" t="s">
        <v>138</v>
      </c>
      <c r="N133" t="s">
        <v>138</v>
      </c>
      <c r="O133" t="s">
        <v>138</v>
      </c>
      <c r="P133" t="s">
        <v>138</v>
      </c>
      <c r="Q133" t="s">
        <v>138</v>
      </c>
      <c r="R133" t="s">
        <v>138</v>
      </c>
      <c r="S133" t="s">
        <v>138</v>
      </c>
      <c r="T133" t="s">
        <v>138</v>
      </c>
      <c r="U133" t="s">
        <v>138</v>
      </c>
      <c r="V133" t="s">
        <v>138</v>
      </c>
      <c r="W133" t="s">
        <v>138</v>
      </c>
      <c r="X133" t="s">
        <v>138</v>
      </c>
      <c r="Y133" t="s">
        <v>138</v>
      </c>
      <c r="Z133" t="s">
        <v>138</v>
      </c>
      <c r="AA133" t="s">
        <v>138</v>
      </c>
      <c r="AB133" t="s">
        <v>138</v>
      </c>
      <c r="AC133" t="s">
        <v>138</v>
      </c>
      <c r="AD133" t="s">
        <v>138</v>
      </c>
      <c r="AE133" t="s">
        <v>138</v>
      </c>
      <c r="AF133" t="s">
        <v>138</v>
      </c>
      <c r="AG133" s="893">
        <v>44117</v>
      </c>
      <c r="AH133" s="888">
        <f t="shared" si="2"/>
        <v>44105</v>
      </c>
    </row>
    <row r="134" spans="1:34">
      <c r="A134">
        <v>5</v>
      </c>
      <c r="B134">
        <v>95</v>
      </c>
      <c r="C134" t="s">
        <v>154</v>
      </c>
      <c r="D134">
        <v>138</v>
      </c>
      <c r="E134">
        <v>0</v>
      </c>
      <c r="F134">
        <v>0</v>
      </c>
      <c r="G134" t="s">
        <v>138</v>
      </c>
      <c r="H134" t="s">
        <v>138</v>
      </c>
      <c r="I134" s="893">
        <v>44147</v>
      </c>
      <c r="J134">
        <v>5</v>
      </c>
      <c r="K134" t="s">
        <v>154</v>
      </c>
      <c r="L134">
        <v>95</v>
      </c>
      <c r="M134" t="s">
        <v>138</v>
      </c>
      <c r="N134" t="s">
        <v>138</v>
      </c>
      <c r="O134" t="s">
        <v>138</v>
      </c>
      <c r="P134" t="s">
        <v>138</v>
      </c>
      <c r="Q134" t="s">
        <v>138</v>
      </c>
      <c r="R134" t="s">
        <v>138</v>
      </c>
      <c r="S134" t="s">
        <v>138</v>
      </c>
      <c r="T134" t="s">
        <v>138</v>
      </c>
      <c r="U134" t="s">
        <v>138</v>
      </c>
      <c r="V134" t="s">
        <v>138</v>
      </c>
      <c r="W134" t="s">
        <v>138</v>
      </c>
      <c r="X134" t="s">
        <v>138</v>
      </c>
      <c r="Y134" t="s">
        <v>138</v>
      </c>
      <c r="Z134" t="s">
        <v>138</v>
      </c>
      <c r="AA134" t="s">
        <v>138</v>
      </c>
      <c r="AB134" t="s">
        <v>138</v>
      </c>
      <c r="AC134" t="s">
        <v>138</v>
      </c>
      <c r="AD134" t="s">
        <v>138</v>
      </c>
      <c r="AE134" t="s">
        <v>138</v>
      </c>
      <c r="AF134" t="s">
        <v>138</v>
      </c>
      <c r="AG134" s="893">
        <v>44147</v>
      </c>
      <c r="AH134" s="888">
        <f t="shared" si="2"/>
        <v>44136</v>
      </c>
    </row>
    <row r="135" spans="1:34">
      <c r="A135">
        <v>6</v>
      </c>
      <c r="B135">
        <v>95</v>
      </c>
      <c r="C135" t="s">
        <v>154</v>
      </c>
      <c r="D135">
        <v>138</v>
      </c>
      <c r="E135">
        <v>0</v>
      </c>
      <c r="F135">
        <v>0</v>
      </c>
      <c r="G135" t="s">
        <v>138</v>
      </c>
      <c r="H135" t="s">
        <v>138</v>
      </c>
      <c r="I135" s="893">
        <v>44179</v>
      </c>
      <c r="J135">
        <v>6</v>
      </c>
      <c r="K135" t="s">
        <v>154</v>
      </c>
      <c r="L135">
        <v>95</v>
      </c>
      <c r="M135" t="s">
        <v>138</v>
      </c>
      <c r="N135" t="s">
        <v>138</v>
      </c>
      <c r="O135" t="s">
        <v>138</v>
      </c>
      <c r="P135" t="s">
        <v>138</v>
      </c>
      <c r="Q135" t="s">
        <v>138</v>
      </c>
      <c r="R135" t="s">
        <v>138</v>
      </c>
      <c r="S135" t="s">
        <v>138</v>
      </c>
      <c r="T135" t="s">
        <v>138</v>
      </c>
      <c r="U135" t="s">
        <v>138</v>
      </c>
      <c r="V135" t="s">
        <v>138</v>
      </c>
      <c r="W135" t="s">
        <v>138</v>
      </c>
      <c r="X135" t="s">
        <v>138</v>
      </c>
      <c r="Y135" t="s">
        <v>138</v>
      </c>
      <c r="Z135" t="s">
        <v>138</v>
      </c>
      <c r="AA135" t="s">
        <v>138</v>
      </c>
      <c r="AB135" t="s">
        <v>138</v>
      </c>
      <c r="AC135" t="s">
        <v>138</v>
      </c>
      <c r="AD135" t="s">
        <v>138</v>
      </c>
      <c r="AE135" t="s">
        <v>138</v>
      </c>
      <c r="AF135" t="s">
        <v>138</v>
      </c>
      <c r="AG135" s="893">
        <v>44179</v>
      </c>
      <c r="AH135" s="888">
        <f t="shared" si="2"/>
        <v>44166</v>
      </c>
    </row>
    <row r="136" spans="1:34">
      <c r="A136">
        <v>7</v>
      </c>
      <c r="B136">
        <v>95</v>
      </c>
      <c r="C136" t="s">
        <v>154</v>
      </c>
      <c r="D136">
        <v>138</v>
      </c>
      <c r="E136">
        <v>0</v>
      </c>
      <c r="F136">
        <v>0</v>
      </c>
      <c r="G136" t="s">
        <v>138</v>
      </c>
      <c r="H136" t="s">
        <v>138</v>
      </c>
      <c r="I136" s="893">
        <v>44193</v>
      </c>
      <c r="J136">
        <v>7</v>
      </c>
      <c r="K136" t="s">
        <v>154</v>
      </c>
      <c r="L136">
        <v>95</v>
      </c>
      <c r="M136" t="s">
        <v>138</v>
      </c>
      <c r="N136" t="s">
        <v>138</v>
      </c>
      <c r="O136" t="s">
        <v>138</v>
      </c>
      <c r="P136" t="s">
        <v>138</v>
      </c>
      <c r="Q136" t="s">
        <v>138</v>
      </c>
      <c r="R136" t="s">
        <v>138</v>
      </c>
      <c r="S136" t="s">
        <v>138</v>
      </c>
      <c r="T136" t="s">
        <v>138</v>
      </c>
      <c r="U136" t="s">
        <v>138</v>
      </c>
      <c r="V136" t="s">
        <v>138</v>
      </c>
      <c r="W136" t="s">
        <v>138</v>
      </c>
      <c r="X136" t="s">
        <v>138</v>
      </c>
      <c r="Y136" t="s">
        <v>138</v>
      </c>
      <c r="Z136" t="s">
        <v>138</v>
      </c>
      <c r="AA136" t="s">
        <v>138</v>
      </c>
      <c r="AB136" t="s">
        <v>138</v>
      </c>
      <c r="AC136" t="s">
        <v>138</v>
      </c>
      <c r="AD136" t="s">
        <v>138</v>
      </c>
      <c r="AE136" t="s">
        <v>138</v>
      </c>
      <c r="AF136" t="s">
        <v>138</v>
      </c>
      <c r="AG136" s="893">
        <v>44193</v>
      </c>
      <c r="AH136" s="888">
        <f t="shared" si="2"/>
        <v>44166</v>
      </c>
    </row>
    <row r="137" spans="1:34">
      <c r="A137">
        <v>8</v>
      </c>
      <c r="B137">
        <v>95</v>
      </c>
      <c r="C137" t="s">
        <v>154</v>
      </c>
      <c r="D137">
        <v>138</v>
      </c>
      <c r="E137">
        <v>0</v>
      </c>
      <c r="F137">
        <v>0</v>
      </c>
      <c r="G137" t="s">
        <v>138</v>
      </c>
      <c r="H137" t="s">
        <v>138</v>
      </c>
      <c r="I137" s="893">
        <v>44208</v>
      </c>
      <c r="J137">
        <v>8</v>
      </c>
      <c r="K137" t="s">
        <v>154</v>
      </c>
      <c r="L137">
        <v>95</v>
      </c>
      <c r="M137" t="s">
        <v>138</v>
      </c>
      <c r="N137" t="s">
        <v>138</v>
      </c>
      <c r="O137" t="s">
        <v>138</v>
      </c>
      <c r="P137" t="s">
        <v>138</v>
      </c>
      <c r="Q137" t="s">
        <v>138</v>
      </c>
      <c r="R137" t="s">
        <v>138</v>
      </c>
      <c r="S137" t="s">
        <v>138</v>
      </c>
      <c r="T137" t="s">
        <v>138</v>
      </c>
      <c r="U137" t="s">
        <v>138</v>
      </c>
      <c r="V137" t="s">
        <v>138</v>
      </c>
      <c r="W137" t="s">
        <v>138</v>
      </c>
      <c r="X137" t="s">
        <v>138</v>
      </c>
      <c r="Y137" t="s">
        <v>138</v>
      </c>
      <c r="Z137" t="s">
        <v>138</v>
      </c>
      <c r="AA137" t="s">
        <v>138</v>
      </c>
      <c r="AB137" t="s">
        <v>138</v>
      </c>
      <c r="AC137" t="s">
        <v>138</v>
      </c>
      <c r="AD137" t="s">
        <v>138</v>
      </c>
      <c r="AE137" t="s">
        <v>138</v>
      </c>
      <c r="AF137" t="s">
        <v>138</v>
      </c>
      <c r="AG137" s="893">
        <v>44208</v>
      </c>
      <c r="AH137" s="888">
        <f t="shared" si="2"/>
        <v>44197</v>
      </c>
    </row>
    <row r="138" spans="1:34">
      <c r="A138">
        <v>1</v>
      </c>
      <c r="B138">
        <v>103</v>
      </c>
      <c r="C138" t="s">
        <v>155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893">
        <v>44043</v>
      </c>
      <c r="J138">
        <v>1</v>
      </c>
      <c r="K138" t="s">
        <v>155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893">
        <v>44043</v>
      </c>
      <c r="AH138" s="888">
        <f t="shared" si="2"/>
        <v>44013</v>
      </c>
    </row>
    <row r="139" spans="1:34">
      <c r="A139">
        <v>2</v>
      </c>
      <c r="B139">
        <v>103</v>
      </c>
      <c r="C139" t="s">
        <v>155</v>
      </c>
      <c r="D139">
        <v>123</v>
      </c>
      <c r="E139">
        <v>477542.98855952901</v>
      </c>
      <c r="F139">
        <v>0</v>
      </c>
      <c r="G139" t="s">
        <v>138</v>
      </c>
      <c r="H139" t="s">
        <v>138</v>
      </c>
      <c r="I139" s="893">
        <v>44055</v>
      </c>
      <c r="J139">
        <v>2</v>
      </c>
      <c r="K139" t="s">
        <v>155</v>
      </c>
      <c r="L139">
        <v>103</v>
      </c>
      <c r="M139">
        <v>0.79243245714042998</v>
      </c>
      <c r="N139" t="s">
        <v>138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138</v>
      </c>
      <c r="Z139" t="s">
        <v>138</v>
      </c>
      <c r="AA139" t="s">
        <v>138</v>
      </c>
      <c r="AB139" t="s">
        <v>138</v>
      </c>
      <c r="AC139" t="s">
        <v>138</v>
      </c>
      <c r="AD139" t="s">
        <v>138</v>
      </c>
      <c r="AE139" t="s">
        <v>138</v>
      </c>
      <c r="AF139" t="s">
        <v>138</v>
      </c>
      <c r="AG139" s="893">
        <v>44055</v>
      </c>
      <c r="AH139" s="888">
        <f t="shared" si="2"/>
        <v>44044</v>
      </c>
    </row>
    <row r="140" spans="1:34">
      <c r="A140">
        <v>3</v>
      </c>
      <c r="B140">
        <v>103</v>
      </c>
      <c r="C140" t="s">
        <v>155</v>
      </c>
      <c r="D140">
        <v>123</v>
      </c>
      <c r="E140">
        <v>563713.53565724602</v>
      </c>
      <c r="F140">
        <v>0</v>
      </c>
      <c r="G140" t="s">
        <v>138</v>
      </c>
      <c r="H140" t="s">
        <v>138</v>
      </c>
      <c r="I140" s="893">
        <v>44088</v>
      </c>
      <c r="J140">
        <v>3</v>
      </c>
      <c r="K140" t="s">
        <v>155</v>
      </c>
      <c r="L140">
        <v>103</v>
      </c>
      <c r="M140">
        <v>0.87561015014052601</v>
      </c>
      <c r="N140" t="s">
        <v>138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138</v>
      </c>
      <c r="Z140" t="s">
        <v>138</v>
      </c>
      <c r="AA140" t="s">
        <v>138</v>
      </c>
      <c r="AB140" t="s">
        <v>138</v>
      </c>
      <c r="AC140" t="s">
        <v>138</v>
      </c>
      <c r="AD140" t="s">
        <v>138</v>
      </c>
      <c r="AE140" t="s">
        <v>138</v>
      </c>
      <c r="AF140" t="s">
        <v>138</v>
      </c>
      <c r="AG140" s="893">
        <v>44088</v>
      </c>
      <c r="AH140" s="888">
        <f t="shared" si="2"/>
        <v>44075</v>
      </c>
    </row>
    <row r="141" spans="1:34">
      <c r="A141">
        <v>4</v>
      </c>
      <c r="B141">
        <v>103</v>
      </c>
      <c r="C141" t="s">
        <v>155</v>
      </c>
      <c r="D141">
        <v>123</v>
      </c>
      <c r="E141">
        <v>603815.671424623</v>
      </c>
      <c r="F141">
        <v>0</v>
      </c>
      <c r="G141" t="s">
        <v>138</v>
      </c>
      <c r="H141" t="s">
        <v>138</v>
      </c>
      <c r="I141" s="893">
        <v>44117</v>
      </c>
      <c r="J141">
        <v>4</v>
      </c>
      <c r="K141" t="s">
        <v>155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138</v>
      </c>
      <c r="Z141" t="s">
        <v>138</v>
      </c>
      <c r="AA141" t="s">
        <v>138</v>
      </c>
      <c r="AB141" t="s">
        <v>138</v>
      </c>
      <c r="AC141" t="s">
        <v>138</v>
      </c>
      <c r="AD141" t="s">
        <v>138</v>
      </c>
      <c r="AE141" t="s">
        <v>138</v>
      </c>
      <c r="AF141" t="s">
        <v>138</v>
      </c>
      <c r="AG141" s="893">
        <v>44117</v>
      </c>
      <c r="AH141" s="888">
        <f t="shared" si="2"/>
        <v>44105</v>
      </c>
    </row>
    <row r="142" spans="1:34">
      <c r="A142">
        <v>5</v>
      </c>
      <c r="B142">
        <v>103</v>
      </c>
      <c r="C142" t="s">
        <v>155</v>
      </c>
      <c r="D142">
        <v>123</v>
      </c>
      <c r="E142">
        <v>490867.99071936402</v>
      </c>
      <c r="F142">
        <v>0</v>
      </c>
      <c r="G142" t="s">
        <v>138</v>
      </c>
      <c r="H142" t="s">
        <v>138</v>
      </c>
      <c r="I142" s="893">
        <v>44147</v>
      </c>
      <c r="J142">
        <v>5</v>
      </c>
      <c r="K142" t="s">
        <v>155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138</v>
      </c>
      <c r="Z142" t="s">
        <v>138</v>
      </c>
      <c r="AA142" t="s">
        <v>138</v>
      </c>
      <c r="AB142" t="s">
        <v>138</v>
      </c>
      <c r="AC142" t="s">
        <v>138</v>
      </c>
      <c r="AD142" t="s">
        <v>138</v>
      </c>
      <c r="AE142" t="s">
        <v>138</v>
      </c>
      <c r="AF142" t="s">
        <v>138</v>
      </c>
      <c r="AG142" s="893">
        <v>44147</v>
      </c>
      <c r="AH142" s="888">
        <f t="shared" si="2"/>
        <v>44136</v>
      </c>
    </row>
    <row r="143" spans="1:34">
      <c r="A143">
        <v>6</v>
      </c>
      <c r="B143">
        <v>103</v>
      </c>
      <c r="C143" t="s">
        <v>155</v>
      </c>
      <c r="D143">
        <v>123</v>
      </c>
      <c r="E143">
        <v>0</v>
      </c>
      <c r="F143">
        <v>0</v>
      </c>
      <c r="G143" t="s">
        <v>138</v>
      </c>
      <c r="H143" t="s">
        <v>138</v>
      </c>
      <c r="I143" s="893">
        <v>44179</v>
      </c>
      <c r="J143">
        <v>6</v>
      </c>
      <c r="K143" t="s">
        <v>155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138</v>
      </c>
      <c r="Z143" t="s">
        <v>138</v>
      </c>
      <c r="AA143" t="s">
        <v>138</v>
      </c>
      <c r="AB143" t="s">
        <v>138</v>
      </c>
      <c r="AC143" t="s">
        <v>138</v>
      </c>
      <c r="AD143" t="s">
        <v>138</v>
      </c>
      <c r="AE143" t="s">
        <v>138</v>
      </c>
      <c r="AF143" t="s">
        <v>138</v>
      </c>
      <c r="AG143" s="893">
        <v>44179</v>
      </c>
      <c r="AH143" s="888">
        <f t="shared" si="2"/>
        <v>44166</v>
      </c>
    </row>
    <row r="144" spans="1:34">
      <c r="A144">
        <v>7</v>
      </c>
      <c r="B144">
        <v>103</v>
      </c>
      <c r="C144" t="s">
        <v>155</v>
      </c>
      <c r="D144">
        <v>123</v>
      </c>
      <c r="E144">
        <v>0</v>
      </c>
      <c r="F144">
        <v>0</v>
      </c>
      <c r="G144" t="s">
        <v>138</v>
      </c>
      <c r="H144" t="s">
        <v>138</v>
      </c>
      <c r="I144" s="893">
        <v>44193</v>
      </c>
      <c r="J144">
        <v>7</v>
      </c>
      <c r="K144" t="s">
        <v>155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138</v>
      </c>
      <c r="Z144" t="s">
        <v>138</v>
      </c>
      <c r="AA144" t="s">
        <v>138</v>
      </c>
      <c r="AB144" t="s">
        <v>138</v>
      </c>
      <c r="AC144" t="s">
        <v>138</v>
      </c>
      <c r="AD144" t="s">
        <v>138</v>
      </c>
      <c r="AE144" t="s">
        <v>138</v>
      </c>
      <c r="AF144" t="s">
        <v>138</v>
      </c>
      <c r="AG144" s="893">
        <v>44193</v>
      </c>
      <c r="AH144" s="888">
        <f t="shared" si="2"/>
        <v>44166</v>
      </c>
    </row>
    <row r="145" spans="1:34">
      <c r="A145">
        <v>8</v>
      </c>
      <c r="B145">
        <v>103</v>
      </c>
      <c r="C145" t="s">
        <v>155</v>
      </c>
      <c r="D145">
        <v>123</v>
      </c>
      <c r="E145">
        <v>0</v>
      </c>
      <c r="F145">
        <v>0</v>
      </c>
      <c r="G145" t="s">
        <v>138</v>
      </c>
      <c r="H145" t="s">
        <v>138</v>
      </c>
      <c r="I145" s="893">
        <v>44208</v>
      </c>
      <c r="J145">
        <v>8</v>
      </c>
      <c r="K145" t="s">
        <v>155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138</v>
      </c>
      <c r="Z145" t="s">
        <v>138</v>
      </c>
      <c r="AA145" t="s">
        <v>138</v>
      </c>
      <c r="AB145" t="s">
        <v>138</v>
      </c>
      <c r="AC145" t="s">
        <v>138</v>
      </c>
      <c r="AD145" t="s">
        <v>138</v>
      </c>
      <c r="AE145" t="s">
        <v>138</v>
      </c>
      <c r="AF145" t="s">
        <v>138</v>
      </c>
      <c r="AG145" s="893">
        <v>44208</v>
      </c>
      <c r="AH145" s="888">
        <f t="shared" si="2"/>
        <v>44197</v>
      </c>
    </row>
    <row r="146" spans="1:34">
      <c r="A146">
        <v>1</v>
      </c>
      <c r="B146">
        <v>369</v>
      </c>
      <c r="C146" t="s">
        <v>156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893">
        <v>44043</v>
      </c>
      <c r="J146">
        <v>1</v>
      </c>
      <c r="K146" t="s">
        <v>156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893">
        <v>44043</v>
      </c>
      <c r="AH146" s="888">
        <f t="shared" si="2"/>
        <v>44013</v>
      </c>
    </row>
    <row r="147" spans="1:34">
      <c r="A147">
        <v>2</v>
      </c>
      <c r="B147">
        <v>369</v>
      </c>
      <c r="C147" t="s">
        <v>156</v>
      </c>
      <c r="D147">
        <v>120</v>
      </c>
      <c r="E147">
        <v>8010840.29</v>
      </c>
      <c r="F147">
        <v>0</v>
      </c>
      <c r="G147" t="s">
        <v>138</v>
      </c>
      <c r="H147" t="s">
        <v>138</v>
      </c>
      <c r="I147" s="893">
        <v>44055</v>
      </c>
      <c r="J147">
        <v>2</v>
      </c>
      <c r="K147" t="s">
        <v>156</v>
      </c>
      <c r="L147">
        <v>369</v>
      </c>
      <c r="M147">
        <v>0.87988537161178604</v>
      </c>
      <c r="N147" t="s">
        <v>138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138</v>
      </c>
      <c r="Z147" t="s">
        <v>138</v>
      </c>
      <c r="AA147" t="s">
        <v>138</v>
      </c>
      <c r="AB147" t="s">
        <v>138</v>
      </c>
      <c r="AC147" t="s">
        <v>138</v>
      </c>
      <c r="AD147" t="s">
        <v>138</v>
      </c>
      <c r="AE147" t="s">
        <v>138</v>
      </c>
      <c r="AF147" t="s">
        <v>138</v>
      </c>
      <c r="AG147" s="893">
        <v>44055</v>
      </c>
      <c r="AH147" s="888">
        <f t="shared" si="2"/>
        <v>44044</v>
      </c>
    </row>
    <row r="148" spans="1:34">
      <c r="A148">
        <v>3</v>
      </c>
      <c r="B148">
        <v>369</v>
      </c>
      <c r="C148" t="s">
        <v>156</v>
      </c>
      <c r="D148">
        <v>120</v>
      </c>
      <c r="E148">
        <v>19902351.98</v>
      </c>
      <c r="F148">
        <v>0</v>
      </c>
      <c r="G148" t="s">
        <v>138</v>
      </c>
      <c r="H148" t="s">
        <v>138</v>
      </c>
      <c r="I148" s="893">
        <v>44088</v>
      </c>
      <c r="J148">
        <v>3</v>
      </c>
      <c r="K148" t="s">
        <v>156</v>
      </c>
      <c r="L148">
        <v>369</v>
      </c>
      <c r="M148">
        <v>0.52161181568244597</v>
      </c>
      <c r="N148" t="s">
        <v>138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138</v>
      </c>
      <c r="Z148" t="s">
        <v>138</v>
      </c>
      <c r="AA148" t="s">
        <v>138</v>
      </c>
      <c r="AB148" t="s">
        <v>138</v>
      </c>
      <c r="AC148" t="s">
        <v>138</v>
      </c>
      <c r="AD148" t="s">
        <v>138</v>
      </c>
      <c r="AE148" t="s">
        <v>138</v>
      </c>
      <c r="AF148" t="s">
        <v>138</v>
      </c>
      <c r="AG148" s="893">
        <v>44088</v>
      </c>
      <c r="AH148" s="888">
        <f t="shared" si="2"/>
        <v>44075</v>
      </c>
    </row>
    <row r="149" spans="1:34">
      <c r="A149">
        <v>4</v>
      </c>
      <c r="B149">
        <v>369</v>
      </c>
      <c r="C149" t="s">
        <v>156</v>
      </c>
      <c r="D149">
        <v>120</v>
      </c>
      <c r="E149">
        <v>13383829.0691636</v>
      </c>
      <c r="F149">
        <v>0</v>
      </c>
      <c r="G149" t="s">
        <v>138</v>
      </c>
      <c r="H149" t="s">
        <v>138</v>
      </c>
      <c r="I149" s="893">
        <v>44117</v>
      </c>
      <c r="J149">
        <v>4</v>
      </c>
      <c r="K149" t="s">
        <v>156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138</v>
      </c>
      <c r="Z149" t="s">
        <v>138</v>
      </c>
      <c r="AA149" t="s">
        <v>138</v>
      </c>
      <c r="AB149" t="s">
        <v>138</v>
      </c>
      <c r="AC149" t="s">
        <v>138</v>
      </c>
      <c r="AD149" t="s">
        <v>138</v>
      </c>
      <c r="AE149" t="s">
        <v>138</v>
      </c>
      <c r="AF149" t="s">
        <v>138</v>
      </c>
      <c r="AG149" s="893">
        <v>44117</v>
      </c>
      <c r="AH149" s="888">
        <f t="shared" si="2"/>
        <v>44105</v>
      </c>
    </row>
    <row r="150" spans="1:34">
      <c r="A150">
        <v>5</v>
      </c>
      <c r="B150">
        <v>369</v>
      </c>
      <c r="C150" t="s">
        <v>156</v>
      </c>
      <c r="D150">
        <v>120</v>
      </c>
      <c r="E150">
        <v>2800528.3178675799</v>
      </c>
      <c r="F150">
        <v>0</v>
      </c>
      <c r="G150" t="s">
        <v>138</v>
      </c>
      <c r="H150" t="s">
        <v>138</v>
      </c>
      <c r="I150" s="893">
        <v>44147</v>
      </c>
      <c r="J150">
        <v>5</v>
      </c>
      <c r="K150" t="s">
        <v>156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138</v>
      </c>
      <c r="Z150" t="s">
        <v>138</v>
      </c>
      <c r="AA150" t="s">
        <v>138</v>
      </c>
      <c r="AB150" t="s">
        <v>138</v>
      </c>
      <c r="AC150" t="s">
        <v>138</v>
      </c>
      <c r="AD150" t="s">
        <v>138</v>
      </c>
      <c r="AE150" t="s">
        <v>138</v>
      </c>
      <c r="AF150" t="s">
        <v>138</v>
      </c>
      <c r="AG150" s="893">
        <v>44147</v>
      </c>
      <c r="AH150" s="888">
        <f t="shared" si="2"/>
        <v>44136</v>
      </c>
    </row>
    <row r="151" spans="1:34">
      <c r="A151">
        <v>6</v>
      </c>
      <c r="B151">
        <v>369</v>
      </c>
      <c r="C151" t="s">
        <v>156</v>
      </c>
      <c r="D151">
        <v>120</v>
      </c>
      <c r="E151">
        <v>27318820.924821101</v>
      </c>
      <c r="F151">
        <v>0</v>
      </c>
      <c r="G151" t="s">
        <v>138</v>
      </c>
      <c r="H151" t="s">
        <v>138</v>
      </c>
      <c r="I151" s="893">
        <v>44179</v>
      </c>
      <c r="J151">
        <v>6</v>
      </c>
      <c r="K151" t="s">
        <v>156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138</v>
      </c>
      <c r="Z151" t="s">
        <v>138</v>
      </c>
      <c r="AA151" t="s">
        <v>138</v>
      </c>
      <c r="AB151" t="s">
        <v>138</v>
      </c>
      <c r="AC151" t="s">
        <v>138</v>
      </c>
      <c r="AD151" t="s">
        <v>138</v>
      </c>
      <c r="AE151" t="s">
        <v>138</v>
      </c>
      <c r="AF151" t="s">
        <v>138</v>
      </c>
      <c r="AG151" s="893">
        <v>44179</v>
      </c>
      <c r="AH151" s="888">
        <f t="shared" si="2"/>
        <v>44166</v>
      </c>
    </row>
    <row r="152" spans="1:34">
      <c r="A152">
        <v>7</v>
      </c>
      <c r="B152">
        <v>369</v>
      </c>
      <c r="C152" t="s">
        <v>156</v>
      </c>
      <c r="D152">
        <v>120</v>
      </c>
      <c r="E152">
        <v>0</v>
      </c>
      <c r="F152">
        <v>0</v>
      </c>
      <c r="G152" t="s">
        <v>138</v>
      </c>
      <c r="H152" t="s">
        <v>138</v>
      </c>
      <c r="I152" s="893">
        <v>44193</v>
      </c>
      <c r="J152">
        <v>7</v>
      </c>
      <c r="K152" t="s">
        <v>156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138</v>
      </c>
      <c r="Z152" t="s">
        <v>138</v>
      </c>
      <c r="AA152" t="s">
        <v>138</v>
      </c>
      <c r="AB152" t="s">
        <v>138</v>
      </c>
      <c r="AC152" t="s">
        <v>138</v>
      </c>
      <c r="AD152" t="s">
        <v>138</v>
      </c>
      <c r="AE152" t="s">
        <v>138</v>
      </c>
      <c r="AF152" t="s">
        <v>138</v>
      </c>
      <c r="AG152" s="893">
        <v>44193</v>
      </c>
      <c r="AH152" s="888">
        <f t="shared" si="2"/>
        <v>44166</v>
      </c>
    </row>
    <row r="153" spans="1:34">
      <c r="A153">
        <v>8</v>
      </c>
      <c r="B153">
        <v>369</v>
      </c>
      <c r="C153" t="s">
        <v>156</v>
      </c>
      <c r="D153">
        <v>120</v>
      </c>
      <c r="E153">
        <v>7980679.6066624103</v>
      </c>
      <c r="F153">
        <v>0</v>
      </c>
      <c r="G153" t="s">
        <v>138</v>
      </c>
      <c r="H153" t="s">
        <v>138</v>
      </c>
      <c r="I153" s="893">
        <v>44208</v>
      </c>
      <c r="J153">
        <v>8</v>
      </c>
      <c r="K153" t="s">
        <v>156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138</v>
      </c>
      <c r="Z153" t="s">
        <v>138</v>
      </c>
      <c r="AA153" t="s">
        <v>138</v>
      </c>
      <c r="AB153" t="s">
        <v>138</v>
      </c>
      <c r="AC153" t="s">
        <v>138</v>
      </c>
      <c r="AD153" t="s">
        <v>138</v>
      </c>
      <c r="AE153" t="s">
        <v>138</v>
      </c>
      <c r="AF153" t="s">
        <v>138</v>
      </c>
      <c r="AG153" s="893">
        <v>44208</v>
      </c>
      <c r="AH153" s="888">
        <f t="shared" si="2"/>
        <v>44197</v>
      </c>
    </row>
    <row r="154" spans="1:34">
      <c r="A154">
        <v>1</v>
      </c>
      <c r="B154">
        <v>370</v>
      </c>
      <c r="C154" t="s">
        <v>157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893">
        <v>44043</v>
      </c>
      <c r="J154">
        <v>1</v>
      </c>
      <c r="K154" t="s">
        <v>158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893">
        <v>44043</v>
      </c>
      <c r="AH154" s="888">
        <f t="shared" si="2"/>
        <v>44013</v>
      </c>
    </row>
    <row r="155" spans="1:34">
      <c r="A155">
        <v>2</v>
      </c>
      <c r="B155">
        <v>370</v>
      </c>
      <c r="C155" t="s">
        <v>157</v>
      </c>
      <c r="D155">
        <v>105</v>
      </c>
      <c r="E155">
        <v>602919.24054725701</v>
      </c>
      <c r="F155">
        <v>0</v>
      </c>
      <c r="G155" t="s">
        <v>138</v>
      </c>
      <c r="H155" t="s">
        <v>138</v>
      </c>
      <c r="I155" s="893">
        <v>44055</v>
      </c>
      <c r="J155">
        <v>2</v>
      </c>
      <c r="K155" t="s">
        <v>158</v>
      </c>
      <c r="L155">
        <v>370</v>
      </c>
      <c r="M155">
        <v>1</v>
      </c>
      <c r="N155" t="s">
        <v>138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138</v>
      </c>
      <c r="Z155" t="s">
        <v>138</v>
      </c>
      <c r="AA155" t="s">
        <v>138</v>
      </c>
      <c r="AB155" t="s">
        <v>138</v>
      </c>
      <c r="AC155" t="s">
        <v>138</v>
      </c>
      <c r="AD155" t="s">
        <v>138</v>
      </c>
      <c r="AE155" t="s">
        <v>138</v>
      </c>
      <c r="AF155" t="s">
        <v>138</v>
      </c>
      <c r="AG155" s="893">
        <v>44055</v>
      </c>
      <c r="AH155" s="888">
        <f t="shared" si="2"/>
        <v>44044</v>
      </c>
    </row>
    <row r="156" spans="1:34">
      <c r="A156">
        <v>3</v>
      </c>
      <c r="B156">
        <v>370</v>
      </c>
      <c r="C156" t="s">
        <v>157</v>
      </c>
      <c r="D156">
        <v>105</v>
      </c>
      <c r="E156">
        <v>533194.23945274297</v>
      </c>
      <c r="F156">
        <v>18506.8061874509</v>
      </c>
      <c r="G156" t="s">
        <v>138</v>
      </c>
      <c r="H156" t="s">
        <v>138</v>
      </c>
      <c r="I156" s="893">
        <v>44088</v>
      </c>
      <c r="J156">
        <v>3</v>
      </c>
      <c r="K156" t="s">
        <v>158</v>
      </c>
      <c r="L156">
        <v>370</v>
      </c>
      <c r="M156">
        <v>1</v>
      </c>
      <c r="N156" t="s">
        <v>138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138</v>
      </c>
      <c r="Z156" t="s">
        <v>138</v>
      </c>
      <c r="AA156" t="s">
        <v>138</v>
      </c>
      <c r="AB156" t="s">
        <v>138</v>
      </c>
      <c r="AC156" t="s">
        <v>138</v>
      </c>
      <c r="AD156" t="s">
        <v>138</v>
      </c>
      <c r="AE156" t="s">
        <v>138</v>
      </c>
      <c r="AF156" t="s">
        <v>138</v>
      </c>
      <c r="AG156" s="893">
        <v>44088</v>
      </c>
      <c r="AH156" s="888">
        <f t="shared" si="2"/>
        <v>44075</v>
      </c>
    </row>
    <row r="157" spans="1:34">
      <c r="A157">
        <v>4</v>
      </c>
      <c r="B157">
        <v>370</v>
      </c>
      <c r="C157" t="s">
        <v>157</v>
      </c>
      <c r="D157">
        <v>105</v>
      </c>
      <c r="E157">
        <v>632761.31999999995</v>
      </c>
      <c r="F157">
        <v>0</v>
      </c>
      <c r="G157" t="s">
        <v>138</v>
      </c>
      <c r="H157" t="s">
        <v>138</v>
      </c>
      <c r="I157" s="893">
        <v>44117</v>
      </c>
      <c r="J157">
        <v>4</v>
      </c>
      <c r="K157" t="s">
        <v>158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138</v>
      </c>
      <c r="Z157" t="s">
        <v>138</v>
      </c>
      <c r="AA157" t="s">
        <v>138</v>
      </c>
      <c r="AB157" t="s">
        <v>138</v>
      </c>
      <c r="AC157" t="s">
        <v>138</v>
      </c>
      <c r="AD157" t="s">
        <v>138</v>
      </c>
      <c r="AE157" t="s">
        <v>138</v>
      </c>
      <c r="AF157" t="s">
        <v>138</v>
      </c>
      <c r="AG157" s="893">
        <v>44117</v>
      </c>
      <c r="AH157" s="888">
        <f t="shared" si="2"/>
        <v>44105</v>
      </c>
    </row>
    <row r="158" spans="1:34">
      <c r="A158">
        <v>5</v>
      </c>
      <c r="B158">
        <v>370</v>
      </c>
      <c r="C158" t="s">
        <v>157</v>
      </c>
      <c r="D158">
        <v>105</v>
      </c>
      <c r="E158">
        <v>605232.67000000004</v>
      </c>
      <c r="F158">
        <v>0</v>
      </c>
      <c r="G158" t="s">
        <v>138</v>
      </c>
      <c r="H158" t="s">
        <v>138</v>
      </c>
      <c r="I158" s="893">
        <v>44147</v>
      </c>
      <c r="J158">
        <v>5</v>
      </c>
      <c r="K158" t="s">
        <v>158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138</v>
      </c>
      <c r="Z158" t="s">
        <v>138</v>
      </c>
      <c r="AA158" t="s">
        <v>138</v>
      </c>
      <c r="AB158" t="s">
        <v>138</v>
      </c>
      <c r="AC158" t="s">
        <v>138</v>
      </c>
      <c r="AD158" t="s">
        <v>138</v>
      </c>
      <c r="AE158" t="s">
        <v>138</v>
      </c>
      <c r="AF158" t="s">
        <v>138</v>
      </c>
      <c r="AG158" s="893">
        <v>44147</v>
      </c>
      <c r="AH158" s="888">
        <f t="shared" si="2"/>
        <v>44136</v>
      </c>
    </row>
    <row r="159" spans="1:34">
      <c r="A159">
        <v>6</v>
      </c>
      <c r="B159">
        <v>370</v>
      </c>
      <c r="C159" t="s">
        <v>157</v>
      </c>
      <c r="D159">
        <v>105</v>
      </c>
      <c r="E159">
        <v>591920.73000001197</v>
      </c>
      <c r="F159">
        <v>0</v>
      </c>
      <c r="G159" t="s">
        <v>138</v>
      </c>
      <c r="H159" t="s">
        <v>138</v>
      </c>
      <c r="I159" s="893">
        <v>44179</v>
      </c>
      <c r="J159">
        <v>6</v>
      </c>
      <c r="K159" t="s">
        <v>158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138</v>
      </c>
      <c r="Z159" t="s">
        <v>138</v>
      </c>
      <c r="AA159" t="s">
        <v>138</v>
      </c>
      <c r="AB159" t="s">
        <v>138</v>
      </c>
      <c r="AC159" t="s">
        <v>138</v>
      </c>
      <c r="AD159" t="s">
        <v>138</v>
      </c>
      <c r="AE159" t="s">
        <v>138</v>
      </c>
      <c r="AF159" t="s">
        <v>138</v>
      </c>
      <c r="AG159" s="893">
        <v>44179</v>
      </c>
      <c r="AH159" s="888">
        <f t="shared" si="2"/>
        <v>44166</v>
      </c>
    </row>
    <row r="160" spans="1:34">
      <c r="A160">
        <v>7</v>
      </c>
      <c r="B160">
        <v>370</v>
      </c>
      <c r="C160" t="s">
        <v>157</v>
      </c>
      <c r="D160">
        <v>105</v>
      </c>
      <c r="E160">
        <v>0</v>
      </c>
      <c r="F160">
        <v>0</v>
      </c>
      <c r="G160" t="s">
        <v>138</v>
      </c>
      <c r="H160" t="s">
        <v>138</v>
      </c>
      <c r="I160" s="893">
        <v>44193</v>
      </c>
      <c r="J160">
        <v>7</v>
      </c>
      <c r="K160" t="s">
        <v>158</v>
      </c>
      <c r="L160">
        <v>370</v>
      </c>
      <c r="M160" t="s">
        <v>138</v>
      </c>
      <c r="N160">
        <v>0</v>
      </c>
      <c r="O160" t="s">
        <v>138</v>
      </c>
      <c r="P160" t="s">
        <v>138</v>
      </c>
      <c r="Q160" t="s">
        <v>138</v>
      </c>
      <c r="R160" t="s">
        <v>138</v>
      </c>
      <c r="S160" t="s">
        <v>138</v>
      </c>
      <c r="T160" t="s">
        <v>138</v>
      </c>
      <c r="U160" t="s">
        <v>138</v>
      </c>
      <c r="V160" t="s">
        <v>138</v>
      </c>
      <c r="W160" t="s">
        <v>138</v>
      </c>
      <c r="X160" t="s">
        <v>138</v>
      </c>
      <c r="Y160" t="s">
        <v>138</v>
      </c>
      <c r="Z160" t="s">
        <v>138</v>
      </c>
      <c r="AA160" t="s">
        <v>138</v>
      </c>
      <c r="AB160" t="s">
        <v>138</v>
      </c>
      <c r="AC160" t="s">
        <v>138</v>
      </c>
      <c r="AD160" t="s">
        <v>138</v>
      </c>
      <c r="AE160" t="s">
        <v>138</v>
      </c>
      <c r="AF160" t="s">
        <v>138</v>
      </c>
      <c r="AG160" s="893">
        <v>44193</v>
      </c>
      <c r="AH160" s="888">
        <f t="shared" si="2"/>
        <v>44166</v>
      </c>
    </row>
    <row r="161" spans="1:34">
      <c r="A161">
        <v>8</v>
      </c>
      <c r="B161">
        <v>370</v>
      </c>
      <c r="C161" t="s">
        <v>157</v>
      </c>
      <c r="D161">
        <v>105</v>
      </c>
      <c r="E161">
        <v>0</v>
      </c>
      <c r="F161">
        <v>0</v>
      </c>
      <c r="G161" t="s">
        <v>138</v>
      </c>
      <c r="H161" t="s">
        <v>138</v>
      </c>
      <c r="I161" s="893">
        <v>44208</v>
      </c>
      <c r="J161">
        <v>8</v>
      </c>
      <c r="K161" t="s">
        <v>158</v>
      </c>
      <c r="L161">
        <v>370</v>
      </c>
      <c r="M161" t="s">
        <v>138</v>
      </c>
      <c r="N161">
        <v>0</v>
      </c>
      <c r="O161" t="s">
        <v>138</v>
      </c>
      <c r="P161" t="s">
        <v>138</v>
      </c>
      <c r="Q161" t="s">
        <v>138</v>
      </c>
      <c r="R161" t="s">
        <v>138</v>
      </c>
      <c r="S161" t="s">
        <v>138</v>
      </c>
      <c r="T161" t="s">
        <v>138</v>
      </c>
      <c r="U161" t="s">
        <v>138</v>
      </c>
      <c r="V161" t="s">
        <v>138</v>
      </c>
      <c r="W161" t="s">
        <v>138</v>
      </c>
      <c r="X161" t="s">
        <v>138</v>
      </c>
      <c r="Y161" t="s">
        <v>138</v>
      </c>
      <c r="Z161" t="s">
        <v>138</v>
      </c>
      <c r="AA161" t="s">
        <v>138</v>
      </c>
      <c r="AB161" t="s">
        <v>138</v>
      </c>
      <c r="AC161" t="s">
        <v>138</v>
      </c>
      <c r="AD161" t="s">
        <v>138</v>
      </c>
      <c r="AE161" t="s">
        <v>138</v>
      </c>
      <c r="AF161" t="s">
        <v>138</v>
      </c>
      <c r="AG161" s="893">
        <v>44208</v>
      </c>
      <c r="AH161" s="888">
        <f t="shared" si="2"/>
        <v>44197</v>
      </c>
    </row>
    <row r="162" spans="1:34">
      <c r="A162">
        <v>1</v>
      </c>
      <c r="B162">
        <v>371</v>
      </c>
      <c r="C162" t="s">
        <v>159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893">
        <v>44043</v>
      </c>
      <c r="J162">
        <v>1</v>
      </c>
      <c r="K162" t="s">
        <v>159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893">
        <v>44043</v>
      </c>
      <c r="AH162" s="888">
        <f t="shared" si="2"/>
        <v>44013</v>
      </c>
    </row>
    <row r="163" spans="1:34">
      <c r="A163">
        <v>2</v>
      </c>
      <c r="B163">
        <v>371</v>
      </c>
      <c r="C163" t="s">
        <v>159</v>
      </c>
      <c r="D163">
        <v>113</v>
      </c>
      <c r="E163">
        <v>30620853.27</v>
      </c>
      <c r="F163">
        <v>0</v>
      </c>
      <c r="G163" t="s">
        <v>138</v>
      </c>
      <c r="H163" t="s">
        <v>138</v>
      </c>
      <c r="I163" s="893">
        <v>44055</v>
      </c>
      <c r="J163">
        <v>2</v>
      </c>
      <c r="K163" t="s">
        <v>159</v>
      </c>
      <c r="L163">
        <v>371</v>
      </c>
      <c r="M163">
        <v>0.98316494709909197</v>
      </c>
      <c r="N163" t="s">
        <v>138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138</v>
      </c>
      <c r="Z163" t="s">
        <v>138</v>
      </c>
      <c r="AA163" t="s">
        <v>138</v>
      </c>
      <c r="AB163" t="s">
        <v>138</v>
      </c>
      <c r="AC163" t="s">
        <v>138</v>
      </c>
      <c r="AD163" t="s">
        <v>138</v>
      </c>
      <c r="AE163" t="s">
        <v>138</v>
      </c>
      <c r="AF163" t="s">
        <v>138</v>
      </c>
      <c r="AG163" s="893">
        <v>44055</v>
      </c>
      <c r="AH163" s="888">
        <f t="shared" si="2"/>
        <v>44044</v>
      </c>
    </row>
    <row r="164" spans="1:34">
      <c r="A164">
        <v>3</v>
      </c>
      <c r="B164">
        <v>371</v>
      </c>
      <c r="C164" t="s">
        <v>159</v>
      </c>
      <c r="D164">
        <v>113</v>
      </c>
      <c r="E164">
        <v>784876.11</v>
      </c>
      <c r="F164">
        <v>0</v>
      </c>
      <c r="G164" t="s">
        <v>138</v>
      </c>
      <c r="H164" t="s">
        <v>138</v>
      </c>
      <c r="I164" s="893">
        <v>44088</v>
      </c>
      <c r="J164">
        <v>3</v>
      </c>
      <c r="K164" t="s">
        <v>159</v>
      </c>
      <c r="L164">
        <v>371</v>
      </c>
      <c r="M164">
        <v>0</v>
      </c>
      <c r="N164" t="s">
        <v>138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138</v>
      </c>
      <c r="Z164" t="s">
        <v>138</v>
      </c>
      <c r="AA164" t="s">
        <v>138</v>
      </c>
      <c r="AB164" t="s">
        <v>138</v>
      </c>
      <c r="AC164" t="s">
        <v>138</v>
      </c>
      <c r="AD164" t="s">
        <v>138</v>
      </c>
      <c r="AE164" t="s">
        <v>138</v>
      </c>
      <c r="AF164" t="s">
        <v>138</v>
      </c>
      <c r="AG164" s="893">
        <v>44088</v>
      </c>
      <c r="AH164" s="888">
        <f t="shared" si="2"/>
        <v>44075</v>
      </c>
    </row>
    <row r="165" spans="1:34">
      <c r="A165">
        <v>4</v>
      </c>
      <c r="B165">
        <v>371</v>
      </c>
      <c r="C165" t="s">
        <v>159</v>
      </c>
      <c r="D165">
        <v>113</v>
      </c>
      <c r="E165">
        <v>0</v>
      </c>
      <c r="F165">
        <v>0</v>
      </c>
      <c r="G165" t="s">
        <v>138</v>
      </c>
      <c r="H165" t="s">
        <v>138</v>
      </c>
      <c r="I165" s="893">
        <v>44117</v>
      </c>
      <c r="J165">
        <v>4</v>
      </c>
      <c r="K165" t="s">
        <v>159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138</v>
      </c>
      <c r="Z165" t="s">
        <v>138</v>
      </c>
      <c r="AA165" t="s">
        <v>138</v>
      </c>
      <c r="AB165" t="s">
        <v>138</v>
      </c>
      <c r="AC165" t="s">
        <v>138</v>
      </c>
      <c r="AD165" t="s">
        <v>138</v>
      </c>
      <c r="AE165" t="s">
        <v>138</v>
      </c>
      <c r="AF165" t="s">
        <v>138</v>
      </c>
      <c r="AG165" s="893">
        <v>44117</v>
      </c>
      <c r="AH165" s="888">
        <f t="shared" si="2"/>
        <v>44105</v>
      </c>
    </row>
    <row r="166" spans="1:34">
      <c r="A166">
        <v>5</v>
      </c>
      <c r="B166">
        <v>371</v>
      </c>
      <c r="C166" t="s">
        <v>159</v>
      </c>
      <c r="D166">
        <v>113</v>
      </c>
      <c r="E166">
        <v>0</v>
      </c>
      <c r="F166">
        <v>0</v>
      </c>
      <c r="G166" t="s">
        <v>138</v>
      </c>
      <c r="H166" t="s">
        <v>138</v>
      </c>
      <c r="I166" s="893">
        <v>44147</v>
      </c>
      <c r="J166">
        <v>5</v>
      </c>
      <c r="K166" t="s">
        <v>159</v>
      </c>
      <c r="L166">
        <v>371</v>
      </c>
      <c r="M166" t="s">
        <v>138</v>
      </c>
      <c r="N166" t="s">
        <v>138</v>
      </c>
      <c r="O166" t="s">
        <v>138</v>
      </c>
      <c r="P166" t="s">
        <v>138</v>
      </c>
      <c r="Q166" t="s">
        <v>138</v>
      </c>
      <c r="R166" t="s">
        <v>138</v>
      </c>
      <c r="S166" t="s">
        <v>138</v>
      </c>
      <c r="T166" t="s">
        <v>138</v>
      </c>
      <c r="U166" t="s">
        <v>138</v>
      </c>
      <c r="V166" t="s">
        <v>138</v>
      </c>
      <c r="W166" t="s">
        <v>138</v>
      </c>
      <c r="X166" t="s">
        <v>138</v>
      </c>
      <c r="Y166" t="s">
        <v>138</v>
      </c>
      <c r="Z166" t="s">
        <v>138</v>
      </c>
      <c r="AA166" t="s">
        <v>138</v>
      </c>
      <c r="AB166" t="s">
        <v>138</v>
      </c>
      <c r="AC166" t="s">
        <v>138</v>
      </c>
      <c r="AD166" t="s">
        <v>138</v>
      </c>
      <c r="AE166" t="s">
        <v>138</v>
      </c>
      <c r="AF166" t="s">
        <v>138</v>
      </c>
      <c r="AG166" s="893">
        <v>44147</v>
      </c>
      <c r="AH166" s="888">
        <f t="shared" si="2"/>
        <v>44136</v>
      </c>
    </row>
    <row r="167" spans="1:34">
      <c r="A167">
        <v>6</v>
      </c>
      <c r="B167">
        <v>371</v>
      </c>
      <c r="C167" t="s">
        <v>159</v>
      </c>
      <c r="D167">
        <v>113</v>
      </c>
      <c r="E167">
        <v>89680443.760199502</v>
      </c>
      <c r="F167">
        <v>0</v>
      </c>
      <c r="G167" t="s">
        <v>138</v>
      </c>
      <c r="H167" t="s">
        <v>138</v>
      </c>
      <c r="I167" s="893">
        <v>44179</v>
      </c>
      <c r="J167">
        <v>6</v>
      </c>
      <c r="K167" t="s">
        <v>159</v>
      </c>
      <c r="L167">
        <v>371</v>
      </c>
      <c r="M167">
        <v>1</v>
      </c>
      <c r="N167" t="s">
        <v>138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138</v>
      </c>
      <c r="Z167" t="s">
        <v>138</v>
      </c>
      <c r="AA167" t="s">
        <v>138</v>
      </c>
      <c r="AB167" t="s">
        <v>138</v>
      </c>
      <c r="AC167" t="s">
        <v>138</v>
      </c>
      <c r="AD167" t="s">
        <v>138</v>
      </c>
      <c r="AE167" t="s">
        <v>138</v>
      </c>
      <c r="AF167" t="s">
        <v>138</v>
      </c>
      <c r="AG167" s="893">
        <v>44179</v>
      </c>
      <c r="AH167" s="888">
        <f t="shared" si="2"/>
        <v>44166</v>
      </c>
    </row>
    <row r="168" spans="1:34">
      <c r="A168">
        <v>7</v>
      </c>
      <c r="B168">
        <v>371</v>
      </c>
      <c r="C168" t="s">
        <v>159</v>
      </c>
      <c r="D168">
        <v>113</v>
      </c>
      <c r="E168">
        <v>0</v>
      </c>
      <c r="F168">
        <v>0</v>
      </c>
      <c r="G168" t="s">
        <v>138</v>
      </c>
      <c r="H168" t="s">
        <v>138</v>
      </c>
      <c r="I168" s="893">
        <v>44193</v>
      </c>
      <c r="J168">
        <v>7</v>
      </c>
      <c r="K168" t="s">
        <v>159</v>
      </c>
      <c r="L168">
        <v>371</v>
      </c>
      <c r="M168">
        <v>1</v>
      </c>
      <c r="N168" t="s">
        <v>138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138</v>
      </c>
      <c r="Z168" t="s">
        <v>138</v>
      </c>
      <c r="AA168" t="s">
        <v>138</v>
      </c>
      <c r="AB168" t="s">
        <v>138</v>
      </c>
      <c r="AC168" t="s">
        <v>138</v>
      </c>
      <c r="AD168" t="s">
        <v>138</v>
      </c>
      <c r="AE168" t="s">
        <v>138</v>
      </c>
      <c r="AF168" t="s">
        <v>138</v>
      </c>
      <c r="AG168" s="893">
        <v>44193</v>
      </c>
      <c r="AH168" s="888">
        <f t="shared" si="2"/>
        <v>44166</v>
      </c>
    </row>
    <row r="169" spans="1:34">
      <c r="A169">
        <v>8</v>
      </c>
      <c r="B169">
        <v>371</v>
      </c>
      <c r="C169" t="s">
        <v>159</v>
      </c>
      <c r="D169">
        <v>113</v>
      </c>
      <c r="E169">
        <v>118620312.11763801</v>
      </c>
      <c r="F169">
        <v>0</v>
      </c>
      <c r="G169" t="s">
        <v>138</v>
      </c>
      <c r="H169" t="s">
        <v>138</v>
      </c>
      <c r="I169" s="893">
        <v>44208</v>
      </c>
      <c r="J169">
        <v>8</v>
      </c>
      <c r="K169" t="s">
        <v>159</v>
      </c>
      <c r="L169">
        <v>371</v>
      </c>
      <c r="M169">
        <v>1</v>
      </c>
      <c r="N169" t="s">
        <v>138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138</v>
      </c>
      <c r="Z169" t="s">
        <v>138</v>
      </c>
      <c r="AA169" t="s">
        <v>138</v>
      </c>
      <c r="AB169" t="s">
        <v>138</v>
      </c>
      <c r="AC169" t="s">
        <v>138</v>
      </c>
      <c r="AD169" t="s">
        <v>138</v>
      </c>
      <c r="AE169" t="s">
        <v>138</v>
      </c>
      <c r="AF169" t="s">
        <v>138</v>
      </c>
      <c r="AG169" s="893">
        <v>44208</v>
      </c>
      <c r="AH169" s="888">
        <f t="shared" si="2"/>
        <v>44197</v>
      </c>
    </row>
    <row r="170" spans="1:34">
      <c r="A170">
        <v>1</v>
      </c>
      <c r="B170">
        <v>380</v>
      </c>
      <c r="C170" t="s">
        <v>160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893">
        <v>44043</v>
      </c>
      <c r="J170">
        <v>1</v>
      </c>
      <c r="K170" t="s">
        <v>160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893">
        <v>44043</v>
      </c>
      <c r="AH170" s="888">
        <f t="shared" si="2"/>
        <v>44013</v>
      </c>
    </row>
    <row r="171" spans="1:34">
      <c r="A171">
        <v>2</v>
      </c>
      <c r="B171">
        <v>380</v>
      </c>
      <c r="C171" t="s">
        <v>160</v>
      </c>
      <c r="D171">
        <v>154</v>
      </c>
      <c r="E171">
        <v>0</v>
      </c>
      <c r="F171">
        <v>0</v>
      </c>
      <c r="G171" t="s">
        <v>138</v>
      </c>
      <c r="H171" t="s">
        <v>138</v>
      </c>
      <c r="I171" s="893">
        <v>44055</v>
      </c>
      <c r="J171">
        <v>2</v>
      </c>
      <c r="K171" t="s">
        <v>160</v>
      </c>
      <c r="L171">
        <v>380</v>
      </c>
      <c r="M171">
        <v>0.72237189380120703</v>
      </c>
      <c r="N171" t="s">
        <v>138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138</v>
      </c>
      <c r="Z171" t="s">
        <v>138</v>
      </c>
      <c r="AA171" t="s">
        <v>138</v>
      </c>
      <c r="AB171" t="s">
        <v>138</v>
      </c>
      <c r="AC171" t="s">
        <v>138</v>
      </c>
      <c r="AD171" t="s">
        <v>138</v>
      </c>
      <c r="AE171" t="s">
        <v>138</v>
      </c>
      <c r="AF171" t="s">
        <v>138</v>
      </c>
      <c r="AG171" s="893">
        <v>44055</v>
      </c>
      <c r="AH171" s="888">
        <f t="shared" si="2"/>
        <v>44044</v>
      </c>
    </row>
    <row r="172" spans="1:34">
      <c r="A172">
        <v>3</v>
      </c>
      <c r="B172">
        <v>380</v>
      </c>
      <c r="C172" t="s">
        <v>160</v>
      </c>
      <c r="D172">
        <v>154</v>
      </c>
      <c r="E172">
        <v>0</v>
      </c>
      <c r="F172">
        <v>0</v>
      </c>
      <c r="G172" t="s">
        <v>138</v>
      </c>
      <c r="H172" t="s">
        <v>138</v>
      </c>
      <c r="I172" s="893">
        <v>44088</v>
      </c>
      <c r="J172">
        <v>3</v>
      </c>
      <c r="K172" t="s">
        <v>160</v>
      </c>
      <c r="L172">
        <v>380</v>
      </c>
      <c r="M172">
        <v>0.26735761731601199</v>
      </c>
      <c r="N172" t="s">
        <v>138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138</v>
      </c>
      <c r="Z172" t="s">
        <v>138</v>
      </c>
      <c r="AA172" t="s">
        <v>138</v>
      </c>
      <c r="AB172" t="s">
        <v>138</v>
      </c>
      <c r="AC172" t="s">
        <v>138</v>
      </c>
      <c r="AD172" t="s">
        <v>138</v>
      </c>
      <c r="AE172" t="s">
        <v>138</v>
      </c>
      <c r="AF172" t="s">
        <v>138</v>
      </c>
      <c r="AG172" s="893">
        <v>44088</v>
      </c>
      <c r="AH172" s="888">
        <f t="shared" si="2"/>
        <v>44075</v>
      </c>
    </row>
    <row r="173" spans="1:34">
      <c r="A173">
        <v>4</v>
      </c>
      <c r="B173">
        <v>380</v>
      </c>
      <c r="C173" t="s">
        <v>160</v>
      </c>
      <c r="D173">
        <v>154</v>
      </c>
      <c r="E173">
        <v>0</v>
      </c>
      <c r="F173">
        <v>0</v>
      </c>
      <c r="G173" t="s">
        <v>138</v>
      </c>
      <c r="H173" t="s">
        <v>138</v>
      </c>
      <c r="I173" s="893">
        <v>44117</v>
      </c>
      <c r="J173">
        <v>4</v>
      </c>
      <c r="K173" t="s">
        <v>160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138</v>
      </c>
      <c r="Z173" t="s">
        <v>138</v>
      </c>
      <c r="AA173" t="s">
        <v>138</v>
      </c>
      <c r="AB173" t="s">
        <v>138</v>
      </c>
      <c r="AC173" t="s">
        <v>138</v>
      </c>
      <c r="AD173" t="s">
        <v>138</v>
      </c>
      <c r="AE173" t="s">
        <v>138</v>
      </c>
      <c r="AF173" t="s">
        <v>138</v>
      </c>
      <c r="AG173" s="893">
        <v>44117</v>
      </c>
      <c r="AH173" s="888">
        <f t="shared" si="2"/>
        <v>44105</v>
      </c>
    </row>
    <row r="174" spans="1:34">
      <c r="A174">
        <v>5</v>
      </c>
      <c r="B174">
        <v>380</v>
      </c>
      <c r="C174" t="s">
        <v>160</v>
      </c>
      <c r="D174">
        <v>154</v>
      </c>
      <c r="E174">
        <v>0</v>
      </c>
      <c r="F174">
        <v>0</v>
      </c>
      <c r="G174" t="s">
        <v>138</v>
      </c>
      <c r="H174" t="s">
        <v>138</v>
      </c>
      <c r="I174" s="893">
        <v>44147</v>
      </c>
      <c r="J174">
        <v>5</v>
      </c>
      <c r="K174" t="s">
        <v>160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138</v>
      </c>
      <c r="Z174" t="s">
        <v>138</v>
      </c>
      <c r="AA174" t="s">
        <v>138</v>
      </c>
      <c r="AB174" t="s">
        <v>138</v>
      </c>
      <c r="AC174" t="s">
        <v>138</v>
      </c>
      <c r="AD174" t="s">
        <v>138</v>
      </c>
      <c r="AE174" t="s">
        <v>138</v>
      </c>
      <c r="AF174" t="s">
        <v>138</v>
      </c>
      <c r="AG174" s="893">
        <v>44147</v>
      </c>
      <c r="AH174" s="888">
        <f t="shared" si="2"/>
        <v>44136</v>
      </c>
    </row>
    <row r="175" spans="1:34">
      <c r="A175">
        <v>6</v>
      </c>
      <c r="B175">
        <v>380</v>
      </c>
      <c r="C175" t="s">
        <v>160</v>
      </c>
      <c r="D175">
        <v>154</v>
      </c>
      <c r="E175">
        <v>0</v>
      </c>
      <c r="F175">
        <v>0</v>
      </c>
      <c r="G175" t="s">
        <v>138</v>
      </c>
      <c r="H175" t="s">
        <v>138</v>
      </c>
      <c r="I175" s="893">
        <v>44179</v>
      </c>
      <c r="J175">
        <v>6</v>
      </c>
      <c r="K175" t="s">
        <v>160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138</v>
      </c>
      <c r="Z175" t="s">
        <v>138</v>
      </c>
      <c r="AA175" t="s">
        <v>138</v>
      </c>
      <c r="AB175" t="s">
        <v>138</v>
      </c>
      <c r="AC175" t="s">
        <v>138</v>
      </c>
      <c r="AD175" t="s">
        <v>138</v>
      </c>
      <c r="AE175" t="s">
        <v>138</v>
      </c>
      <c r="AF175" t="s">
        <v>138</v>
      </c>
      <c r="AG175" s="893">
        <v>44179</v>
      </c>
      <c r="AH175" s="888">
        <f t="shared" si="2"/>
        <v>44166</v>
      </c>
    </row>
    <row r="176" spans="1:34">
      <c r="A176">
        <v>7</v>
      </c>
      <c r="B176">
        <v>380</v>
      </c>
      <c r="C176" t="s">
        <v>160</v>
      </c>
      <c r="D176">
        <v>154</v>
      </c>
      <c r="E176">
        <v>0</v>
      </c>
      <c r="F176">
        <v>0</v>
      </c>
      <c r="G176" t="s">
        <v>138</v>
      </c>
      <c r="H176" t="s">
        <v>138</v>
      </c>
      <c r="I176" s="893">
        <v>44193</v>
      </c>
      <c r="J176">
        <v>7</v>
      </c>
      <c r="K176" t="s">
        <v>160</v>
      </c>
      <c r="L176">
        <v>380</v>
      </c>
      <c r="M176" t="s">
        <v>138</v>
      </c>
      <c r="N176">
        <v>0</v>
      </c>
      <c r="O176" t="s">
        <v>138</v>
      </c>
      <c r="P176" t="s">
        <v>138</v>
      </c>
      <c r="Q176" t="s">
        <v>138</v>
      </c>
      <c r="R176" t="s">
        <v>138</v>
      </c>
      <c r="S176" t="s">
        <v>138</v>
      </c>
      <c r="T176" t="s">
        <v>138</v>
      </c>
      <c r="U176" t="s">
        <v>138</v>
      </c>
      <c r="V176" t="s">
        <v>138</v>
      </c>
      <c r="W176" t="s">
        <v>138</v>
      </c>
      <c r="X176" t="s">
        <v>138</v>
      </c>
      <c r="Y176" t="s">
        <v>138</v>
      </c>
      <c r="Z176" t="s">
        <v>138</v>
      </c>
      <c r="AA176" t="s">
        <v>138</v>
      </c>
      <c r="AB176" t="s">
        <v>138</v>
      </c>
      <c r="AC176" t="s">
        <v>138</v>
      </c>
      <c r="AD176" t="s">
        <v>138</v>
      </c>
      <c r="AE176" t="s">
        <v>138</v>
      </c>
      <c r="AF176" t="s">
        <v>138</v>
      </c>
      <c r="AG176" s="893">
        <v>44193</v>
      </c>
      <c r="AH176" s="888">
        <f t="shared" si="2"/>
        <v>44166</v>
      </c>
    </row>
    <row r="177" spans="1:34">
      <c r="A177">
        <v>8</v>
      </c>
      <c r="B177">
        <v>380</v>
      </c>
      <c r="C177" t="s">
        <v>160</v>
      </c>
      <c r="D177">
        <v>154</v>
      </c>
      <c r="E177">
        <v>0</v>
      </c>
      <c r="F177">
        <v>0</v>
      </c>
      <c r="G177" t="s">
        <v>138</v>
      </c>
      <c r="H177" t="s">
        <v>138</v>
      </c>
      <c r="I177" s="893">
        <v>44208</v>
      </c>
      <c r="J177">
        <v>8</v>
      </c>
      <c r="K177" t="s">
        <v>160</v>
      </c>
      <c r="L177">
        <v>380</v>
      </c>
      <c r="M177" t="s">
        <v>138</v>
      </c>
      <c r="N177">
        <v>0</v>
      </c>
      <c r="O177" t="s">
        <v>138</v>
      </c>
      <c r="P177" t="s">
        <v>138</v>
      </c>
      <c r="Q177" t="s">
        <v>138</v>
      </c>
      <c r="R177" t="s">
        <v>138</v>
      </c>
      <c r="S177" t="s">
        <v>138</v>
      </c>
      <c r="T177" t="s">
        <v>138</v>
      </c>
      <c r="U177" t="s">
        <v>138</v>
      </c>
      <c r="V177" t="s">
        <v>138</v>
      </c>
      <c r="W177" t="s">
        <v>138</v>
      </c>
      <c r="X177" t="s">
        <v>138</v>
      </c>
      <c r="Y177" t="s">
        <v>138</v>
      </c>
      <c r="Z177" t="s">
        <v>138</v>
      </c>
      <c r="AA177" t="s">
        <v>138</v>
      </c>
      <c r="AB177" t="s">
        <v>138</v>
      </c>
      <c r="AC177" t="s">
        <v>138</v>
      </c>
      <c r="AD177" t="s">
        <v>138</v>
      </c>
      <c r="AE177" t="s">
        <v>138</v>
      </c>
      <c r="AF177" t="s">
        <v>138</v>
      </c>
      <c r="AG177" s="893">
        <v>44208</v>
      </c>
      <c r="AH177" s="888">
        <f t="shared" si="2"/>
        <v>44197</v>
      </c>
    </row>
    <row r="178" spans="1:34">
      <c r="A178">
        <v>1</v>
      </c>
      <c r="B178">
        <v>381</v>
      </c>
      <c r="C178" t="s">
        <v>161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893">
        <v>44043</v>
      </c>
      <c r="J178">
        <v>1</v>
      </c>
      <c r="K178" t="s">
        <v>161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893">
        <v>44043</v>
      </c>
      <c r="AH178" s="888">
        <f t="shared" si="2"/>
        <v>44013</v>
      </c>
    </row>
    <row r="179" spans="1:34">
      <c r="A179">
        <v>2</v>
      </c>
      <c r="B179">
        <v>381</v>
      </c>
      <c r="C179" t="s">
        <v>161</v>
      </c>
      <c r="D179">
        <v>149</v>
      </c>
      <c r="E179">
        <v>913899.27040915401</v>
      </c>
      <c r="F179">
        <v>0</v>
      </c>
      <c r="G179" t="s">
        <v>138</v>
      </c>
      <c r="H179" t="s">
        <v>138</v>
      </c>
      <c r="I179" s="893">
        <v>44055</v>
      </c>
      <c r="J179">
        <v>2</v>
      </c>
      <c r="K179" t="s">
        <v>161</v>
      </c>
      <c r="L179">
        <v>381</v>
      </c>
      <c r="M179">
        <v>0.36909744599126698</v>
      </c>
      <c r="N179" t="s">
        <v>138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138</v>
      </c>
      <c r="Z179" t="s">
        <v>138</v>
      </c>
      <c r="AA179" t="s">
        <v>138</v>
      </c>
      <c r="AB179" t="s">
        <v>138</v>
      </c>
      <c r="AC179" t="s">
        <v>138</v>
      </c>
      <c r="AD179" t="s">
        <v>138</v>
      </c>
      <c r="AE179" t="s">
        <v>138</v>
      </c>
      <c r="AF179" t="s">
        <v>138</v>
      </c>
      <c r="AG179" s="893">
        <v>44055</v>
      </c>
      <c r="AH179" s="888">
        <f t="shared" si="2"/>
        <v>44044</v>
      </c>
    </row>
    <row r="180" spans="1:34">
      <c r="A180">
        <v>3</v>
      </c>
      <c r="B180">
        <v>381</v>
      </c>
      <c r="C180" t="s">
        <v>161</v>
      </c>
      <c r="D180">
        <v>149</v>
      </c>
      <c r="E180">
        <v>1131427.69149928</v>
      </c>
      <c r="F180">
        <v>0</v>
      </c>
      <c r="G180" t="s">
        <v>138</v>
      </c>
      <c r="H180" t="s">
        <v>138</v>
      </c>
      <c r="I180" s="893">
        <v>44088</v>
      </c>
      <c r="J180">
        <v>3</v>
      </c>
      <c r="K180" t="s">
        <v>161</v>
      </c>
      <c r="L180">
        <v>381</v>
      </c>
      <c r="M180">
        <v>0.73888799058655497</v>
      </c>
      <c r="N180" t="s">
        <v>138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138</v>
      </c>
      <c r="Z180" t="s">
        <v>138</v>
      </c>
      <c r="AA180" t="s">
        <v>138</v>
      </c>
      <c r="AB180" t="s">
        <v>138</v>
      </c>
      <c r="AC180" t="s">
        <v>138</v>
      </c>
      <c r="AD180" t="s">
        <v>138</v>
      </c>
      <c r="AE180" t="s">
        <v>138</v>
      </c>
      <c r="AF180" t="s">
        <v>138</v>
      </c>
      <c r="AG180" s="893">
        <v>44088</v>
      </c>
      <c r="AH180" s="888">
        <f t="shared" si="2"/>
        <v>44075</v>
      </c>
    </row>
    <row r="181" spans="1:34">
      <c r="A181">
        <v>4</v>
      </c>
      <c r="B181">
        <v>381</v>
      </c>
      <c r="C181" t="s">
        <v>161</v>
      </c>
      <c r="D181">
        <v>149</v>
      </c>
      <c r="E181">
        <v>1438834.12549653</v>
      </c>
      <c r="F181">
        <v>0</v>
      </c>
      <c r="G181" t="s">
        <v>138</v>
      </c>
      <c r="H181" t="s">
        <v>138</v>
      </c>
      <c r="I181" s="893">
        <v>44117</v>
      </c>
      <c r="J181">
        <v>4</v>
      </c>
      <c r="K181" t="s">
        <v>161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138</v>
      </c>
      <c r="Z181" t="s">
        <v>138</v>
      </c>
      <c r="AA181" t="s">
        <v>138</v>
      </c>
      <c r="AB181" t="s">
        <v>138</v>
      </c>
      <c r="AC181" t="s">
        <v>138</v>
      </c>
      <c r="AD181" t="s">
        <v>138</v>
      </c>
      <c r="AE181" t="s">
        <v>138</v>
      </c>
      <c r="AF181" t="s">
        <v>138</v>
      </c>
      <c r="AG181" s="893">
        <v>44117</v>
      </c>
      <c r="AH181" s="888">
        <f t="shared" si="2"/>
        <v>44105</v>
      </c>
    </row>
    <row r="182" spans="1:34">
      <c r="A182">
        <v>5</v>
      </c>
      <c r="B182">
        <v>381</v>
      </c>
      <c r="C182" t="s">
        <v>161</v>
      </c>
      <c r="D182">
        <v>149</v>
      </c>
      <c r="E182">
        <v>1384457.9625531</v>
      </c>
      <c r="F182">
        <v>0</v>
      </c>
      <c r="G182" t="s">
        <v>138</v>
      </c>
      <c r="H182" t="s">
        <v>138</v>
      </c>
      <c r="I182" s="893">
        <v>44147</v>
      </c>
      <c r="J182">
        <v>5</v>
      </c>
      <c r="K182" t="s">
        <v>161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138</v>
      </c>
      <c r="Z182" t="s">
        <v>138</v>
      </c>
      <c r="AA182" t="s">
        <v>138</v>
      </c>
      <c r="AB182" t="s">
        <v>138</v>
      </c>
      <c r="AC182" t="s">
        <v>138</v>
      </c>
      <c r="AD182" t="s">
        <v>138</v>
      </c>
      <c r="AE182" t="s">
        <v>138</v>
      </c>
      <c r="AF182" t="s">
        <v>138</v>
      </c>
      <c r="AG182" s="893">
        <v>44147</v>
      </c>
      <c r="AH182" s="888">
        <f t="shared" si="2"/>
        <v>44136</v>
      </c>
    </row>
    <row r="183" spans="1:34">
      <c r="A183">
        <v>6</v>
      </c>
      <c r="B183">
        <v>381</v>
      </c>
      <c r="C183" t="s">
        <v>161</v>
      </c>
      <c r="D183">
        <v>149</v>
      </c>
      <c r="E183">
        <v>1510269.8873931</v>
      </c>
      <c r="F183">
        <v>0</v>
      </c>
      <c r="G183" t="s">
        <v>138</v>
      </c>
      <c r="H183" t="s">
        <v>138</v>
      </c>
      <c r="I183" s="893">
        <v>44179</v>
      </c>
      <c r="J183">
        <v>6</v>
      </c>
      <c r="K183" t="s">
        <v>161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138</v>
      </c>
      <c r="Z183" t="s">
        <v>138</v>
      </c>
      <c r="AA183" t="s">
        <v>138</v>
      </c>
      <c r="AB183" t="s">
        <v>138</v>
      </c>
      <c r="AC183" t="s">
        <v>138</v>
      </c>
      <c r="AD183" t="s">
        <v>138</v>
      </c>
      <c r="AE183" t="s">
        <v>138</v>
      </c>
      <c r="AF183" t="s">
        <v>138</v>
      </c>
      <c r="AG183" s="893">
        <v>44179</v>
      </c>
      <c r="AH183" s="888">
        <f t="shared" si="2"/>
        <v>44166</v>
      </c>
    </row>
    <row r="184" spans="1:34">
      <c r="A184">
        <v>7</v>
      </c>
      <c r="B184">
        <v>381</v>
      </c>
      <c r="C184" t="s">
        <v>161</v>
      </c>
      <c r="D184">
        <v>149</v>
      </c>
      <c r="E184">
        <v>1605647.1626488301</v>
      </c>
      <c r="F184">
        <v>0</v>
      </c>
      <c r="G184" t="s">
        <v>138</v>
      </c>
      <c r="H184" t="s">
        <v>138</v>
      </c>
      <c r="I184" s="893">
        <v>44193</v>
      </c>
      <c r="J184">
        <v>7</v>
      </c>
      <c r="K184" t="s">
        <v>161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138</v>
      </c>
      <c r="Z184" t="s">
        <v>138</v>
      </c>
      <c r="AA184" t="s">
        <v>138</v>
      </c>
      <c r="AB184" t="s">
        <v>138</v>
      </c>
      <c r="AC184" t="s">
        <v>138</v>
      </c>
      <c r="AD184" t="s">
        <v>138</v>
      </c>
      <c r="AE184" t="s">
        <v>138</v>
      </c>
      <c r="AF184" t="s">
        <v>138</v>
      </c>
      <c r="AG184" s="893">
        <v>44193</v>
      </c>
      <c r="AH184" s="888">
        <f t="shared" si="2"/>
        <v>44166</v>
      </c>
    </row>
    <row r="185" spans="1:34">
      <c r="A185">
        <v>8</v>
      </c>
      <c r="B185">
        <v>381</v>
      </c>
      <c r="C185" t="s">
        <v>161</v>
      </c>
      <c r="D185">
        <v>149</v>
      </c>
      <c r="E185">
        <v>0</v>
      </c>
      <c r="F185">
        <v>0</v>
      </c>
      <c r="G185" t="s">
        <v>138</v>
      </c>
      <c r="H185" t="s">
        <v>138</v>
      </c>
      <c r="I185" s="893">
        <v>44208</v>
      </c>
      <c r="J185">
        <v>8</v>
      </c>
      <c r="K185" t="s">
        <v>161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138</v>
      </c>
      <c r="Z185" t="s">
        <v>138</v>
      </c>
      <c r="AA185" t="s">
        <v>138</v>
      </c>
      <c r="AB185" t="s">
        <v>138</v>
      </c>
      <c r="AC185" t="s">
        <v>138</v>
      </c>
      <c r="AD185" t="s">
        <v>138</v>
      </c>
      <c r="AE185" t="s">
        <v>138</v>
      </c>
      <c r="AF185" t="s">
        <v>138</v>
      </c>
      <c r="AG185" s="893">
        <v>44208</v>
      </c>
      <c r="AH185" s="888">
        <f t="shared" si="2"/>
        <v>44197</v>
      </c>
    </row>
    <row r="186" spans="1:34">
      <c r="A186">
        <v>1</v>
      </c>
      <c r="B186">
        <v>382</v>
      </c>
      <c r="C186" t="s">
        <v>162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893">
        <v>44043</v>
      </c>
      <c r="J186">
        <v>1</v>
      </c>
      <c r="K186" t="s">
        <v>162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893">
        <v>44043</v>
      </c>
      <c r="AH186" s="888">
        <f t="shared" si="2"/>
        <v>44013</v>
      </c>
    </row>
    <row r="187" spans="1:34">
      <c r="A187">
        <v>2</v>
      </c>
      <c r="B187">
        <v>382</v>
      </c>
      <c r="C187" t="s">
        <v>162</v>
      </c>
      <c r="D187">
        <v>160</v>
      </c>
      <c r="E187">
        <v>125540448.730114</v>
      </c>
      <c r="F187">
        <v>0</v>
      </c>
      <c r="G187" t="s">
        <v>138</v>
      </c>
      <c r="H187" t="s">
        <v>138</v>
      </c>
      <c r="I187" s="893">
        <v>44055</v>
      </c>
      <c r="J187">
        <v>2</v>
      </c>
      <c r="K187" t="s">
        <v>162</v>
      </c>
      <c r="L187">
        <v>382</v>
      </c>
      <c r="M187">
        <v>0.39560086502889402</v>
      </c>
      <c r="N187" t="s">
        <v>138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138</v>
      </c>
      <c r="Z187" t="s">
        <v>138</v>
      </c>
      <c r="AA187" t="s">
        <v>138</v>
      </c>
      <c r="AB187" t="s">
        <v>138</v>
      </c>
      <c r="AC187" t="s">
        <v>138</v>
      </c>
      <c r="AD187" t="s">
        <v>138</v>
      </c>
      <c r="AE187" t="s">
        <v>138</v>
      </c>
      <c r="AF187" t="s">
        <v>138</v>
      </c>
      <c r="AG187" s="893">
        <v>44055</v>
      </c>
      <c r="AH187" s="888">
        <f t="shared" si="2"/>
        <v>44044</v>
      </c>
    </row>
    <row r="188" spans="1:34">
      <c r="A188">
        <v>3</v>
      </c>
      <c r="B188">
        <v>382</v>
      </c>
      <c r="C188" t="s">
        <v>162</v>
      </c>
      <c r="D188">
        <v>160</v>
      </c>
      <c r="E188">
        <v>117306803.410004</v>
      </c>
      <c r="F188">
        <v>0</v>
      </c>
      <c r="G188" t="s">
        <v>138</v>
      </c>
      <c r="H188" t="s">
        <v>138</v>
      </c>
      <c r="I188" s="893">
        <v>44088</v>
      </c>
      <c r="J188">
        <v>3</v>
      </c>
      <c r="K188" t="s">
        <v>162</v>
      </c>
      <c r="L188">
        <v>382</v>
      </c>
      <c r="M188">
        <v>0.53413390841248398</v>
      </c>
      <c r="N188" t="s">
        <v>138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138</v>
      </c>
      <c r="Z188" t="s">
        <v>138</v>
      </c>
      <c r="AA188" t="s">
        <v>138</v>
      </c>
      <c r="AB188" t="s">
        <v>138</v>
      </c>
      <c r="AC188" t="s">
        <v>138</v>
      </c>
      <c r="AD188" t="s">
        <v>138</v>
      </c>
      <c r="AE188" t="s">
        <v>138</v>
      </c>
      <c r="AF188" t="s">
        <v>138</v>
      </c>
      <c r="AG188" s="893">
        <v>44088</v>
      </c>
      <c r="AH188" s="888">
        <f t="shared" si="2"/>
        <v>44075</v>
      </c>
    </row>
    <row r="189" spans="1:34">
      <c r="A189">
        <v>4</v>
      </c>
      <c r="B189">
        <v>382</v>
      </c>
      <c r="C189" t="s">
        <v>162</v>
      </c>
      <c r="D189">
        <v>160</v>
      </c>
      <c r="E189">
        <v>91283073.576375306</v>
      </c>
      <c r="F189">
        <v>0</v>
      </c>
      <c r="G189" t="s">
        <v>138</v>
      </c>
      <c r="H189" t="s">
        <v>138</v>
      </c>
      <c r="I189" s="893">
        <v>44117</v>
      </c>
      <c r="J189">
        <v>4</v>
      </c>
      <c r="K189" t="s">
        <v>162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138</v>
      </c>
      <c r="Z189" t="s">
        <v>138</v>
      </c>
      <c r="AA189" t="s">
        <v>138</v>
      </c>
      <c r="AB189" t="s">
        <v>138</v>
      </c>
      <c r="AC189" t="s">
        <v>138</v>
      </c>
      <c r="AD189" t="s">
        <v>138</v>
      </c>
      <c r="AE189" t="s">
        <v>138</v>
      </c>
      <c r="AF189" t="s">
        <v>138</v>
      </c>
      <c r="AG189" s="893">
        <v>44117</v>
      </c>
      <c r="AH189" s="888">
        <f t="shared" si="2"/>
        <v>44105</v>
      </c>
    </row>
    <row r="190" spans="1:34">
      <c r="A190">
        <v>5</v>
      </c>
      <c r="B190">
        <v>382</v>
      </c>
      <c r="C190" t="s">
        <v>162</v>
      </c>
      <c r="D190">
        <v>160</v>
      </c>
      <c r="E190">
        <v>54239433.777916603</v>
      </c>
      <c r="F190">
        <v>0</v>
      </c>
      <c r="G190" t="s">
        <v>138</v>
      </c>
      <c r="H190" t="s">
        <v>138</v>
      </c>
      <c r="I190" s="893">
        <v>44147</v>
      </c>
      <c r="J190">
        <v>5</v>
      </c>
      <c r="K190" t="s">
        <v>162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138</v>
      </c>
      <c r="Z190" t="s">
        <v>138</v>
      </c>
      <c r="AA190" t="s">
        <v>138</v>
      </c>
      <c r="AB190" t="s">
        <v>138</v>
      </c>
      <c r="AC190" t="s">
        <v>138</v>
      </c>
      <c r="AD190" t="s">
        <v>138</v>
      </c>
      <c r="AE190" t="s">
        <v>138</v>
      </c>
      <c r="AF190" t="s">
        <v>138</v>
      </c>
      <c r="AG190" s="893">
        <v>44147</v>
      </c>
      <c r="AH190" s="888">
        <f t="shared" si="2"/>
        <v>44136</v>
      </c>
    </row>
    <row r="191" spans="1:34">
      <c r="A191">
        <v>6</v>
      </c>
      <c r="B191">
        <v>382</v>
      </c>
      <c r="C191" t="s">
        <v>162</v>
      </c>
      <c r="D191">
        <v>160</v>
      </c>
      <c r="E191">
        <v>52808613.690133303</v>
      </c>
      <c r="F191">
        <v>0</v>
      </c>
      <c r="G191" t="s">
        <v>138</v>
      </c>
      <c r="H191" t="s">
        <v>138</v>
      </c>
      <c r="I191" s="893">
        <v>44179</v>
      </c>
      <c r="J191">
        <v>6</v>
      </c>
      <c r="K191" t="s">
        <v>162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138</v>
      </c>
      <c r="Z191" t="s">
        <v>138</v>
      </c>
      <c r="AA191" t="s">
        <v>138</v>
      </c>
      <c r="AB191" t="s">
        <v>138</v>
      </c>
      <c r="AC191" t="s">
        <v>138</v>
      </c>
      <c r="AD191" t="s">
        <v>138</v>
      </c>
      <c r="AE191" t="s">
        <v>138</v>
      </c>
      <c r="AF191" t="s">
        <v>138</v>
      </c>
      <c r="AG191" s="893">
        <v>44179</v>
      </c>
      <c r="AH191" s="888">
        <f t="shared" si="2"/>
        <v>44166</v>
      </c>
    </row>
    <row r="192" spans="1:34">
      <c r="A192">
        <v>7</v>
      </c>
      <c r="B192">
        <v>382</v>
      </c>
      <c r="C192" t="s">
        <v>162</v>
      </c>
      <c r="D192">
        <v>160</v>
      </c>
      <c r="E192">
        <v>0</v>
      </c>
      <c r="F192">
        <v>0</v>
      </c>
      <c r="G192" t="s">
        <v>138</v>
      </c>
      <c r="H192" t="s">
        <v>138</v>
      </c>
      <c r="I192" s="893">
        <v>44193</v>
      </c>
      <c r="J192">
        <v>7</v>
      </c>
      <c r="K192" t="s">
        <v>162</v>
      </c>
      <c r="L192">
        <v>382</v>
      </c>
      <c r="M192" t="s">
        <v>138</v>
      </c>
      <c r="N192">
        <v>0</v>
      </c>
      <c r="O192" t="s">
        <v>138</v>
      </c>
      <c r="P192" t="s">
        <v>138</v>
      </c>
      <c r="Q192" t="s">
        <v>138</v>
      </c>
      <c r="R192" t="s">
        <v>138</v>
      </c>
      <c r="S192" t="s">
        <v>138</v>
      </c>
      <c r="T192" t="s">
        <v>138</v>
      </c>
      <c r="U192" t="s">
        <v>138</v>
      </c>
      <c r="V192" t="s">
        <v>138</v>
      </c>
      <c r="W192" t="s">
        <v>138</v>
      </c>
      <c r="X192" t="s">
        <v>138</v>
      </c>
      <c r="Y192" t="s">
        <v>138</v>
      </c>
      <c r="Z192" t="s">
        <v>138</v>
      </c>
      <c r="AA192" t="s">
        <v>138</v>
      </c>
      <c r="AB192" t="s">
        <v>138</v>
      </c>
      <c r="AC192" t="s">
        <v>138</v>
      </c>
      <c r="AD192" t="s">
        <v>138</v>
      </c>
      <c r="AE192" t="s">
        <v>138</v>
      </c>
      <c r="AF192" t="s">
        <v>138</v>
      </c>
      <c r="AG192" s="893">
        <v>44193</v>
      </c>
      <c r="AH192" s="888">
        <f t="shared" si="2"/>
        <v>44166</v>
      </c>
    </row>
    <row r="193" spans="1:34">
      <c r="A193">
        <v>8</v>
      </c>
      <c r="B193">
        <v>382</v>
      </c>
      <c r="C193" t="s">
        <v>162</v>
      </c>
      <c r="D193">
        <v>160</v>
      </c>
      <c r="E193">
        <v>0</v>
      </c>
      <c r="F193">
        <v>0</v>
      </c>
      <c r="G193" t="s">
        <v>138</v>
      </c>
      <c r="H193" t="s">
        <v>138</v>
      </c>
      <c r="I193" s="893">
        <v>44208</v>
      </c>
      <c r="J193">
        <v>8</v>
      </c>
      <c r="K193" t="s">
        <v>162</v>
      </c>
      <c r="L193">
        <v>382</v>
      </c>
      <c r="M193" t="s">
        <v>138</v>
      </c>
      <c r="N193">
        <v>0</v>
      </c>
      <c r="O193" t="s">
        <v>138</v>
      </c>
      <c r="P193" t="s">
        <v>138</v>
      </c>
      <c r="Q193" t="s">
        <v>138</v>
      </c>
      <c r="R193" t="s">
        <v>138</v>
      </c>
      <c r="S193" t="s">
        <v>138</v>
      </c>
      <c r="T193" t="s">
        <v>138</v>
      </c>
      <c r="U193" t="s">
        <v>138</v>
      </c>
      <c r="V193" t="s">
        <v>138</v>
      </c>
      <c r="W193" t="s">
        <v>138</v>
      </c>
      <c r="X193" t="s">
        <v>138</v>
      </c>
      <c r="Y193" t="s">
        <v>138</v>
      </c>
      <c r="Z193" t="s">
        <v>138</v>
      </c>
      <c r="AA193" t="s">
        <v>138</v>
      </c>
      <c r="AB193" t="s">
        <v>138</v>
      </c>
      <c r="AC193" t="s">
        <v>138</v>
      </c>
      <c r="AD193" t="s">
        <v>138</v>
      </c>
      <c r="AE193" t="s">
        <v>138</v>
      </c>
      <c r="AF193" t="s">
        <v>138</v>
      </c>
      <c r="AG193" s="893">
        <v>44208</v>
      </c>
      <c r="AH193" s="888">
        <f t="shared" si="2"/>
        <v>44197</v>
      </c>
    </row>
    <row r="194" spans="1:34">
      <c r="A194">
        <v>1</v>
      </c>
      <c r="B194">
        <v>383</v>
      </c>
      <c r="C194" t="s">
        <v>163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893">
        <v>44043</v>
      </c>
      <c r="J194">
        <v>1</v>
      </c>
      <c r="K194" t="s">
        <v>163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893">
        <v>44043</v>
      </c>
      <c r="AH194" s="888">
        <f t="shared" si="2"/>
        <v>44013</v>
      </c>
    </row>
    <row r="195" spans="1:34">
      <c r="A195">
        <v>2</v>
      </c>
      <c r="B195">
        <v>383</v>
      </c>
      <c r="C195" t="s">
        <v>163</v>
      </c>
      <c r="D195">
        <v>103</v>
      </c>
      <c r="E195">
        <v>48138675.727655701</v>
      </c>
      <c r="F195">
        <v>0</v>
      </c>
      <c r="G195" t="s">
        <v>138</v>
      </c>
      <c r="H195" t="s">
        <v>138</v>
      </c>
      <c r="I195" s="893">
        <v>44055</v>
      </c>
      <c r="J195">
        <v>2</v>
      </c>
      <c r="K195" t="s">
        <v>163</v>
      </c>
      <c r="L195">
        <v>383</v>
      </c>
      <c r="M195">
        <v>0.62459078361950904</v>
      </c>
      <c r="N195" t="s">
        <v>138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138</v>
      </c>
      <c r="Z195" t="s">
        <v>138</v>
      </c>
      <c r="AA195" t="s">
        <v>138</v>
      </c>
      <c r="AB195" t="s">
        <v>138</v>
      </c>
      <c r="AC195" t="s">
        <v>138</v>
      </c>
      <c r="AD195" t="s">
        <v>138</v>
      </c>
      <c r="AE195" t="s">
        <v>138</v>
      </c>
      <c r="AF195" t="s">
        <v>138</v>
      </c>
      <c r="AG195" s="893">
        <v>44055</v>
      </c>
      <c r="AH195" s="888">
        <f t="shared" ref="AH195:AH258" si="3">DATE(YEAR(I195),MONTH(I195),1)</f>
        <v>44044</v>
      </c>
    </row>
    <row r="196" spans="1:34">
      <c r="A196">
        <v>3</v>
      </c>
      <c r="B196">
        <v>383</v>
      </c>
      <c r="C196" t="s">
        <v>163</v>
      </c>
      <c r="D196">
        <v>103</v>
      </c>
      <c r="E196">
        <v>67061837.82</v>
      </c>
      <c r="F196">
        <v>0</v>
      </c>
      <c r="G196" t="s">
        <v>138</v>
      </c>
      <c r="H196" t="s">
        <v>138</v>
      </c>
      <c r="I196" s="893">
        <v>44088</v>
      </c>
      <c r="J196">
        <v>3</v>
      </c>
      <c r="K196" t="s">
        <v>163</v>
      </c>
      <c r="L196">
        <v>383</v>
      </c>
      <c r="M196">
        <v>0.64732185223484895</v>
      </c>
      <c r="N196" t="s">
        <v>138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138</v>
      </c>
      <c r="Z196" t="s">
        <v>138</v>
      </c>
      <c r="AA196" t="s">
        <v>138</v>
      </c>
      <c r="AB196" t="s">
        <v>138</v>
      </c>
      <c r="AC196" t="s">
        <v>138</v>
      </c>
      <c r="AD196" t="s">
        <v>138</v>
      </c>
      <c r="AE196" t="s">
        <v>138</v>
      </c>
      <c r="AF196" t="s">
        <v>138</v>
      </c>
      <c r="AG196" s="893">
        <v>44088</v>
      </c>
      <c r="AH196" s="888">
        <f t="shared" si="3"/>
        <v>44075</v>
      </c>
    </row>
    <row r="197" spans="1:34">
      <c r="A197">
        <v>4</v>
      </c>
      <c r="B197">
        <v>383</v>
      </c>
      <c r="C197" t="s">
        <v>163</v>
      </c>
      <c r="D197">
        <v>103</v>
      </c>
      <c r="E197">
        <v>88668323.072982803</v>
      </c>
      <c r="F197">
        <v>0</v>
      </c>
      <c r="G197" t="s">
        <v>138</v>
      </c>
      <c r="H197" t="s">
        <v>138</v>
      </c>
      <c r="I197" s="893">
        <v>44117</v>
      </c>
      <c r="J197">
        <v>4</v>
      </c>
      <c r="K197" t="s">
        <v>163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138</v>
      </c>
      <c r="Z197" t="s">
        <v>138</v>
      </c>
      <c r="AA197" t="s">
        <v>138</v>
      </c>
      <c r="AB197" t="s">
        <v>138</v>
      </c>
      <c r="AC197" t="s">
        <v>138</v>
      </c>
      <c r="AD197" t="s">
        <v>138</v>
      </c>
      <c r="AE197" t="s">
        <v>138</v>
      </c>
      <c r="AF197" t="s">
        <v>138</v>
      </c>
      <c r="AG197" s="893">
        <v>44117</v>
      </c>
      <c r="AH197" s="888">
        <f t="shared" si="3"/>
        <v>44105</v>
      </c>
    </row>
    <row r="198" spans="1:34">
      <c r="A198">
        <v>5</v>
      </c>
      <c r="B198">
        <v>383</v>
      </c>
      <c r="C198" t="s">
        <v>163</v>
      </c>
      <c r="D198">
        <v>103</v>
      </c>
      <c r="E198">
        <v>37823065.268186398</v>
      </c>
      <c r="F198">
        <v>0</v>
      </c>
      <c r="G198" t="s">
        <v>138</v>
      </c>
      <c r="H198" t="s">
        <v>138</v>
      </c>
      <c r="I198" s="893">
        <v>44147</v>
      </c>
      <c r="J198">
        <v>5</v>
      </c>
      <c r="K198" t="s">
        <v>163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138</v>
      </c>
      <c r="Z198" t="s">
        <v>138</v>
      </c>
      <c r="AA198" t="s">
        <v>138</v>
      </c>
      <c r="AB198" t="s">
        <v>138</v>
      </c>
      <c r="AC198" t="s">
        <v>138</v>
      </c>
      <c r="AD198" t="s">
        <v>138</v>
      </c>
      <c r="AE198" t="s">
        <v>138</v>
      </c>
      <c r="AF198" t="s">
        <v>138</v>
      </c>
      <c r="AG198" s="893">
        <v>44147</v>
      </c>
      <c r="AH198" s="888">
        <f t="shared" si="3"/>
        <v>44136</v>
      </c>
    </row>
    <row r="199" spans="1:34">
      <c r="A199">
        <v>6</v>
      </c>
      <c r="B199">
        <v>383</v>
      </c>
      <c r="C199" t="s">
        <v>163</v>
      </c>
      <c r="D199">
        <v>103</v>
      </c>
      <c r="E199">
        <v>162711197.78999999</v>
      </c>
      <c r="F199">
        <v>93194330.733902499</v>
      </c>
      <c r="G199" t="s">
        <v>138</v>
      </c>
      <c r="H199" t="s">
        <v>138</v>
      </c>
      <c r="I199" s="893">
        <v>44179</v>
      </c>
      <c r="J199">
        <v>6</v>
      </c>
      <c r="K199" t="s">
        <v>163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138</v>
      </c>
      <c r="Z199" t="s">
        <v>138</v>
      </c>
      <c r="AA199" t="s">
        <v>138</v>
      </c>
      <c r="AB199" t="s">
        <v>138</v>
      </c>
      <c r="AC199" t="s">
        <v>138</v>
      </c>
      <c r="AD199" t="s">
        <v>138</v>
      </c>
      <c r="AE199" t="s">
        <v>138</v>
      </c>
      <c r="AF199" t="s">
        <v>138</v>
      </c>
      <c r="AG199" s="893">
        <v>44179</v>
      </c>
      <c r="AH199" s="888">
        <f t="shared" si="3"/>
        <v>44166</v>
      </c>
    </row>
    <row r="200" spans="1:34">
      <c r="A200">
        <v>7</v>
      </c>
      <c r="B200">
        <v>383</v>
      </c>
      <c r="C200" t="s">
        <v>163</v>
      </c>
      <c r="D200">
        <v>103</v>
      </c>
      <c r="E200">
        <v>0</v>
      </c>
      <c r="F200">
        <v>0</v>
      </c>
      <c r="G200" t="s">
        <v>138</v>
      </c>
      <c r="H200" t="s">
        <v>138</v>
      </c>
      <c r="I200" s="893">
        <v>44193</v>
      </c>
      <c r="J200">
        <v>7</v>
      </c>
      <c r="K200" t="s">
        <v>163</v>
      </c>
      <c r="L200">
        <v>383</v>
      </c>
      <c r="M200" t="s">
        <v>138</v>
      </c>
      <c r="N200">
        <v>0</v>
      </c>
      <c r="O200" t="s">
        <v>138</v>
      </c>
      <c r="P200" t="s">
        <v>138</v>
      </c>
      <c r="Q200" t="s">
        <v>138</v>
      </c>
      <c r="R200" t="s">
        <v>138</v>
      </c>
      <c r="S200" t="s">
        <v>138</v>
      </c>
      <c r="T200" t="s">
        <v>138</v>
      </c>
      <c r="U200" t="s">
        <v>138</v>
      </c>
      <c r="V200" t="s">
        <v>138</v>
      </c>
      <c r="W200" t="s">
        <v>138</v>
      </c>
      <c r="X200" t="s">
        <v>138</v>
      </c>
      <c r="Y200" t="s">
        <v>138</v>
      </c>
      <c r="Z200" t="s">
        <v>138</v>
      </c>
      <c r="AA200" t="s">
        <v>138</v>
      </c>
      <c r="AB200" t="s">
        <v>138</v>
      </c>
      <c r="AC200" t="s">
        <v>138</v>
      </c>
      <c r="AD200" t="s">
        <v>138</v>
      </c>
      <c r="AE200" t="s">
        <v>138</v>
      </c>
      <c r="AF200" t="s">
        <v>138</v>
      </c>
      <c r="AG200" s="893">
        <v>44193</v>
      </c>
      <c r="AH200" s="888">
        <f t="shared" si="3"/>
        <v>44166</v>
      </c>
    </row>
    <row r="201" spans="1:34">
      <c r="A201">
        <v>8</v>
      </c>
      <c r="B201">
        <v>383</v>
      </c>
      <c r="C201" t="s">
        <v>163</v>
      </c>
      <c r="D201">
        <v>103</v>
      </c>
      <c r="E201">
        <v>0</v>
      </c>
      <c r="F201">
        <v>0</v>
      </c>
      <c r="G201" t="s">
        <v>138</v>
      </c>
      <c r="H201" t="s">
        <v>138</v>
      </c>
      <c r="I201" s="893">
        <v>44208</v>
      </c>
      <c r="J201">
        <v>8</v>
      </c>
      <c r="K201" t="s">
        <v>163</v>
      </c>
      <c r="L201">
        <v>383</v>
      </c>
      <c r="M201" t="s">
        <v>138</v>
      </c>
      <c r="N201">
        <v>0</v>
      </c>
      <c r="O201" t="s">
        <v>138</v>
      </c>
      <c r="P201" t="s">
        <v>138</v>
      </c>
      <c r="Q201" t="s">
        <v>138</v>
      </c>
      <c r="R201" t="s">
        <v>138</v>
      </c>
      <c r="S201" t="s">
        <v>138</v>
      </c>
      <c r="T201" t="s">
        <v>138</v>
      </c>
      <c r="U201" t="s">
        <v>138</v>
      </c>
      <c r="V201" t="s">
        <v>138</v>
      </c>
      <c r="W201" t="s">
        <v>138</v>
      </c>
      <c r="X201" t="s">
        <v>138</v>
      </c>
      <c r="Y201" t="s">
        <v>138</v>
      </c>
      <c r="Z201" t="s">
        <v>138</v>
      </c>
      <c r="AA201" t="s">
        <v>138</v>
      </c>
      <c r="AB201" t="s">
        <v>138</v>
      </c>
      <c r="AC201" t="s">
        <v>138</v>
      </c>
      <c r="AD201" t="s">
        <v>138</v>
      </c>
      <c r="AE201" t="s">
        <v>138</v>
      </c>
      <c r="AF201" t="s">
        <v>138</v>
      </c>
      <c r="AG201" s="893">
        <v>44208</v>
      </c>
      <c r="AH201" s="888">
        <f t="shared" si="3"/>
        <v>44197</v>
      </c>
    </row>
    <row r="202" spans="1:34">
      <c r="A202">
        <v>1</v>
      </c>
      <c r="B202">
        <v>385</v>
      </c>
      <c r="C202" t="s">
        <v>164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893">
        <v>44043</v>
      </c>
      <c r="J202">
        <v>1</v>
      </c>
      <c r="K202" t="s">
        <v>164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893">
        <v>44043</v>
      </c>
      <c r="AH202" s="888">
        <f t="shared" si="3"/>
        <v>44013</v>
      </c>
    </row>
    <row r="203" spans="1:34">
      <c r="A203">
        <v>2</v>
      </c>
      <c r="B203">
        <v>385</v>
      </c>
      <c r="C203" t="s">
        <v>164</v>
      </c>
      <c r="D203">
        <v>145</v>
      </c>
      <c r="E203">
        <v>70781718.019999996</v>
      </c>
      <c r="F203">
        <v>0</v>
      </c>
      <c r="G203" t="s">
        <v>138</v>
      </c>
      <c r="H203" t="s">
        <v>138</v>
      </c>
      <c r="I203" s="893">
        <v>44055</v>
      </c>
      <c r="J203">
        <v>2</v>
      </c>
      <c r="K203" t="s">
        <v>164</v>
      </c>
      <c r="L203">
        <v>385</v>
      </c>
      <c r="M203">
        <v>0.83660902825647798</v>
      </c>
      <c r="N203" t="s">
        <v>138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138</v>
      </c>
      <c r="Z203" t="s">
        <v>138</v>
      </c>
      <c r="AA203" t="s">
        <v>138</v>
      </c>
      <c r="AB203" t="s">
        <v>138</v>
      </c>
      <c r="AC203" t="s">
        <v>138</v>
      </c>
      <c r="AD203" t="s">
        <v>138</v>
      </c>
      <c r="AE203" t="s">
        <v>138</v>
      </c>
      <c r="AF203" t="s">
        <v>138</v>
      </c>
      <c r="AG203" s="893">
        <v>44055</v>
      </c>
      <c r="AH203" s="888">
        <f t="shared" si="3"/>
        <v>44044</v>
      </c>
    </row>
    <row r="204" spans="1:34">
      <c r="A204">
        <v>3</v>
      </c>
      <c r="B204">
        <v>385</v>
      </c>
      <c r="C204" t="s">
        <v>164</v>
      </c>
      <c r="D204">
        <v>145</v>
      </c>
      <c r="E204">
        <v>72543957.680000007</v>
      </c>
      <c r="F204">
        <v>0</v>
      </c>
      <c r="G204" t="s">
        <v>138</v>
      </c>
      <c r="H204" t="s">
        <v>138</v>
      </c>
      <c r="I204" s="893">
        <v>44088</v>
      </c>
      <c r="J204">
        <v>3</v>
      </c>
      <c r="K204" t="s">
        <v>164</v>
      </c>
      <c r="L204">
        <v>385</v>
      </c>
      <c r="M204">
        <v>0.87533969689695901</v>
      </c>
      <c r="N204" t="s">
        <v>138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138</v>
      </c>
      <c r="Z204" t="s">
        <v>138</v>
      </c>
      <c r="AA204" t="s">
        <v>138</v>
      </c>
      <c r="AB204" t="s">
        <v>138</v>
      </c>
      <c r="AC204" t="s">
        <v>138</v>
      </c>
      <c r="AD204" t="s">
        <v>138</v>
      </c>
      <c r="AE204" t="s">
        <v>138</v>
      </c>
      <c r="AF204" t="s">
        <v>138</v>
      </c>
      <c r="AG204" s="893">
        <v>44088</v>
      </c>
      <c r="AH204" s="888">
        <f t="shared" si="3"/>
        <v>44075</v>
      </c>
    </row>
    <row r="205" spans="1:34">
      <c r="A205">
        <v>4</v>
      </c>
      <c r="B205">
        <v>385</v>
      </c>
      <c r="C205" t="s">
        <v>164</v>
      </c>
      <c r="D205">
        <v>145</v>
      </c>
      <c r="E205">
        <v>0</v>
      </c>
      <c r="F205">
        <v>0</v>
      </c>
      <c r="G205" t="s">
        <v>138</v>
      </c>
      <c r="H205" t="s">
        <v>138</v>
      </c>
      <c r="I205" s="893">
        <v>44117</v>
      </c>
      <c r="J205">
        <v>4</v>
      </c>
      <c r="K205" t="s">
        <v>164</v>
      </c>
      <c r="L205">
        <v>385</v>
      </c>
      <c r="M205" t="s">
        <v>138</v>
      </c>
      <c r="N205" t="s">
        <v>138</v>
      </c>
      <c r="O205" t="s">
        <v>138</v>
      </c>
      <c r="P205" t="s">
        <v>138</v>
      </c>
      <c r="Q205" t="s">
        <v>138</v>
      </c>
      <c r="R205" t="s">
        <v>138</v>
      </c>
      <c r="S205" t="s">
        <v>138</v>
      </c>
      <c r="T205" t="s">
        <v>138</v>
      </c>
      <c r="U205" t="s">
        <v>138</v>
      </c>
      <c r="V205" t="s">
        <v>138</v>
      </c>
      <c r="W205" t="s">
        <v>138</v>
      </c>
      <c r="X205" t="s">
        <v>138</v>
      </c>
      <c r="Y205" t="s">
        <v>138</v>
      </c>
      <c r="Z205" t="s">
        <v>138</v>
      </c>
      <c r="AA205" t="s">
        <v>138</v>
      </c>
      <c r="AB205" t="s">
        <v>138</v>
      </c>
      <c r="AC205" t="s">
        <v>138</v>
      </c>
      <c r="AD205" t="s">
        <v>138</v>
      </c>
      <c r="AE205" t="s">
        <v>138</v>
      </c>
      <c r="AF205" t="s">
        <v>138</v>
      </c>
      <c r="AG205" s="893">
        <v>44117</v>
      </c>
      <c r="AH205" s="888">
        <f t="shared" si="3"/>
        <v>44105</v>
      </c>
    </row>
    <row r="206" spans="1:34">
      <c r="A206">
        <v>5</v>
      </c>
      <c r="B206">
        <v>385</v>
      </c>
      <c r="C206" t="s">
        <v>164</v>
      </c>
      <c r="D206">
        <v>145</v>
      </c>
      <c r="E206">
        <v>0</v>
      </c>
      <c r="F206">
        <v>0</v>
      </c>
      <c r="G206" t="s">
        <v>138</v>
      </c>
      <c r="H206" t="s">
        <v>138</v>
      </c>
      <c r="I206" s="893">
        <v>44147</v>
      </c>
      <c r="J206">
        <v>5</v>
      </c>
      <c r="K206" t="s">
        <v>164</v>
      </c>
      <c r="L206">
        <v>385</v>
      </c>
      <c r="M206" t="s">
        <v>138</v>
      </c>
      <c r="N206" t="s">
        <v>138</v>
      </c>
      <c r="O206" t="s">
        <v>138</v>
      </c>
      <c r="P206" t="s">
        <v>138</v>
      </c>
      <c r="Q206" t="s">
        <v>138</v>
      </c>
      <c r="R206" t="s">
        <v>138</v>
      </c>
      <c r="S206" t="s">
        <v>138</v>
      </c>
      <c r="T206" t="s">
        <v>138</v>
      </c>
      <c r="U206" t="s">
        <v>138</v>
      </c>
      <c r="V206" t="s">
        <v>138</v>
      </c>
      <c r="W206" t="s">
        <v>138</v>
      </c>
      <c r="X206" t="s">
        <v>138</v>
      </c>
      <c r="Y206" t="s">
        <v>138</v>
      </c>
      <c r="Z206" t="s">
        <v>138</v>
      </c>
      <c r="AA206" t="s">
        <v>138</v>
      </c>
      <c r="AB206" t="s">
        <v>138</v>
      </c>
      <c r="AC206" t="s">
        <v>138</v>
      </c>
      <c r="AD206" t="s">
        <v>138</v>
      </c>
      <c r="AE206" t="s">
        <v>138</v>
      </c>
      <c r="AF206" t="s">
        <v>138</v>
      </c>
      <c r="AG206" s="893">
        <v>44147</v>
      </c>
      <c r="AH206" s="888">
        <f t="shared" si="3"/>
        <v>44136</v>
      </c>
    </row>
    <row r="207" spans="1:34">
      <c r="A207">
        <v>6</v>
      </c>
      <c r="B207">
        <v>385</v>
      </c>
      <c r="C207" t="s">
        <v>164</v>
      </c>
      <c r="D207">
        <v>145</v>
      </c>
      <c r="E207">
        <v>0</v>
      </c>
      <c r="F207">
        <v>0</v>
      </c>
      <c r="G207" t="s">
        <v>138</v>
      </c>
      <c r="H207" t="s">
        <v>138</v>
      </c>
      <c r="I207" s="893">
        <v>44179</v>
      </c>
      <c r="J207">
        <v>6</v>
      </c>
      <c r="K207" t="s">
        <v>164</v>
      </c>
      <c r="L207">
        <v>385</v>
      </c>
      <c r="M207" t="s">
        <v>138</v>
      </c>
      <c r="N207" t="s">
        <v>138</v>
      </c>
      <c r="O207" t="s">
        <v>138</v>
      </c>
      <c r="P207" t="s">
        <v>138</v>
      </c>
      <c r="Q207" t="s">
        <v>138</v>
      </c>
      <c r="R207" t="s">
        <v>138</v>
      </c>
      <c r="S207" t="s">
        <v>138</v>
      </c>
      <c r="T207" t="s">
        <v>138</v>
      </c>
      <c r="U207" t="s">
        <v>138</v>
      </c>
      <c r="V207" t="s">
        <v>138</v>
      </c>
      <c r="W207" t="s">
        <v>138</v>
      </c>
      <c r="X207" t="s">
        <v>138</v>
      </c>
      <c r="Y207" t="s">
        <v>138</v>
      </c>
      <c r="Z207" t="s">
        <v>138</v>
      </c>
      <c r="AA207" t="s">
        <v>138</v>
      </c>
      <c r="AB207" t="s">
        <v>138</v>
      </c>
      <c r="AC207" t="s">
        <v>138</v>
      </c>
      <c r="AD207" t="s">
        <v>138</v>
      </c>
      <c r="AE207" t="s">
        <v>138</v>
      </c>
      <c r="AF207" t="s">
        <v>138</v>
      </c>
      <c r="AG207" s="893">
        <v>44179</v>
      </c>
      <c r="AH207" s="888">
        <f t="shared" si="3"/>
        <v>44166</v>
      </c>
    </row>
    <row r="208" spans="1:34">
      <c r="A208">
        <v>7</v>
      </c>
      <c r="B208">
        <v>385</v>
      </c>
      <c r="C208" t="s">
        <v>164</v>
      </c>
      <c r="D208">
        <v>145</v>
      </c>
      <c r="E208">
        <v>0</v>
      </c>
      <c r="F208">
        <v>0</v>
      </c>
      <c r="G208" t="s">
        <v>138</v>
      </c>
      <c r="H208" t="s">
        <v>138</v>
      </c>
      <c r="I208" s="893">
        <v>44193</v>
      </c>
      <c r="J208">
        <v>7</v>
      </c>
      <c r="K208" t="s">
        <v>164</v>
      </c>
      <c r="L208">
        <v>385</v>
      </c>
      <c r="M208" t="s">
        <v>138</v>
      </c>
      <c r="N208" t="s">
        <v>138</v>
      </c>
      <c r="O208" t="s">
        <v>138</v>
      </c>
      <c r="P208" t="s">
        <v>138</v>
      </c>
      <c r="Q208" t="s">
        <v>138</v>
      </c>
      <c r="R208" t="s">
        <v>138</v>
      </c>
      <c r="S208" t="s">
        <v>138</v>
      </c>
      <c r="T208" t="s">
        <v>138</v>
      </c>
      <c r="U208" t="s">
        <v>138</v>
      </c>
      <c r="V208" t="s">
        <v>138</v>
      </c>
      <c r="W208" t="s">
        <v>138</v>
      </c>
      <c r="X208" t="s">
        <v>138</v>
      </c>
      <c r="Y208" t="s">
        <v>138</v>
      </c>
      <c r="Z208" t="s">
        <v>138</v>
      </c>
      <c r="AA208" t="s">
        <v>138</v>
      </c>
      <c r="AB208" t="s">
        <v>138</v>
      </c>
      <c r="AC208" t="s">
        <v>138</v>
      </c>
      <c r="AD208" t="s">
        <v>138</v>
      </c>
      <c r="AE208" t="s">
        <v>138</v>
      </c>
      <c r="AF208" t="s">
        <v>138</v>
      </c>
      <c r="AG208" s="893">
        <v>44193</v>
      </c>
      <c r="AH208" s="888">
        <f t="shared" si="3"/>
        <v>44166</v>
      </c>
    </row>
    <row r="209" spans="1:34">
      <c r="A209">
        <v>8</v>
      </c>
      <c r="B209">
        <v>385</v>
      </c>
      <c r="C209" t="s">
        <v>164</v>
      </c>
      <c r="D209">
        <v>145</v>
      </c>
      <c r="E209">
        <v>0</v>
      </c>
      <c r="F209">
        <v>0</v>
      </c>
      <c r="G209" t="s">
        <v>138</v>
      </c>
      <c r="H209" t="s">
        <v>138</v>
      </c>
      <c r="I209" s="893">
        <v>44208</v>
      </c>
      <c r="J209">
        <v>8</v>
      </c>
      <c r="K209" t="s">
        <v>164</v>
      </c>
      <c r="L209">
        <v>385</v>
      </c>
      <c r="M209" t="s">
        <v>138</v>
      </c>
      <c r="N209" t="s">
        <v>138</v>
      </c>
      <c r="O209" t="s">
        <v>138</v>
      </c>
      <c r="P209" t="s">
        <v>138</v>
      </c>
      <c r="Q209" t="s">
        <v>138</v>
      </c>
      <c r="R209" t="s">
        <v>138</v>
      </c>
      <c r="S209" t="s">
        <v>138</v>
      </c>
      <c r="T209" t="s">
        <v>138</v>
      </c>
      <c r="U209" t="s">
        <v>138</v>
      </c>
      <c r="V209" t="s">
        <v>138</v>
      </c>
      <c r="W209" t="s">
        <v>138</v>
      </c>
      <c r="X209" t="s">
        <v>138</v>
      </c>
      <c r="Y209" t="s">
        <v>138</v>
      </c>
      <c r="Z209" t="s">
        <v>138</v>
      </c>
      <c r="AA209" t="s">
        <v>138</v>
      </c>
      <c r="AB209" t="s">
        <v>138</v>
      </c>
      <c r="AC209" t="s">
        <v>138</v>
      </c>
      <c r="AD209" t="s">
        <v>138</v>
      </c>
      <c r="AE209" t="s">
        <v>138</v>
      </c>
      <c r="AF209" t="s">
        <v>138</v>
      </c>
      <c r="AG209" s="893">
        <v>44208</v>
      </c>
      <c r="AH209" s="888">
        <f t="shared" si="3"/>
        <v>44197</v>
      </c>
    </row>
    <row r="210" spans="1:34">
      <c r="A210">
        <v>1</v>
      </c>
      <c r="B210">
        <v>390</v>
      </c>
      <c r="C210" t="s">
        <v>165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893">
        <v>44043</v>
      </c>
      <c r="J210">
        <v>1</v>
      </c>
      <c r="K210" t="s">
        <v>165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893">
        <v>44043</v>
      </c>
      <c r="AH210" s="888">
        <f t="shared" si="3"/>
        <v>44013</v>
      </c>
    </row>
    <row r="211" spans="1:34">
      <c r="A211">
        <v>2</v>
      </c>
      <c r="B211">
        <v>390</v>
      </c>
      <c r="C211" t="s">
        <v>165</v>
      </c>
      <c r="D211">
        <v>148</v>
      </c>
      <c r="E211">
        <v>0</v>
      </c>
      <c r="F211">
        <v>0</v>
      </c>
      <c r="G211" t="s">
        <v>138</v>
      </c>
      <c r="H211" t="s">
        <v>138</v>
      </c>
      <c r="I211" s="893">
        <v>44055</v>
      </c>
      <c r="J211">
        <v>2</v>
      </c>
      <c r="K211" t="s">
        <v>165</v>
      </c>
      <c r="L211">
        <v>390</v>
      </c>
      <c r="M211">
        <v>0</v>
      </c>
      <c r="N211" t="s">
        <v>138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138</v>
      </c>
      <c r="Z211" t="s">
        <v>138</v>
      </c>
      <c r="AA211" t="s">
        <v>138</v>
      </c>
      <c r="AB211" t="s">
        <v>138</v>
      </c>
      <c r="AC211" t="s">
        <v>138</v>
      </c>
      <c r="AD211" t="s">
        <v>138</v>
      </c>
      <c r="AE211" t="s">
        <v>138</v>
      </c>
      <c r="AF211" t="s">
        <v>138</v>
      </c>
      <c r="AG211" s="893">
        <v>44055</v>
      </c>
      <c r="AH211" s="888">
        <f t="shared" si="3"/>
        <v>44044</v>
      </c>
    </row>
    <row r="212" spans="1:34">
      <c r="A212">
        <v>3</v>
      </c>
      <c r="B212">
        <v>390</v>
      </c>
      <c r="C212" t="s">
        <v>165</v>
      </c>
      <c r="D212">
        <v>148</v>
      </c>
      <c r="E212">
        <v>0</v>
      </c>
      <c r="F212">
        <v>0</v>
      </c>
      <c r="G212" t="s">
        <v>138</v>
      </c>
      <c r="H212" t="s">
        <v>138</v>
      </c>
      <c r="I212" s="893">
        <v>44088</v>
      </c>
      <c r="J212">
        <v>3</v>
      </c>
      <c r="K212" t="s">
        <v>165</v>
      </c>
      <c r="L212">
        <v>390</v>
      </c>
      <c r="M212">
        <v>0</v>
      </c>
      <c r="N212" t="s">
        <v>138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138</v>
      </c>
      <c r="Z212" t="s">
        <v>138</v>
      </c>
      <c r="AA212" t="s">
        <v>138</v>
      </c>
      <c r="AB212" t="s">
        <v>138</v>
      </c>
      <c r="AC212" t="s">
        <v>138</v>
      </c>
      <c r="AD212" t="s">
        <v>138</v>
      </c>
      <c r="AE212" t="s">
        <v>138</v>
      </c>
      <c r="AF212" t="s">
        <v>138</v>
      </c>
      <c r="AG212" s="893">
        <v>44088</v>
      </c>
      <c r="AH212" s="888">
        <f t="shared" si="3"/>
        <v>44075</v>
      </c>
    </row>
    <row r="213" spans="1:34">
      <c r="A213">
        <v>4</v>
      </c>
      <c r="B213">
        <v>390</v>
      </c>
      <c r="C213" t="s">
        <v>165</v>
      </c>
      <c r="D213">
        <v>148</v>
      </c>
      <c r="E213">
        <v>0</v>
      </c>
      <c r="F213">
        <v>0</v>
      </c>
      <c r="G213" t="s">
        <v>138</v>
      </c>
      <c r="H213" t="s">
        <v>138</v>
      </c>
      <c r="I213" s="893">
        <v>44117</v>
      </c>
      <c r="J213">
        <v>4</v>
      </c>
      <c r="K213" t="s">
        <v>165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138</v>
      </c>
      <c r="Z213" t="s">
        <v>138</v>
      </c>
      <c r="AA213" t="s">
        <v>138</v>
      </c>
      <c r="AB213" t="s">
        <v>138</v>
      </c>
      <c r="AC213" t="s">
        <v>138</v>
      </c>
      <c r="AD213" t="s">
        <v>138</v>
      </c>
      <c r="AE213" t="s">
        <v>138</v>
      </c>
      <c r="AF213" t="s">
        <v>138</v>
      </c>
      <c r="AG213" s="893">
        <v>44117</v>
      </c>
      <c r="AH213" s="888">
        <f t="shared" si="3"/>
        <v>44105</v>
      </c>
    </row>
    <row r="214" spans="1:34">
      <c r="A214">
        <v>5</v>
      </c>
      <c r="B214">
        <v>390</v>
      </c>
      <c r="C214" t="s">
        <v>165</v>
      </c>
      <c r="D214">
        <v>148</v>
      </c>
      <c r="E214">
        <v>0</v>
      </c>
      <c r="F214">
        <v>0</v>
      </c>
      <c r="G214" t="s">
        <v>138</v>
      </c>
      <c r="H214" t="s">
        <v>138</v>
      </c>
      <c r="I214" s="893">
        <v>44147</v>
      </c>
      <c r="J214">
        <v>5</v>
      </c>
      <c r="K214" t="s">
        <v>165</v>
      </c>
      <c r="L214">
        <v>390</v>
      </c>
      <c r="M214" t="s">
        <v>138</v>
      </c>
      <c r="N214" t="s">
        <v>138</v>
      </c>
      <c r="O214" t="s">
        <v>138</v>
      </c>
      <c r="P214" t="s">
        <v>138</v>
      </c>
      <c r="Q214" t="s">
        <v>138</v>
      </c>
      <c r="R214" t="s">
        <v>138</v>
      </c>
      <c r="S214" t="s">
        <v>138</v>
      </c>
      <c r="T214" t="s">
        <v>138</v>
      </c>
      <c r="U214" t="s">
        <v>138</v>
      </c>
      <c r="V214" t="s">
        <v>138</v>
      </c>
      <c r="W214" t="s">
        <v>138</v>
      </c>
      <c r="X214" t="s">
        <v>138</v>
      </c>
      <c r="Y214" t="s">
        <v>138</v>
      </c>
      <c r="Z214" t="s">
        <v>138</v>
      </c>
      <c r="AA214" t="s">
        <v>138</v>
      </c>
      <c r="AB214" t="s">
        <v>138</v>
      </c>
      <c r="AC214" t="s">
        <v>138</v>
      </c>
      <c r="AD214" t="s">
        <v>138</v>
      </c>
      <c r="AE214" t="s">
        <v>138</v>
      </c>
      <c r="AF214" t="s">
        <v>138</v>
      </c>
      <c r="AG214" s="893">
        <v>44147</v>
      </c>
      <c r="AH214" s="888">
        <f t="shared" si="3"/>
        <v>44136</v>
      </c>
    </row>
    <row r="215" spans="1:34">
      <c r="A215">
        <v>6</v>
      </c>
      <c r="B215">
        <v>390</v>
      </c>
      <c r="C215" t="s">
        <v>165</v>
      </c>
      <c r="D215">
        <v>148</v>
      </c>
      <c r="E215">
        <v>0</v>
      </c>
      <c r="F215">
        <v>0</v>
      </c>
      <c r="G215" t="s">
        <v>138</v>
      </c>
      <c r="H215" t="s">
        <v>138</v>
      </c>
      <c r="I215" s="893">
        <v>44179</v>
      </c>
      <c r="J215">
        <v>6</v>
      </c>
      <c r="K215" t="s">
        <v>165</v>
      </c>
      <c r="L215">
        <v>390</v>
      </c>
      <c r="M215" t="s">
        <v>138</v>
      </c>
      <c r="N215" t="s">
        <v>138</v>
      </c>
      <c r="O215" t="s">
        <v>138</v>
      </c>
      <c r="P215" t="s">
        <v>138</v>
      </c>
      <c r="Q215" t="s">
        <v>138</v>
      </c>
      <c r="R215" t="s">
        <v>138</v>
      </c>
      <c r="S215" t="s">
        <v>138</v>
      </c>
      <c r="T215" t="s">
        <v>138</v>
      </c>
      <c r="U215" t="s">
        <v>138</v>
      </c>
      <c r="V215" t="s">
        <v>138</v>
      </c>
      <c r="W215" t="s">
        <v>138</v>
      </c>
      <c r="X215" t="s">
        <v>138</v>
      </c>
      <c r="Y215" t="s">
        <v>138</v>
      </c>
      <c r="Z215" t="s">
        <v>138</v>
      </c>
      <c r="AA215" t="s">
        <v>138</v>
      </c>
      <c r="AB215" t="s">
        <v>138</v>
      </c>
      <c r="AC215" t="s">
        <v>138</v>
      </c>
      <c r="AD215" t="s">
        <v>138</v>
      </c>
      <c r="AE215" t="s">
        <v>138</v>
      </c>
      <c r="AF215" t="s">
        <v>138</v>
      </c>
      <c r="AG215" s="893">
        <v>44179</v>
      </c>
      <c r="AH215" s="888">
        <f t="shared" si="3"/>
        <v>44166</v>
      </c>
    </row>
    <row r="216" spans="1:34">
      <c r="A216">
        <v>7</v>
      </c>
      <c r="B216">
        <v>390</v>
      </c>
      <c r="C216" t="s">
        <v>165</v>
      </c>
      <c r="D216">
        <v>148</v>
      </c>
      <c r="E216">
        <v>0</v>
      </c>
      <c r="F216">
        <v>0</v>
      </c>
      <c r="G216" t="s">
        <v>138</v>
      </c>
      <c r="H216" t="s">
        <v>138</v>
      </c>
      <c r="I216" s="893">
        <v>44193</v>
      </c>
      <c r="J216">
        <v>7</v>
      </c>
      <c r="K216" t="s">
        <v>165</v>
      </c>
      <c r="L216">
        <v>390</v>
      </c>
      <c r="M216" t="s">
        <v>138</v>
      </c>
      <c r="N216" t="s">
        <v>138</v>
      </c>
      <c r="O216" t="s">
        <v>138</v>
      </c>
      <c r="P216" t="s">
        <v>138</v>
      </c>
      <c r="Q216" t="s">
        <v>138</v>
      </c>
      <c r="R216" t="s">
        <v>138</v>
      </c>
      <c r="S216" t="s">
        <v>138</v>
      </c>
      <c r="T216" t="s">
        <v>138</v>
      </c>
      <c r="U216" t="s">
        <v>138</v>
      </c>
      <c r="V216" t="s">
        <v>138</v>
      </c>
      <c r="W216" t="s">
        <v>138</v>
      </c>
      <c r="X216" t="s">
        <v>138</v>
      </c>
      <c r="Y216" t="s">
        <v>138</v>
      </c>
      <c r="Z216" t="s">
        <v>138</v>
      </c>
      <c r="AA216" t="s">
        <v>138</v>
      </c>
      <c r="AB216" t="s">
        <v>138</v>
      </c>
      <c r="AC216" t="s">
        <v>138</v>
      </c>
      <c r="AD216" t="s">
        <v>138</v>
      </c>
      <c r="AE216" t="s">
        <v>138</v>
      </c>
      <c r="AF216" t="s">
        <v>138</v>
      </c>
      <c r="AG216" s="893">
        <v>44193</v>
      </c>
      <c r="AH216" s="888">
        <f t="shared" si="3"/>
        <v>44166</v>
      </c>
    </row>
    <row r="217" spans="1:34">
      <c r="A217">
        <v>8</v>
      </c>
      <c r="B217">
        <v>390</v>
      </c>
      <c r="C217" t="s">
        <v>165</v>
      </c>
      <c r="D217">
        <v>148</v>
      </c>
      <c r="E217">
        <v>0</v>
      </c>
      <c r="F217">
        <v>0</v>
      </c>
      <c r="G217" t="s">
        <v>138</v>
      </c>
      <c r="H217" t="s">
        <v>138</v>
      </c>
      <c r="I217" s="893">
        <v>44208</v>
      </c>
      <c r="J217">
        <v>8</v>
      </c>
      <c r="K217" t="s">
        <v>165</v>
      </c>
      <c r="L217">
        <v>390</v>
      </c>
      <c r="M217" t="s">
        <v>138</v>
      </c>
      <c r="N217" t="s">
        <v>138</v>
      </c>
      <c r="O217" t="s">
        <v>138</v>
      </c>
      <c r="P217" t="s">
        <v>138</v>
      </c>
      <c r="Q217" t="s">
        <v>138</v>
      </c>
      <c r="R217" t="s">
        <v>138</v>
      </c>
      <c r="S217" t="s">
        <v>138</v>
      </c>
      <c r="T217" t="s">
        <v>138</v>
      </c>
      <c r="U217" t="s">
        <v>138</v>
      </c>
      <c r="V217" t="s">
        <v>138</v>
      </c>
      <c r="W217" t="s">
        <v>138</v>
      </c>
      <c r="X217" t="s">
        <v>138</v>
      </c>
      <c r="Y217" t="s">
        <v>138</v>
      </c>
      <c r="Z217" t="s">
        <v>138</v>
      </c>
      <c r="AA217" t="s">
        <v>138</v>
      </c>
      <c r="AB217" t="s">
        <v>138</v>
      </c>
      <c r="AC217" t="s">
        <v>138</v>
      </c>
      <c r="AD217" t="s">
        <v>138</v>
      </c>
      <c r="AE217" t="s">
        <v>138</v>
      </c>
      <c r="AF217" t="s">
        <v>138</v>
      </c>
      <c r="AG217" s="893">
        <v>44208</v>
      </c>
      <c r="AH217" s="888">
        <f t="shared" si="3"/>
        <v>44197</v>
      </c>
    </row>
    <row r="218" spans="1:34">
      <c r="A218">
        <v>1</v>
      </c>
      <c r="B218">
        <v>391</v>
      </c>
      <c r="C218" t="s">
        <v>166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893">
        <v>44043</v>
      </c>
      <c r="J218">
        <v>1</v>
      </c>
      <c r="K218" t="s">
        <v>166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893">
        <v>44043</v>
      </c>
      <c r="AH218" s="888">
        <f t="shared" si="3"/>
        <v>44013</v>
      </c>
    </row>
    <row r="219" spans="1:34">
      <c r="A219">
        <v>2</v>
      </c>
      <c r="B219">
        <v>391</v>
      </c>
      <c r="C219" t="s">
        <v>166</v>
      </c>
      <c r="D219">
        <v>104</v>
      </c>
      <c r="E219">
        <v>43060716.140000001</v>
      </c>
      <c r="F219">
        <v>0</v>
      </c>
      <c r="G219" t="s">
        <v>138</v>
      </c>
      <c r="H219" t="s">
        <v>138</v>
      </c>
      <c r="I219" s="893">
        <v>44055</v>
      </c>
      <c r="J219">
        <v>2</v>
      </c>
      <c r="K219" t="s">
        <v>166</v>
      </c>
      <c r="L219">
        <v>391</v>
      </c>
      <c r="M219">
        <v>0.55065601087181104</v>
      </c>
      <c r="N219" t="s">
        <v>138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138</v>
      </c>
      <c r="Z219" t="s">
        <v>138</v>
      </c>
      <c r="AA219" t="s">
        <v>138</v>
      </c>
      <c r="AB219" t="s">
        <v>138</v>
      </c>
      <c r="AC219" t="s">
        <v>138</v>
      </c>
      <c r="AD219" t="s">
        <v>138</v>
      </c>
      <c r="AE219" t="s">
        <v>138</v>
      </c>
      <c r="AF219" t="s">
        <v>138</v>
      </c>
      <c r="AG219" s="893">
        <v>44055</v>
      </c>
      <c r="AH219" s="888">
        <f t="shared" si="3"/>
        <v>44044</v>
      </c>
    </row>
    <row r="220" spans="1:34">
      <c r="A220">
        <v>3</v>
      </c>
      <c r="B220">
        <v>391</v>
      </c>
      <c r="C220" t="s">
        <v>166</v>
      </c>
      <c r="D220">
        <v>104</v>
      </c>
      <c r="E220">
        <v>0</v>
      </c>
      <c r="F220">
        <v>0</v>
      </c>
      <c r="G220" t="s">
        <v>138</v>
      </c>
      <c r="H220" t="s">
        <v>138</v>
      </c>
      <c r="I220" s="893">
        <v>44088</v>
      </c>
      <c r="J220">
        <v>3</v>
      </c>
      <c r="K220" t="s">
        <v>166</v>
      </c>
      <c r="L220">
        <v>391</v>
      </c>
      <c r="M220">
        <v>0.74590560407288498</v>
      </c>
      <c r="N220" t="s">
        <v>138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138</v>
      </c>
      <c r="Z220" t="s">
        <v>138</v>
      </c>
      <c r="AA220" t="s">
        <v>138</v>
      </c>
      <c r="AB220" t="s">
        <v>138</v>
      </c>
      <c r="AC220" t="s">
        <v>138</v>
      </c>
      <c r="AD220" t="s">
        <v>138</v>
      </c>
      <c r="AE220" t="s">
        <v>138</v>
      </c>
      <c r="AF220" t="s">
        <v>138</v>
      </c>
      <c r="AG220" s="893">
        <v>44088</v>
      </c>
      <c r="AH220" s="888">
        <f t="shared" si="3"/>
        <v>44075</v>
      </c>
    </row>
    <row r="221" spans="1:34">
      <c r="A221">
        <v>4</v>
      </c>
      <c r="B221">
        <v>391</v>
      </c>
      <c r="C221" t="s">
        <v>166</v>
      </c>
      <c r="D221">
        <v>104</v>
      </c>
      <c r="E221">
        <v>0</v>
      </c>
      <c r="F221">
        <v>0</v>
      </c>
      <c r="G221" t="s">
        <v>138</v>
      </c>
      <c r="H221" t="s">
        <v>138</v>
      </c>
      <c r="I221" s="893">
        <v>44117</v>
      </c>
      <c r="J221">
        <v>4</v>
      </c>
      <c r="K221" t="s">
        <v>166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138</v>
      </c>
      <c r="Z221" t="s">
        <v>138</v>
      </c>
      <c r="AA221" t="s">
        <v>138</v>
      </c>
      <c r="AB221" t="s">
        <v>138</v>
      </c>
      <c r="AC221" t="s">
        <v>138</v>
      </c>
      <c r="AD221" t="s">
        <v>138</v>
      </c>
      <c r="AE221" t="s">
        <v>138</v>
      </c>
      <c r="AF221" t="s">
        <v>138</v>
      </c>
      <c r="AG221" s="893">
        <v>44117</v>
      </c>
      <c r="AH221" s="888">
        <f t="shared" si="3"/>
        <v>44105</v>
      </c>
    </row>
    <row r="222" spans="1:34">
      <c r="A222">
        <v>5</v>
      </c>
      <c r="B222">
        <v>391</v>
      </c>
      <c r="C222" t="s">
        <v>166</v>
      </c>
      <c r="D222">
        <v>104</v>
      </c>
      <c r="E222">
        <v>0</v>
      </c>
      <c r="F222">
        <v>0</v>
      </c>
      <c r="G222" t="s">
        <v>138</v>
      </c>
      <c r="H222" t="s">
        <v>138</v>
      </c>
      <c r="I222" s="893">
        <v>44147</v>
      </c>
      <c r="J222">
        <v>5</v>
      </c>
      <c r="K222" t="s">
        <v>166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138</v>
      </c>
      <c r="Z222" t="s">
        <v>138</v>
      </c>
      <c r="AA222" t="s">
        <v>138</v>
      </c>
      <c r="AB222" t="s">
        <v>138</v>
      </c>
      <c r="AC222" t="s">
        <v>138</v>
      </c>
      <c r="AD222" t="s">
        <v>138</v>
      </c>
      <c r="AE222" t="s">
        <v>138</v>
      </c>
      <c r="AF222" t="s">
        <v>138</v>
      </c>
      <c r="AG222" s="893">
        <v>44147</v>
      </c>
      <c r="AH222" s="888">
        <f t="shared" si="3"/>
        <v>44136</v>
      </c>
    </row>
    <row r="223" spans="1:34">
      <c r="A223">
        <v>6</v>
      </c>
      <c r="B223">
        <v>391</v>
      </c>
      <c r="C223" t="s">
        <v>166</v>
      </c>
      <c r="D223">
        <v>104</v>
      </c>
      <c r="E223">
        <v>0</v>
      </c>
      <c r="F223">
        <v>0</v>
      </c>
      <c r="G223" t="s">
        <v>138</v>
      </c>
      <c r="H223" t="s">
        <v>138</v>
      </c>
      <c r="I223" s="893">
        <v>44179</v>
      </c>
      <c r="J223">
        <v>6</v>
      </c>
      <c r="K223" t="s">
        <v>166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138</v>
      </c>
      <c r="Z223" t="s">
        <v>138</v>
      </c>
      <c r="AA223" t="s">
        <v>138</v>
      </c>
      <c r="AB223" t="s">
        <v>138</v>
      </c>
      <c r="AC223" t="s">
        <v>138</v>
      </c>
      <c r="AD223" t="s">
        <v>138</v>
      </c>
      <c r="AE223" t="s">
        <v>138</v>
      </c>
      <c r="AF223" t="s">
        <v>138</v>
      </c>
      <c r="AG223" s="893">
        <v>44179</v>
      </c>
      <c r="AH223" s="888">
        <f t="shared" si="3"/>
        <v>44166</v>
      </c>
    </row>
    <row r="224" spans="1:34">
      <c r="A224">
        <v>7</v>
      </c>
      <c r="B224">
        <v>391</v>
      </c>
      <c r="C224" t="s">
        <v>166</v>
      </c>
      <c r="D224">
        <v>104</v>
      </c>
      <c r="E224">
        <v>0</v>
      </c>
      <c r="F224">
        <v>0</v>
      </c>
      <c r="G224" t="s">
        <v>138</v>
      </c>
      <c r="H224" t="s">
        <v>138</v>
      </c>
      <c r="I224" s="893">
        <v>44193</v>
      </c>
      <c r="J224">
        <v>7</v>
      </c>
      <c r="K224" t="s">
        <v>166</v>
      </c>
      <c r="L224">
        <v>391</v>
      </c>
      <c r="M224" t="s">
        <v>138</v>
      </c>
      <c r="N224">
        <v>0</v>
      </c>
      <c r="O224" t="s">
        <v>138</v>
      </c>
      <c r="P224" t="s">
        <v>138</v>
      </c>
      <c r="Q224" t="s">
        <v>138</v>
      </c>
      <c r="R224" t="s">
        <v>138</v>
      </c>
      <c r="S224" t="s">
        <v>138</v>
      </c>
      <c r="T224" t="s">
        <v>138</v>
      </c>
      <c r="U224" t="s">
        <v>138</v>
      </c>
      <c r="V224" t="s">
        <v>138</v>
      </c>
      <c r="W224" t="s">
        <v>138</v>
      </c>
      <c r="X224" t="s">
        <v>138</v>
      </c>
      <c r="Y224" t="s">
        <v>138</v>
      </c>
      <c r="Z224" t="s">
        <v>138</v>
      </c>
      <c r="AA224" t="s">
        <v>138</v>
      </c>
      <c r="AB224" t="s">
        <v>138</v>
      </c>
      <c r="AC224" t="s">
        <v>138</v>
      </c>
      <c r="AD224" t="s">
        <v>138</v>
      </c>
      <c r="AE224" t="s">
        <v>138</v>
      </c>
      <c r="AF224" t="s">
        <v>138</v>
      </c>
      <c r="AG224" s="893">
        <v>44193</v>
      </c>
      <c r="AH224" s="888">
        <f t="shared" si="3"/>
        <v>44166</v>
      </c>
    </row>
    <row r="225" spans="1:34">
      <c r="A225">
        <v>8</v>
      </c>
      <c r="B225">
        <v>391</v>
      </c>
      <c r="C225" t="s">
        <v>166</v>
      </c>
      <c r="D225">
        <v>104</v>
      </c>
      <c r="E225">
        <v>0</v>
      </c>
      <c r="F225">
        <v>0</v>
      </c>
      <c r="G225" t="s">
        <v>138</v>
      </c>
      <c r="H225" t="s">
        <v>138</v>
      </c>
      <c r="I225" s="893">
        <v>44208</v>
      </c>
      <c r="J225">
        <v>8</v>
      </c>
      <c r="K225" t="s">
        <v>166</v>
      </c>
      <c r="L225">
        <v>391</v>
      </c>
      <c r="M225" t="s">
        <v>138</v>
      </c>
      <c r="N225">
        <v>0</v>
      </c>
      <c r="O225" t="s">
        <v>138</v>
      </c>
      <c r="P225" t="s">
        <v>138</v>
      </c>
      <c r="Q225" t="s">
        <v>138</v>
      </c>
      <c r="R225" t="s">
        <v>138</v>
      </c>
      <c r="S225" t="s">
        <v>138</v>
      </c>
      <c r="T225" t="s">
        <v>138</v>
      </c>
      <c r="U225" t="s">
        <v>138</v>
      </c>
      <c r="V225" t="s">
        <v>138</v>
      </c>
      <c r="W225" t="s">
        <v>138</v>
      </c>
      <c r="X225" t="s">
        <v>138</v>
      </c>
      <c r="Y225" t="s">
        <v>138</v>
      </c>
      <c r="Z225" t="s">
        <v>138</v>
      </c>
      <c r="AA225" t="s">
        <v>138</v>
      </c>
      <c r="AB225" t="s">
        <v>138</v>
      </c>
      <c r="AC225" t="s">
        <v>138</v>
      </c>
      <c r="AD225" t="s">
        <v>138</v>
      </c>
      <c r="AE225" t="s">
        <v>138</v>
      </c>
      <c r="AF225" t="s">
        <v>138</v>
      </c>
      <c r="AG225" s="893">
        <v>44208</v>
      </c>
      <c r="AH225" s="888">
        <f t="shared" si="3"/>
        <v>44197</v>
      </c>
    </row>
    <row r="226" spans="1:34">
      <c r="A226">
        <v>1</v>
      </c>
      <c r="B226">
        <v>398</v>
      </c>
      <c r="C226" t="s">
        <v>167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893">
        <v>44043</v>
      </c>
      <c r="J226">
        <v>1</v>
      </c>
      <c r="K226" t="s">
        <v>167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893">
        <v>44043</v>
      </c>
      <c r="AH226" s="888">
        <f t="shared" si="3"/>
        <v>44013</v>
      </c>
    </row>
    <row r="227" spans="1:34">
      <c r="A227">
        <v>2</v>
      </c>
      <c r="B227">
        <v>398</v>
      </c>
      <c r="C227" t="s">
        <v>167</v>
      </c>
      <c r="D227">
        <v>147</v>
      </c>
      <c r="E227">
        <v>261688</v>
      </c>
      <c r="F227">
        <v>0</v>
      </c>
      <c r="G227" t="s">
        <v>138</v>
      </c>
      <c r="H227" t="s">
        <v>138</v>
      </c>
      <c r="I227" s="893">
        <v>44055</v>
      </c>
      <c r="J227">
        <v>2</v>
      </c>
      <c r="K227" t="s">
        <v>167</v>
      </c>
      <c r="L227">
        <v>398</v>
      </c>
      <c r="M227">
        <v>1</v>
      </c>
      <c r="N227" t="s">
        <v>138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138</v>
      </c>
      <c r="Z227" t="s">
        <v>138</v>
      </c>
      <c r="AA227" t="s">
        <v>138</v>
      </c>
      <c r="AB227" t="s">
        <v>138</v>
      </c>
      <c r="AC227" t="s">
        <v>138</v>
      </c>
      <c r="AD227" t="s">
        <v>138</v>
      </c>
      <c r="AE227" t="s">
        <v>138</v>
      </c>
      <c r="AF227" t="s">
        <v>138</v>
      </c>
      <c r="AG227" s="893">
        <v>44055</v>
      </c>
      <c r="AH227" s="888">
        <f t="shared" si="3"/>
        <v>44044</v>
      </c>
    </row>
    <row r="228" spans="1:34">
      <c r="A228">
        <v>3</v>
      </c>
      <c r="B228">
        <v>398</v>
      </c>
      <c r="C228" t="s">
        <v>167</v>
      </c>
      <c r="D228">
        <v>147</v>
      </c>
      <c r="E228">
        <v>610908.4</v>
      </c>
      <c r="F228">
        <v>0</v>
      </c>
      <c r="G228" t="s">
        <v>138</v>
      </c>
      <c r="H228" t="s">
        <v>138</v>
      </c>
      <c r="I228" s="893">
        <v>44088</v>
      </c>
      <c r="J228">
        <v>3</v>
      </c>
      <c r="K228" t="s">
        <v>167</v>
      </c>
      <c r="L228">
        <v>398</v>
      </c>
      <c r="M228">
        <v>0.75067006554841098</v>
      </c>
      <c r="N228" t="s">
        <v>138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138</v>
      </c>
      <c r="Z228" t="s">
        <v>138</v>
      </c>
      <c r="AA228" t="s">
        <v>138</v>
      </c>
      <c r="AB228" t="s">
        <v>138</v>
      </c>
      <c r="AC228" t="s">
        <v>138</v>
      </c>
      <c r="AD228" t="s">
        <v>138</v>
      </c>
      <c r="AE228" t="s">
        <v>138</v>
      </c>
      <c r="AF228" t="s">
        <v>138</v>
      </c>
      <c r="AG228" s="893">
        <v>44088</v>
      </c>
      <c r="AH228" s="888">
        <f t="shared" si="3"/>
        <v>44075</v>
      </c>
    </row>
    <row r="229" spans="1:34">
      <c r="A229">
        <v>4</v>
      </c>
      <c r="B229">
        <v>398</v>
      </c>
      <c r="C229" t="s">
        <v>167</v>
      </c>
      <c r="D229">
        <v>147</v>
      </c>
      <c r="E229">
        <v>683950</v>
      </c>
      <c r="F229">
        <v>0</v>
      </c>
      <c r="G229" t="s">
        <v>138</v>
      </c>
      <c r="H229" t="s">
        <v>138</v>
      </c>
      <c r="I229" s="893">
        <v>44117</v>
      </c>
      <c r="J229">
        <v>4</v>
      </c>
      <c r="K229" t="s">
        <v>167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138</v>
      </c>
      <c r="Z229" t="s">
        <v>138</v>
      </c>
      <c r="AA229" t="s">
        <v>138</v>
      </c>
      <c r="AB229" t="s">
        <v>138</v>
      </c>
      <c r="AC229" t="s">
        <v>138</v>
      </c>
      <c r="AD229" t="s">
        <v>138</v>
      </c>
      <c r="AE229" t="s">
        <v>138</v>
      </c>
      <c r="AF229" t="s">
        <v>138</v>
      </c>
      <c r="AG229" s="893">
        <v>44117</v>
      </c>
      <c r="AH229" s="888">
        <f t="shared" si="3"/>
        <v>44105</v>
      </c>
    </row>
    <row r="230" spans="1:34">
      <c r="A230">
        <v>5</v>
      </c>
      <c r="B230">
        <v>398</v>
      </c>
      <c r="C230" t="s">
        <v>167</v>
      </c>
      <c r="D230">
        <v>147</v>
      </c>
      <c r="E230">
        <v>936669</v>
      </c>
      <c r="F230">
        <v>0</v>
      </c>
      <c r="G230" t="s">
        <v>138</v>
      </c>
      <c r="H230" t="s">
        <v>138</v>
      </c>
      <c r="I230" s="893">
        <v>44147</v>
      </c>
      <c r="J230">
        <v>5</v>
      </c>
      <c r="K230" t="s">
        <v>167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138</v>
      </c>
      <c r="Z230" t="s">
        <v>138</v>
      </c>
      <c r="AA230" t="s">
        <v>138</v>
      </c>
      <c r="AB230" t="s">
        <v>138</v>
      </c>
      <c r="AC230" t="s">
        <v>138</v>
      </c>
      <c r="AD230" t="s">
        <v>138</v>
      </c>
      <c r="AE230" t="s">
        <v>138</v>
      </c>
      <c r="AF230" t="s">
        <v>138</v>
      </c>
      <c r="AG230" s="893">
        <v>44147</v>
      </c>
      <c r="AH230" s="888">
        <f t="shared" si="3"/>
        <v>44136</v>
      </c>
    </row>
    <row r="231" spans="1:34">
      <c r="A231">
        <v>6</v>
      </c>
      <c r="B231">
        <v>398</v>
      </c>
      <c r="C231" t="s">
        <v>167</v>
      </c>
      <c r="D231">
        <v>147</v>
      </c>
      <c r="E231">
        <v>729699</v>
      </c>
      <c r="F231">
        <v>0</v>
      </c>
      <c r="G231" t="s">
        <v>138</v>
      </c>
      <c r="H231" t="s">
        <v>138</v>
      </c>
      <c r="I231" s="893">
        <v>44179</v>
      </c>
      <c r="J231">
        <v>6</v>
      </c>
      <c r="K231" t="s">
        <v>167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138</v>
      </c>
      <c r="Z231" t="s">
        <v>138</v>
      </c>
      <c r="AA231" t="s">
        <v>138</v>
      </c>
      <c r="AB231" t="s">
        <v>138</v>
      </c>
      <c r="AC231" t="s">
        <v>138</v>
      </c>
      <c r="AD231" t="s">
        <v>138</v>
      </c>
      <c r="AE231" t="s">
        <v>138</v>
      </c>
      <c r="AF231" t="s">
        <v>138</v>
      </c>
      <c r="AG231" s="893">
        <v>44179</v>
      </c>
      <c r="AH231" s="888">
        <f t="shared" si="3"/>
        <v>44166</v>
      </c>
    </row>
    <row r="232" spans="1:34">
      <c r="A232">
        <v>7</v>
      </c>
      <c r="B232">
        <v>398</v>
      </c>
      <c r="C232" t="s">
        <v>167</v>
      </c>
      <c r="D232">
        <v>147</v>
      </c>
      <c r="E232">
        <v>765293.91</v>
      </c>
      <c r="F232">
        <v>0</v>
      </c>
      <c r="G232" t="s">
        <v>138</v>
      </c>
      <c r="H232" t="s">
        <v>138</v>
      </c>
      <c r="I232" s="893">
        <v>44193</v>
      </c>
      <c r="J232">
        <v>7</v>
      </c>
      <c r="K232" t="s">
        <v>167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138</v>
      </c>
      <c r="Z232" t="s">
        <v>138</v>
      </c>
      <c r="AA232" t="s">
        <v>138</v>
      </c>
      <c r="AB232" t="s">
        <v>138</v>
      </c>
      <c r="AC232" t="s">
        <v>138</v>
      </c>
      <c r="AD232" t="s">
        <v>138</v>
      </c>
      <c r="AE232" t="s">
        <v>138</v>
      </c>
      <c r="AF232" t="s">
        <v>138</v>
      </c>
      <c r="AG232" s="893">
        <v>44193</v>
      </c>
      <c r="AH232" s="888">
        <f t="shared" si="3"/>
        <v>44166</v>
      </c>
    </row>
    <row r="233" spans="1:34">
      <c r="A233">
        <v>8</v>
      </c>
      <c r="B233">
        <v>398</v>
      </c>
      <c r="C233" t="s">
        <v>167</v>
      </c>
      <c r="D233">
        <v>147</v>
      </c>
      <c r="E233">
        <v>0</v>
      </c>
      <c r="F233">
        <v>0</v>
      </c>
      <c r="G233" t="s">
        <v>138</v>
      </c>
      <c r="H233" t="s">
        <v>138</v>
      </c>
      <c r="I233" s="893">
        <v>44208</v>
      </c>
      <c r="J233">
        <v>8</v>
      </c>
      <c r="K233" t="s">
        <v>167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138</v>
      </c>
      <c r="Z233" t="s">
        <v>138</v>
      </c>
      <c r="AA233" t="s">
        <v>138</v>
      </c>
      <c r="AB233" t="s">
        <v>138</v>
      </c>
      <c r="AC233" t="s">
        <v>138</v>
      </c>
      <c r="AD233" t="s">
        <v>138</v>
      </c>
      <c r="AE233" t="s">
        <v>138</v>
      </c>
      <c r="AF233" t="s">
        <v>138</v>
      </c>
      <c r="AG233" s="893">
        <v>44208</v>
      </c>
      <c r="AH233" s="888">
        <f t="shared" si="3"/>
        <v>44197</v>
      </c>
    </row>
    <row r="234" spans="1:34">
      <c r="A234">
        <v>1</v>
      </c>
      <c r="B234">
        <v>399</v>
      </c>
      <c r="C234" t="s">
        <v>168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893">
        <v>44043</v>
      </c>
      <c r="J234">
        <v>1</v>
      </c>
      <c r="K234" t="s">
        <v>168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893">
        <v>44043</v>
      </c>
      <c r="AH234" s="888">
        <f t="shared" si="3"/>
        <v>44013</v>
      </c>
    </row>
    <row r="235" spans="1:34">
      <c r="A235">
        <v>2</v>
      </c>
      <c r="B235">
        <v>399</v>
      </c>
      <c r="C235" t="s">
        <v>168</v>
      </c>
      <c r="D235">
        <v>157</v>
      </c>
      <c r="E235">
        <v>229191.20075746</v>
      </c>
      <c r="F235">
        <v>0</v>
      </c>
      <c r="G235" t="s">
        <v>138</v>
      </c>
      <c r="H235" t="s">
        <v>138</v>
      </c>
      <c r="I235" s="893">
        <v>44055</v>
      </c>
      <c r="J235">
        <v>2</v>
      </c>
      <c r="K235" t="s">
        <v>168</v>
      </c>
      <c r="L235">
        <v>399</v>
      </c>
      <c r="M235">
        <v>0.466628747902601</v>
      </c>
      <c r="N235" t="s">
        <v>138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138</v>
      </c>
      <c r="Z235" t="s">
        <v>138</v>
      </c>
      <c r="AA235" t="s">
        <v>138</v>
      </c>
      <c r="AB235" t="s">
        <v>138</v>
      </c>
      <c r="AC235" t="s">
        <v>138</v>
      </c>
      <c r="AD235" t="s">
        <v>138</v>
      </c>
      <c r="AE235" t="s">
        <v>138</v>
      </c>
      <c r="AF235" t="s">
        <v>138</v>
      </c>
      <c r="AG235" s="893">
        <v>44055</v>
      </c>
      <c r="AH235" s="888">
        <f t="shared" si="3"/>
        <v>44044</v>
      </c>
    </row>
    <row r="236" spans="1:34">
      <c r="A236">
        <v>3</v>
      </c>
      <c r="B236">
        <v>399</v>
      </c>
      <c r="C236" t="s">
        <v>168</v>
      </c>
      <c r="D236">
        <v>157</v>
      </c>
      <c r="E236">
        <v>314895.05278020701</v>
      </c>
      <c r="F236">
        <v>0</v>
      </c>
      <c r="G236" t="s">
        <v>138</v>
      </c>
      <c r="H236" t="s">
        <v>138</v>
      </c>
      <c r="I236" s="893">
        <v>44088</v>
      </c>
      <c r="J236">
        <v>3</v>
      </c>
      <c r="K236" t="s">
        <v>168</v>
      </c>
      <c r="L236">
        <v>399</v>
      </c>
      <c r="M236">
        <v>0.57507579346573001</v>
      </c>
      <c r="N236" t="s">
        <v>138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138</v>
      </c>
      <c r="Z236" t="s">
        <v>138</v>
      </c>
      <c r="AA236" t="s">
        <v>138</v>
      </c>
      <c r="AB236" t="s">
        <v>138</v>
      </c>
      <c r="AC236" t="s">
        <v>138</v>
      </c>
      <c r="AD236" t="s">
        <v>138</v>
      </c>
      <c r="AE236" t="s">
        <v>138</v>
      </c>
      <c r="AF236" t="s">
        <v>138</v>
      </c>
      <c r="AG236" s="893">
        <v>44088</v>
      </c>
      <c r="AH236" s="888">
        <f t="shared" si="3"/>
        <v>44075</v>
      </c>
    </row>
    <row r="237" spans="1:34">
      <c r="A237">
        <v>4</v>
      </c>
      <c r="B237">
        <v>399</v>
      </c>
      <c r="C237" t="s">
        <v>168</v>
      </c>
      <c r="D237">
        <v>157</v>
      </c>
      <c r="E237">
        <v>258289.53927374</v>
      </c>
      <c r="F237">
        <v>0</v>
      </c>
      <c r="G237" t="s">
        <v>138</v>
      </c>
      <c r="H237" t="s">
        <v>138</v>
      </c>
      <c r="I237" s="893">
        <v>44117</v>
      </c>
      <c r="J237">
        <v>4</v>
      </c>
      <c r="K237" t="s">
        <v>168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138</v>
      </c>
      <c r="Z237" t="s">
        <v>138</v>
      </c>
      <c r="AA237" t="s">
        <v>138</v>
      </c>
      <c r="AB237" t="s">
        <v>138</v>
      </c>
      <c r="AC237" t="s">
        <v>138</v>
      </c>
      <c r="AD237" t="s">
        <v>138</v>
      </c>
      <c r="AE237" t="s">
        <v>138</v>
      </c>
      <c r="AF237" t="s">
        <v>138</v>
      </c>
      <c r="AG237" s="893">
        <v>44117</v>
      </c>
      <c r="AH237" s="888">
        <f t="shared" si="3"/>
        <v>44105</v>
      </c>
    </row>
    <row r="238" spans="1:34">
      <c r="A238">
        <v>5</v>
      </c>
      <c r="B238">
        <v>399</v>
      </c>
      <c r="C238" t="s">
        <v>168</v>
      </c>
      <c r="D238">
        <v>157</v>
      </c>
      <c r="E238">
        <v>280118.425661129</v>
      </c>
      <c r="F238">
        <v>0</v>
      </c>
      <c r="G238" t="s">
        <v>138</v>
      </c>
      <c r="H238" t="s">
        <v>138</v>
      </c>
      <c r="I238" s="893">
        <v>44147</v>
      </c>
      <c r="J238">
        <v>5</v>
      </c>
      <c r="K238" t="s">
        <v>168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138</v>
      </c>
      <c r="Z238" t="s">
        <v>138</v>
      </c>
      <c r="AA238" t="s">
        <v>138</v>
      </c>
      <c r="AB238" t="s">
        <v>138</v>
      </c>
      <c r="AC238" t="s">
        <v>138</v>
      </c>
      <c r="AD238" t="s">
        <v>138</v>
      </c>
      <c r="AE238" t="s">
        <v>138</v>
      </c>
      <c r="AF238" t="s">
        <v>138</v>
      </c>
      <c r="AG238" s="893">
        <v>44147</v>
      </c>
      <c r="AH238" s="888">
        <f t="shared" si="3"/>
        <v>44136</v>
      </c>
    </row>
    <row r="239" spans="1:34">
      <c r="A239">
        <v>6</v>
      </c>
      <c r="B239">
        <v>399</v>
      </c>
      <c r="C239" t="s">
        <v>168</v>
      </c>
      <c r="D239">
        <v>157</v>
      </c>
      <c r="E239">
        <v>255183.32970193701</v>
      </c>
      <c r="F239">
        <v>27084.5467762144</v>
      </c>
      <c r="G239" t="s">
        <v>138</v>
      </c>
      <c r="H239" t="s">
        <v>138</v>
      </c>
      <c r="I239" s="893">
        <v>44179</v>
      </c>
      <c r="J239">
        <v>6</v>
      </c>
      <c r="K239" t="s">
        <v>168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138</v>
      </c>
      <c r="Z239" t="s">
        <v>138</v>
      </c>
      <c r="AA239" t="s">
        <v>138</v>
      </c>
      <c r="AB239" t="s">
        <v>138</v>
      </c>
      <c r="AC239" t="s">
        <v>138</v>
      </c>
      <c r="AD239" t="s">
        <v>138</v>
      </c>
      <c r="AE239" t="s">
        <v>138</v>
      </c>
      <c r="AF239" t="s">
        <v>138</v>
      </c>
      <c r="AG239" s="893">
        <v>44179</v>
      </c>
      <c r="AH239" s="888">
        <f t="shared" si="3"/>
        <v>44166</v>
      </c>
    </row>
    <row r="240" spans="1:34">
      <c r="A240">
        <v>7</v>
      </c>
      <c r="B240">
        <v>399</v>
      </c>
      <c r="C240" t="s">
        <v>168</v>
      </c>
      <c r="D240">
        <v>157</v>
      </c>
      <c r="E240">
        <v>0</v>
      </c>
      <c r="F240">
        <v>242524.495548159</v>
      </c>
      <c r="G240" t="s">
        <v>138</v>
      </c>
      <c r="H240" t="s">
        <v>138</v>
      </c>
      <c r="I240" s="893">
        <v>44193</v>
      </c>
      <c r="J240">
        <v>7</v>
      </c>
      <c r="K240" t="s">
        <v>168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138</v>
      </c>
      <c r="Z240" t="s">
        <v>138</v>
      </c>
      <c r="AA240" t="s">
        <v>138</v>
      </c>
      <c r="AB240" t="s">
        <v>138</v>
      </c>
      <c r="AC240" t="s">
        <v>138</v>
      </c>
      <c r="AD240" t="s">
        <v>138</v>
      </c>
      <c r="AE240" t="s">
        <v>138</v>
      </c>
      <c r="AF240" t="s">
        <v>138</v>
      </c>
      <c r="AG240" s="893">
        <v>44193</v>
      </c>
      <c r="AH240" s="888">
        <f t="shared" si="3"/>
        <v>44166</v>
      </c>
    </row>
    <row r="241" spans="1:34">
      <c r="A241">
        <v>8</v>
      </c>
      <c r="B241">
        <v>399</v>
      </c>
      <c r="C241" t="s">
        <v>168</v>
      </c>
      <c r="D241">
        <v>157</v>
      </c>
      <c r="E241">
        <v>0</v>
      </c>
      <c r="F241">
        <v>0</v>
      </c>
      <c r="G241" t="s">
        <v>138</v>
      </c>
      <c r="H241" t="s">
        <v>138</v>
      </c>
      <c r="I241" s="893">
        <v>44208</v>
      </c>
      <c r="J241">
        <v>8</v>
      </c>
      <c r="K241" t="s">
        <v>168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138</v>
      </c>
      <c r="Z241" t="s">
        <v>138</v>
      </c>
      <c r="AA241" t="s">
        <v>138</v>
      </c>
      <c r="AB241" t="s">
        <v>138</v>
      </c>
      <c r="AC241" t="s">
        <v>138</v>
      </c>
      <c r="AD241" t="s">
        <v>138</v>
      </c>
      <c r="AE241" t="s">
        <v>138</v>
      </c>
      <c r="AF241" t="s">
        <v>138</v>
      </c>
      <c r="AG241" s="893">
        <v>44208</v>
      </c>
      <c r="AH241" s="888">
        <f t="shared" si="3"/>
        <v>44197</v>
      </c>
    </row>
    <row r="242" spans="1:34">
      <c r="A242">
        <v>1</v>
      </c>
      <c r="B242">
        <v>400</v>
      </c>
      <c r="C242" t="s">
        <v>169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893">
        <v>44043</v>
      </c>
      <c r="J242">
        <v>1</v>
      </c>
      <c r="K242" t="s">
        <v>169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893">
        <v>44043</v>
      </c>
      <c r="AH242" s="888">
        <f t="shared" si="3"/>
        <v>44013</v>
      </c>
    </row>
    <row r="243" spans="1:34">
      <c r="A243">
        <v>2</v>
      </c>
      <c r="B243">
        <v>400</v>
      </c>
      <c r="C243" t="s">
        <v>169</v>
      </c>
      <c r="D243">
        <v>164</v>
      </c>
      <c r="E243">
        <v>260914.8</v>
      </c>
      <c r="F243">
        <v>0</v>
      </c>
      <c r="G243" t="s">
        <v>138</v>
      </c>
      <c r="H243" t="s">
        <v>138</v>
      </c>
      <c r="I243" s="893">
        <v>44055</v>
      </c>
      <c r="J243">
        <v>2</v>
      </c>
      <c r="K243" t="s">
        <v>169</v>
      </c>
      <c r="L243">
        <v>400</v>
      </c>
      <c r="M243">
        <v>0.96682267418804702</v>
      </c>
      <c r="N243" t="s">
        <v>138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138</v>
      </c>
      <c r="Z243" t="s">
        <v>138</v>
      </c>
      <c r="AA243" t="s">
        <v>138</v>
      </c>
      <c r="AB243" t="s">
        <v>138</v>
      </c>
      <c r="AC243" t="s">
        <v>138</v>
      </c>
      <c r="AD243" t="s">
        <v>138</v>
      </c>
      <c r="AE243" t="s">
        <v>138</v>
      </c>
      <c r="AF243" t="s">
        <v>138</v>
      </c>
      <c r="AG243" s="893">
        <v>44055</v>
      </c>
      <c r="AH243" s="888">
        <f t="shared" si="3"/>
        <v>44044</v>
      </c>
    </row>
    <row r="244" spans="1:34">
      <c r="A244">
        <v>3</v>
      </c>
      <c r="B244">
        <v>400</v>
      </c>
      <c r="C244" t="s">
        <v>169</v>
      </c>
      <c r="D244">
        <v>164</v>
      </c>
      <c r="E244">
        <v>232349.68</v>
      </c>
      <c r="F244">
        <v>0</v>
      </c>
      <c r="G244" t="s">
        <v>138</v>
      </c>
      <c r="H244" t="s">
        <v>138</v>
      </c>
      <c r="I244" s="893">
        <v>44088</v>
      </c>
      <c r="J244">
        <v>3</v>
      </c>
      <c r="K244" t="s">
        <v>169</v>
      </c>
      <c r="L244">
        <v>400</v>
      </c>
      <c r="M244">
        <v>1</v>
      </c>
      <c r="N244" t="s">
        <v>138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138</v>
      </c>
      <c r="Z244" t="s">
        <v>138</v>
      </c>
      <c r="AA244" t="s">
        <v>138</v>
      </c>
      <c r="AB244" t="s">
        <v>138</v>
      </c>
      <c r="AC244" t="s">
        <v>138</v>
      </c>
      <c r="AD244" t="s">
        <v>138</v>
      </c>
      <c r="AE244" t="s">
        <v>138</v>
      </c>
      <c r="AF244" t="s">
        <v>138</v>
      </c>
      <c r="AG244" s="893">
        <v>44088</v>
      </c>
      <c r="AH244" s="888">
        <f t="shared" si="3"/>
        <v>44075</v>
      </c>
    </row>
    <row r="245" spans="1:34">
      <c r="A245">
        <v>4</v>
      </c>
      <c r="B245">
        <v>400</v>
      </c>
      <c r="C245" t="s">
        <v>169</v>
      </c>
      <c r="D245">
        <v>164</v>
      </c>
      <c r="E245">
        <v>327826.55</v>
      </c>
      <c r="F245">
        <v>0</v>
      </c>
      <c r="G245" t="s">
        <v>138</v>
      </c>
      <c r="H245" t="s">
        <v>138</v>
      </c>
      <c r="I245" s="893">
        <v>44117</v>
      </c>
      <c r="J245">
        <v>4</v>
      </c>
      <c r="K245" t="s">
        <v>169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138</v>
      </c>
      <c r="Z245" t="s">
        <v>138</v>
      </c>
      <c r="AA245" t="s">
        <v>138</v>
      </c>
      <c r="AB245" t="s">
        <v>138</v>
      </c>
      <c r="AC245" t="s">
        <v>138</v>
      </c>
      <c r="AD245" t="s">
        <v>138</v>
      </c>
      <c r="AE245" t="s">
        <v>138</v>
      </c>
      <c r="AF245" t="s">
        <v>138</v>
      </c>
      <c r="AG245" s="893">
        <v>44117</v>
      </c>
      <c r="AH245" s="888">
        <f t="shared" si="3"/>
        <v>44105</v>
      </c>
    </row>
    <row r="246" spans="1:34">
      <c r="A246">
        <v>5</v>
      </c>
      <c r="B246">
        <v>400</v>
      </c>
      <c r="C246" t="s">
        <v>169</v>
      </c>
      <c r="D246">
        <v>164</v>
      </c>
      <c r="E246">
        <v>386015.89</v>
      </c>
      <c r="F246">
        <v>0</v>
      </c>
      <c r="G246" t="s">
        <v>138</v>
      </c>
      <c r="H246" t="s">
        <v>138</v>
      </c>
      <c r="I246" s="893">
        <v>44147</v>
      </c>
      <c r="J246">
        <v>5</v>
      </c>
      <c r="K246" t="s">
        <v>169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138</v>
      </c>
      <c r="Z246" t="s">
        <v>138</v>
      </c>
      <c r="AA246" t="s">
        <v>138</v>
      </c>
      <c r="AB246" t="s">
        <v>138</v>
      </c>
      <c r="AC246" t="s">
        <v>138</v>
      </c>
      <c r="AD246" t="s">
        <v>138</v>
      </c>
      <c r="AE246" t="s">
        <v>138</v>
      </c>
      <c r="AF246" t="s">
        <v>138</v>
      </c>
      <c r="AG246" s="893">
        <v>44147</v>
      </c>
      <c r="AH246" s="888">
        <f t="shared" si="3"/>
        <v>44136</v>
      </c>
    </row>
    <row r="247" spans="1:34">
      <c r="A247">
        <v>6</v>
      </c>
      <c r="B247">
        <v>400</v>
      </c>
      <c r="C247" t="s">
        <v>169</v>
      </c>
      <c r="D247">
        <v>164</v>
      </c>
      <c r="E247">
        <v>435454.63</v>
      </c>
      <c r="F247">
        <v>0</v>
      </c>
      <c r="G247" t="s">
        <v>138</v>
      </c>
      <c r="H247" t="s">
        <v>138</v>
      </c>
      <c r="I247" s="893">
        <v>44179</v>
      </c>
      <c r="J247">
        <v>6</v>
      </c>
      <c r="K247" t="s">
        <v>169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138</v>
      </c>
      <c r="Z247" t="s">
        <v>138</v>
      </c>
      <c r="AA247" t="s">
        <v>138</v>
      </c>
      <c r="AB247" t="s">
        <v>138</v>
      </c>
      <c r="AC247" t="s">
        <v>138</v>
      </c>
      <c r="AD247" t="s">
        <v>138</v>
      </c>
      <c r="AE247" t="s">
        <v>138</v>
      </c>
      <c r="AF247" t="s">
        <v>138</v>
      </c>
      <c r="AG247" s="893">
        <v>44179</v>
      </c>
      <c r="AH247" s="888">
        <f t="shared" si="3"/>
        <v>44166</v>
      </c>
    </row>
    <row r="248" spans="1:34">
      <c r="A248">
        <v>7</v>
      </c>
      <c r="B248">
        <v>400</v>
      </c>
      <c r="C248" t="s">
        <v>169</v>
      </c>
      <c r="D248">
        <v>164</v>
      </c>
      <c r="E248">
        <v>415411.06</v>
      </c>
      <c r="F248">
        <v>0</v>
      </c>
      <c r="G248" t="s">
        <v>138</v>
      </c>
      <c r="H248" t="s">
        <v>138</v>
      </c>
      <c r="I248" s="893">
        <v>44193</v>
      </c>
      <c r="J248">
        <v>7</v>
      </c>
      <c r="K248" t="s">
        <v>169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138</v>
      </c>
      <c r="Z248" t="s">
        <v>138</v>
      </c>
      <c r="AA248" t="s">
        <v>138</v>
      </c>
      <c r="AB248" t="s">
        <v>138</v>
      </c>
      <c r="AC248" t="s">
        <v>138</v>
      </c>
      <c r="AD248" t="s">
        <v>138</v>
      </c>
      <c r="AE248" t="s">
        <v>138</v>
      </c>
      <c r="AF248" t="s">
        <v>138</v>
      </c>
      <c r="AG248" s="893">
        <v>44193</v>
      </c>
      <c r="AH248" s="888">
        <f t="shared" si="3"/>
        <v>44166</v>
      </c>
    </row>
    <row r="249" spans="1:34">
      <c r="A249">
        <v>8</v>
      </c>
      <c r="B249">
        <v>400</v>
      </c>
      <c r="C249" t="s">
        <v>169</v>
      </c>
      <c r="D249">
        <v>164</v>
      </c>
      <c r="E249">
        <v>0</v>
      </c>
      <c r="F249">
        <v>0</v>
      </c>
      <c r="G249" t="s">
        <v>138</v>
      </c>
      <c r="H249" t="s">
        <v>138</v>
      </c>
      <c r="I249" s="893">
        <v>44208</v>
      </c>
      <c r="J249">
        <v>8</v>
      </c>
      <c r="K249" t="s">
        <v>169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138</v>
      </c>
      <c r="Z249" t="s">
        <v>138</v>
      </c>
      <c r="AA249" t="s">
        <v>138</v>
      </c>
      <c r="AB249" t="s">
        <v>138</v>
      </c>
      <c r="AC249" t="s">
        <v>138</v>
      </c>
      <c r="AD249" t="s">
        <v>138</v>
      </c>
      <c r="AE249" t="s">
        <v>138</v>
      </c>
      <c r="AF249" t="s">
        <v>138</v>
      </c>
      <c r="AG249" s="893">
        <v>44208</v>
      </c>
      <c r="AH249" s="888">
        <f t="shared" si="3"/>
        <v>44197</v>
      </c>
    </row>
    <row r="250" spans="1:34">
      <c r="A250">
        <v>1</v>
      </c>
      <c r="B250">
        <v>401</v>
      </c>
      <c r="C250" t="s">
        <v>170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893">
        <v>44043</v>
      </c>
      <c r="J250">
        <v>1</v>
      </c>
      <c r="K250" t="s">
        <v>170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893">
        <v>44043</v>
      </c>
      <c r="AH250" s="888">
        <f t="shared" si="3"/>
        <v>44013</v>
      </c>
    </row>
    <row r="251" spans="1:34">
      <c r="A251">
        <v>2</v>
      </c>
      <c r="B251">
        <v>401</v>
      </c>
      <c r="C251" t="s">
        <v>170</v>
      </c>
      <c r="D251">
        <v>161</v>
      </c>
      <c r="E251">
        <v>0</v>
      </c>
      <c r="F251">
        <v>0</v>
      </c>
      <c r="G251" t="s">
        <v>138</v>
      </c>
      <c r="H251" t="s">
        <v>138</v>
      </c>
      <c r="I251" s="893">
        <v>44055</v>
      </c>
      <c r="J251">
        <v>2</v>
      </c>
      <c r="K251" t="s">
        <v>170</v>
      </c>
      <c r="L251">
        <v>401</v>
      </c>
      <c r="M251">
        <v>1</v>
      </c>
      <c r="N251" t="s">
        <v>138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138</v>
      </c>
      <c r="Z251" t="s">
        <v>138</v>
      </c>
      <c r="AA251" t="s">
        <v>138</v>
      </c>
      <c r="AB251" t="s">
        <v>138</v>
      </c>
      <c r="AC251" t="s">
        <v>138</v>
      </c>
      <c r="AD251" t="s">
        <v>138</v>
      </c>
      <c r="AE251" t="s">
        <v>138</v>
      </c>
      <c r="AF251" t="s">
        <v>138</v>
      </c>
      <c r="AG251" s="893">
        <v>44055</v>
      </c>
      <c r="AH251" s="888">
        <f t="shared" si="3"/>
        <v>44044</v>
      </c>
    </row>
    <row r="252" spans="1:34">
      <c r="A252">
        <v>3</v>
      </c>
      <c r="B252">
        <v>401</v>
      </c>
      <c r="C252" t="s">
        <v>170</v>
      </c>
      <c r="D252">
        <v>161</v>
      </c>
      <c r="E252">
        <v>0</v>
      </c>
      <c r="F252">
        <v>0</v>
      </c>
      <c r="G252" t="s">
        <v>138</v>
      </c>
      <c r="H252" t="s">
        <v>138</v>
      </c>
      <c r="I252" s="893">
        <v>44088</v>
      </c>
      <c r="J252">
        <v>3</v>
      </c>
      <c r="K252" t="s">
        <v>170</v>
      </c>
      <c r="L252">
        <v>401</v>
      </c>
      <c r="M252">
        <v>1</v>
      </c>
      <c r="N252" t="s">
        <v>138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138</v>
      </c>
      <c r="Z252" t="s">
        <v>138</v>
      </c>
      <c r="AA252" t="s">
        <v>138</v>
      </c>
      <c r="AB252" t="s">
        <v>138</v>
      </c>
      <c r="AC252" t="s">
        <v>138</v>
      </c>
      <c r="AD252" t="s">
        <v>138</v>
      </c>
      <c r="AE252" t="s">
        <v>138</v>
      </c>
      <c r="AF252" t="s">
        <v>138</v>
      </c>
      <c r="AG252" s="893">
        <v>44088</v>
      </c>
      <c r="AH252" s="888">
        <f t="shared" si="3"/>
        <v>44075</v>
      </c>
    </row>
    <row r="253" spans="1:34">
      <c r="A253">
        <v>4</v>
      </c>
      <c r="B253">
        <v>401</v>
      </c>
      <c r="C253" t="s">
        <v>170</v>
      </c>
      <c r="D253">
        <v>161</v>
      </c>
      <c r="E253">
        <v>0</v>
      </c>
      <c r="F253">
        <v>0</v>
      </c>
      <c r="G253" t="s">
        <v>138</v>
      </c>
      <c r="H253" t="s">
        <v>138</v>
      </c>
      <c r="I253" s="893">
        <v>44117</v>
      </c>
      <c r="J253">
        <v>4</v>
      </c>
      <c r="K253" t="s">
        <v>170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138</v>
      </c>
      <c r="Z253" t="s">
        <v>138</v>
      </c>
      <c r="AA253" t="s">
        <v>138</v>
      </c>
      <c r="AB253" t="s">
        <v>138</v>
      </c>
      <c r="AC253" t="s">
        <v>138</v>
      </c>
      <c r="AD253" t="s">
        <v>138</v>
      </c>
      <c r="AE253" t="s">
        <v>138</v>
      </c>
      <c r="AF253" t="s">
        <v>138</v>
      </c>
      <c r="AG253" s="893">
        <v>44117</v>
      </c>
      <c r="AH253" s="888">
        <f t="shared" si="3"/>
        <v>44105</v>
      </c>
    </row>
    <row r="254" spans="1:34">
      <c r="A254">
        <v>5</v>
      </c>
      <c r="B254">
        <v>401</v>
      </c>
      <c r="C254" t="s">
        <v>170</v>
      </c>
      <c r="D254">
        <v>161</v>
      </c>
      <c r="E254">
        <v>0</v>
      </c>
      <c r="F254">
        <v>0</v>
      </c>
      <c r="G254" t="s">
        <v>138</v>
      </c>
      <c r="H254" t="s">
        <v>138</v>
      </c>
      <c r="I254" s="893">
        <v>44147</v>
      </c>
      <c r="J254">
        <v>5</v>
      </c>
      <c r="K254" t="s">
        <v>170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138</v>
      </c>
      <c r="Z254" t="s">
        <v>138</v>
      </c>
      <c r="AA254" t="s">
        <v>138</v>
      </c>
      <c r="AB254" t="s">
        <v>138</v>
      </c>
      <c r="AC254" t="s">
        <v>138</v>
      </c>
      <c r="AD254" t="s">
        <v>138</v>
      </c>
      <c r="AE254" t="s">
        <v>138</v>
      </c>
      <c r="AF254" t="s">
        <v>138</v>
      </c>
      <c r="AG254" s="893">
        <v>44147</v>
      </c>
      <c r="AH254" s="888">
        <f t="shared" si="3"/>
        <v>44136</v>
      </c>
    </row>
    <row r="255" spans="1:34">
      <c r="A255">
        <v>6</v>
      </c>
      <c r="B255">
        <v>401</v>
      </c>
      <c r="C255" t="s">
        <v>170</v>
      </c>
      <c r="D255">
        <v>161</v>
      </c>
      <c r="E255">
        <v>0</v>
      </c>
      <c r="F255">
        <v>0</v>
      </c>
      <c r="G255" t="s">
        <v>138</v>
      </c>
      <c r="H255" t="s">
        <v>138</v>
      </c>
      <c r="I255" s="893">
        <v>44179</v>
      </c>
      <c r="J255">
        <v>6</v>
      </c>
      <c r="K255" t="s">
        <v>170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138</v>
      </c>
      <c r="Z255" t="s">
        <v>138</v>
      </c>
      <c r="AA255" t="s">
        <v>138</v>
      </c>
      <c r="AB255" t="s">
        <v>138</v>
      </c>
      <c r="AC255" t="s">
        <v>138</v>
      </c>
      <c r="AD255" t="s">
        <v>138</v>
      </c>
      <c r="AE255" t="s">
        <v>138</v>
      </c>
      <c r="AF255" t="s">
        <v>138</v>
      </c>
      <c r="AG255" s="893">
        <v>44179</v>
      </c>
      <c r="AH255" s="888">
        <f t="shared" si="3"/>
        <v>44166</v>
      </c>
    </row>
    <row r="256" spans="1:34">
      <c r="A256">
        <v>7</v>
      </c>
      <c r="B256">
        <v>401</v>
      </c>
      <c r="C256" t="s">
        <v>170</v>
      </c>
      <c r="D256">
        <v>161</v>
      </c>
      <c r="E256">
        <v>0</v>
      </c>
      <c r="F256">
        <v>0</v>
      </c>
      <c r="G256" t="s">
        <v>138</v>
      </c>
      <c r="H256" t="s">
        <v>138</v>
      </c>
      <c r="I256" s="893">
        <v>44193</v>
      </c>
      <c r="J256">
        <v>7</v>
      </c>
      <c r="K256" t="s">
        <v>170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138</v>
      </c>
      <c r="Z256" t="s">
        <v>138</v>
      </c>
      <c r="AA256" t="s">
        <v>138</v>
      </c>
      <c r="AB256" t="s">
        <v>138</v>
      </c>
      <c r="AC256" t="s">
        <v>138</v>
      </c>
      <c r="AD256" t="s">
        <v>138</v>
      </c>
      <c r="AE256" t="s">
        <v>138</v>
      </c>
      <c r="AF256" t="s">
        <v>138</v>
      </c>
      <c r="AG256" s="893">
        <v>44193</v>
      </c>
      <c r="AH256" s="888">
        <f t="shared" si="3"/>
        <v>44166</v>
      </c>
    </row>
    <row r="257" spans="1:34">
      <c r="A257">
        <v>8</v>
      </c>
      <c r="B257">
        <v>401</v>
      </c>
      <c r="C257" t="s">
        <v>170</v>
      </c>
      <c r="D257">
        <v>161</v>
      </c>
      <c r="E257">
        <v>0</v>
      </c>
      <c r="F257">
        <v>0</v>
      </c>
      <c r="G257" t="s">
        <v>138</v>
      </c>
      <c r="H257" t="s">
        <v>138</v>
      </c>
      <c r="I257" s="893">
        <v>44208</v>
      </c>
      <c r="J257">
        <v>8</v>
      </c>
      <c r="K257" t="s">
        <v>170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138</v>
      </c>
      <c r="Z257" t="s">
        <v>138</v>
      </c>
      <c r="AA257" t="s">
        <v>138</v>
      </c>
      <c r="AB257" t="s">
        <v>138</v>
      </c>
      <c r="AC257" t="s">
        <v>138</v>
      </c>
      <c r="AD257" t="s">
        <v>138</v>
      </c>
      <c r="AE257" t="s">
        <v>138</v>
      </c>
      <c r="AF257" t="s">
        <v>138</v>
      </c>
      <c r="AG257" s="893">
        <v>44208</v>
      </c>
      <c r="AH257" s="888">
        <f t="shared" si="3"/>
        <v>44197</v>
      </c>
    </row>
    <row r="258" spans="1:34">
      <c r="A258">
        <v>1</v>
      </c>
      <c r="B258">
        <v>404</v>
      </c>
      <c r="C258" t="s">
        <v>171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893">
        <v>44043</v>
      </c>
      <c r="J258">
        <v>1</v>
      </c>
      <c r="K258" t="s">
        <v>172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893">
        <v>44043</v>
      </c>
      <c r="AH258" s="888">
        <f t="shared" si="3"/>
        <v>44013</v>
      </c>
    </row>
    <row r="259" spans="1:34">
      <c r="A259">
        <v>2</v>
      </c>
      <c r="B259">
        <v>404</v>
      </c>
      <c r="C259" t="s">
        <v>171</v>
      </c>
      <c r="D259">
        <v>151</v>
      </c>
      <c r="E259">
        <v>24574456.920000002</v>
      </c>
      <c r="F259">
        <v>0</v>
      </c>
      <c r="G259" t="s">
        <v>138</v>
      </c>
      <c r="H259" t="s">
        <v>138</v>
      </c>
      <c r="I259" s="893">
        <v>44055</v>
      </c>
      <c r="J259">
        <v>2</v>
      </c>
      <c r="K259" t="s">
        <v>172</v>
      </c>
      <c r="L259">
        <v>404</v>
      </c>
      <c r="M259">
        <v>0.47971028030062601</v>
      </c>
      <c r="N259" t="s">
        <v>138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138</v>
      </c>
      <c r="Z259" t="s">
        <v>138</v>
      </c>
      <c r="AA259" t="s">
        <v>138</v>
      </c>
      <c r="AB259" t="s">
        <v>138</v>
      </c>
      <c r="AC259" t="s">
        <v>138</v>
      </c>
      <c r="AD259" t="s">
        <v>138</v>
      </c>
      <c r="AE259" t="s">
        <v>138</v>
      </c>
      <c r="AF259" t="s">
        <v>138</v>
      </c>
      <c r="AG259" s="893">
        <v>44055</v>
      </c>
      <c r="AH259" s="888">
        <f t="shared" ref="AH259:AH322" si="4">DATE(YEAR(I259),MONTH(I259),1)</f>
        <v>44044</v>
      </c>
    </row>
    <row r="260" spans="1:34">
      <c r="A260">
        <v>3</v>
      </c>
      <c r="B260">
        <v>404</v>
      </c>
      <c r="C260" t="s">
        <v>171</v>
      </c>
      <c r="D260">
        <v>151</v>
      </c>
      <c r="E260">
        <v>21278561.719999999</v>
      </c>
      <c r="F260">
        <v>0</v>
      </c>
      <c r="G260" t="s">
        <v>138</v>
      </c>
      <c r="H260" t="s">
        <v>138</v>
      </c>
      <c r="I260" s="893">
        <v>44088</v>
      </c>
      <c r="J260">
        <v>3</v>
      </c>
      <c r="K260" t="s">
        <v>172</v>
      </c>
      <c r="L260">
        <v>404</v>
      </c>
      <c r="M260">
        <v>0.76272644800802702</v>
      </c>
      <c r="N260" t="s">
        <v>138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138</v>
      </c>
      <c r="Z260" t="s">
        <v>138</v>
      </c>
      <c r="AA260" t="s">
        <v>138</v>
      </c>
      <c r="AB260" t="s">
        <v>138</v>
      </c>
      <c r="AC260" t="s">
        <v>138</v>
      </c>
      <c r="AD260" t="s">
        <v>138</v>
      </c>
      <c r="AE260" t="s">
        <v>138</v>
      </c>
      <c r="AF260" t="s">
        <v>138</v>
      </c>
      <c r="AG260" s="893">
        <v>44088</v>
      </c>
      <c r="AH260" s="888">
        <f t="shared" si="4"/>
        <v>44075</v>
      </c>
    </row>
    <row r="261" spans="1:34">
      <c r="A261">
        <v>4</v>
      </c>
      <c r="B261">
        <v>404</v>
      </c>
      <c r="C261" t="s">
        <v>171</v>
      </c>
      <c r="D261">
        <v>151</v>
      </c>
      <c r="E261">
        <v>9293420.7308857292</v>
      </c>
      <c r="F261">
        <v>0</v>
      </c>
      <c r="G261" t="s">
        <v>138</v>
      </c>
      <c r="H261" t="s">
        <v>138</v>
      </c>
      <c r="I261" s="893">
        <v>44117</v>
      </c>
      <c r="J261">
        <v>4</v>
      </c>
      <c r="K261" t="s">
        <v>172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138</v>
      </c>
      <c r="Z261" t="s">
        <v>138</v>
      </c>
      <c r="AA261" t="s">
        <v>138</v>
      </c>
      <c r="AB261" t="s">
        <v>138</v>
      </c>
      <c r="AC261" t="s">
        <v>138</v>
      </c>
      <c r="AD261" t="s">
        <v>138</v>
      </c>
      <c r="AE261" t="s">
        <v>138</v>
      </c>
      <c r="AF261" t="s">
        <v>138</v>
      </c>
      <c r="AG261" s="893">
        <v>44117</v>
      </c>
      <c r="AH261" s="888">
        <f t="shared" si="4"/>
        <v>44105</v>
      </c>
    </row>
    <row r="262" spans="1:34">
      <c r="A262">
        <v>5</v>
      </c>
      <c r="B262">
        <v>404</v>
      </c>
      <c r="C262" t="s">
        <v>171</v>
      </c>
      <c r="D262">
        <v>151</v>
      </c>
      <c r="E262">
        <v>9629652.3346781097</v>
      </c>
      <c r="F262">
        <v>0</v>
      </c>
      <c r="G262" t="s">
        <v>138</v>
      </c>
      <c r="H262" t="s">
        <v>138</v>
      </c>
      <c r="I262" s="893">
        <v>44147</v>
      </c>
      <c r="J262">
        <v>5</v>
      </c>
      <c r="K262" t="s">
        <v>172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138</v>
      </c>
      <c r="Z262" t="s">
        <v>138</v>
      </c>
      <c r="AA262" t="s">
        <v>138</v>
      </c>
      <c r="AB262" t="s">
        <v>138</v>
      </c>
      <c r="AC262" t="s">
        <v>138</v>
      </c>
      <c r="AD262" t="s">
        <v>138</v>
      </c>
      <c r="AE262" t="s">
        <v>138</v>
      </c>
      <c r="AF262" t="s">
        <v>138</v>
      </c>
      <c r="AG262" s="893">
        <v>44147</v>
      </c>
      <c r="AH262" s="888">
        <f t="shared" si="4"/>
        <v>44136</v>
      </c>
    </row>
    <row r="263" spans="1:34">
      <c r="A263">
        <v>6</v>
      </c>
      <c r="B263">
        <v>404</v>
      </c>
      <c r="C263" t="s">
        <v>171</v>
      </c>
      <c r="D263">
        <v>151</v>
      </c>
      <c r="E263">
        <v>0</v>
      </c>
      <c r="F263">
        <v>0</v>
      </c>
      <c r="G263" t="s">
        <v>138</v>
      </c>
      <c r="H263" t="s">
        <v>138</v>
      </c>
      <c r="I263" s="893">
        <v>44179</v>
      </c>
      <c r="J263">
        <v>6</v>
      </c>
      <c r="K263" t="s">
        <v>172</v>
      </c>
      <c r="L263">
        <v>404</v>
      </c>
      <c r="M263" t="s">
        <v>138</v>
      </c>
      <c r="N263">
        <v>0</v>
      </c>
      <c r="O263" t="s">
        <v>138</v>
      </c>
      <c r="P263" t="s">
        <v>138</v>
      </c>
      <c r="Q263" t="s">
        <v>138</v>
      </c>
      <c r="R263" t="s">
        <v>138</v>
      </c>
      <c r="S263" t="s">
        <v>138</v>
      </c>
      <c r="T263" t="s">
        <v>138</v>
      </c>
      <c r="U263" t="s">
        <v>138</v>
      </c>
      <c r="V263" t="s">
        <v>138</v>
      </c>
      <c r="W263" t="s">
        <v>138</v>
      </c>
      <c r="X263" t="s">
        <v>138</v>
      </c>
      <c r="Y263" t="s">
        <v>138</v>
      </c>
      <c r="Z263" t="s">
        <v>138</v>
      </c>
      <c r="AA263" t="s">
        <v>138</v>
      </c>
      <c r="AB263" t="s">
        <v>138</v>
      </c>
      <c r="AC263" t="s">
        <v>138</v>
      </c>
      <c r="AD263" t="s">
        <v>138</v>
      </c>
      <c r="AE263" t="s">
        <v>138</v>
      </c>
      <c r="AF263" t="s">
        <v>138</v>
      </c>
      <c r="AG263" s="893">
        <v>44179</v>
      </c>
      <c r="AH263" s="888">
        <f t="shared" si="4"/>
        <v>44166</v>
      </c>
    </row>
    <row r="264" spans="1:34">
      <c r="A264">
        <v>7</v>
      </c>
      <c r="B264">
        <v>404</v>
      </c>
      <c r="C264" t="s">
        <v>171</v>
      </c>
      <c r="D264">
        <v>151</v>
      </c>
      <c r="E264">
        <v>0</v>
      </c>
      <c r="F264">
        <v>0</v>
      </c>
      <c r="G264" t="s">
        <v>138</v>
      </c>
      <c r="H264" t="s">
        <v>138</v>
      </c>
      <c r="I264" s="893">
        <v>44193</v>
      </c>
      <c r="J264">
        <v>7</v>
      </c>
      <c r="K264" t="s">
        <v>172</v>
      </c>
      <c r="L264">
        <v>404</v>
      </c>
      <c r="M264" t="s">
        <v>138</v>
      </c>
      <c r="N264">
        <v>0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  <c r="Y264" t="s">
        <v>138</v>
      </c>
      <c r="Z264" t="s">
        <v>138</v>
      </c>
      <c r="AA264" t="s">
        <v>138</v>
      </c>
      <c r="AB264" t="s">
        <v>138</v>
      </c>
      <c r="AC264" t="s">
        <v>138</v>
      </c>
      <c r="AD264" t="s">
        <v>138</v>
      </c>
      <c r="AE264" t="s">
        <v>138</v>
      </c>
      <c r="AF264" t="s">
        <v>138</v>
      </c>
      <c r="AG264" s="893">
        <v>44193</v>
      </c>
      <c r="AH264" s="888">
        <f t="shared" si="4"/>
        <v>44166</v>
      </c>
    </row>
    <row r="265" spans="1:34">
      <c r="A265">
        <v>8</v>
      </c>
      <c r="B265">
        <v>404</v>
      </c>
      <c r="C265" t="s">
        <v>171</v>
      </c>
      <c r="D265">
        <v>151</v>
      </c>
      <c r="E265">
        <v>0</v>
      </c>
      <c r="F265">
        <v>0</v>
      </c>
      <c r="G265" t="s">
        <v>138</v>
      </c>
      <c r="H265" t="s">
        <v>138</v>
      </c>
      <c r="I265" s="893">
        <v>44208</v>
      </c>
      <c r="J265">
        <v>8</v>
      </c>
      <c r="K265" t="s">
        <v>172</v>
      </c>
      <c r="L265">
        <v>404</v>
      </c>
      <c r="M265" t="s">
        <v>138</v>
      </c>
      <c r="N265">
        <v>0</v>
      </c>
      <c r="O265" t="s">
        <v>138</v>
      </c>
      <c r="P265" t="s">
        <v>138</v>
      </c>
      <c r="Q265" t="s">
        <v>138</v>
      </c>
      <c r="R265" t="s">
        <v>138</v>
      </c>
      <c r="S265" t="s">
        <v>138</v>
      </c>
      <c r="T265" t="s">
        <v>138</v>
      </c>
      <c r="U265" t="s">
        <v>138</v>
      </c>
      <c r="V265" t="s">
        <v>138</v>
      </c>
      <c r="W265" t="s">
        <v>138</v>
      </c>
      <c r="X265" t="s">
        <v>138</v>
      </c>
      <c r="Y265" t="s">
        <v>138</v>
      </c>
      <c r="Z265" t="s">
        <v>138</v>
      </c>
      <c r="AA265" t="s">
        <v>138</v>
      </c>
      <c r="AB265" t="s">
        <v>138</v>
      </c>
      <c r="AC265" t="s">
        <v>138</v>
      </c>
      <c r="AD265" t="s">
        <v>138</v>
      </c>
      <c r="AE265" t="s">
        <v>138</v>
      </c>
      <c r="AF265" t="s">
        <v>138</v>
      </c>
      <c r="AG265" s="893">
        <v>44208</v>
      </c>
      <c r="AH265" s="888">
        <f t="shared" si="4"/>
        <v>44197</v>
      </c>
    </row>
    <row r="266" spans="1:34">
      <c r="A266">
        <v>1</v>
      </c>
      <c r="B266">
        <v>405</v>
      </c>
      <c r="C266" t="s">
        <v>173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893">
        <v>44043</v>
      </c>
      <c r="J266">
        <v>1</v>
      </c>
      <c r="K266" t="s">
        <v>173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893">
        <v>44043</v>
      </c>
      <c r="AH266" s="888">
        <f t="shared" si="4"/>
        <v>44013</v>
      </c>
    </row>
    <row r="267" spans="1:34">
      <c r="A267">
        <v>2</v>
      </c>
      <c r="B267">
        <v>405</v>
      </c>
      <c r="C267" t="s">
        <v>173</v>
      </c>
      <c r="D267">
        <v>117</v>
      </c>
      <c r="E267">
        <v>31347040.600000001</v>
      </c>
      <c r="F267">
        <v>0</v>
      </c>
      <c r="G267" t="s">
        <v>138</v>
      </c>
      <c r="H267" t="s">
        <v>138</v>
      </c>
      <c r="I267" s="893">
        <v>44055</v>
      </c>
      <c r="J267">
        <v>2</v>
      </c>
      <c r="K267" t="s">
        <v>173</v>
      </c>
      <c r="L267">
        <v>405</v>
      </c>
      <c r="M267">
        <v>0.56012050562025895</v>
      </c>
      <c r="N267" t="s">
        <v>138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138</v>
      </c>
      <c r="Z267" t="s">
        <v>138</v>
      </c>
      <c r="AA267" t="s">
        <v>138</v>
      </c>
      <c r="AB267" t="s">
        <v>138</v>
      </c>
      <c r="AC267" t="s">
        <v>138</v>
      </c>
      <c r="AD267" t="s">
        <v>138</v>
      </c>
      <c r="AE267" t="s">
        <v>138</v>
      </c>
      <c r="AF267" t="s">
        <v>138</v>
      </c>
      <c r="AG267" s="893">
        <v>44055</v>
      </c>
      <c r="AH267" s="888">
        <f t="shared" si="4"/>
        <v>44044</v>
      </c>
    </row>
    <row r="268" spans="1:34">
      <c r="A268">
        <v>3</v>
      </c>
      <c r="B268">
        <v>405</v>
      </c>
      <c r="C268" t="s">
        <v>173</v>
      </c>
      <c r="D268">
        <v>117</v>
      </c>
      <c r="E268">
        <v>41691288.630000003</v>
      </c>
      <c r="F268">
        <v>0</v>
      </c>
      <c r="G268" t="s">
        <v>138</v>
      </c>
      <c r="H268" t="s">
        <v>138</v>
      </c>
      <c r="I268" s="893">
        <v>44088</v>
      </c>
      <c r="J268">
        <v>3</v>
      </c>
      <c r="K268" t="s">
        <v>173</v>
      </c>
      <c r="L268">
        <v>405</v>
      </c>
      <c r="M268">
        <v>0.78468908177948204</v>
      </c>
      <c r="N268" t="s">
        <v>138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138</v>
      </c>
      <c r="Z268" t="s">
        <v>138</v>
      </c>
      <c r="AA268" t="s">
        <v>138</v>
      </c>
      <c r="AB268" t="s">
        <v>138</v>
      </c>
      <c r="AC268" t="s">
        <v>138</v>
      </c>
      <c r="AD268" t="s">
        <v>138</v>
      </c>
      <c r="AE268" t="s">
        <v>138</v>
      </c>
      <c r="AF268" t="s">
        <v>138</v>
      </c>
      <c r="AG268" s="893">
        <v>44088</v>
      </c>
      <c r="AH268" s="888">
        <f t="shared" si="4"/>
        <v>44075</v>
      </c>
    </row>
    <row r="269" spans="1:34">
      <c r="A269">
        <v>4</v>
      </c>
      <c r="B269">
        <v>405</v>
      </c>
      <c r="C269" t="s">
        <v>173</v>
      </c>
      <c r="D269">
        <v>117</v>
      </c>
      <c r="E269">
        <v>11994324.9816541</v>
      </c>
      <c r="F269">
        <v>0</v>
      </c>
      <c r="G269" t="s">
        <v>138</v>
      </c>
      <c r="H269" t="s">
        <v>138</v>
      </c>
      <c r="I269" s="893">
        <v>44117</v>
      </c>
      <c r="J269">
        <v>4</v>
      </c>
      <c r="K269" t="s">
        <v>173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138</v>
      </c>
      <c r="Z269" t="s">
        <v>138</v>
      </c>
      <c r="AA269" t="s">
        <v>138</v>
      </c>
      <c r="AB269" t="s">
        <v>138</v>
      </c>
      <c r="AC269" t="s">
        <v>138</v>
      </c>
      <c r="AD269" t="s">
        <v>138</v>
      </c>
      <c r="AE269" t="s">
        <v>138</v>
      </c>
      <c r="AF269" t="s">
        <v>138</v>
      </c>
      <c r="AG269" s="893">
        <v>44117</v>
      </c>
      <c r="AH269" s="888">
        <f t="shared" si="4"/>
        <v>44105</v>
      </c>
    </row>
    <row r="270" spans="1:34">
      <c r="A270">
        <v>5</v>
      </c>
      <c r="B270">
        <v>405</v>
      </c>
      <c r="C270" t="s">
        <v>173</v>
      </c>
      <c r="D270">
        <v>117</v>
      </c>
      <c r="E270">
        <v>39830412.947618201</v>
      </c>
      <c r="F270">
        <v>0</v>
      </c>
      <c r="G270" t="s">
        <v>138</v>
      </c>
      <c r="H270" t="s">
        <v>138</v>
      </c>
      <c r="I270" s="893">
        <v>44147</v>
      </c>
      <c r="J270">
        <v>5</v>
      </c>
      <c r="K270" t="s">
        <v>173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138</v>
      </c>
      <c r="Z270" t="s">
        <v>138</v>
      </c>
      <c r="AA270" t="s">
        <v>138</v>
      </c>
      <c r="AB270" t="s">
        <v>138</v>
      </c>
      <c r="AC270" t="s">
        <v>138</v>
      </c>
      <c r="AD270" t="s">
        <v>138</v>
      </c>
      <c r="AE270" t="s">
        <v>138</v>
      </c>
      <c r="AF270" t="s">
        <v>138</v>
      </c>
      <c r="AG270" s="893">
        <v>44147</v>
      </c>
      <c r="AH270" s="888">
        <f t="shared" si="4"/>
        <v>44136</v>
      </c>
    </row>
    <row r="271" spans="1:34">
      <c r="A271">
        <v>6</v>
      </c>
      <c r="B271">
        <v>405</v>
      </c>
      <c r="C271" t="s">
        <v>173</v>
      </c>
      <c r="D271">
        <v>117</v>
      </c>
      <c r="E271">
        <v>22284354.046818901</v>
      </c>
      <c r="F271">
        <v>0</v>
      </c>
      <c r="G271" t="s">
        <v>138</v>
      </c>
      <c r="H271" t="s">
        <v>138</v>
      </c>
      <c r="I271" s="893">
        <v>44179</v>
      </c>
      <c r="J271">
        <v>6</v>
      </c>
      <c r="K271" t="s">
        <v>173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138</v>
      </c>
      <c r="Z271" t="s">
        <v>138</v>
      </c>
      <c r="AA271" t="s">
        <v>138</v>
      </c>
      <c r="AB271" t="s">
        <v>138</v>
      </c>
      <c r="AC271" t="s">
        <v>138</v>
      </c>
      <c r="AD271" t="s">
        <v>138</v>
      </c>
      <c r="AE271" t="s">
        <v>138</v>
      </c>
      <c r="AF271" t="s">
        <v>138</v>
      </c>
      <c r="AG271" s="893">
        <v>44179</v>
      </c>
      <c r="AH271" s="888">
        <f t="shared" si="4"/>
        <v>44166</v>
      </c>
    </row>
    <row r="272" spans="1:34">
      <c r="A272">
        <v>7</v>
      </c>
      <c r="B272">
        <v>405</v>
      </c>
      <c r="C272" t="s">
        <v>173</v>
      </c>
      <c r="D272">
        <v>117</v>
      </c>
      <c r="E272">
        <v>24382862.260504398</v>
      </c>
      <c r="F272">
        <v>0</v>
      </c>
      <c r="G272" t="s">
        <v>138</v>
      </c>
      <c r="H272" t="s">
        <v>138</v>
      </c>
      <c r="I272" s="893">
        <v>44193</v>
      </c>
      <c r="J272">
        <v>7</v>
      </c>
      <c r="K272" t="s">
        <v>173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138</v>
      </c>
      <c r="Z272" t="s">
        <v>138</v>
      </c>
      <c r="AA272" t="s">
        <v>138</v>
      </c>
      <c r="AB272" t="s">
        <v>138</v>
      </c>
      <c r="AC272" t="s">
        <v>138</v>
      </c>
      <c r="AD272" t="s">
        <v>138</v>
      </c>
      <c r="AE272" t="s">
        <v>138</v>
      </c>
      <c r="AF272" t="s">
        <v>138</v>
      </c>
      <c r="AG272" s="893">
        <v>44193</v>
      </c>
      <c r="AH272" s="888">
        <f t="shared" si="4"/>
        <v>44166</v>
      </c>
    </row>
    <row r="273" spans="1:34">
      <c r="A273">
        <v>8</v>
      </c>
      <c r="B273">
        <v>405</v>
      </c>
      <c r="C273" t="s">
        <v>173</v>
      </c>
      <c r="D273">
        <v>117</v>
      </c>
      <c r="E273">
        <v>0</v>
      </c>
      <c r="F273">
        <v>0</v>
      </c>
      <c r="G273" t="s">
        <v>138</v>
      </c>
      <c r="H273" t="s">
        <v>138</v>
      </c>
      <c r="I273" s="893">
        <v>44208</v>
      </c>
      <c r="J273">
        <v>8</v>
      </c>
      <c r="K273" t="s">
        <v>173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138</v>
      </c>
      <c r="Z273" t="s">
        <v>138</v>
      </c>
      <c r="AA273" t="s">
        <v>138</v>
      </c>
      <c r="AB273" t="s">
        <v>138</v>
      </c>
      <c r="AC273" t="s">
        <v>138</v>
      </c>
      <c r="AD273" t="s">
        <v>138</v>
      </c>
      <c r="AE273" t="s">
        <v>138</v>
      </c>
      <c r="AF273" t="s">
        <v>138</v>
      </c>
      <c r="AG273" s="893">
        <v>44208</v>
      </c>
      <c r="AH273" s="888">
        <f t="shared" si="4"/>
        <v>44197</v>
      </c>
    </row>
    <row r="274" spans="1:34">
      <c r="A274">
        <v>1</v>
      </c>
      <c r="B274">
        <v>598</v>
      </c>
      <c r="C274" t="s">
        <v>174</v>
      </c>
      <c r="D274">
        <v>246</v>
      </c>
      <c r="E274" s="234">
        <v>0</v>
      </c>
      <c r="F274" s="234">
        <v>2600000</v>
      </c>
      <c r="G274" s="234">
        <v>0</v>
      </c>
      <c r="H274" s="234">
        <v>0</v>
      </c>
      <c r="I274" s="893">
        <v>44043</v>
      </c>
      <c r="J274" t="s">
        <v>138</v>
      </c>
      <c r="K274" t="s">
        <v>138</v>
      </c>
      <c r="L274" t="s">
        <v>138</v>
      </c>
      <c r="M274" t="s">
        <v>138</v>
      </c>
      <c r="N274" t="s">
        <v>138</v>
      </c>
      <c r="O274" t="s">
        <v>138</v>
      </c>
      <c r="P274" t="s">
        <v>138</v>
      </c>
      <c r="Q274" t="s">
        <v>138</v>
      </c>
      <c r="R274" t="s">
        <v>138</v>
      </c>
      <c r="S274" t="s">
        <v>138</v>
      </c>
      <c r="T274" t="s">
        <v>138</v>
      </c>
      <c r="U274" t="s">
        <v>138</v>
      </c>
      <c r="V274" t="s">
        <v>138</v>
      </c>
      <c r="W274" t="s">
        <v>138</v>
      </c>
      <c r="X274" t="s">
        <v>138</v>
      </c>
      <c r="Y274" t="s">
        <v>138</v>
      </c>
      <c r="Z274" t="s">
        <v>138</v>
      </c>
      <c r="AA274" t="s">
        <v>138</v>
      </c>
      <c r="AB274" t="s">
        <v>138</v>
      </c>
      <c r="AC274" t="s">
        <v>138</v>
      </c>
      <c r="AD274" t="s">
        <v>138</v>
      </c>
      <c r="AE274" t="s">
        <v>138</v>
      </c>
      <c r="AF274" t="s">
        <v>138</v>
      </c>
      <c r="AG274" t="s">
        <v>138</v>
      </c>
      <c r="AH274" s="888">
        <f t="shared" si="4"/>
        <v>44013</v>
      </c>
    </row>
    <row r="275" spans="1:34">
      <c r="A275">
        <v>2</v>
      </c>
      <c r="B275">
        <v>598</v>
      </c>
      <c r="C275" t="s">
        <v>174</v>
      </c>
      <c r="D275">
        <v>246</v>
      </c>
      <c r="E275" s="234">
        <v>0</v>
      </c>
      <c r="F275" s="234">
        <v>2400000</v>
      </c>
      <c r="G275" s="234" t="s">
        <v>138</v>
      </c>
      <c r="H275" s="234" t="s">
        <v>138</v>
      </c>
      <c r="I275" s="893">
        <v>44055</v>
      </c>
      <c r="J275" t="s">
        <v>138</v>
      </c>
      <c r="K275" t="s">
        <v>138</v>
      </c>
      <c r="L275" t="s">
        <v>138</v>
      </c>
      <c r="M275" t="s">
        <v>138</v>
      </c>
      <c r="N275" t="s">
        <v>138</v>
      </c>
      <c r="O275" t="s">
        <v>138</v>
      </c>
      <c r="P275" t="s">
        <v>138</v>
      </c>
      <c r="Q275" t="s">
        <v>138</v>
      </c>
      <c r="R275" t="s">
        <v>138</v>
      </c>
      <c r="S275" t="s">
        <v>138</v>
      </c>
      <c r="T275" t="s">
        <v>138</v>
      </c>
      <c r="U275" t="s">
        <v>138</v>
      </c>
      <c r="V275" t="s">
        <v>138</v>
      </c>
      <c r="W275" t="s">
        <v>138</v>
      </c>
      <c r="X275" t="s">
        <v>138</v>
      </c>
      <c r="Y275" t="s">
        <v>138</v>
      </c>
      <c r="Z275" t="s">
        <v>138</v>
      </c>
      <c r="AA275" t="s">
        <v>138</v>
      </c>
      <c r="AB275" t="s">
        <v>138</v>
      </c>
      <c r="AC275" t="s">
        <v>138</v>
      </c>
      <c r="AD275" t="s">
        <v>138</v>
      </c>
      <c r="AE275" t="s">
        <v>138</v>
      </c>
      <c r="AF275" t="s">
        <v>138</v>
      </c>
      <c r="AG275" t="s">
        <v>138</v>
      </c>
      <c r="AH275" s="888">
        <f t="shared" si="4"/>
        <v>44044</v>
      </c>
    </row>
    <row r="276" spans="1:34">
      <c r="A276">
        <v>3</v>
      </c>
      <c r="B276">
        <v>598</v>
      </c>
      <c r="C276" t="s">
        <v>174</v>
      </c>
      <c r="D276">
        <v>246</v>
      </c>
      <c r="E276" s="234">
        <v>0</v>
      </c>
      <c r="F276" s="234">
        <v>2000000</v>
      </c>
      <c r="G276" s="234" t="s">
        <v>138</v>
      </c>
      <c r="H276" s="234" t="s">
        <v>138</v>
      </c>
      <c r="I276" s="893">
        <v>44088</v>
      </c>
      <c r="J276" t="s">
        <v>138</v>
      </c>
      <c r="K276" t="s">
        <v>138</v>
      </c>
      <c r="L276" t="s">
        <v>138</v>
      </c>
      <c r="M276" t="s">
        <v>138</v>
      </c>
      <c r="N276" t="s">
        <v>138</v>
      </c>
      <c r="O276" t="s">
        <v>138</v>
      </c>
      <c r="P276" t="s">
        <v>138</v>
      </c>
      <c r="Q276" t="s">
        <v>138</v>
      </c>
      <c r="R276" t="s">
        <v>138</v>
      </c>
      <c r="S276" t="s">
        <v>138</v>
      </c>
      <c r="T276" t="s">
        <v>138</v>
      </c>
      <c r="U276" t="s">
        <v>138</v>
      </c>
      <c r="V276" t="s">
        <v>138</v>
      </c>
      <c r="W276" t="s">
        <v>138</v>
      </c>
      <c r="X276" t="s">
        <v>138</v>
      </c>
      <c r="Y276" t="s">
        <v>138</v>
      </c>
      <c r="Z276" t="s">
        <v>138</v>
      </c>
      <c r="AA276" t="s">
        <v>138</v>
      </c>
      <c r="AB276" t="s">
        <v>138</v>
      </c>
      <c r="AC276" t="s">
        <v>138</v>
      </c>
      <c r="AD276" t="s">
        <v>138</v>
      </c>
      <c r="AE276" t="s">
        <v>138</v>
      </c>
      <c r="AF276" t="s">
        <v>138</v>
      </c>
      <c r="AG276" t="s">
        <v>138</v>
      </c>
      <c r="AH276" s="888">
        <f t="shared" si="4"/>
        <v>44075</v>
      </c>
    </row>
    <row r="277" spans="1:34">
      <c r="A277">
        <v>4</v>
      </c>
      <c r="B277">
        <v>598</v>
      </c>
      <c r="C277" t="s">
        <v>174</v>
      </c>
      <c r="D277">
        <v>246</v>
      </c>
      <c r="E277" s="234">
        <v>0</v>
      </c>
      <c r="F277" s="234">
        <v>975736</v>
      </c>
      <c r="G277" s="234" t="s">
        <v>138</v>
      </c>
      <c r="H277" s="234" t="s">
        <v>138</v>
      </c>
      <c r="I277" s="893">
        <v>44117</v>
      </c>
      <c r="J277" t="s">
        <v>138</v>
      </c>
      <c r="K277" t="s">
        <v>138</v>
      </c>
      <c r="L277" t="s">
        <v>138</v>
      </c>
      <c r="M277" t="s">
        <v>138</v>
      </c>
      <c r="N277" t="s">
        <v>138</v>
      </c>
      <c r="O277" t="s">
        <v>138</v>
      </c>
      <c r="P277" t="s">
        <v>138</v>
      </c>
      <c r="Q277" t="s">
        <v>138</v>
      </c>
      <c r="R277" t="s">
        <v>138</v>
      </c>
      <c r="S277" t="s">
        <v>138</v>
      </c>
      <c r="T277" t="s">
        <v>138</v>
      </c>
      <c r="U277" t="s">
        <v>138</v>
      </c>
      <c r="V277" t="s">
        <v>138</v>
      </c>
      <c r="W277" t="s">
        <v>138</v>
      </c>
      <c r="X277" t="s">
        <v>138</v>
      </c>
      <c r="Y277" t="s">
        <v>138</v>
      </c>
      <c r="Z277" t="s">
        <v>138</v>
      </c>
      <c r="AA277" t="s">
        <v>138</v>
      </c>
      <c r="AB277" t="s">
        <v>138</v>
      </c>
      <c r="AC277" t="s">
        <v>138</v>
      </c>
      <c r="AD277" t="s">
        <v>138</v>
      </c>
      <c r="AE277" t="s">
        <v>138</v>
      </c>
      <c r="AF277" t="s">
        <v>138</v>
      </c>
      <c r="AG277" t="s">
        <v>138</v>
      </c>
      <c r="AH277" s="888">
        <f t="shared" si="4"/>
        <v>44105</v>
      </c>
    </row>
    <row r="278" spans="1:34">
      <c r="A278">
        <v>5</v>
      </c>
      <c r="B278">
        <v>598</v>
      </c>
      <c r="C278" t="s">
        <v>174</v>
      </c>
      <c r="D278">
        <v>246</v>
      </c>
      <c r="E278" s="234">
        <v>0</v>
      </c>
      <c r="F278" s="234">
        <v>0</v>
      </c>
      <c r="G278" s="234" t="s">
        <v>138</v>
      </c>
      <c r="H278" s="234" t="s">
        <v>138</v>
      </c>
      <c r="I278" s="893">
        <v>44147</v>
      </c>
      <c r="J278" t="s">
        <v>138</v>
      </c>
      <c r="K278" t="s">
        <v>138</v>
      </c>
      <c r="L278" t="s">
        <v>138</v>
      </c>
      <c r="M278" t="s">
        <v>138</v>
      </c>
      <c r="N278" t="s">
        <v>138</v>
      </c>
      <c r="O278" t="s">
        <v>138</v>
      </c>
      <c r="P278" t="s">
        <v>138</v>
      </c>
      <c r="Q278" t="s">
        <v>138</v>
      </c>
      <c r="R278" t="s">
        <v>138</v>
      </c>
      <c r="S278" t="s">
        <v>138</v>
      </c>
      <c r="T278" t="s">
        <v>138</v>
      </c>
      <c r="U278" t="s">
        <v>138</v>
      </c>
      <c r="V278" t="s">
        <v>138</v>
      </c>
      <c r="W278" t="s">
        <v>138</v>
      </c>
      <c r="X278" t="s">
        <v>138</v>
      </c>
      <c r="Y278" t="s">
        <v>138</v>
      </c>
      <c r="Z278" t="s">
        <v>138</v>
      </c>
      <c r="AA278" t="s">
        <v>138</v>
      </c>
      <c r="AB278" t="s">
        <v>138</v>
      </c>
      <c r="AC278" t="s">
        <v>138</v>
      </c>
      <c r="AD278" t="s">
        <v>138</v>
      </c>
      <c r="AE278" t="s">
        <v>138</v>
      </c>
      <c r="AF278" t="s">
        <v>138</v>
      </c>
      <c r="AG278" t="s">
        <v>138</v>
      </c>
      <c r="AH278" s="888">
        <f t="shared" si="4"/>
        <v>44136</v>
      </c>
    </row>
    <row r="279" spans="1:34">
      <c r="A279">
        <v>6</v>
      </c>
      <c r="B279">
        <v>598</v>
      </c>
      <c r="C279" t="s">
        <v>174</v>
      </c>
      <c r="D279">
        <v>246</v>
      </c>
      <c r="E279" s="234">
        <v>0</v>
      </c>
      <c r="F279" s="234">
        <v>0</v>
      </c>
      <c r="G279" s="234" t="s">
        <v>138</v>
      </c>
      <c r="H279" s="234" t="s">
        <v>138</v>
      </c>
      <c r="I279" s="893">
        <v>44179</v>
      </c>
      <c r="J279" t="s">
        <v>138</v>
      </c>
      <c r="K279" t="s">
        <v>138</v>
      </c>
      <c r="L279" t="s">
        <v>138</v>
      </c>
      <c r="M279" t="s">
        <v>138</v>
      </c>
      <c r="N279" t="s">
        <v>138</v>
      </c>
      <c r="O279" t="s">
        <v>138</v>
      </c>
      <c r="P279" t="s">
        <v>138</v>
      </c>
      <c r="Q279" t="s">
        <v>138</v>
      </c>
      <c r="R279" t="s">
        <v>138</v>
      </c>
      <c r="S279" t="s">
        <v>138</v>
      </c>
      <c r="T279" t="s">
        <v>138</v>
      </c>
      <c r="U279" t="s">
        <v>138</v>
      </c>
      <c r="V279" t="s">
        <v>138</v>
      </c>
      <c r="W279" t="s">
        <v>138</v>
      </c>
      <c r="X279" t="s">
        <v>138</v>
      </c>
      <c r="Y279" t="s">
        <v>138</v>
      </c>
      <c r="Z279" t="s">
        <v>138</v>
      </c>
      <c r="AA279" t="s">
        <v>138</v>
      </c>
      <c r="AB279" t="s">
        <v>138</v>
      </c>
      <c r="AC279" t="s">
        <v>138</v>
      </c>
      <c r="AD279" t="s">
        <v>138</v>
      </c>
      <c r="AE279" t="s">
        <v>138</v>
      </c>
      <c r="AF279" t="s">
        <v>138</v>
      </c>
      <c r="AG279" t="s">
        <v>138</v>
      </c>
      <c r="AH279" s="888">
        <f t="shared" si="4"/>
        <v>44166</v>
      </c>
    </row>
    <row r="280" spans="1:34">
      <c r="A280">
        <v>7</v>
      </c>
      <c r="B280">
        <v>598</v>
      </c>
      <c r="C280" t="s">
        <v>174</v>
      </c>
      <c r="D280">
        <v>246</v>
      </c>
      <c r="E280" s="234">
        <v>0</v>
      </c>
      <c r="F280" s="234">
        <v>0</v>
      </c>
      <c r="G280" s="234" t="s">
        <v>138</v>
      </c>
      <c r="H280" s="234" t="s">
        <v>138</v>
      </c>
      <c r="I280" s="893">
        <v>44193</v>
      </c>
      <c r="J280" t="s">
        <v>138</v>
      </c>
      <c r="K280" t="s">
        <v>138</v>
      </c>
      <c r="L280" t="s">
        <v>138</v>
      </c>
      <c r="M280" t="s">
        <v>138</v>
      </c>
      <c r="N280" t="s">
        <v>138</v>
      </c>
      <c r="O280" t="s">
        <v>138</v>
      </c>
      <c r="P280" t="s">
        <v>138</v>
      </c>
      <c r="Q280" t="s">
        <v>138</v>
      </c>
      <c r="R280" t="s">
        <v>138</v>
      </c>
      <c r="S280" t="s">
        <v>138</v>
      </c>
      <c r="T280" t="s">
        <v>138</v>
      </c>
      <c r="U280" t="s">
        <v>138</v>
      </c>
      <c r="V280" t="s">
        <v>138</v>
      </c>
      <c r="W280" t="s">
        <v>138</v>
      </c>
      <c r="X280" t="s">
        <v>138</v>
      </c>
      <c r="Y280" t="s">
        <v>138</v>
      </c>
      <c r="Z280" t="s">
        <v>138</v>
      </c>
      <c r="AA280" t="s">
        <v>138</v>
      </c>
      <c r="AB280" t="s">
        <v>138</v>
      </c>
      <c r="AC280" t="s">
        <v>138</v>
      </c>
      <c r="AD280" t="s">
        <v>138</v>
      </c>
      <c r="AE280" t="s">
        <v>138</v>
      </c>
      <c r="AF280" t="s">
        <v>138</v>
      </c>
      <c r="AG280" t="s">
        <v>138</v>
      </c>
      <c r="AH280" s="888">
        <f t="shared" si="4"/>
        <v>44166</v>
      </c>
    </row>
    <row r="281" spans="1:34">
      <c r="A281">
        <v>8</v>
      </c>
      <c r="B281">
        <v>598</v>
      </c>
      <c r="C281" t="s">
        <v>174</v>
      </c>
      <c r="D281">
        <v>246</v>
      </c>
      <c r="E281" s="234">
        <v>0</v>
      </c>
      <c r="F281" s="234">
        <v>0</v>
      </c>
      <c r="G281" s="234" t="s">
        <v>138</v>
      </c>
      <c r="H281" s="234" t="s">
        <v>138</v>
      </c>
      <c r="I281" s="893">
        <v>44208</v>
      </c>
      <c r="J281" t="s">
        <v>138</v>
      </c>
      <c r="K281" t="s">
        <v>138</v>
      </c>
      <c r="L281" t="s">
        <v>138</v>
      </c>
      <c r="M281" t="s">
        <v>138</v>
      </c>
      <c r="N281" t="s">
        <v>138</v>
      </c>
      <c r="O281" t="s">
        <v>138</v>
      </c>
      <c r="P281" t="s">
        <v>138</v>
      </c>
      <c r="Q281" t="s">
        <v>138</v>
      </c>
      <c r="R281" t="s">
        <v>138</v>
      </c>
      <c r="S281" t="s">
        <v>138</v>
      </c>
      <c r="T281" t="s">
        <v>138</v>
      </c>
      <c r="U281" t="s">
        <v>138</v>
      </c>
      <c r="V281" t="s">
        <v>138</v>
      </c>
      <c r="W281" t="s">
        <v>138</v>
      </c>
      <c r="X281" t="s">
        <v>138</v>
      </c>
      <c r="Y281" t="s">
        <v>138</v>
      </c>
      <c r="Z281" t="s">
        <v>138</v>
      </c>
      <c r="AA281" t="s">
        <v>138</v>
      </c>
      <c r="AB281" t="s">
        <v>138</v>
      </c>
      <c r="AC281" t="s">
        <v>138</v>
      </c>
      <c r="AD281" t="s">
        <v>138</v>
      </c>
      <c r="AE281" t="s">
        <v>138</v>
      </c>
      <c r="AF281" t="s">
        <v>138</v>
      </c>
      <c r="AG281" t="s">
        <v>138</v>
      </c>
      <c r="AH281" s="888">
        <f t="shared" si="4"/>
        <v>44197</v>
      </c>
    </row>
    <row r="282" spans="1:34">
      <c r="A282">
        <v>1</v>
      </c>
      <c r="B282">
        <v>2763</v>
      </c>
      <c r="C282" t="s">
        <v>175</v>
      </c>
      <c r="D282">
        <v>237</v>
      </c>
      <c r="E282" s="234">
        <v>0</v>
      </c>
      <c r="F282" s="234">
        <v>0</v>
      </c>
      <c r="G282" s="234">
        <v>0</v>
      </c>
      <c r="H282" s="234">
        <v>0</v>
      </c>
      <c r="I282" s="893">
        <v>44043</v>
      </c>
      <c r="J282" t="s">
        <v>138</v>
      </c>
      <c r="K282" t="s">
        <v>138</v>
      </c>
      <c r="L282" t="s">
        <v>138</v>
      </c>
      <c r="M282" t="s">
        <v>138</v>
      </c>
      <c r="N282" t="s">
        <v>138</v>
      </c>
      <c r="O282" t="s">
        <v>138</v>
      </c>
      <c r="P282" t="s">
        <v>138</v>
      </c>
      <c r="Q282" t="s">
        <v>138</v>
      </c>
      <c r="R282" t="s">
        <v>138</v>
      </c>
      <c r="S282" t="s">
        <v>138</v>
      </c>
      <c r="T282" t="s">
        <v>138</v>
      </c>
      <c r="U282" t="s">
        <v>138</v>
      </c>
      <c r="V282" t="s">
        <v>138</v>
      </c>
      <c r="W282" t="s">
        <v>138</v>
      </c>
      <c r="X282" t="s">
        <v>138</v>
      </c>
      <c r="Y282" t="s">
        <v>138</v>
      </c>
      <c r="Z282" t="s">
        <v>138</v>
      </c>
      <c r="AA282" t="s">
        <v>138</v>
      </c>
      <c r="AB282" t="s">
        <v>138</v>
      </c>
      <c r="AC282" t="s">
        <v>138</v>
      </c>
      <c r="AD282" t="s">
        <v>138</v>
      </c>
      <c r="AE282" t="s">
        <v>138</v>
      </c>
      <c r="AF282" t="s">
        <v>138</v>
      </c>
      <c r="AG282" t="s">
        <v>138</v>
      </c>
      <c r="AH282" s="888">
        <f t="shared" si="4"/>
        <v>44013</v>
      </c>
    </row>
    <row r="283" spans="1:34">
      <c r="A283">
        <v>2</v>
      </c>
      <c r="B283">
        <v>2763</v>
      </c>
      <c r="C283" t="s">
        <v>175</v>
      </c>
      <c r="D283">
        <v>237</v>
      </c>
      <c r="E283" s="234">
        <v>0</v>
      </c>
      <c r="F283" s="234">
        <v>960532</v>
      </c>
      <c r="G283" s="234" t="s">
        <v>138</v>
      </c>
      <c r="H283" s="234" t="s">
        <v>138</v>
      </c>
      <c r="I283" s="893">
        <v>44055</v>
      </c>
      <c r="J283" t="s">
        <v>138</v>
      </c>
      <c r="K283" t="s">
        <v>138</v>
      </c>
      <c r="L283" t="s">
        <v>138</v>
      </c>
      <c r="M283" t="s">
        <v>138</v>
      </c>
      <c r="N283" t="s">
        <v>138</v>
      </c>
      <c r="O283" t="s">
        <v>138</v>
      </c>
      <c r="P283" t="s">
        <v>138</v>
      </c>
      <c r="Q283" t="s">
        <v>138</v>
      </c>
      <c r="R283" t="s">
        <v>138</v>
      </c>
      <c r="S283" t="s">
        <v>138</v>
      </c>
      <c r="T283" t="s">
        <v>138</v>
      </c>
      <c r="U283" t="s">
        <v>138</v>
      </c>
      <c r="V283" t="s">
        <v>138</v>
      </c>
      <c r="W283" t="s">
        <v>138</v>
      </c>
      <c r="X283" t="s">
        <v>138</v>
      </c>
      <c r="Y283" t="s">
        <v>138</v>
      </c>
      <c r="Z283" t="s">
        <v>138</v>
      </c>
      <c r="AA283" t="s">
        <v>138</v>
      </c>
      <c r="AB283" t="s">
        <v>138</v>
      </c>
      <c r="AC283" t="s">
        <v>138</v>
      </c>
      <c r="AD283" t="s">
        <v>138</v>
      </c>
      <c r="AE283" t="s">
        <v>138</v>
      </c>
      <c r="AF283" t="s">
        <v>138</v>
      </c>
      <c r="AG283" t="s">
        <v>138</v>
      </c>
      <c r="AH283" s="888">
        <f t="shared" si="4"/>
        <v>44044</v>
      </c>
    </row>
    <row r="284" spans="1:34">
      <c r="A284">
        <v>3</v>
      </c>
      <c r="B284">
        <v>2763</v>
      </c>
      <c r="C284" t="s">
        <v>175</v>
      </c>
      <c r="D284">
        <v>237</v>
      </c>
      <c r="E284" s="234">
        <v>0</v>
      </c>
      <c r="F284" s="234">
        <v>960532</v>
      </c>
      <c r="G284" s="234" t="s">
        <v>138</v>
      </c>
      <c r="H284" s="234" t="s">
        <v>138</v>
      </c>
      <c r="I284" s="893">
        <v>44088</v>
      </c>
      <c r="J284" t="s">
        <v>138</v>
      </c>
      <c r="K284" t="s">
        <v>138</v>
      </c>
      <c r="L284" t="s">
        <v>138</v>
      </c>
      <c r="M284" t="s">
        <v>138</v>
      </c>
      <c r="N284" t="s">
        <v>138</v>
      </c>
      <c r="O284" t="s">
        <v>138</v>
      </c>
      <c r="P284" t="s">
        <v>138</v>
      </c>
      <c r="Q284" t="s">
        <v>138</v>
      </c>
      <c r="R284" t="s">
        <v>138</v>
      </c>
      <c r="S284" t="s">
        <v>138</v>
      </c>
      <c r="T284" t="s">
        <v>138</v>
      </c>
      <c r="U284" t="s">
        <v>138</v>
      </c>
      <c r="V284" t="s">
        <v>138</v>
      </c>
      <c r="W284" t="s">
        <v>138</v>
      </c>
      <c r="X284" t="s">
        <v>138</v>
      </c>
      <c r="Y284" t="s">
        <v>138</v>
      </c>
      <c r="Z284" t="s">
        <v>138</v>
      </c>
      <c r="AA284" t="s">
        <v>138</v>
      </c>
      <c r="AB284" t="s">
        <v>138</v>
      </c>
      <c r="AC284" t="s">
        <v>138</v>
      </c>
      <c r="AD284" t="s">
        <v>138</v>
      </c>
      <c r="AE284" t="s">
        <v>138</v>
      </c>
      <c r="AF284" t="s">
        <v>138</v>
      </c>
      <c r="AG284" t="s">
        <v>138</v>
      </c>
      <c r="AH284" s="888">
        <f t="shared" si="4"/>
        <v>44075</v>
      </c>
    </row>
    <row r="285" spans="1:34">
      <c r="A285">
        <v>4</v>
      </c>
      <c r="B285">
        <v>2763</v>
      </c>
      <c r="C285" t="s">
        <v>175</v>
      </c>
      <c r="D285">
        <v>237</v>
      </c>
      <c r="E285" s="234">
        <v>0</v>
      </c>
      <c r="F285" s="234">
        <v>960532</v>
      </c>
      <c r="G285" s="234" t="s">
        <v>138</v>
      </c>
      <c r="H285" s="234" t="s">
        <v>138</v>
      </c>
      <c r="I285" s="893">
        <v>44117</v>
      </c>
      <c r="J285" t="s">
        <v>138</v>
      </c>
      <c r="K285" t="s">
        <v>138</v>
      </c>
      <c r="L285" t="s">
        <v>138</v>
      </c>
      <c r="M285" t="s">
        <v>138</v>
      </c>
      <c r="N285" t="s">
        <v>138</v>
      </c>
      <c r="O285" t="s">
        <v>138</v>
      </c>
      <c r="P285" t="s">
        <v>138</v>
      </c>
      <c r="Q285" t="s">
        <v>138</v>
      </c>
      <c r="R285" t="s">
        <v>138</v>
      </c>
      <c r="S285" t="s">
        <v>138</v>
      </c>
      <c r="T285" t="s">
        <v>138</v>
      </c>
      <c r="U285" t="s">
        <v>138</v>
      </c>
      <c r="V285" t="s">
        <v>138</v>
      </c>
      <c r="W285" t="s">
        <v>138</v>
      </c>
      <c r="X285" t="s">
        <v>138</v>
      </c>
      <c r="Y285" t="s">
        <v>138</v>
      </c>
      <c r="Z285" t="s">
        <v>138</v>
      </c>
      <c r="AA285" t="s">
        <v>138</v>
      </c>
      <c r="AB285" t="s">
        <v>138</v>
      </c>
      <c r="AC285" t="s">
        <v>138</v>
      </c>
      <c r="AD285" t="s">
        <v>138</v>
      </c>
      <c r="AE285" t="s">
        <v>138</v>
      </c>
      <c r="AF285" t="s">
        <v>138</v>
      </c>
      <c r="AG285" t="s">
        <v>138</v>
      </c>
      <c r="AH285" s="888">
        <f t="shared" si="4"/>
        <v>44105</v>
      </c>
    </row>
    <row r="286" spans="1:34">
      <c r="A286">
        <v>5</v>
      </c>
      <c r="B286">
        <v>2763</v>
      </c>
      <c r="C286" t="s">
        <v>175</v>
      </c>
      <c r="D286">
        <v>237</v>
      </c>
      <c r="E286" s="234">
        <v>0</v>
      </c>
      <c r="F286" s="234">
        <v>960532</v>
      </c>
      <c r="G286" s="234" t="s">
        <v>138</v>
      </c>
      <c r="H286" s="234" t="s">
        <v>138</v>
      </c>
      <c r="I286" s="893">
        <v>44147</v>
      </c>
      <c r="J286" t="s">
        <v>138</v>
      </c>
      <c r="K286" t="s">
        <v>138</v>
      </c>
      <c r="L286" t="s">
        <v>138</v>
      </c>
      <c r="M286" t="s">
        <v>138</v>
      </c>
      <c r="N286" t="s">
        <v>138</v>
      </c>
      <c r="O286" t="s">
        <v>138</v>
      </c>
      <c r="P286" t="s">
        <v>138</v>
      </c>
      <c r="Q286" t="s">
        <v>138</v>
      </c>
      <c r="R286" t="s">
        <v>138</v>
      </c>
      <c r="S286" t="s">
        <v>138</v>
      </c>
      <c r="T286" t="s">
        <v>138</v>
      </c>
      <c r="U286" t="s">
        <v>138</v>
      </c>
      <c r="V286" t="s">
        <v>138</v>
      </c>
      <c r="W286" t="s">
        <v>138</v>
      </c>
      <c r="X286" t="s">
        <v>138</v>
      </c>
      <c r="Y286" t="s">
        <v>138</v>
      </c>
      <c r="Z286" t="s">
        <v>138</v>
      </c>
      <c r="AA286" t="s">
        <v>138</v>
      </c>
      <c r="AB286" t="s">
        <v>138</v>
      </c>
      <c r="AC286" t="s">
        <v>138</v>
      </c>
      <c r="AD286" t="s">
        <v>138</v>
      </c>
      <c r="AE286" t="s">
        <v>138</v>
      </c>
      <c r="AF286" t="s">
        <v>138</v>
      </c>
      <c r="AG286" t="s">
        <v>138</v>
      </c>
      <c r="AH286" s="888">
        <f t="shared" si="4"/>
        <v>44136</v>
      </c>
    </row>
    <row r="287" spans="1:34">
      <c r="A287">
        <v>6</v>
      </c>
      <c r="B287">
        <v>2763</v>
      </c>
      <c r="C287" t="s">
        <v>175</v>
      </c>
      <c r="D287">
        <v>237</v>
      </c>
      <c r="E287" s="234">
        <v>0</v>
      </c>
      <c r="F287" s="234">
        <v>960532</v>
      </c>
      <c r="G287" s="234" t="s">
        <v>138</v>
      </c>
      <c r="H287" s="234" t="s">
        <v>138</v>
      </c>
      <c r="I287" s="893">
        <v>44179</v>
      </c>
      <c r="J287" t="s">
        <v>138</v>
      </c>
      <c r="K287" t="s">
        <v>138</v>
      </c>
      <c r="L287" t="s">
        <v>138</v>
      </c>
      <c r="M287" t="s">
        <v>138</v>
      </c>
      <c r="N287" t="s">
        <v>138</v>
      </c>
      <c r="O287" t="s">
        <v>138</v>
      </c>
      <c r="P287" t="s">
        <v>138</v>
      </c>
      <c r="Q287" t="s">
        <v>138</v>
      </c>
      <c r="R287" t="s">
        <v>138</v>
      </c>
      <c r="S287" t="s">
        <v>138</v>
      </c>
      <c r="T287" t="s">
        <v>138</v>
      </c>
      <c r="U287" t="s">
        <v>138</v>
      </c>
      <c r="V287" t="s">
        <v>138</v>
      </c>
      <c r="W287" t="s">
        <v>138</v>
      </c>
      <c r="X287" t="s">
        <v>138</v>
      </c>
      <c r="Y287" t="s">
        <v>138</v>
      </c>
      <c r="Z287" t="s">
        <v>138</v>
      </c>
      <c r="AA287" t="s">
        <v>138</v>
      </c>
      <c r="AB287" t="s">
        <v>138</v>
      </c>
      <c r="AC287" t="s">
        <v>138</v>
      </c>
      <c r="AD287" t="s">
        <v>138</v>
      </c>
      <c r="AE287" t="s">
        <v>138</v>
      </c>
      <c r="AF287" t="s">
        <v>138</v>
      </c>
      <c r="AG287" t="s">
        <v>138</v>
      </c>
      <c r="AH287" s="888">
        <f t="shared" si="4"/>
        <v>44166</v>
      </c>
    </row>
    <row r="288" spans="1:34">
      <c r="A288">
        <v>7</v>
      </c>
      <c r="B288">
        <v>2763</v>
      </c>
      <c r="C288" t="s">
        <v>175</v>
      </c>
      <c r="D288">
        <v>237</v>
      </c>
      <c r="E288" s="234">
        <v>0</v>
      </c>
      <c r="F288" s="234">
        <v>960532</v>
      </c>
      <c r="G288" s="234" t="s">
        <v>138</v>
      </c>
      <c r="H288" s="234" t="s">
        <v>138</v>
      </c>
      <c r="I288" s="893">
        <v>44193</v>
      </c>
      <c r="J288" t="s">
        <v>138</v>
      </c>
      <c r="K288" t="s">
        <v>138</v>
      </c>
      <c r="L288" t="s">
        <v>138</v>
      </c>
      <c r="M288" t="s">
        <v>138</v>
      </c>
      <c r="N288" t="s">
        <v>138</v>
      </c>
      <c r="O288" t="s">
        <v>138</v>
      </c>
      <c r="P288" t="s">
        <v>138</v>
      </c>
      <c r="Q288" t="s">
        <v>138</v>
      </c>
      <c r="R288" t="s">
        <v>138</v>
      </c>
      <c r="S288" t="s">
        <v>138</v>
      </c>
      <c r="T288" t="s">
        <v>138</v>
      </c>
      <c r="U288" t="s">
        <v>138</v>
      </c>
      <c r="V288" t="s">
        <v>138</v>
      </c>
      <c r="W288" t="s">
        <v>138</v>
      </c>
      <c r="X288" t="s">
        <v>138</v>
      </c>
      <c r="Y288" t="s">
        <v>138</v>
      </c>
      <c r="Z288" t="s">
        <v>138</v>
      </c>
      <c r="AA288" t="s">
        <v>138</v>
      </c>
      <c r="AB288" t="s">
        <v>138</v>
      </c>
      <c r="AC288" t="s">
        <v>138</v>
      </c>
      <c r="AD288" t="s">
        <v>138</v>
      </c>
      <c r="AE288" t="s">
        <v>138</v>
      </c>
      <c r="AF288" t="s">
        <v>138</v>
      </c>
      <c r="AG288" t="s">
        <v>138</v>
      </c>
      <c r="AH288" s="888">
        <f t="shared" si="4"/>
        <v>44166</v>
      </c>
    </row>
    <row r="289" spans="1:34">
      <c r="A289">
        <v>8</v>
      </c>
      <c r="B289">
        <v>2763</v>
      </c>
      <c r="C289" t="s">
        <v>175</v>
      </c>
      <c r="D289">
        <v>237</v>
      </c>
      <c r="E289" s="234">
        <v>0</v>
      </c>
      <c r="F289" s="234">
        <v>0</v>
      </c>
      <c r="G289" s="234" t="s">
        <v>138</v>
      </c>
      <c r="H289" s="234" t="s">
        <v>138</v>
      </c>
      <c r="I289" s="893">
        <v>44208</v>
      </c>
      <c r="J289" t="s">
        <v>138</v>
      </c>
      <c r="K289" t="s">
        <v>138</v>
      </c>
      <c r="L289" t="s">
        <v>138</v>
      </c>
      <c r="M289" t="s">
        <v>138</v>
      </c>
      <c r="N289" t="s">
        <v>138</v>
      </c>
      <c r="O289" t="s">
        <v>138</v>
      </c>
      <c r="P289" t="s">
        <v>138</v>
      </c>
      <c r="Q289" t="s">
        <v>138</v>
      </c>
      <c r="R289" t="s">
        <v>138</v>
      </c>
      <c r="S289" t="s">
        <v>138</v>
      </c>
      <c r="T289" t="s">
        <v>138</v>
      </c>
      <c r="U289" t="s">
        <v>138</v>
      </c>
      <c r="V289" t="s">
        <v>138</v>
      </c>
      <c r="W289" t="s">
        <v>138</v>
      </c>
      <c r="X289" t="s">
        <v>138</v>
      </c>
      <c r="Y289" t="s">
        <v>138</v>
      </c>
      <c r="Z289" t="s">
        <v>138</v>
      </c>
      <c r="AA289" t="s">
        <v>138</v>
      </c>
      <c r="AB289" t="s">
        <v>138</v>
      </c>
      <c r="AC289" t="s">
        <v>138</v>
      </c>
      <c r="AD289" t="s">
        <v>138</v>
      </c>
      <c r="AE289" t="s">
        <v>138</v>
      </c>
      <c r="AF289" t="s">
        <v>138</v>
      </c>
      <c r="AG289" t="s">
        <v>138</v>
      </c>
      <c r="AH289" s="888">
        <f t="shared" si="4"/>
        <v>44197</v>
      </c>
    </row>
    <row r="290" spans="1:34">
      <c r="A290">
        <v>1</v>
      </c>
      <c r="B290">
        <v>2866</v>
      </c>
      <c r="C290" t="s">
        <v>176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893">
        <v>44043</v>
      </c>
      <c r="J290">
        <v>1</v>
      </c>
      <c r="K290" t="s">
        <v>177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893">
        <v>44043</v>
      </c>
      <c r="AH290" s="888">
        <f t="shared" si="4"/>
        <v>44013</v>
      </c>
    </row>
    <row r="291" spans="1:34">
      <c r="A291">
        <v>2</v>
      </c>
      <c r="B291">
        <v>2866</v>
      </c>
      <c r="C291" t="s">
        <v>176</v>
      </c>
      <c r="D291">
        <v>132</v>
      </c>
      <c r="E291">
        <v>0</v>
      </c>
      <c r="F291">
        <v>0</v>
      </c>
      <c r="G291" t="s">
        <v>138</v>
      </c>
      <c r="H291" t="s">
        <v>138</v>
      </c>
      <c r="I291" s="893">
        <v>44055</v>
      </c>
      <c r="J291">
        <v>2</v>
      </c>
      <c r="K291" t="s">
        <v>177</v>
      </c>
      <c r="L291">
        <v>2866</v>
      </c>
      <c r="M291">
        <v>0.32476100534364599</v>
      </c>
      <c r="N291" t="s">
        <v>138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138</v>
      </c>
      <c r="Z291" t="s">
        <v>138</v>
      </c>
      <c r="AA291" t="s">
        <v>138</v>
      </c>
      <c r="AB291" t="s">
        <v>138</v>
      </c>
      <c r="AC291" t="s">
        <v>138</v>
      </c>
      <c r="AD291" t="s">
        <v>138</v>
      </c>
      <c r="AE291" t="s">
        <v>138</v>
      </c>
      <c r="AF291" t="s">
        <v>138</v>
      </c>
      <c r="AG291" s="893">
        <v>44055</v>
      </c>
      <c r="AH291" s="888">
        <f t="shared" si="4"/>
        <v>44044</v>
      </c>
    </row>
    <row r="292" spans="1:34">
      <c r="A292">
        <v>3</v>
      </c>
      <c r="B292">
        <v>2866</v>
      </c>
      <c r="C292" t="s">
        <v>176</v>
      </c>
      <c r="D292">
        <v>132</v>
      </c>
      <c r="E292">
        <v>0</v>
      </c>
      <c r="F292">
        <v>0</v>
      </c>
      <c r="G292" t="s">
        <v>138</v>
      </c>
      <c r="H292" t="s">
        <v>138</v>
      </c>
      <c r="I292" s="893">
        <v>44088</v>
      </c>
      <c r="J292">
        <v>3</v>
      </c>
      <c r="K292" t="s">
        <v>177</v>
      </c>
      <c r="L292">
        <v>2866</v>
      </c>
      <c r="M292">
        <v>0.39193027282833398</v>
      </c>
      <c r="N292" t="s">
        <v>138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138</v>
      </c>
      <c r="Z292" t="s">
        <v>138</v>
      </c>
      <c r="AA292" t="s">
        <v>138</v>
      </c>
      <c r="AB292" t="s">
        <v>138</v>
      </c>
      <c r="AC292" t="s">
        <v>138</v>
      </c>
      <c r="AD292" t="s">
        <v>138</v>
      </c>
      <c r="AE292" t="s">
        <v>138</v>
      </c>
      <c r="AF292" t="s">
        <v>138</v>
      </c>
      <c r="AG292" s="893">
        <v>44088</v>
      </c>
      <c r="AH292" s="888">
        <f t="shared" si="4"/>
        <v>44075</v>
      </c>
    </row>
    <row r="293" spans="1:34">
      <c r="A293">
        <v>4</v>
      </c>
      <c r="B293">
        <v>2866</v>
      </c>
      <c r="C293" t="s">
        <v>176</v>
      </c>
      <c r="D293">
        <v>132</v>
      </c>
      <c r="E293">
        <v>0</v>
      </c>
      <c r="F293">
        <v>0</v>
      </c>
      <c r="G293" t="s">
        <v>138</v>
      </c>
      <c r="H293" t="s">
        <v>138</v>
      </c>
      <c r="I293" s="893">
        <v>44117</v>
      </c>
      <c r="J293">
        <v>4</v>
      </c>
      <c r="K293" t="s">
        <v>177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138</v>
      </c>
      <c r="Z293" t="s">
        <v>138</v>
      </c>
      <c r="AA293" t="s">
        <v>138</v>
      </c>
      <c r="AB293" t="s">
        <v>138</v>
      </c>
      <c r="AC293" t="s">
        <v>138</v>
      </c>
      <c r="AD293" t="s">
        <v>138</v>
      </c>
      <c r="AE293" t="s">
        <v>138</v>
      </c>
      <c r="AF293" t="s">
        <v>138</v>
      </c>
      <c r="AG293" s="893">
        <v>44117</v>
      </c>
      <c r="AH293" s="888">
        <f t="shared" si="4"/>
        <v>44105</v>
      </c>
    </row>
    <row r="294" spans="1:34">
      <c r="A294">
        <v>5</v>
      </c>
      <c r="B294">
        <v>2866</v>
      </c>
      <c r="C294" t="s">
        <v>176</v>
      </c>
      <c r="D294">
        <v>132</v>
      </c>
      <c r="E294">
        <v>0</v>
      </c>
      <c r="F294">
        <v>0</v>
      </c>
      <c r="G294" t="s">
        <v>138</v>
      </c>
      <c r="H294" t="s">
        <v>138</v>
      </c>
      <c r="I294" s="893">
        <v>44147</v>
      </c>
      <c r="J294">
        <v>5</v>
      </c>
      <c r="K294" t="s">
        <v>177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138</v>
      </c>
      <c r="Z294" t="s">
        <v>138</v>
      </c>
      <c r="AA294" t="s">
        <v>138</v>
      </c>
      <c r="AB294" t="s">
        <v>138</v>
      </c>
      <c r="AC294" t="s">
        <v>138</v>
      </c>
      <c r="AD294" t="s">
        <v>138</v>
      </c>
      <c r="AE294" t="s">
        <v>138</v>
      </c>
      <c r="AF294" t="s">
        <v>138</v>
      </c>
      <c r="AG294" s="893">
        <v>44147</v>
      </c>
      <c r="AH294" s="888">
        <f t="shared" si="4"/>
        <v>44136</v>
      </c>
    </row>
    <row r="295" spans="1:34">
      <c r="A295">
        <v>6</v>
      </c>
      <c r="B295">
        <v>2866</v>
      </c>
      <c r="C295" t="s">
        <v>176</v>
      </c>
      <c r="D295">
        <v>132</v>
      </c>
      <c r="E295">
        <v>0</v>
      </c>
      <c r="F295">
        <v>0</v>
      </c>
      <c r="G295" t="s">
        <v>138</v>
      </c>
      <c r="H295" t="s">
        <v>138</v>
      </c>
      <c r="I295" s="893">
        <v>44179</v>
      </c>
      <c r="J295">
        <v>6</v>
      </c>
      <c r="K295" t="s">
        <v>177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138</v>
      </c>
      <c r="Z295" t="s">
        <v>138</v>
      </c>
      <c r="AA295" t="s">
        <v>138</v>
      </c>
      <c r="AB295" t="s">
        <v>138</v>
      </c>
      <c r="AC295" t="s">
        <v>138</v>
      </c>
      <c r="AD295" t="s">
        <v>138</v>
      </c>
      <c r="AE295" t="s">
        <v>138</v>
      </c>
      <c r="AF295" t="s">
        <v>138</v>
      </c>
      <c r="AG295" s="893">
        <v>44179</v>
      </c>
      <c r="AH295" s="888">
        <f t="shared" si="4"/>
        <v>44166</v>
      </c>
    </row>
    <row r="296" spans="1:34">
      <c r="A296">
        <v>7</v>
      </c>
      <c r="B296">
        <v>2866</v>
      </c>
      <c r="C296" t="s">
        <v>176</v>
      </c>
      <c r="D296">
        <v>132</v>
      </c>
      <c r="E296">
        <v>0</v>
      </c>
      <c r="F296">
        <v>0</v>
      </c>
      <c r="G296" t="s">
        <v>138</v>
      </c>
      <c r="H296" t="s">
        <v>138</v>
      </c>
      <c r="I296" s="893">
        <v>44193</v>
      </c>
      <c r="J296">
        <v>7</v>
      </c>
      <c r="K296" t="s">
        <v>177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138</v>
      </c>
      <c r="Z296" t="s">
        <v>138</v>
      </c>
      <c r="AA296" t="s">
        <v>138</v>
      </c>
      <c r="AB296" t="s">
        <v>138</v>
      </c>
      <c r="AC296" t="s">
        <v>138</v>
      </c>
      <c r="AD296" t="s">
        <v>138</v>
      </c>
      <c r="AE296" t="s">
        <v>138</v>
      </c>
      <c r="AF296" t="s">
        <v>138</v>
      </c>
      <c r="AG296" s="893">
        <v>44193</v>
      </c>
      <c r="AH296" s="888">
        <f t="shared" si="4"/>
        <v>44166</v>
      </c>
    </row>
    <row r="297" spans="1:34">
      <c r="A297">
        <v>8</v>
      </c>
      <c r="B297">
        <v>2866</v>
      </c>
      <c r="C297" t="s">
        <v>176</v>
      </c>
      <c r="D297">
        <v>132</v>
      </c>
      <c r="E297">
        <v>0</v>
      </c>
      <c r="F297">
        <v>0</v>
      </c>
      <c r="G297" t="s">
        <v>138</v>
      </c>
      <c r="H297" t="s">
        <v>138</v>
      </c>
      <c r="I297" s="893">
        <v>44208</v>
      </c>
      <c r="J297">
        <v>8</v>
      </c>
      <c r="K297" t="s">
        <v>177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138</v>
      </c>
      <c r="Z297" t="s">
        <v>138</v>
      </c>
      <c r="AA297" t="s">
        <v>138</v>
      </c>
      <c r="AB297" t="s">
        <v>138</v>
      </c>
      <c r="AC297" t="s">
        <v>138</v>
      </c>
      <c r="AD297" t="s">
        <v>138</v>
      </c>
      <c r="AE297" t="s">
        <v>138</v>
      </c>
      <c r="AF297" t="s">
        <v>138</v>
      </c>
      <c r="AG297" s="893">
        <v>44208</v>
      </c>
      <c r="AH297" s="888">
        <f t="shared" si="4"/>
        <v>44197</v>
      </c>
    </row>
    <row r="298" spans="1:34">
      <c r="A298">
        <v>1</v>
      </c>
      <c r="B298">
        <v>2937</v>
      </c>
      <c r="C298" t="s">
        <v>178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893">
        <v>44043</v>
      </c>
      <c r="J298">
        <v>1</v>
      </c>
      <c r="K298" t="s">
        <v>178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893">
        <v>44043</v>
      </c>
      <c r="AH298" s="888">
        <f t="shared" si="4"/>
        <v>44013</v>
      </c>
    </row>
    <row r="299" spans="1:34">
      <c r="A299">
        <v>2</v>
      </c>
      <c r="B299">
        <v>2937</v>
      </c>
      <c r="C299" t="s">
        <v>178</v>
      </c>
      <c r="D299">
        <v>135</v>
      </c>
      <c r="E299">
        <v>0</v>
      </c>
      <c r="F299">
        <v>0</v>
      </c>
      <c r="G299" t="s">
        <v>138</v>
      </c>
      <c r="H299" t="s">
        <v>138</v>
      </c>
      <c r="I299" s="893">
        <v>44055</v>
      </c>
      <c r="J299">
        <v>2</v>
      </c>
      <c r="K299" t="s">
        <v>178</v>
      </c>
      <c r="L299">
        <v>2937</v>
      </c>
      <c r="M299">
        <v>0</v>
      </c>
      <c r="N299" t="s">
        <v>138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138</v>
      </c>
      <c r="Z299" t="s">
        <v>138</v>
      </c>
      <c r="AA299" t="s">
        <v>138</v>
      </c>
      <c r="AB299" t="s">
        <v>138</v>
      </c>
      <c r="AC299" t="s">
        <v>138</v>
      </c>
      <c r="AD299" t="s">
        <v>138</v>
      </c>
      <c r="AE299" t="s">
        <v>138</v>
      </c>
      <c r="AF299" t="s">
        <v>138</v>
      </c>
      <c r="AG299" s="893">
        <v>44055</v>
      </c>
      <c r="AH299" s="888">
        <f t="shared" si="4"/>
        <v>44044</v>
      </c>
    </row>
    <row r="300" spans="1:34">
      <c r="A300">
        <v>3</v>
      </c>
      <c r="B300">
        <v>2937</v>
      </c>
      <c r="C300" t="s">
        <v>178</v>
      </c>
      <c r="D300">
        <v>135</v>
      </c>
      <c r="E300">
        <v>0</v>
      </c>
      <c r="F300">
        <v>0</v>
      </c>
      <c r="G300" t="s">
        <v>138</v>
      </c>
      <c r="H300" t="s">
        <v>138</v>
      </c>
      <c r="I300" s="893">
        <v>44088</v>
      </c>
      <c r="J300">
        <v>3</v>
      </c>
      <c r="K300" t="s">
        <v>178</v>
      </c>
      <c r="L300">
        <v>2937</v>
      </c>
      <c r="M300">
        <v>0</v>
      </c>
      <c r="N300" t="s">
        <v>138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138</v>
      </c>
      <c r="Z300" t="s">
        <v>138</v>
      </c>
      <c r="AA300" t="s">
        <v>138</v>
      </c>
      <c r="AB300" t="s">
        <v>138</v>
      </c>
      <c r="AC300" t="s">
        <v>138</v>
      </c>
      <c r="AD300" t="s">
        <v>138</v>
      </c>
      <c r="AE300" t="s">
        <v>138</v>
      </c>
      <c r="AF300" t="s">
        <v>138</v>
      </c>
      <c r="AG300" s="893">
        <v>44088</v>
      </c>
      <c r="AH300" s="888">
        <f t="shared" si="4"/>
        <v>44075</v>
      </c>
    </row>
    <row r="301" spans="1:34">
      <c r="A301">
        <v>4</v>
      </c>
      <c r="B301">
        <v>2937</v>
      </c>
      <c r="C301" t="s">
        <v>178</v>
      </c>
      <c r="D301">
        <v>135</v>
      </c>
      <c r="E301">
        <v>0</v>
      </c>
      <c r="F301">
        <v>0</v>
      </c>
      <c r="G301" t="s">
        <v>138</v>
      </c>
      <c r="H301" t="s">
        <v>138</v>
      </c>
      <c r="I301" s="893">
        <v>44117</v>
      </c>
      <c r="J301">
        <v>4</v>
      </c>
      <c r="K301" t="s">
        <v>178</v>
      </c>
      <c r="L301">
        <v>2937</v>
      </c>
      <c r="M301" t="s">
        <v>138</v>
      </c>
      <c r="N301" t="s">
        <v>138</v>
      </c>
      <c r="O301" t="s">
        <v>138</v>
      </c>
      <c r="P301" t="s">
        <v>138</v>
      </c>
      <c r="Q301" t="s">
        <v>138</v>
      </c>
      <c r="R301" t="s">
        <v>138</v>
      </c>
      <c r="S301" t="s">
        <v>138</v>
      </c>
      <c r="T301" t="s">
        <v>138</v>
      </c>
      <c r="U301" t="s">
        <v>138</v>
      </c>
      <c r="V301" t="s">
        <v>138</v>
      </c>
      <c r="W301" t="s">
        <v>138</v>
      </c>
      <c r="X301" t="s">
        <v>138</v>
      </c>
      <c r="Y301" t="s">
        <v>138</v>
      </c>
      <c r="Z301" t="s">
        <v>138</v>
      </c>
      <c r="AA301" t="s">
        <v>138</v>
      </c>
      <c r="AB301" t="s">
        <v>138</v>
      </c>
      <c r="AC301" t="s">
        <v>138</v>
      </c>
      <c r="AD301" t="s">
        <v>138</v>
      </c>
      <c r="AE301" t="s">
        <v>138</v>
      </c>
      <c r="AF301" t="s">
        <v>138</v>
      </c>
      <c r="AG301" s="893">
        <v>44117</v>
      </c>
      <c r="AH301" s="888">
        <f t="shared" si="4"/>
        <v>44105</v>
      </c>
    </row>
    <row r="302" spans="1:34">
      <c r="A302">
        <v>5</v>
      </c>
      <c r="B302">
        <v>2937</v>
      </c>
      <c r="C302" t="s">
        <v>178</v>
      </c>
      <c r="D302">
        <v>135</v>
      </c>
      <c r="E302">
        <v>0</v>
      </c>
      <c r="F302">
        <v>0</v>
      </c>
      <c r="G302" t="s">
        <v>138</v>
      </c>
      <c r="H302" t="s">
        <v>138</v>
      </c>
      <c r="I302" s="893">
        <v>44147</v>
      </c>
      <c r="J302">
        <v>5</v>
      </c>
      <c r="K302" t="s">
        <v>178</v>
      </c>
      <c r="L302">
        <v>2937</v>
      </c>
      <c r="M302" t="s">
        <v>138</v>
      </c>
      <c r="N302" t="s">
        <v>138</v>
      </c>
      <c r="O302" t="s">
        <v>138</v>
      </c>
      <c r="P302" t="s">
        <v>138</v>
      </c>
      <c r="Q302" t="s">
        <v>138</v>
      </c>
      <c r="R302" t="s">
        <v>138</v>
      </c>
      <c r="S302" t="s">
        <v>138</v>
      </c>
      <c r="T302" t="s">
        <v>138</v>
      </c>
      <c r="U302" t="s">
        <v>138</v>
      </c>
      <c r="V302" t="s">
        <v>138</v>
      </c>
      <c r="W302" t="s">
        <v>138</v>
      </c>
      <c r="X302" t="s">
        <v>138</v>
      </c>
      <c r="Y302" t="s">
        <v>138</v>
      </c>
      <c r="Z302" t="s">
        <v>138</v>
      </c>
      <c r="AA302" t="s">
        <v>138</v>
      </c>
      <c r="AB302" t="s">
        <v>138</v>
      </c>
      <c r="AC302" t="s">
        <v>138</v>
      </c>
      <c r="AD302" t="s">
        <v>138</v>
      </c>
      <c r="AE302" t="s">
        <v>138</v>
      </c>
      <c r="AF302" t="s">
        <v>138</v>
      </c>
      <c r="AG302" s="893">
        <v>44147</v>
      </c>
      <c r="AH302" s="888">
        <f t="shared" si="4"/>
        <v>44136</v>
      </c>
    </row>
    <row r="303" spans="1:34">
      <c r="A303">
        <v>6</v>
      </c>
      <c r="B303">
        <v>2937</v>
      </c>
      <c r="C303" t="s">
        <v>178</v>
      </c>
      <c r="D303">
        <v>135</v>
      </c>
      <c r="E303">
        <v>0</v>
      </c>
      <c r="F303">
        <v>0</v>
      </c>
      <c r="G303" t="s">
        <v>138</v>
      </c>
      <c r="H303" t="s">
        <v>138</v>
      </c>
      <c r="I303" s="893">
        <v>44179</v>
      </c>
      <c r="J303">
        <v>6</v>
      </c>
      <c r="K303" t="s">
        <v>178</v>
      </c>
      <c r="L303">
        <v>2937</v>
      </c>
      <c r="M303" t="s">
        <v>138</v>
      </c>
      <c r="N303" t="s">
        <v>138</v>
      </c>
      <c r="O303" t="s">
        <v>138</v>
      </c>
      <c r="P303" t="s">
        <v>138</v>
      </c>
      <c r="Q303" t="s">
        <v>138</v>
      </c>
      <c r="R303" t="s">
        <v>138</v>
      </c>
      <c r="S303" t="s">
        <v>138</v>
      </c>
      <c r="T303" t="s">
        <v>138</v>
      </c>
      <c r="U303" t="s">
        <v>138</v>
      </c>
      <c r="V303" t="s">
        <v>138</v>
      </c>
      <c r="W303" t="s">
        <v>138</v>
      </c>
      <c r="X303" t="s">
        <v>138</v>
      </c>
      <c r="Y303" t="s">
        <v>138</v>
      </c>
      <c r="Z303" t="s">
        <v>138</v>
      </c>
      <c r="AA303" t="s">
        <v>138</v>
      </c>
      <c r="AB303" t="s">
        <v>138</v>
      </c>
      <c r="AC303" t="s">
        <v>138</v>
      </c>
      <c r="AD303" t="s">
        <v>138</v>
      </c>
      <c r="AE303" t="s">
        <v>138</v>
      </c>
      <c r="AF303" t="s">
        <v>138</v>
      </c>
      <c r="AG303" s="893">
        <v>44179</v>
      </c>
      <c r="AH303" s="888">
        <f t="shared" si="4"/>
        <v>44166</v>
      </c>
    </row>
    <row r="304" spans="1:34">
      <c r="A304">
        <v>7</v>
      </c>
      <c r="B304">
        <v>2937</v>
      </c>
      <c r="C304" t="s">
        <v>178</v>
      </c>
      <c r="D304">
        <v>135</v>
      </c>
      <c r="E304">
        <v>0</v>
      </c>
      <c r="F304">
        <v>0</v>
      </c>
      <c r="G304" t="s">
        <v>138</v>
      </c>
      <c r="H304" t="s">
        <v>138</v>
      </c>
      <c r="I304" s="893">
        <v>44193</v>
      </c>
      <c r="J304">
        <v>7</v>
      </c>
      <c r="K304" t="s">
        <v>178</v>
      </c>
      <c r="L304">
        <v>2937</v>
      </c>
      <c r="M304" t="s">
        <v>138</v>
      </c>
      <c r="N304" t="s">
        <v>138</v>
      </c>
      <c r="O304" t="s">
        <v>138</v>
      </c>
      <c r="P304" t="s">
        <v>138</v>
      </c>
      <c r="Q304" t="s">
        <v>138</v>
      </c>
      <c r="R304" t="s">
        <v>138</v>
      </c>
      <c r="S304" t="s">
        <v>138</v>
      </c>
      <c r="T304" t="s">
        <v>138</v>
      </c>
      <c r="U304" t="s">
        <v>138</v>
      </c>
      <c r="V304" t="s">
        <v>138</v>
      </c>
      <c r="W304" t="s">
        <v>138</v>
      </c>
      <c r="X304" t="s">
        <v>138</v>
      </c>
      <c r="Y304" t="s">
        <v>138</v>
      </c>
      <c r="Z304" t="s">
        <v>138</v>
      </c>
      <c r="AA304" t="s">
        <v>138</v>
      </c>
      <c r="AB304" t="s">
        <v>138</v>
      </c>
      <c r="AC304" t="s">
        <v>138</v>
      </c>
      <c r="AD304" t="s">
        <v>138</v>
      </c>
      <c r="AE304" t="s">
        <v>138</v>
      </c>
      <c r="AF304" t="s">
        <v>138</v>
      </c>
      <c r="AG304" s="893">
        <v>44193</v>
      </c>
      <c r="AH304" s="888">
        <f t="shared" si="4"/>
        <v>44166</v>
      </c>
    </row>
    <row r="305" spans="1:34">
      <c r="A305">
        <v>8</v>
      </c>
      <c r="B305">
        <v>2937</v>
      </c>
      <c r="C305" t="s">
        <v>178</v>
      </c>
      <c r="D305">
        <v>135</v>
      </c>
      <c r="E305">
        <v>0</v>
      </c>
      <c r="F305">
        <v>0</v>
      </c>
      <c r="G305" t="s">
        <v>138</v>
      </c>
      <c r="H305" t="s">
        <v>138</v>
      </c>
      <c r="I305" s="893">
        <v>44208</v>
      </c>
      <c r="J305">
        <v>8</v>
      </c>
      <c r="K305" t="s">
        <v>178</v>
      </c>
      <c r="L305">
        <v>2937</v>
      </c>
      <c r="M305" t="s">
        <v>138</v>
      </c>
      <c r="N305" t="s">
        <v>138</v>
      </c>
      <c r="O305" t="s">
        <v>138</v>
      </c>
      <c r="P305" t="s">
        <v>138</v>
      </c>
      <c r="Q305" t="s">
        <v>138</v>
      </c>
      <c r="R305" t="s">
        <v>138</v>
      </c>
      <c r="S305" t="s">
        <v>138</v>
      </c>
      <c r="T305" t="s">
        <v>138</v>
      </c>
      <c r="U305" t="s">
        <v>138</v>
      </c>
      <c r="V305" t="s">
        <v>138</v>
      </c>
      <c r="W305" t="s">
        <v>138</v>
      </c>
      <c r="X305" t="s">
        <v>138</v>
      </c>
      <c r="Y305" t="s">
        <v>138</v>
      </c>
      <c r="Z305" t="s">
        <v>138</v>
      </c>
      <c r="AA305" t="s">
        <v>138</v>
      </c>
      <c r="AB305" t="s">
        <v>138</v>
      </c>
      <c r="AC305" t="s">
        <v>138</v>
      </c>
      <c r="AD305" t="s">
        <v>138</v>
      </c>
      <c r="AE305" t="s">
        <v>138</v>
      </c>
      <c r="AF305" t="s">
        <v>138</v>
      </c>
      <c r="AG305" s="893">
        <v>44208</v>
      </c>
      <c r="AH305" s="888">
        <f t="shared" si="4"/>
        <v>44197</v>
      </c>
    </row>
    <row r="306" spans="1:34">
      <c r="A306">
        <v>1</v>
      </c>
      <c r="B306">
        <v>4950</v>
      </c>
      <c r="C306" t="s">
        <v>179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893">
        <v>44043</v>
      </c>
      <c r="J306">
        <v>1</v>
      </c>
      <c r="K306" t="s">
        <v>179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893">
        <v>44043</v>
      </c>
      <c r="AH306" s="888">
        <f t="shared" si="4"/>
        <v>44013</v>
      </c>
    </row>
    <row r="307" spans="1:34">
      <c r="A307">
        <v>2</v>
      </c>
      <c r="B307">
        <v>4950</v>
      </c>
      <c r="C307" t="s">
        <v>179</v>
      </c>
      <c r="D307">
        <v>118</v>
      </c>
      <c r="E307">
        <v>50944468.073423997</v>
      </c>
      <c r="F307">
        <v>0</v>
      </c>
      <c r="G307" t="s">
        <v>138</v>
      </c>
      <c r="H307" t="s">
        <v>138</v>
      </c>
      <c r="I307" s="893">
        <v>44055</v>
      </c>
      <c r="J307">
        <v>2</v>
      </c>
      <c r="K307" t="s">
        <v>179</v>
      </c>
      <c r="L307">
        <v>4950</v>
      </c>
      <c r="M307">
        <v>0.231766912313731</v>
      </c>
      <c r="N307" t="s">
        <v>138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138</v>
      </c>
      <c r="Z307" t="s">
        <v>138</v>
      </c>
      <c r="AA307" t="s">
        <v>138</v>
      </c>
      <c r="AB307" t="s">
        <v>138</v>
      </c>
      <c r="AC307" t="s">
        <v>138</v>
      </c>
      <c r="AD307" t="s">
        <v>138</v>
      </c>
      <c r="AE307" t="s">
        <v>138</v>
      </c>
      <c r="AF307" t="s">
        <v>138</v>
      </c>
      <c r="AG307" s="893">
        <v>44055</v>
      </c>
      <c r="AH307" s="888">
        <f t="shared" si="4"/>
        <v>44044</v>
      </c>
    </row>
    <row r="308" spans="1:34">
      <c r="A308">
        <v>3</v>
      </c>
      <c r="B308">
        <v>4950</v>
      </c>
      <c r="C308" t="s">
        <v>179</v>
      </c>
      <c r="D308">
        <v>118</v>
      </c>
      <c r="E308">
        <v>43010188.8903846</v>
      </c>
      <c r="F308">
        <v>0</v>
      </c>
      <c r="G308" t="s">
        <v>138</v>
      </c>
      <c r="H308" t="s">
        <v>138</v>
      </c>
      <c r="I308" s="893">
        <v>44088</v>
      </c>
      <c r="J308">
        <v>3</v>
      </c>
      <c r="K308" t="s">
        <v>179</v>
      </c>
      <c r="L308">
        <v>4950</v>
      </c>
      <c r="M308">
        <v>0.77513262240940295</v>
      </c>
      <c r="N308" t="s">
        <v>138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138</v>
      </c>
      <c r="Z308" t="s">
        <v>138</v>
      </c>
      <c r="AA308" t="s">
        <v>138</v>
      </c>
      <c r="AB308" t="s">
        <v>138</v>
      </c>
      <c r="AC308" t="s">
        <v>138</v>
      </c>
      <c r="AD308" t="s">
        <v>138</v>
      </c>
      <c r="AE308" t="s">
        <v>138</v>
      </c>
      <c r="AF308" t="s">
        <v>138</v>
      </c>
      <c r="AG308" s="893">
        <v>44088</v>
      </c>
      <c r="AH308" s="888">
        <f t="shared" si="4"/>
        <v>44075</v>
      </c>
    </row>
    <row r="309" spans="1:34">
      <c r="A309">
        <v>4</v>
      </c>
      <c r="B309">
        <v>4950</v>
      </c>
      <c r="C309" t="s">
        <v>179</v>
      </c>
      <c r="D309">
        <v>118</v>
      </c>
      <c r="E309">
        <v>33549237.7405954</v>
      </c>
      <c r="F309">
        <v>0</v>
      </c>
      <c r="G309" t="s">
        <v>138</v>
      </c>
      <c r="H309" t="s">
        <v>138</v>
      </c>
      <c r="I309" s="893">
        <v>44117</v>
      </c>
      <c r="J309">
        <v>4</v>
      </c>
      <c r="K309" t="s">
        <v>179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138</v>
      </c>
      <c r="Z309" t="s">
        <v>138</v>
      </c>
      <c r="AA309" t="s">
        <v>138</v>
      </c>
      <c r="AB309" t="s">
        <v>138</v>
      </c>
      <c r="AC309" t="s">
        <v>138</v>
      </c>
      <c r="AD309" t="s">
        <v>138</v>
      </c>
      <c r="AE309" t="s">
        <v>138</v>
      </c>
      <c r="AF309" t="s">
        <v>138</v>
      </c>
      <c r="AG309" s="893">
        <v>44117</v>
      </c>
      <c r="AH309" s="888">
        <f t="shared" si="4"/>
        <v>44105</v>
      </c>
    </row>
    <row r="310" spans="1:34">
      <c r="A310">
        <v>5</v>
      </c>
      <c r="B310">
        <v>4950</v>
      </c>
      <c r="C310" t="s">
        <v>179</v>
      </c>
      <c r="D310">
        <v>118</v>
      </c>
      <c r="E310">
        <v>23442287.1680362</v>
      </c>
      <c r="F310">
        <v>0</v>
      </c>
      <c r="G310" t="s">
        <v>138</v>
      </c>
      <c r="H310" t="s">
        <v>138</v>
      </c>
      <c r="I310" s="893">
        <v>44147</v>
      </c>
      <c r="J310">
        <v>5</v>
      </c>
      <c r="K310" t="s">
        <v>179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138</v>
      </c>
      <c r="Z310" t="s">
        <v>138</v>
      </c>
      <c r="AA310" t="s">
        <v>138</v>
      </c>
      <c r="AB310" t="s">
        <v>138</v>
      </c>
      <c r="AC310" t="s">
        <v>138</v>
      </c>
      <c r="AD310" t="s">
        <v>138</v>
      </c>
      <c r="AE310" t="s">
        <v>138</v>
      </c>
      <c r="AF310" t="s">
        <v>138</v>
      </c>
      <c r="AG310" s="893">
        <v>44147</v>
      </c>
      <c r="AH310" s="888">
        <f t="shared" si="4"/>
        <v>44136</v>
      </c>
    </row>
    <row r="311" spans="1:34">
      <c r="A311">
        <v>6</v>
      </c>
      <c r="B311">
        <v>4950</v>
      </c>
      <c r="C311" t="s">
        <v>179</v>
      </c>
      <c r="D311">
        <v>118</v>
      </c>
      <c r="E311">
        <v>30314878.8247259</v>
      </c>
      <c r="F311">
        <v>0</v>
      </c>
      <c r="G311" t="s">
        <v>138</v>
      </c>
      <c r="H311" t="s">
        <v>138</v>
      </c>
      <c r="I311" s="893">
        <v>44179</v>
      </c>
      <c r="J311">
        <v>6</v>
      </c>
      <c r="K311" t="s">
        <v>179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138</v>
      </c>
      <c r="Z311" t="s">
        <v>138</v>
      </c>
      <c r="AA311" t="s">
        <v>138</v>
      </c>
      <c r="AB311" t="s">
        <v>138</v>
      </c>
      <c r="AC311" t="s">
        <v>138</v>
      </c>
      <c r="AD311" t="s">
        <v>138</v>
      </c>
      <c r="AE311" t="s">
        <v>138</v>
      </c>
      <c r="AF311" t="s">
        <v>138</v>
      </c>
      <c r="AG311" s="893">
        <v>44179</v>
      </c>
      <c r="AH311" s="888">
        <f t="shared" si="4"/>
        <v>44166</v>
      </c>
    </row>
    <row r="312" spans="1:34">
      <c r="A312">
        <v>7</v>
      </c>
      <c r="B312">
        <v>4950</v>
      </c>
      <c r="C312" t="s">
        <v>179</v>
      </c>
      <c r="D312">
        <v>118</v>
      </c>
      <c r="E312">
        <v>36524153.538503297</v>
      </c>
      <c r="F312">
        <v>0</v>
      </c>
      <c r="G312" t="s">
        <v>138</v>
      </c>
      <c r="H312" t="s">
        <v>138</v>
      </c>
      <c r="I312" s="893">
        <v>44193</v>
      </c>
      <c r="J312">
        <v>7</v>
      </c>
      <c r="K312" t="s">
        <v>179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138</v>
      </c>
      <c r="Z312" t="s">
        <v>138</v>
      </c>
      <c r="AA312" t="s">
        <v>138</v>
      </c>
      <c r="AB312" t="s">
        <v>138</v>
      </c>
      <c r="AC312" t="s">
        <v>138</v>
      </c>
      <c r="AD312" t="s">
        <v>138</v>
      </c>
      <c r="AE312" t="s">
        <v>138</v>
      </c>
      <c r="AF312" t="s">
        <v>138</v>
      </c>
      <c r="AG312" s="893">
        <v>44193</v>
      </c>
      <c r="AH312" s="888">
        <f t="shared" si="4"/>
        <v>44166</v>
      </c>
    </row>
    <row r="313" spans="1:34">
      <c r="A313">
        <v>8</v>
      </c>
      <c r="B313">
        <v>4950</v>
      </c>
      <c r="C313" t="s">
        <v>179</v>
      </c>
      <c r="D313">
        <v>118</v>
      </c>
      <c r="E313">
        <v>0</v>
      </c>
      <c r="F313">
        <v>0</v>
      </c>
      <c r="G313" t="s">
        <v>138</v>
      </c>
      <c r="H313" t="s">
        <v>138</v>
      </c>
      <c r="I313" s="893">
        <v>44208</v>
      </c>
      <c r="J313">
        <v>8</v>
      </c>
      <c r="K313" t="s">
        <v>179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138</v>
      </c>
      <c r="Z313" t="s">
        <v>138</v>
      </c>
      <c r="AA313" t="s">
        <v>138</v>
      </c>
      <c r="AB313" t="s">
        <v>138</v>
      </c>
      <c r="AC313" t="s">
        <v>138</v>
      </c>
      <c r="AD313" t="s">
        <v>138</v>
      </c>
      <c r="AE313" t="s">
        <v>138</v>
      </c>
      <c r="AF313" t="s">
        <v>138</v>
      </c>
      <c r="AG313" s="893">
        <v>44208</v>
      </c>
      <c r="AH313" s="888">
        <f t="shared" si="4"/>
        <v>44197</v>
      </c>
    </row>
    <row r="314" spans="1:34">
      <c r="A314">
        <v>1</v>
      </c>
      <c r="B314">
        <v>5160</v>
      </c>
      <c r="C314" t="s">
        <v>180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893">
        <v>44043</v>
      </c>
      <c r="J314">
        <v>1</v>
      </c>
      <c r="K314" t="s">
        <v>181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893">
        <v>44043</v>
      </c>
      <c r="AH314" s="888">
        <f t="shared" si="4"/>
        <v>44013</v>
      </c>
    </row>
    <row r="315" spans="1:34">
      <c r="A315">
        <v>2</v>
      </c>
      <c r="B315">
        <v>5160</v>
      </c>
      <c r="C315" t="s">
        <v>180</v>
      </c>
      <c r="D315">
        <v>109</v>
      </c>
      <c r="E315">
        <v>32551032.379999999</v>
      </c>
      <c r="F315">
        <v>0</v>
      </c>
      <c r="G315" t="s">
        <v>138</v>
      </c>
      <c r="H315" t="s">
        <v>138</v>
      </c>
      <c r="I315" s="893">
        <v>44055</v>
      </c>
      <c r="J315">
        <v>2</v>
      </c>
      <c r="K315" t="s">
        <v>181</v>
      </c>
      <c r="L315">
        <v>5160</v>
      </c>
      <c r="M315">
        <v>0.44102704764811201</v>
      </c>
      <c r="N315" t="s">
        <v>138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138</v>
      </c>
      <c r="Z315" t="s">
        <v>138</v>
      </c>
      <c r="AA315" t="s">
        <v>138</v>
      </c>
      <c r="AB315" t="s">
        <v>138</v>
      </c>
      <c r="AC315" t="s">
        <v>138</v>
      </c>
      <c r="AD315" t="s">
        <v>138</v>
      </c>
      <c r="AE315" t="s">
        <v>138</v>
      </c>
      <c r="AF315" t="s">
        <v>138</v>
      </c>
      <c r="AG315" s="893">
        <v>44055</v>
      </c>
      <c r="AH315" s="888">
        <f t="shared" si="4"/>
        <v>44044</v>
      </c>
    </row>
    <row r="316" spans="1:34">
      <c r="A316">
        <v>3</v>
      </c>
      <c r="B316">
        <v>5160</v>
      </c>
      <c r="C316" t="s">
        <v>180</v>
      </c>
      <c r="D316">
        <v>109</v>
      </c>
      <c r="E316">
        <v>49121818.920000002</v>
      </c>
      <c r="F316">
        <v>0</v>
      </c>
      <c r="G316" t="s">
        <v>138</v>
      </c>
      <c r="H316" t="s">
        <v>138</v>
      </c>
      <c r="I316" s="893">
        <v>44088</v>
      </c>
      <c r="J316">
        <v>3</v>
      </c>
      <c r="K316" t="s">
        <v>181</v>
      </c>
      <c r="L316">
        <v>5160</v>
      </c>
      <c r="M316">
        <v>0.65288242640094496</v>
      </c>
      <c r="N316" t="s">
        <v>138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138</v>
      </c>
      <c r="Z316" t="s">
        <v>138</v>
      </c>
      <c r="AA316" t="s">
        <v>138</v>
      </c>
      <c r="AB316" t="s">
        <v>138</v>
      </c>
      <c r="AC316" t="s">
        <v>138</v>
      </c>
      <c r="AD316" t="s">
        <v>138</v>
      </c>
      <c r="AE316" t="s">
        <v>138</v>
      </c>
      <c r="AF316" t="s">
        <v>138</v>
      </c>
      <c r="AG316" s="893">
        <v>44088</v>
      </c>
      <c r="AH316" s="888">
        <f t="shared" si="4"/>
        <v>44075</v>
      </c>
    </row>
    <row r="317" spans="1:34">
      <c r="A317">
        <v>4</v>
      </c>
      <c r="B317">
        <v>5160</v>
      </c>
      <c r="C317" t="s">
        <v>180</v>
      </c>
      <c r="D317">
        <v>109</v>
      </c>
      <c r="E317">
        <v>49899569.810000002</v>
      </c>
      <c r="F317">
        <v>0</v>
      </c>
      <c r="G317" t="s">
        <v>138</v>
      </c>
      <c r="H317" t="s">
        <v>138</v>
      </c>
      <c r="I317" s="893">
        <v>44117</v>
      </c>
      <c r="J317">
        <v>4</v>
      </c>
      <c r="K317" t="s">
        <v>181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138</v>
      </c>
      <c r="Z317" t="s">
        <v>138</v>
      </c>
      <c r="AA317" t="s">
        <v>138</v>
      </c>
      <c r="AB317" t="s">
        <v>138</v>
      </c>
      <c r="AC317" t="s">
        <v>138</v>
      </c>
      <c r="AD317" t="s">
        <v>138</v>
      </c>
      <c r="AE317" t="s">
        <v>138</v>
      </c>
      <c r="AF317" t="s">
        <v>138</v>
      </c>
      <c r="AG317" s="893">
        <v>44117</v>
      </c>
      <c r="AH317" s="888">
        <f t="shared" si="4"/>
        <v>44105</v>
      </c>
    </row>
    <row r="318" spans="1:34">
      <c r="A318">
        <v>5</v>
      </c>
      <c r="B318">
        <v>5160</v>
      </c>
      <c r="C318" t="s">
        <v>180</v>
      </c>
      <c r="D318">
        <v>109</v>
      </c>
      <c r="E318">
        <v>4459160.6357284002</v>
      </c>
      <c r="F318">
        <v>0</v>
      </c>
      <c r="G318" t="s">
        <v>138</v>
      </c>
      <c r="H318" t="s">
        <v>138</v>
      </c>
      <c r="I318" s="893">
        <v>44147</v>
      </c>
      <c r="J318">
        <v>5</v>
      </c>
      <c r="K318" t="s">
        <v>181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138</v>
      </c>
      <c r="Z318" t="s">
        <v>138</v>
      </c>
      <c r="AA318" t="s">
        <v>138</v>
      </c>
      <c r="AB318" t="s">
        <v>138</v>
      </c>
      <c r="AC318" t="s">
        <v>138</v>
      </c>
      <c r="AD318" t="s">
        <v>138</v>
      </c>
      <c r="AE318" t="s">
        <v>138</v>
      </c>
      <c r="AF318" t="s">
        <v>138</v>
      </c>
      <c r="AG318" s="893">
        <v>44147</v>
      </c>
      <c r="AH318" s="888">
        <f t="shared" si="4"/>
        <v>44136</v>
      </c>
    </row>
    <row r="319" spans="1:34">
      <c r="A319">
        <v>6</v>
      </c>
      <c r="B319">
        <v>5160</v>
      </c>
      <c r="C319" t="s">
        <v>180</v>
      </c>
      <c r="D319">
        <v>109</v>
      </c>
      <c r="E319">
        <v>15616769.74622</v>
      </c>
      <c r="F319">
        <v>0</v>
      </c>
      <c r="G319" t="s">
        <v>138</v>
      </c>
      <c r="H319" t="s">
        <v>138</v>
      </c>
      <c r="I319" s="893">
        <v>44179</v>
      </c>
      <c r="J319">
        <v>6</v>
      </c>
      <c r="K319" t="s">
        <v>181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138</v>
      </c>
      <c r="Z319" t="s">
        <v>138</v>
      </c>
      <c r="AA319" t="s">
        <v>138</v>
      </c>
      <c r="AB319" t="s">
        <v>138</v>
      </c>
      <c r="AC319" t="s">
        <v>138</v>
      </c>
      <c r="AD319" t="s">
        <v>138</v>
      </c>
      <c r="AE319" t="s">
        <v>138</v>
      </c>
      <c r="AF319" t="s">
        <v>138</v>
      </c>
      <c r="AG319" s="893">
        <v>44179</v>
      </c>
      <c r="AH319" s="888">
        <f t="shared" si="4"/>
        <v>44166</v>
      </c>
    </row>
    <row r="320" spans="1:34">
      <c r="A320">
        <v>7</v>
      </c>
      <c r="B320">
        <v>5160</v>
      </c>
      <c r="C320" t="s">
        <v>180</v>
      </c>
      <c r="D320">
        <v>109</v>
      </c>
      <c r="E320">
        <v>0</v>
      </c>
      <c r="F320">
        <v>0</v>
      </c>
      <c r="G320" t="s">
        <v>138</v>
      </c>
      <c r="H320" t="s">
        <v>138</v>
      </c>
      <c r="I320" s="893">
        <v>44193</v>
      </c>
      <c r="J320">
        <v>7</v>
      </c>
      <c r="K320" t="s">
        <v>181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138</v>
      </c>
      <c r="Z320" t="s">
        <v>138</v>
      </c>
      <c r="AA320" t="s">
        <v>138</v>
      </c>
      <c r="AB320" t="s">
        <v>138</v>
      </c>
      <c r="AC320" t="s">
        <v>138</v>
      </c>
      <c r="AD320" t="s">
        <v>138</v>
      </c>
      <c r="AE320" t="s">
        <v>138</v>
      </c>
      <c r="AF320" t="s">
        <v>138</v>
      </c>
      <c r="AG320" s="893">
        <v>44193</v>
      </c>
      <c r="AH320" s="888">
        <f t="shared" si="4"/>
        <v>44166</v>
      </c>
    </row>
    <row r="321" spans="1:34">
      <c r="A321">
        <v>8</v>
      </c>
      <c r="B321">
        <v>5160</v>
      </c>
      <c r="C321" t="s">
        <v>180</v>
      </c>
      <c r="D321">
        <v>109</v>
      </c>
      <c r="E321">
        <v>18807760.9715674</v>
      </c>
      <c r="F321">
        <v>0</v>
      </c>
      <c r="G321" t="s">
        <v>138</v>
      </c>
      <c r="H321" t="s">
        <v>138</v>
      </c>
      <c r="I321" s="893">
        <v>44208</v>
      </c>
      <c r="J321">
        <v>8</v>
      </c>
      <c r="K321" t="s">
        <v>181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138</v>
      </c>
      <c r="Z321" t="s">
        <v>138</v>
      </c>
      <c r="AA321" t="s">
        <v>138</v>
      </c>
      <c r="AB321" t="s">
        <v>138</v>
      </c>
      <c r="AC321" t="s">
        <v>138</v>
      </c>
      <c r="AD321" t="s">
        <v>138</v>
      </c>
      <c r="AE321" t="s">
        <v>138</v>
      </c>
      <c r="AF321" t="s">
        <v>138</v>
      </c>
      <c r="AG321" s="893">
        <v>44208</v>
      </c>
      <c r="AH321" s="888">
        <f t="shared" si="4"/>
        <v>44197</v>
      </c>
    </row>
    <row r="322" spans="1:34">
      <c r="A322">
        <v>1</v>
      </c>
      <c r="B322">
        <v>5274</v>
      </c>
      <c r="C322" t="s">
        <v>182</v>
      </c>
      <c r="D322">
        <v>252</v>
      </c>
      <c r="E322" s="234">
        <v>0</v>
      </c>
      <c r="F322" s="234">
        <v>1693330</v>
      </c>
      <c r="G322" s="234">
        <f>F322</f>
        <v>1693330</v>
      </c>
      <c r="H322" s="234">
        <v>0</v>
      </c>
      <c r="I322" s="893">
        <v>44043</v>
      </c>
      <c r="J322" t="s">
        <v>138</v>
      </c>
      <c r="K322" t="s">
        <v>138</v>
      </c>
      <c r="L322" t="s">
        <v>138</v>
      </c>
      <c r="M322" t="s">
        <v>138</v>
      </c>
      <c r="N322" t="s">
        <v>138</v>
      </c>
      <c r="O322" t="s">
        <v>138</v>
      </c>
      <c r="P322" t="s">
        <v>138</v>
      </c>
      <c r="Q322" t="s">
        <v>138</v>
      </c>
      <c r="R322" t="s">
        <v>138</v>
      </c>
      <c r="S322" t="s">
        <v>138</v>
      </c>
      <c r="T322" t="s">
        <v>138</v>
      </c>
      <c r="U322" t="s">
        <v>138</v>
      </c>
      <c r="V322" t="s">
        <v>138</v>
      </c>
      <c r="W322" t="s">
        <v>138</v>
      </c>
      <c r="X322" t="s">
        <v>138</v>
      </c>
      <c r="Y322" t="s">
        <v>138</v>
      </c>
      <c r="Z322" t="s">
        <v>138</v>
      </c>
      <c r="AA322" t="s">
        <v>138</v>
      </c>
      <c r="AB322" t="s">
        <v>138</v>
      </c>
      <c r="AC322" t="s">
        <v>138</v>
      </c>
      <c r="AD322" t="s">
        <v>138</v>
      </c>
      <c r="AE322" t="s">
        <v>138</v>
      </c>
      <c r="AF322" t="s">
        <v>138</v>
      </c>
      <c r="AG322" t="s">
        <v>138</v>
      </c>
      <c r="AH322" s="888">
        <f t="shared" si="4"/>
        <v>44013</v>
      </c>
    </row>
    <row r="323" spans="1:34">
      <c r="A323">
        <v>2</v>
      </c>
      <c r="B323">
        <v>5274</v>
      </c>
      <c r="C323" t="s">
        <v>182</v>
      </c>
      <c r="D323">
        <v>252</v>
      </c>
      <c r="E323" s="234">
        <v>0</v>
      </c>
      <c r="F323" s="234">
        <v>679199</v>
      </c>
      <c r="G323" s="234">
        <f>F323</f>
        <v>679199</v>
      </c>
      <c r="H323" s="234" t="s">
        <v>138</v>
      </c>
      <c r="I323" s="893">
        <v>44055</v>
      </c>
      <c r="J323" t="s">
        <v>138</v>
      </c>
      <c r="K323" t="s">
        <v>138</v>
      </c>
      <c r="L323" t="s">
        <v>138</v>
      </c>
      <c r="M323" t="s">
        <v>138</v>
      </c>
      <c r="N323" t="s">
        <v>138</v>
      </c>
      <c r="O323" t="s">
        <v>138</v>
      </c>
      <c r="P323" t="s">
        <v>138</v>
      </c>
      <c r="Q323" t="s">
        <v>138</v>
      </c>
      <c r="R323" t="s">
        <v>138</v>
      </c>
      <c r="S323" t="s">
        <v>138</v>
      </c>
      <c r="T323" t="s">
        <v>138</v>
      </c>
      <c r="U323" t="s">
        <v>138</v>
      </c>
      <c r="V323" t="s">
        <v>138</v>
      </c>
      <c r="W323" t="s">
        <v>138</v>
      </c>
      <c r="X323" t="s">
        <v>138</v>
      </c>
      <c r="Y323" t="s">
        <v>138</v>
      </c>
      <c r="Z323" t="s">
        <v>138</v>
      </c>
      <c r="AA323" t="s">
        <v>138</v>
      </c>
      <c r="AB323" t="s">
        <v>138</v>
      </c>
      <c r="AC323" t="s">
        <v>138</v>
      </c>
      <c r="AD323" t="s">
        <v>138</v>
      </c>
      <c r="AE323" t="s">
        <v>138</v>
      </c>
      <c r="AF323" t="s">
        <v>138</v>
      </c>
      <c r="AG323" t="s">
        <v>138</v>
      </c>
      <c r="AH323" s="888">
        <f t="shared" ref="AH323:AH386" si="5">DATE(YEAR(I323),MONTH(I323),1)</f>
        <v>44044</v>
      </c>
    </row>
    <row r="324" spans="1:34">
      <c r="A324">
        <v>3</v>
      </c>
      <c r="B324">
        <v>5274</v>
      </c>
      <c r="C324" t="s">
        <v>182</v>
      </c>
      <c r="D324">
        <v>252</v>
      </c>
      <c r="E324" s="234">
        <v>0</v>
      </c>
      <c r="F324" s="234">
        <v>0</v>
      </c>
      <c r="G324" s="234" t="s">
        <v>138</v>
      </c>
      <c r="H324" s="234" t="s">
        <v>138</v>
      </c>
      <c r="I324" s="893">
        <v>44088</v>
      </c>
      <c r="J324" t="s">
        <v>138</v>
      </c>
      <c r="K324" t="s">
        <v>138</v>
      </c>
      <c r="L324" t="s">
        <v>138</v>
      </c>
      <c r="M324" t="s">
        <v>138</v>
      </c>
      <c r="N324" t="s">
        <v>138</v>
      </c>
      <c r="O324" t="s">
        <v>138</v>
      </c>
      <c r="P324" t="s">
        <v>138</v>
      </c>
      <c r="Q324" t="s">
        <v>138</v>
      </c>
      <c r="R324" t="s">
        <v>138</v>
      </c>
      <c r="S324" t="s">
        <v>138</v>
      </c>
      <c r="T324" t="s">
        <v>138</v>
      </c>
      <c r="U324" t="s">
        <v>138</v>
      </c>
      <c r="V324" t="s">
        <v>138</v>
      </c>
      <c r="W324" t="s">
        <v>138</v>
      </c>
      <c r="X324" t="s">
        <v>138</v>
      </c>
      <c r="Y324" t="s">
        <v>138</v>
      </c>
      <c r="Z324" t="s">
        <v>138</v>
      </c>
      <c r="AA324" t="s">
        <v>138</v>
      </c>
      <c r="AB324" t="s">
        <v>138</v>
      </c>
      <c r="AC324" t="s">
        <v>138</v>
      </c>
      <c r="AD324" t="s">
        <v>138</v>
      </c>
      <c r="AE324" t="s">
        <v>138</v>
      </c>
      <c r="AF324" t="s">
        <v>138</v>
      </c>
      <c r="AG324" t="s">
        <v>138</v>
      </c>
      <c r="AH324" s="888">
        <f t="shared" si="5"/>
        <v>44075</v>
      </c>
    </row>
    <row r="325" spans="1:34">
      <c r="A325">
        <v>4</v>
      </c>
      <c r="B325">
        <v>5274</v>
      </c>
      <c r="C325" t="s">
        <v>182</v>
      </c>
      <c r="D325">
        <v>252</v>
      </c>
      <c r="E325" s="234">
        <v>0</v>
      </c>
      <c r="F325" s="234">
        <v>0</v>
      </c>
      <c r="G325" s="234" t="s">
        <v>138</v>
      </c>
      <c r="H325" s="234" t="s">
        <v>138</v>
      </c>
      <c r="I325" s="893">
        <v>44117</v>
      </c>
      <c r="J325" t="s">
        <v>138</v>
      </c>
      <c r="K325" t="s">
        <v>138</v>
      </c>
      <c r="L325" t="s">
        <v>138</v>
      </c>
      <c r="M325" t="s">
        <v>138</v>
      </c>
      <c r="N325" t="s">
        <v>138</v>
      </c>
      <c r="O325" t="s">
        <v>138</v>
      </c>
      <c r="P325" t="s">
        <v>138</v>
      </c>
      <c r="Q325" t="s">
        <v>138</v>
      </c>
      <c r="R325" t="s">
        <v>138</v>
      </c>
      <c r="S325" t="s">
        <v>138</v>
      </c>
      <c r="T325" t="s">
        <v>138</v>
      </c>
      <c r="U325" t="s">
        <v>138</v>
      </c>
      <c r="V325" t="s">
        <v>138</v>
      </c>
      <c r="W325" t="s">
        <v>138</v>
      </c>
      <c r="X325" t="s">
        <v>138</v>
      </c>
      <c r="Y325" t="s">
        <v>138</v>
      </c>
      <c r="Z325" t="s">
        <v>138</v>
      </c>
      <c r="AA325" t="s">
        <v>138</v>
      </c>
      <c r="AB325" t="s">
        <v>138</v>
      </c>
      <c r="AC325" t="s">
        <v>138</v>
      </c>
      <c r="AD325" t="s">
        <v>138</v>
      </c>
      <c r="AE325" t="s">
        <v>138</v>
      </c>
      <c r="AF325" t="s">
        <v>138</v>
      </c>
      <c r="AG325" t="s">
        <v>138</v>
      </c>
      <c r="AH325" s="888">
        <f t="shared" si="5"/>
        <v>44105</v>
      </c>
    </row>
    <row r="326" spans="1:34">
      <c r="A326">
        <v>5</v>
      </c>
      <c r="B326">
        <v>5274</v>
      </c>
      <c r="C326" t="s">
        <v>182</v>
      </c>
      <c r="D326">
        <v>252</v>
      </c>
      <c r="E326" s="234">
        <v>0</v>
      </c>
      <c r="F326" s="234">
        <v>0</v>
      </c>
      <c r="G326" s="234" t="s">
        <v>138</v>
      </c>
      <c r="H326" s="234" t="s">
        <v>138</v>
      </c>
      <c r="I326" s="893">
        <v>44147</v>
      </c>
      <c r="J326" t="s">
        <v>138</v>
      </c>
      <c r="K326" t="s">
        <v>138</v>
      </c>
      <c r="L326" t="s">
        <v>138</v>
      </c>
      <c r="M326" t="s">
        <v>138</v>
      </c>
      <c r="N326" t="s">
        <v>138</v>
      </c>
      <c r="O326" t="s">
        <v>138</v>
      </c>
      <c r="P326" t="s">
        <v>138</v>
      </c>
      <c r="Q326" t="s">
        <v>138</v>
      </c>
      <c r="R326" t="s">
        <v>138</v>
      </c>
      <c r="S326" t="s">
        <v>138</v>
      </c>
      <c r="T326" t="s">
        <v>138</v>
      </c>
      <c r="U326" t="s">
        <v>138</v>
      </c>
      <c r="V326" t="s">
        <v>138</v>
      </c>
      <c r="W326" t="s">
        <v>138</v>
      </c>
      <c r="X326" t="s">
        <v>138</v>
      </c>
      <c r="Y326" t="s">
        <v>138</v>
      </c>
      <c r="Z326" t="s">
        <v>138</v>
      </c>
      <c r="AA326" t="s">
        <v>138</v>
      </c>
      <c r="AB326" t="s">
        <v>138</v>
      </c>
      <c r="AC326" t="s">
        <v>138</v>
      </c>
      <c r="AD326" t="s">
        <v>138</v>
      </c>
      <c r="AE326" t="s">
        <v>138</v>
      </c>
      <c r="AF326" t="s">
        <v>138</v>
      </c>
      <c r="AG326" t="s">
        <v>138</v>
      </c>
      <c r="AH326" s="888">
        <f t="shared" si="5"/>
        <v>44136</v>
      </c>
    </row>
    <row r="327" spans="1:34">
      <c r="A327">
        <v>6</v>
      </c>
      <c r="B327">
        <v>5274</v>
      </c>
      <c r="C327" t="s">
        <v>182</v>
      </c>
      <c r="D327">
        <v>252</v>
      </c>
      <c r="E327" s="234">
        <v>0</v>
      </c>
      <c r="F327" s="234">
        <v>0</v>
      </c>
      <c r="G327" s="234" t="s">
        <v>138</v>
      </c>
      <c r="H327" s="234" t="s">
        <v>138</v>
      </c>
      <c r="I327" s="893">
        <v>44179</v>
      </c>
      <c r="J327" t="s">
        <v>138</v>
      </c>
      <c r="K327" t="s">
        <v>138</v>
      </c>
      <c r="L327" t="s">
        <v>138</v>
      </c>
      <c r="M327" t="s">
        <v>138</v>
      </c>
      <c r="N327" t="s">
        <v>138</v>
      </c>
      <c r="O327" t="s">
        <v>138</v>
      </c>
      <c r="P327" t="s">
        <v>138</v>
      </c>
      <c r="Q327" t="s">
        <v>138</v>
      </c>
      <c r="R327" t="s">
        <v>138</v>
      </c>
      <c r="S327" t="s">
        <v>138</v>
      </c>
      <c r="T327" t="s">
        <v>138</v>
      </c>
      <c r="U327" t="s">
        <v>138</v>
      </c>
      <c r="V327" t="s">
        <v>138</v>
      </c>
      <c r="W327" t="s">
        <v>138</v>
      </c>
      <c r="X327" t="s">
        <v>138</v>
      </c>
      <c r="Y327" t="s">
        <v>138</v>
      </c>
      <c r="Z327" t="s">
        <v>138</v>
      </c>
      <c r="AA327" t="s">
        <v>138</v>
      </c>
      <c r="AB327" t="s">
        <v>138</v>
      </c>
      <c r="AC327" t="s">
        <v>138</v>
      </c>
      <c r="AD327" t="s">
        <v>138</v>
      </c>
      <c r="AE327" t="s">
        <v>138</v>
      </c>
      <c r="AF327" t="s">
        <v>138</v>
      </c>
      <c r="AG327" t="s">
        <v>138</v>
      </c>
      <c r="AH327" s="888">
        <f t="shared" si="5"/>
        <v>44166</v>
      </c>
    </row>
    <row r="328" spans="1:34">
      <c r="A328">
        <v>7</v>
      </c>
      <c r="B328">
        <v>5274</v>
      </c>
      <c r="C328" t="s">
        <v>182</v>
      </c>
      <c r="D328">
        <v>252</v>
      </c>
      <c r="E328" s="234">
        <v>0</v>
      </c>
      <c r="F328" s="234">
        <v>0</v>
      </c>
      <c r="G328" s="234" t="s">
        <v>138</v>
      </c>
      <c r="H328" s="234" t="s">
        <v>138</v>
      </c>
      <c r="I328" s="893">
        <v>44193</v>
      </c>
      <c r="J328" t="s">
        <v>138</v>
      </c>
      <c r="K328" t="s">
        <v>138</v>
      </c>
      <c r="L328" t="s">
        <v>138</v>
      </c>
      <c r="M328" t="s">
        <v>138</v>
      </c>
      <c r="N328" t="s">
        <v>138</v>
      </c>
      <c r="O328" t="s">
        <v>138</v>
      </c>
      <c r="P328" t="s">
        <v>138</v>
      </c>
      <c r="Q328" t="s">
        <v>138</v>
      </c>
      <c r="R328" t="s">
        <v>138</v>
      </c>
      <c r="S328" t="s">
        <v>138</v>
      </c>
      <c r="T328" t="s">
        <v>138</v>
      </c>
      <c r="U328" t="s">
        <v>138</v>
      </c>
      <c r="V328" t="s">
        <v>138</v>
      </c>
      <c r="W328" t="s">
        <v>138</v>
      </c>
      <c r="X328" t="s">
        <v>138</v>
      </c>
      <c r="Y328" t="s">
        <v>138</v>
      </c>
      <c r="Z328" t="s">
        <v>138</v>
      </c>
      <c r="AA328" t="s">
        <v>138</v>
      </c>
      <c r="AB328" t="s">
        <v>138</v>
      </c>
      <c r="AC328" t="s">
        <v>138</v>
      </c>
      <c r="AD328" t="s">
        <v>138</v>
      </c>
      <c r="AE328" t="s">
        <v>138</v>
      </c>
      <c r="AF328" t="s">
        <v>138</v>
      </c>
      <c r="AG328" t="s">
        <v>138</v>
      </c>
      <c r="AH328" s="888">
        <f t="shared" si="5"/>
        <v>44166</v>
      </c>
    </row>
    <row r="329" spans="1:34">
      <c r="A329">
        <v>8</v>
      </c>
      <c r="B329">
        <v>5274</v>
      </c>
      <c r="C329" t="s">
        <v>182</v>
      </c>
      <c r="D329">
        <v>252</v>
      </c>
      <c r="E329" s="234">
        <v>0</v>
      </c>
      <c r="F329" s="234">
        <v>0</v>
      </c>
      <c r="G329" s="234" t="s">
        <v>138</v>
      </c>
      <c r="H329" s="234" t="s">
        <v>138</v>
      </c>
      <c r="I329" s="893">
        <v>44208</v>
      </c>
      <c r="J329" t="s">
        <v>138</v>
      </c>
      <c r="K329" t="s">
        <v>138</v>
      </c>
      <c r="L329" t="s">
        <v>138</v>
      </c>
      <c r="M329" t="s">
        <v>138</v>
      </c>
      <c r="N329" t="s">
        <v>138</v>
      </c>
      <c r="O329" t="s">
        <v>138</v>
      </c>
      <c r="P329" t="s">
        <v>138</v>
      </c>
      <c r="Q329" t="s">
        <v>138</v>
      </c>
      <c r="R329" t="s">
        <v>138</v>
      </c>
      <c r="S329" t="s">
        <v>138</v>
      </c>
      <c r="T329" t="s">
        <v>138</v>
      </c>
      <c r="U329" t="s">
        <v>138</v>
      </c>
      <c r="V329" t="s">
        <v>138</v>
      </c>
      <c r="W329" t="s">
        <v>138</v>
      </c>
      <c r="X329" t="s">
        <v>138</v>
      </c>
      <c r="Y329" t="s">
        <v>138</v>
      </c>
      <c r="Z329" t="s">
        <v>138</v>
      </c>
      <c r="AA329" t="s">
        <v>138</v>
      </c>
      <c r="AB329" t="s">
        <v>138</v>
      </c>
      <c r="AC329" t="s">
        <v>138</v>
      </c>
      <c r="AD329" t="s">
        <v>138</v>
      </c>
      <c r="AE329" t="s">
        <v>138</v>
      </c>
      <c r="AF329" t="s">
        <v>138</v>
      </c>
      <c r="AG329" t="s">
        <v>138</v>
      </c>
      <c r="AH329" s="888">
        <f t="shared" si="5"/>
        <v>44197</v>
      </c>
    </row>
    <row r="330" spans="1:34">
      <c r="A330">
        <v>1</v>
      </c>
      <c r="B330">
        <v>5279</v>
      </c>
      <c r="C330" t="s">
        <v>183</v>
      </c>
      <c r="D330">
        <v>255</v>
      </c>
      <c r="E330" s="234">
        <v>0</v>
      </c>
      <c r="F330" s="234">
        <v>789234.83</v>
      </c>
      <c r="G330" s="234">
        <f>F330</f>
        <v>789234.83</v>
      </c>
      <c r="H330" s="234">
        <v>0</v>
      </c>
      <c r="I330" s="893">
        <v>44043</v>
      </c>
      <c r="J330" t="s">
        <v>138</v>
      </c>
      <c r="K330" t="s">
        <v>138</v>
      </c>
      <c r="L330" t="s">
        <v>138</v>
      </c>
      <c r="M330" t="s">
        <v>138</v>
      </c>
      <c r="N330" t="s">
        <v>138</v>
      </c>
      <c r="O330" t="s">
        <v>138</v>
      </c>
      <c r="P330" t="s">
        <v>138</v>
      </c>
      <c r="Q330" t="s">
        <v>138</v>
      </c>
      <c r="R330" t="s">
        <v>138</v>
      </c>
      <c r="S330" t="s">
        <v>138</v>
      </c>
      <c r="T330" t="s">
        <v>138</v>
      </c>
      <c r="U330" t="s">
        <v>138</v>
      </c>
      <c r="V330" t="s">
        <v>138</v>
      </c>
      <c r="W330" t="s">
        <v>138</v>
      </c>
      <c r="X330" t="s">
        <v>138</v>
      </c>
      <c r="Y330" t="s">
        <v>138</v>
      </c>
      <c r="Z330" t="s">
        <v>138</v>
      </c>
      <c r="AA330" t="s">
        <v>138</v>
      </c>
      <c r="AB330" t="s">
        <v>138</v>
      </c>
      <c r="AC330" t="s">
        <v>138</v>
      </c>
      <c r="AD330" t="s">
        <v>138</v>
      </c>
      <c r="AE330" t="s">
        <v>138</v>
      </c>
      <c r="AF330" t="s">
        <v>138</v>
      </c>
      <c r="AG330" t="s">
        <v>138</v>
      </c>
      <c r="AH330" s="888">
        <f t="shared" si="5"/>
        <v>44013</v>
      </c>
    </row>
    <row r="331" spans="1:34">
      <c r="A331">
        <v>2</v>
      </c>
      <c r="B331">
        <v>5279</v>
      </c>
      <c r="C331" t="s">
        <v>183</v>
      </c>
      <c r="D331">
        <v>255</v>
      </c>
      <c r="E331" s="234">
        <v>0</v>
      </c>
      <c r="F331" s="234">
        <v>540510.48</v>
      </c>
      <c r="G331" s="234">
        <f t="shared" ref="G331:G333" si="6">F331</f>
        <v>540510.48</v>
      </c>
      <c r="H331" s="234" t="s">
        <v>138</v>
      </c>
      <c r="I331" s="893">
        <v>44055</v>
      </c>
      <c r="J331" t="s">
        <v>138</v>
      </c>
      <c r="K331" t="s">
        <v>138</v>
      </c>
      <c r="L331" t="s">
        <v>138</v>
      </c>
      <c r="M331" t="s">
        <v>138</v>
      </c>
      <c r="N331" t="s">
        <v>138</v>
      </c>
      <c r="O331" t="s">
        <v>138</v>
      </c>
      <c r="P331" t="s">
        <v>138</v>
      </c>
      <c r="Q331" t="s">
        <v>138</v>
      </c>
      <c r="R331" t="s">
        <v>138</v>
      </c>
      <c r="S331" t="s">
        <v>138</v>
      </c>
      <c r="T331" t="s">
        <v>138</v>
      </c>
      <c r="U331" t="s">
        <v>138</v>
      </c>
      <c r="V331" t="s">
        <v>138</v>
      </c>
      <c r="W331" t="s">
        <v>138</v>
      </c>
      <c r="X331" t="s">
        <v>138</v>
      </c>
      <c r="Y331" t="s">
        <v>138</v>
      </c>
      <c r="Z331" t="s">
        <v>138</v>
      </c>
      <c r="AA331" t="s">
        <v>138</v>
      </c>
      <c r="AB331" t="s">
        <v>138</v>
      </c>
      <c r="AC331" t="s">
        <v>138</v>
      </c>
      <c r="AD331" t="s">
        <v>138</v>
      </c>
      <c r="AE331" t="s">
        <v>138</v>
      </c>
      <c r="AF331" t="s">
        <v>138</v>
      </c>
      <c r="AG331" t="s">
        <v>138</v>
      </c>
      <c r="AH331" s="888">
        <f t="shared" si="5"/>
        <v>44044</v>
      </c>
    </row>
    <row r="332" spans="1:34">
      <c r="A332">
        <v>3</v>
      </c>
      <c r="B332">
        <v>5279</v>
      </c>
      <c r="C332" t="s">
        <v>183</v>
      </c>
      <c r="D332">
        <v>255</v>
      </c>
      <c r="E332" s="234">
        <v>0</v>
      </c>
      <c r="F332" s="234">
        <v>540510.48</v>
      </c>
      <c r="G332" s="234">
        <f t="shared" si="6"/>
        <v>540510.48</v>
      </c>
      <c r="H332" s="234" t="s">
        <v>138</v>
      </c>
      <c r="I332" s="893">
        <v>44088</v>
      </c>
      <c r="J332" t="s">
        <v>138</v>
      </c>
      <c r="K332" t="s">
        <v>138</v>
      </c>
      <c r="L332" t="s">
        <v>138</v>
      </c>
      <c r="M332" t="s">
        <v>138</v>
      </c>
      <c r="N332" t="s">
        <v>138</v>
      </c>
      <c r="O332" t="s">
        <v>138</v>
      </c>
      <c r="P332" t="s">
        <v>138</v>
      </c>
      <c r="Q332" t="s">
        <v>138</v>
      </c>
      <c r="R332" t="s">
        <v>138</v>
      </c>
      <c r="S332" t="s">
        <v>138</v>
      </c>
      <c r="T332" t="s">
        <v>138</v>
      </c>
      <c r="U332" t="s">
        <v>138</v>
      </c>
      <c r="V332" t="s">
        <v>138</v>
      </c>
      <c r="W332" t="s">
        <v>138</v>
      </c>
      <c r="X332" t="s">
        <v>138</v>
      </c>
      <c r="Y332" t="s">
        <v>138</v>
      </c>
      <c r="Z332" t="s">
        <v>138</v>
      </c>
      <c r="AA332" t="s">
        <v>138</v>
      </c>
      <c r="AB332" t="s">
        <v>138</v>
      </c>
      <c r="AC332" t="s">
        <v>138</v>
      </c>
      <c r="AD332" t="s">
        <v>138</v>
      </c>
      <c r="AE332" t="s">
        <v>138</v>
      </c>
      <c r="AF332" t="s">
        <v>138</v>
      </c>
      <c r="AG332" t="s">
        <v>138</v>
      </c>
      <c r="AH332" s="888">
        <f t="shared" si="5"/>
        <v>44075</v>
      </c>
    </row>
    <row r="333" spans="1:34">
      <c r="A333">
        <v>4</v>
      </c>
      <c r="B333">
        <v>5279</v>
      </c>
      <c r="C333" t="s">
        <v>183</v>
      </c>
      <c r="D333">
        <v>255</v>
      </c>
      <c r="E333" s="234">
        <v>0</v>
      </c>
      <c r="F333" s="234">
        <v>540510.48</v>
      </c>
      <c r="G333" s="234">
        <f t="shared" si="6"/>
        <v>540510.48</v>
      </c>
      <c r="H333" s="234" t="s">
        <v>138</v>
      </c>
      <c r="I333" s="893">
        <v>44117</v>
      </c>
      <c r="J333" t="s">
        <v>138</v>
      </c>
      <c r="K333" t="s">
        <v>138</v>
      </c>
      <c r="L333" t="s">
        <v>138</v>
      </c>
      <c r="M333" t="s">
        <v>138</v>
      </c>
      <c r="N333" t="s">
        <v>138</v>
      </c>
      <c r="O333" t="s">
        <v>138</v>
      </c>
      <c r="P333" t="s">
        <v>138</v>
      </c>
      <c r="Q333" t="s">
        <v>138</v>
      </c>
      <c r="R333" t="s">
        <v>138</v>
      </c>
      <c r="S333" t="s">
        <v>138</v>
      </c>
      <c r="T333" t="s">
        <v>138</v>
      </c>
      <c r="U333" t="s">
        <v>138</v>
      </c>
      <c r="V333" t="s">
        <v>138</v>
      </c>
      <c r="W333" t="s">
        <v>138</v>
      </c>
      <c r="X333" t="s">
        <v>138</v>
      </c>
      <c r="Y333" t="s">
        <v>138</v>
      </c>
      <c r="Z333" t="s">
        <v>138</v>
      </c>
      <c r="AA333" t="s">
        <v>138</v>
      </c>
      <c r="AB333" t="s">
        <v>138</v>
      </c>
      <c r="AC333" t="s">
        <v>138</v>
      </c>
      <c r="AD333" t="s">
        <v>138</v>
      </c>
      <c r="AE333" t="s">
        <v>138</v>
      </c>
      <c r="AF333" t="s">
        <v>138</v>
      </c>
      <c r="AG333" t="s">
        <v>138</v>
      </c>
      <c r="AH333" s="888">
        <f t="shared" si="5"/>
        <v>44105</v>
      </c>
    </row>
    <row r="334" spans="1:34">
      <c r="A334">
        <v>5</v>
      </c>
      <c r="B334">
        <v>5279</v>
      </c>
      <c r="C334" t="s">
        <v>183</v>
      </c>
      <c r="D334">
        <v>255</v>
      </c>
      <c r="E334" s="234">
        <v>0</v>
      </c>
      <c r="F334" s="234">
        <v>0</v>
      </c>
      <c r="G334" s="234" t="s">
        <v>138</v>
      </c>
      <c r="H334" s="234" t="s">
        <v>138</v>
      </c>
      <c r="I334" s="893">
        <v>44147</v>
      </c>
      <c r="J334" t="s">
        <v>138</v>
      </c>
      <c r="K334" t="s">
        <v>138</v>
      </c>
      <c r="L334" t="s">
        <v>138</v>
      </c>
      <c r="M334" t="s">
        <v>138</v>
      </c>
      <c r="N334" t="s">
        <v>138</v>
      </c>
      <c r="O334" t="s">
        <v>138</v>
      </c>
      <c r="P334" t="s">
        <v>138</v>
      </c>
      <c r="Q334" t="s">
        <v>138</v>
      </c>
      <c r="R334" t="s">
        <v>138</v>
      </c>
      <c r="S334" t="s">
        <v>138</v>
      </c>
      <c r="T334" t="s">
        <v>138</v>
      </c>
      <c r="U334" t="s">
        <v>138</v>
      </c>
      <c r="V334" t="s">
        <v>138</v>
      </c>
      <c r="W334" t="s">
        <v>138</v>
      </c>
      <c r="X334" t="s">
        <v>138</v>
      </c>
      <c r="Y334" t="s">
        <v>138</v>
      </c>
      <c r="Z334" t="s">
        <v>138</v>
      </c>
      <c r="AA334" t="s">
        <v>138</v>
      </c>
      <c r="AB334" t="s">
        <v>138</v>
      </c>
      <c r="AC334" t="s">
        <v>138</v>
      </c>
      <c r="AD334" t="s">
        <v>138</v>
      </c>
      <c r="AE334" t="s">
        <v>138</v>
      </c>
      <c r="AF334" t="s">
        <v>138</v>
      </c>
      <c r="AG334" t="s">
        <v>138</v>
      </c>
      <c r="AH334" s="888">
        <f t="shared" si="5"/>
        <v>44136</v>
      </c>
    </row>
    <row r="335" spans="1:34">
      <c r="A335">
        <v>6</v>
      </c>
      <c r="B335">
        <v>5279</v>
      </c>
      <c r="C335" t="s">
        <v>183</v>
      </c>
      <c r="D335">
        <v>255</v>
      </c>
      <c r="E335" s="234">
        <v>0</v>
      </c>
      <c r="F335" s="234">
        <v>0</v>
      </c>
      <c r="G335" s="234" t="s">
        <v>138</v>
      </c>
      <c r="H335" s="234" t="s">
        <v>138</v>
      </c>
      <c r="I335" s="893">
        <v>44179</v>
      </c>
      <c r="J335" t="s">
        <v>138</v>
      </c>
      <c r="K335" t="s">
        <v>138</v>
      </c>
      <c r="L335" t="s">
        <v>138</v>
      </c>
      <c r="M335" t="s">
        <v>138</v>
      </c>
      <c r="N335" t="s">
        <v>138</v>
      </c>
      <c r="O335" t="s">
        <v>138</v>
      </c>
      <c r="P335" t="s">
        <v>138</v>
      </c>
      <c r="Q335" t="s">
        <v>138</v>
      </c>
      <c r="R335" t="s">
        <v>138</v>
      </c>
      <c r="S335" t="s">
        <v>138</v>
      </c>
      <c r="T335" t="s">
        <v>138</v>
      </c>
      <c r="U335" t="s">
        <v>138</v>
      </c>
      <c r="V335" t="s">
        <v>138</v>
      </c>
      <c r="W335" t="s">
        <v>138</v>
      </c>
      <c r="X335" t="s">
        <v>138</v>
      </c>
      <c r="Y335" t="s">
        <v>138</v>
      </c>
      <c r="Z335" t="s">
        <v>138</v>
      </c>
      <c r="AA335" t="s">
        <v>138</v>
      </c>
      <c r="AB335" t="s">
        <v>138</v>
      </c>
      <c r="AC335" t="s">
        <v>138</v>
      </c>
      <c r="AD335" t="s">
        <v>138</v>
      </c>
      <c r="AE335" t="s">
        <v>138</v>
      </c>
      <c r="AF335" t="s">
        <v>138</v>
      </c>
      <c r="AG335" t="s">
        <v>138</v>
      </c>
      <c r="AH335" s="888">
        <f t="shared" si="5"/>
        <v>44166</v>
      </c>
    </row>
    <row r="336" spans="1:34">
      <c r="A336">
        <v>7</v>
      </c>
      <c r="B336">
        <v>5279</v>
      </c>
      <c r="C336" t="s">
        <v>183</v>
      </c>
      <c r="D336">
        <v>255</v>
      </c>
      <c r="E336" s="234">
        <v>0</v>
      </c>
      <c r="F336" s="234">
        <v>0</v>
      </c>
      <c r="G336" s="234" t="s">
        <v>138</v>
      </c>
      <c r="H336" s="234" t="s">
        <v>138</v>
      </c>
      <c r="I336" s="893">
        <v>44193</v>
      </c>
      <c r="J336" t="s">
        <v>138</v>
      </c>
      <c r="K336" t="s">
        <v>138</v>
      </c>
      <c r="L336" t="s">
        <v>138</v>
      </c>
      <c r="M336" t="s">
        <v>138</v>
      </c>
      <c r="N336" t="s">
        <v>138</v>
      </c>
      <c r="O336" t="s">
        <v>138</v>
      </c>
      <c r="P336" t="s">
        <v>138</v>
      </c>
      <c r="Q336" t="s">
        <v>138</v>
      </c>
      <c r="R336" t="s">
        <v>138</v>
      </c>
      <c r="S336" t="s">
        <v>138</v>
      </c>
      <c r="T336" t="s">
        <v>138</v>
      </c>
      <c r="U336" t="s">
        <v>138</v>
      </c>
      <c r="V336" t="s">
        <v>138</v>
      </c>
      <c r="W336" t="s">
        <v>138</v>
      </c>
      <c r="X336" t="s">
        <v>138</v>
      </c>
      <c r="Y336" t="s">
        <v>138</v>
      </c>
      <c r="Z336" t="s">
        <v>138</v>
      </c>
      <c r="AA336" t="s">
        <v>138</v>
      </c>
      <c r="AB336" t="s">
        <v>138</v>
      </c>
      <c r="AC336" t="s">
        <v>138</v>
      </c>
      <c r="AD336" t="s">
        <v>138</v>
      </c>
      <c r="AE336" t="s">
        <v>138</v>
      </c>
      <c r="AF336" t="s">
        <v>138</v>
      </c>
      <c r="AG336" t="s">
        <v>138</v>
      </c>
      <c r="AH336" s="888">
        <f t="shared" si="5"/>
        <v>44166</v>
      </c>
    </row>
    <row r="337" spans="1:34">
      <c r="A337">
        <v>8</v>
      </c>
      <c r="B337">
        <v>5279</v>
      </c>
      <c r="C337" t="s">
        <v>183</v>
      </c>
      <c r="D337">
        <v>255</v>
      </c>
      <c r="E337" s="234">
        <v>0</v>
      </c>
      <c r="F337" s="234">
        <v>0</v>
      </c>
      <c r="G337" s="234" t="s">
        <v>138</v>
      </c>
      <c r="H337" s="234" t="s">
        <v>138</v>
      </c>
      <c r="I337" s="893">
        <v>44208</v>
      </c>
      <c r="J337" t="s">
        <v>138</v>
      </c>
      <c r="K337" t="s">
        <v>138</v>
      </c>
      <c r="L337" t="s">
        <v>138</v>
      </c>
      <c r="M337" t="s">
        <v>138</v>
      </c>
      <c r="N337" t="s">
        <v>138</v>
      </c>
      <c r="O337" t="s">
        <v>138</v>
      </c>
      <c r="P337" t="s">
        <v>138</v>
      </c>
      <c r="Q337" t="s">
        <v>138</v>
      </c>
      <c r="R337" t="s">
        <v>138</v>
      </c>
      <c r="S337" t="s">
        <v>138</v>
      </c>
      <c r="T337" t="s">
        <v>138</v>
      </c>
      <c r="U337" t="s">
        <v>138</v>
      </c>
      <c r="V337" t="s">
        <v>138</v>
      </c>
      <c r="W337" t="s">
        <v>138</v>
      </c>
      <c r="X337" t="s">
        <v>138</v>
      </c>
      <c r="Y337" t="s">
        <v>138</v>
      </c>
      <c r="Z337" t="s">
        <v>138</v>
      </c>
      <c r="AA337" t="s">
        <v>138</v>
      </c>
      <c r="AB337" t="s">
        <v>138</v>
      </c>
      <c r="AC337" t="s">
        <v>138</v>
      </c>
      <c r="AD337" t="s">
        <v>138</v>
      </c>
      <c r="AE337" t="s">
        <v>138</v>
      </c>
      <c r="AF337" t="s">
        <v>138</v>
      </c>
      <c r="AG337" t="s">
        <v>138</v>
      </c>
      <c r="AH337" s="888">
        <f t="shared" si="5"/>
        <v>44197</v>
      </c>
    </row>
    <row r="338" spans="1:34">
      <c r="A338">
        <v>1</v>
      </c>
      <c r="B338">
        <v>5351</v>
      </c>
      <c r="C338" t="s">
        <v>184</v>
      </c>
      <c r="D338">
        <v>219</v>
      </c>
      <c r="E338" s="234">
        <v>0</v>
      </c>
      <c r="F338" s="234">
        <v>154083</v>
      </c>
      <c r="G338" s="234">
        <v>0</v>
      </c>
      <c r="H338" s="234">
        <v>0</v>
      </c>
      <c r="I338" s="893">
        <v>44043</v>
      </c>
      <c r="J338" t="s">
        <v>138</v>
      </c>
      <c r="K338" t="s">
        <v>138</v>
      </c>
      <c r="L338" t="s">
        <v>138</v>
      </c>
      <c r="M338" t="s">
        <v>138</v>
      </c>
      <c r="N338" t="s">
        <v>138</v>
      </c>
      <c r="O338" t="s">
        <v>138</v>
      </c>
      <c r="P338" t="s">
        <v>138</v>
      </c>
      <c r="Q338" t="s">
        <v>138</v>
      </c>
      <c r="R338" t="s">
        <v>138</v>
      </c>
      <c r="S338" t="s">
        <v>138</v>
      </c>
      <c r="T338" t="s">
        <v>138</v>
      </c>
      <c r="U338" t="s">
        <v>138</v>
      </c>
      <c r="V338" t="s">
        <v>138</v>
      </c>
      <c r="W338" t="s">
        <v>138</v>
      </c>
      <c r="X338" t="s">
        <v>138</v>
      </c>
      <c r="Y338" t="s">
        <v>138</v>
      </c>
      <c r="Z338" t="s">
        <v>138</v>
      </c>
      <c r="AA338" t="s">
        <v>138</v>
      </c>
      <c r="AB338" t="s">
        <v>138</v>
      </c>
      <c r="AC338" t="s">
        <v>138</v>
      </c>
      <c r="AD338" t="s">
        <v>138</v>
      </c>
      <c r="AE338" t="s">
        <v>138</v>
      </c>
      <c r="AF338" t="s">
        <v>138</v>
      </c>
      <c r="AG338" t="s">
        <v>138</v>
      </c>
      <c r="AH338" s="888">
        <f t="shared" si="5"/>
        <v>44013</v>
      </c>
    </row>
    <row r="339" spans="1:34">
      <c r="A339">
        <v>2</v>
      </c>
      <c r="B339">
        <v>5351</v>
      </c>
      <c r="C339" t="s">
        <v>184</v>
      </c>
      <c r="D339">
        <v>219</v>
      </c>
      <c r="E339" s="234">
        <v>0</v>
      </c>
      <c r="F339" s="234">
        <v>154078</v>
      </c>
      <c r="G339" s="234" t="s">
        <v>138</v>
      </c>
      <c r="H339" s="234" t="s">
        <v>138</v>
      </c>
      <c r="I339" s="893">
        <v>44055</v>
      </c>
      <c r="J339" t="s">
        <v>138</v>
      </c>
      <c r="K339" t="s">
        <v>138</v>
      </c>
      <c r="L339" t="s">
        <v>138</v>
      </c>
      <c r="M339" t="s">
        <v>138</v>
      </c>
      <c r="N339" t="s">
        <v>138</v>
      </c>
      <c r="O339" t="s">
        <v>138</v>
      </c>
      <c r="P339" t="s">
        <v>138</v>
      </c>
      <c r="Q339" t="s">
        <v>138</v>
      </c>
      <c r="R339" t="s">
        <v>138</v>
      </c>
      <c r="S339" t="s">
        <v>138</v>
      </c>
      <c r="T339" t="s">
        <v>138</v>
      </c>
      <c r="U339" t="s">
        <v>138</v>
      </c>
      <c r="V339" t="s">
        <v>138</v>
      </c>
      <c r="W339" t="s">
        <v>138</v>
      </c>
      <c r="X339" t="s">
        <v>138</v>
      </c>
      <c r="Y339" t="s">
        <v>138</v>
      </c>
      <c r="Z339" t="s">
        <v>138</v>
      </c>
      <c r="AA339" t="s">
        <v>138</v>
      </c>
      <c r="AB339" t="s">
        <v>138</v>
      </c>
      <c r="AC339" t="s">
        <v>138</v>
      </c>
      <c r="AD339" t="s">
        <v>138</v>
      </c>
      <c r="AE339" t="s">
        <v>138</v>
      </c>
      <c r="AF339" t="s">
        <v>138</v>
      </c>
      <c r="AG339" t="s">
        <v>138</v>
      </c>
      <c r="AH339" s="888">
        <f t="shared" si="5"/>
        <v>44044</v>
      </c>
    </row>
    <row r="340" spans="1:34">
      <c r="A340">
        <v>3</v>
      </c>
      <c r="B340">
        <v>5351</v>
      </c>
      <c r="C340" t="s">
        <v>184</v>
      </c>
      <c r="D340">
        <v>219</v>
      </c>
      <c r="E340" s="234">
        <v>0</v>
      </c>
      <c r="F340" s="234">
        <v>154078</v>
      </c>
      <c r="G340" s="234" t="s">
        <v>138</v>
      </c>
      <c r="H340" s="234" t="s">
        <v>138</v>
      </c>
      <c r="I340" s="893">
        <v>44088</v>
      </c>
      <c r="J340" t="s">
        <v>138</v>
      </c>
      <c r="K340" t="s">
        <v>138</v>
      </c>
      <c r="L340" t="s">
        <v>138</v>
      </c>
      <c r="M340" t="s">
        <v>138</v>
      </c>
      <c r="N340" t="s">
        <v>138</v>
      </c>
      <c r="O340" t="s">
        <v>138</v>
      </c>
      <c r="P340" t="s">
        <v>138</v>
      </c>
      <c r="Q340" t="s">
        <v>138</v>
      </c>
      <c r="R340" t="s">
        <v>138</v>
      </c>
      <c r="S340" t="s">
        <v>138</v>
      </c>
      <c r="T340" t="s">
        <v>138</v>
      </c>
      <c r="U340" t="s">
        <v>138</v>
      </c>
      <c r="V340" t="s">
        <v>138</v>
      </c>
      <c r="W340" t="s">
        <v>138</v>
      </c>
      <c r="X340" t="s">
        <v>138</v>
      </c>
      <c r="Y340" t="s">
        <v>138</v>
      </c>
      <c r="Z340" t="s">
        <v>138</v>
      </c>
      <c r="AA340" t="s">
        <v>138</v>
      </c>
      <c r="AB340" t="s">
        <v>138</v>
      </c>
      <c r="AC340" t="s">
        <v>138</v>
      </c>
      <c r="AD340" t="s">
        <v>138</v>
      </c>
      <c r="AE340" t="s">
        <v>138</v>
      </c>
      <c r="AF340" t="s">
        <v>138</v>
      </c>
      <c r="AG340" t="s">
        <v>138</v>
      </c>
      <c r="AH340" s="888">
        <f t="shared" si="5"/>
        <v>44075</v>
      </c>
    </row>
    <row r="341" spans="1:34">
      <c r="A341">
        <v>4</v>
      </c>
      <c r="B341">
        <v>5351</v>
      </c>
      <c r="C341" t="s">
        <v>184</v>
      </c>
      <c r="D341">
        <v>219</v>
      </c>
      <c r="E341" s="234">
        <v>0</v>
      </c>
      <c r="F341" s="234">
        <v>154078</v>
      </c>
      <c r="G341" s="234" t="s">
        <v>138</v>
      </c>
      <c r="H341" s="234" t="s">
        <v>138</v>
      </c>
      <c r="I341" s="893">
        <v>44117</v>
      </c>
      <c r="J341" t="s">
        <v>138</v>
      </c>
      <c r="K341" t="s">
        <v>138</v>
      </c>
      <c r="L341" t="s">
        <v>138</v>
      </c>
      <c r="M341" t="s">
        <v>138</v>
      </c>
      <c r="N341" t="s">
        <v>138</v>
      </c>
      <c r="O341" t="s">
        <v>138</v>
      </c>
      <c r="P341" t="s">
        <v>138</v>
      </c>
      <c r="Q341" t="s">
        <v>138</v>
      </c>
      <c r="R341" t="s">
        <v>138</v>
      </c>
      <c r="S341" t="s">
        <v>138</v>
      </c>
      <c r="T341" t="s">
        <v>138</v>
      </c>
      <c r="U341" t="s">
        <v>138</v>
      </c>
      <c r="V341" t="s">
        <v>138</v>
      </c>
      <c r="W341" t="s">
        <v>138</v>
      </c>
      <c r="X341" t="s">
        <v>138</v>
      </c>
      <c r="Y341" t="s">
        <v>138</v>
      </c>
      <c r="Z341" t="s">
        <v>138</v>
      </c>
      <c r="AA341" t="s">
        <v>138</v>
      </c>
      <c r="AB341" t="s">
        <v>138</v>
      </c>
      <c r="AC341" t="s">
        <v>138</v>
      </c>
      <c r="AD341" t="s">
        <v>138</v>
      </c>
      <c r="AE341" t="s">
        <v>138</v>
      </c>
      <c r="AF341" t="s">
        <v>138</v>
      </c>
      <c r="AG341" t="s">
        <v>138</v>
      </c>
      <c r="AH341" s="888">
        <f t="shared" si="5"/>
        <v>44105</v>
      </c>
    </row>
    <row r="342" spans="1:34">
      <c r="A342">
        <v>5</v>
      </c>
      <c r="B342">
        <v>5351</v>
      </c>
      <c r="C342" t="s">
        <v>184</v>
      </c>
      <c r="D342">
        <v>219</v>
      </c>
      <c r="E342" s="234">
        <v>0</v>
      </c>
      <c r="F342" s="234">
        <v>154078</v>
      </c>
      <c r="G342" s="234">
        <v>-779989.54048464168</v>
      </c>
      <c r="H342" s="234" t="s">
        <v>138</v>
      </c>
      <c r="I342" s="893">
        <v>44147</v>
      </c>
      <c r="J342" t="s">
        <v>138</v>
      </c>
      <c r="K342" t="s">
        <v>138</v>
      </c>
      <c r="L342" t="s">
        <v>138</v>
      </c>
      <c r="M342" t="s">
        <v>138</v>
      </c>
      <c r="N342" t="s">
        <v>138</v>
      </c>
      <c r="O342" t="s">
        <v>138</v>
      </c>
      <c r="P342" t="s">
        <v>138</v>
      </c>
      <c r="Q342" t="s">
        <v>138</v>
      </c>
      <c r="R342" t="s">
        <v>138</v>
      </c>
      <c r="S342" t="s">
        <v>138</v>
      </c>
      <c r="T342" t="s">
        <v>138</v>
      </c>
      <c r="U342" t="s">
        <v>138</v>
      </c>
      <c r="V342" t="s">
        <v>138</v>
      </c>
      <c r="W342" t="s">
        <v>138</v>
      </c>
      <c r="X342" t="s">
        <v>138</v>
      </c>
      <c r="Y342" t="s">
        <v>138</v>
      </c>
      <c r="Z342" t="s">
        <v>138</v>
      </c>
      <c r="AA342" t="s">
        <v>138</v>
      </c>
      <c r="AB342" t="s">
        <v>138</v>
      </c>
      <c r="AC342" t="s">
        <v>138</v>
      </c>
      <c r="AD342" t="s">
        <v>138</v>
      </c>
      <c r="AE342" t="s">
        <v>138</v>
      </c>
      <c r="AF342" t="s">
        <v>138</v>
      </c>
      <c r="AG342" t="s">
        <v>138</v>
      </c>
      <c r="AH342" s="888">
        <f t="shared" si="5"/>
        <v>44136</v>
      </c>
    </row>
    <row r="343" spans="1:34">
      <c r="A343">
        <v>6</v>
      </c>
      <c r="B343">
        <v>5351</v>
      </c>
      <c r="C343" t="s">
        <v>184</v>
      </c>
      <c r="D343">
        <v>219</v>
      </c>
      <c r="E343" s="234">
        <v>0</v>
      </c>
      <c r="F343" s="234">
        <v>154078</v>
      </c>
      <c r="G343" s="234" t="s">
        <v>138</v>
      </c>
      <c r="H343" s="234" t="s">
        <v>138</v>
      </c>
      <c r="I343" s="893">
        <v>44179</v>
      </c>
      <c r="J343" t="s">
        <v>138</v>
      </c>
      <c r="K343" t="s">
        <v>138</v>
      </c>
      <c r="L343" t="s">
        <v>138</v>
      </c>
      <c r="M343" t="s">
        <v>138</v>
      </c>
      <c r="N343" t="s">
        <v>138</v>
      </c>
      <c r="O343" t="s">
        <v>138</v>
      </c>
      <c r="P343" t="s">
        <v>138</v>
      </c>
      <c r="Q343" t="s">
        <v>138</v>
      </c>
      <c r="R343" t="s">
        <v>138</v>
      </c>
      <c r="S343" t="s">
        <v>138</v>
      </c>
      <c r="T343" t="s">
        <v>138</v>
      </c>
      <c r="U343" t="s">
        <v>138</v>
      </c>
      <c r="V343" t="s">
        <v>138</v>
      </c>
      <c r="W343" t="s">
        <v>138</v>
      </c>
      <c r="X343" t="s">
        <v>138</v>
      </c>
      <c r="Y343" t="s">
        <v>138</v>
      </c>
      <c r="Z343" t="s">
        <v>138</v>
      </c>
      <c r="AA343" t="s">
        <v>138</v>
      </c>
      <c r="AB343" t="s">
        <v>138</v>
      </c>
      <c r="AC343" t="s">
        <v>138</v>
      </c>
      <c r="AD343" t="s">
        <v>138</v>
      </c>
      <c r="AE343" t="s">
        <v>138</v>
      </c>
      <c r="AF343" t="s">
        <v>138</v>
      </c>
      <c r="AG343" t="s">
        <v>138</v>
      </c>
      <c r="AH343" s="888">
        <f t="shared" si="5"/>
        <v>44166</v>
      </c>
    </row>
    <row r="344" spans="1:34">
      <c r="A344">
        <v>7</v>
      </c>
      <c r="B344">
        <v>5351</v>
      </c>
      <c r="C344" t="s">
        <v>184</v>
      </c>
      <c r="D344">
        <v>219</v>
      </c>
      <c r="E344" s="234">
        <v>0</v>
      </c>
      <c r="F344" s="234">
        <v>154078</v>
      </c>
      <c r="G344" s="234" t="s">
        <v>138</v>
      </c>
      <c r="H344" s="234" t="s">
        <v>138</v>
      </c>
      <c r="I344" s="893">
        <v>44193</v>
      </c>
      <c r="J344" t="s">
        <v>138</v>
      </c>
      <c r="K344" t="s">
        <v>138</v>
      </c>
      <c r="L344" t="s">
        <v>138</v>
      </c>
      <c r="M344" t="s">
        <v>138</v>
      </c>
      <c r="N344" t="s">
        <v>138</v>
      </c>
      <c r="O344" t="s">
        <v>138</v>
      </c>
      <c r="P344" t="s">
        <v>138</v>
      </c>
      <c r="Q344" t="s">
        <v>138</v>
      </c>
      <c r="R344" t="s">
        <v>138</v>
      </c>
      <c r="S344" t="s">
        <v>138</v>
      </c>
      <c r="T344" t="s">
        <v>138</v>
      </c>
      <c r="U344" t="s">
        <v>138</v>
      </c>
      <c r="V344" t="s">
        <v>138</v>
      </c>
      <c r="W344" t="s">
        <v>138</v>
      </c>
      <c r="X344" t="s">
        <v>138</v>
      </c>
      <c r="Y344" t="s">
        <v>138</v>
      </c>
      <c r="Z344" t="s">
        <v>138</v>
      </c>
      <c r="AA344" t="s">
        <v>138</v>
      </c>
      <c r="AB344" t="s">
        <v>138</v>
      </c>
      <c r="AC344" t="s">
        <v>138</v>
      </c>
      <c r="AD344" t="s">
        <v>138</v>
      </c>
      <c r="AE344" t="s">
        <v>138</v>
      </c>
      <c r="AF344" t="s">
        <v>138</v>
      </c>
      <c r="AG344" t="s">
        <v>138</v>
      </c>
      <c r="AH344" s="888">
        <f t="shared" si="5"/>
        <v>44166</v>
      </c>
    </row>
    <row r="345" spans="1:34">
      <c r="A345">
        <v>8</v>
      </c>
      <c r="B345">
        <v>5351</v>
      </c>
      <c r="C345" t="s">
        <v>184</v>
      </c>
      <c r="D345">
        <v>219</v>
      </c>
      <c r="E345" s="234">
        <v>0</v>
      </c>
      <c r="F345" s="234">
        <v>0</v>
      </c>
      <c r="G345" s="234" t="s">
        <v>138</v>
      </c>
      <c r="H345" s="234" t="s">
        <v>138</v>
      </c>
      <c r="I345" s="893">
        <v>44208</v>
      </c>
      <c r="J345" t="s">
        <v>138</v>
      </c>
      <c r="K345" t="s">
        <v>138</v>
      </c>
      <c r="L345" t="s">
        <v>138</v>
      </c>
      <c r="M345" t="s">
        <v>138</v>
      </c>
      <c r="N345" t="s">
        <v>138</v>
      </c>
      <c r="O345" t="s">
        <v>138</v>
      </c>
      <c r="P345" t="s">
        <v>138</v>
      </c>
      <c r="Q345" t="s">
        <v>138</v>
      </c>
      <c r="R345" t="s">
        <v>138</v>
      </c>
      <c r="S345" t="s">
        <v>138</v>
      </c>
      <c r="T345" t="s">
        <v>138</v>
      </c>
      <c r="U345" t="s">
        <v>138</v>
      </c>
      <c r="V345" t="s">
        <v>138</v>
      </c>
      <c r="W345" t="s">
        <v>138</v>
      </c>
      <c r="X345" t="s">
        <v>138</v>
      </c>
      <c r="Y345" t="s">
        <v>138</v>
      </c>
      <c r="Z345" t="s">
        <v>138</v>
      </c>
      <c r="AA345" t="s">
        <v>138</v>
      </c>
      <c r="AB345" t="s">
        <v>138</v>
      </c>
      <c r="AC345" t="s">
        <v>138</v>
      </c>
      <c r="AD345" t="s">
        <v>138</v>
      </c>
      <c r="AE345" t="s">
        <v>138</v>
      </c>
      <c r="AF345" t="s">
        <v>138</v>
      </c>
      <c r="AG345" t="s">
        <v>138</v>
      </c>
      <c r="AH345" s="888">
        <f t="shared" si="5"/>
        <v>44197</v>
      </c>
    </row>
    <row r="346" spans="1:34">
      <c r="A346">
        <v>1</v>
      </c>
      <c r="B346">
        <v>5353</v>
      </c>
      <c r="C346" t="s">
        <v>185</v>
      </c>
      <c r="D346">
        <v>222</v>
      </c>
      <c r="E346" s="234">
        <v>0</v>
      </c>
      <c r="F346" s="234">
        <v>1004281.36</v>
      </c>
      <c r="H346" s="234">
        <v>0</v>
      </c>
      <c r="I346" s="893">
        <v>44043</v>
      </c>
      <c r="J346" t="s">
        <v>138</v>
      </c>
      <c r="K346" t="s">
        <v>138</v>
      </c>
      <c r="L346" t="s">
        <v>138</v>
      </c>
      <c r="M346" t="s">
        <v>138</v>
      </c>
      <c r="N346" t="s">
        <v>138</v>
      </c>
      <c r="O346" t="s">
        <v>138</v>
      </c>
      <c r="P346" t="s">
        <v>138</v>
      </c>
      <c r="Q346" t="s">
        <v>138</v>
      </c>
      <c r="R346" t="s">
        <v>138</v>
      </c>
      <c r="S346" t="s">
        <v>138</v>
      </c>
      <c r="T346" t="s">
        <v>138</v>
      </c>
      <c r="U346" t="s">
        <v>138</v>
      </c>
      <c r="V346" t="s">
        <v>138</v>
      </c>
      <c r="W346" t="s">
        <v>138</v>
      </c>
      <c r="X346" t="s">
        <v>138</v>
      </c>
      <c r="Y346" t="s">
        <v>138</v>
      </c>
      <c r="Z346" t="s">
        <v>138</v>
      </c>
      <c r="AA346" t="s">
        <v>138</v>
      </c>
      <c r="AB346" t="s">
        <v>138</v>
      </c>
      <c r="AC346" t="s">
        <v>138</v>
      </c>
      <c r="AD346" t="s">
        <v>138</v>
      </c>
      <c r="AE346" t="s">
        <v>138</v>
      </c>
      <c r="AF346" t="s">
        <v>138</v>
      </c>
      <c r="AG346" t="s">
        <v>138</v>
      </c>
      <c r="AH346" s="888">
        <f t="shared" si="5"/>
        <v>44013</v>
      </c>
    </row>
    <row r="347" spans="1:34">
      <c r="A347">
        <v>2</v>
      </c>
      <c r="B347">
        <v>5353</v>
      </c>
      <c r="C347" t="s">
        <v>185</v>
      </c>
      <c r="D347">
        <v>222</v>
      </c>
      <c r="E347" s="234">
        <v>0</v>
      </c>
      <c r="F347" s="234">
        <v>1004281.36</v>
      </c>
      <c r="G347" s="234" t="s">
        <v>138</v>
      </c>
      <c r="H347" s="234" t="s">
        <v>138</v>
      </c>
      <c r="I347" s="893">
        <v>44055</v>
      </c>
      <c r="J347" t="s">
        <v>138</v>
      </c>
      <c r="K347" t="s">
        <v>138</v>
      </c>
      <c r="L347" t="s">
        <v>138</v>
      </c>
      <c r="M347" t="s">
        <v>138</v>
      </c>
      <c r="N347" t="s">
        <v>138</v>
      </c>
      <c r="O347" t="s">
        <v>138</v>
      </c>
      <c r="P347" t="s">
        <v>138</v>
      </c>
      <c r="Q347" t="s">
        <v>138</v>
      </c>
      <c r="R347" t="s">
        <v>138</v>
      </c>
      <c r="S347" t="s">
        <v>138</v>
      </c>
      <c r="T347" t="s">
        <v>138</v>
      </c>
      <c r="U347" t="s">
        <v>138</v>
      </c>
      <c r="V347" t="s">
        <v>138</v>
      </c>
      <c r="W347" t="s">
        <v>138</v>
      </c>
      <c r="X347" t="s">
        <v>138</v>
      </c>
      <c r="Y347" t="s">
        <v>138</v>
      </c>
      <c r="Z347" t="s">
        <v>138</v>
      </c>
      <c r="AA347" t="s">
        <v>138</v>
      </c>
      <c r="AB347" t="s">
        <v>138</v>
      </c>
      <c r="AC347" t="s">
        <v>138</v>
      </c>
      <c r="AD347" t="s">
        <v>138</v>
      </c>
      <c r="AE347" t="s">
        <v>138</v>
      </c>
      <c r="AF347" t="s">
        <v>138</v>
      </c>
      <c r="AG347" t="s">
        <v>138</v>
      </c>
      <c r="AH347" s="888">
        <f t="shared" si="5"/>
        <v>44044</v>
      </c>
    </row>
    <row r="348" spans="1:34">
      <c r="A348">
        <v>3</v>
      </c>
      <c r="B348">
        <v>5353</v>
      </c>
      <c r="C348" t="s">
        <v>185</v>
      </c>
      <c r="D348">
        <v>222</v>
      </c>
      <c r="E348" s="234">
        <v>0</v>
      </c>
      <c r="F348" s="234">
        <v>1004281.36</v>
      </c>
      <c r="G348" s="1012">
        <v>-3012884.08</v>
      </c>
      <c r="H348" s="234" t="s">
        <v>138</v>
      </c>
      <c r="I348" s="893">
        <v>44088</v>
      </c>
      <c r="J348" t="s">
        <v>138</v>
      </c>
      <c r="K348" t="s">
        <v>138</v>
      </c>
      <c r="L348" t="s">
        <v>138</v>
      </c>
      <c r="M348" t="s">
        <v>138</v>
      </c>
      <c r="N348" t="s">
        <v>138</v>
      </c>
      <c r="O348" t="s">
        <v>138</v>
      </c>
      <c r="P348" t="s">
        <v>138</v>
      </c>
      <c r="Q348" t="s">
        <v>138</v>
      </c>
      <c r="R348" t="s">
        <v>138</v>
      </c>
      <c r="S348" t="s">
        <v>138</v>
      </c>
      <c r="T348" t="s">
        <v>138</v>
      </c>
      <c r="U348" t="s">
        <v>138</v>
      </c>
      <c r="V348" t="s">
        <v>138</v>
      </c>
      <c r="W348" t="s">
        <v>138</v>
      </c>
      <c r="X348" t="s">
        <v>138</v>
      </c>
      <c r="Y348" t="s">
        <v>138</v>
      </c>
      <c r="Z348" t="s">
        <v>138</v>
      </c>
      <c r="AA348" t="s">
        <v>138</v>
      </c>
      <c r="AB348" t="s">
        <v>138</v>
      </c>
      <c r="AC348" t="s">
        <v>138</v>
      </c>
      <c r="AD348" t="s">
        <v>138</v>
      </c>
      <c r="AE348" t="s">
        <v>138</v>
      </c>
      <c r="AF348" t="s">
        <v>138</v>
      </c>
      <c r="AG348" t="s">
        <v>138</v>
      </c>
      <c r="AH348" s="888">
        <f t="shared" si="5"/>
        <v>44075</v>
      </c>
    </row>
    <row r="349" spans="1:34">
      <c r="A349">
        <v>4</v>
      </c>
      <c r="B349">
        <v>5353</v>
      </c>
      <c r="C349" t="s">
        <v>185</v>
      </c>
      <c r="D349">
        <v>222</v>
      </c>
      <c r="E349" s="234">
        <v>0</v>
      </c>
      <c r="F349" s="234">
        <v>0</v>
      </c>
      <c r="G349" s="234" t="s">
        <v>138</v>
      </c>
      <c r="H349" s="234" t="s">
        <v>138</v>
      </c>
      <c r="I349" s="893">
        <v>44117</v>
      </c>
      <c r="J349" t="s">
        <v>138</v>
      </c>
      <c r="K349" t="s">
        <v>138</v>
      </c>
      <c r="L349" t="s">
        <v>138</v>
      </c>
      <c r="M349" t="s">
        <v>138</v>
      </c>
      <c r="N349" t="s">
        <v>138</v>
      </c>
      <c r="O349" t="s">
        <v>138</v>
      </c>
      <c r="P349" t="s">
        <v>138</v>
      </c>
      <c r="Q349" t="s">
        <v>138</v>
      </c>
      <c r="R349" t="s">
        <v>138</v>
      </c>
      <c r="S349" t="s">
        <v>138</v>
      </c>
      <c r="T349" t="s">
        <v>138</v>
      </c>
      <c r="U349" t="s">
        <v>138</v>
      </c>
      <c r="V349" t="s">
        <v>138</v>
      </c>
      <c r="W349" t="s">
        <v>138</v>
      </c>
      <c r="X349" t="s">
        <v>138</v>
      </c>
      <c r="Y349" t="s">
        <v>138</v>
      </c>
      <c r="Z349" t="s">
        <v>138</v>
      </c>
      <c r="AA349" t="s">
        <v>138</v>
      </c>
      <c r="AB349" t="s">
        <v>138</v>
      </c>
      <c r="AC349" t="s">
        <v>138</v>
      </c>
      <c r="AD349" t="s">
        <v>138</v>
      </c>
      <c r="AE349" t="s">
        <v>138</v>
      </c>
      <c r="AF349" t="s">
        <v>138</v>
      </c>
      <c r="AG349" t="s">
        <v>138</v>
      </c>
      <c r="AH349" s="888">
        <f t="shared" si="5"/>
        <v>44105</v>
      </c>
    </row>
    <row r="350" spans="1:34">
      <c r="A350">
        <v>5</v>
      </c>
      <c r="B350">
        <v>5353</v>
      </c>
      <c r="C350" t="s">
        <v>185</v>
      </c>
      <c r="D350">
        <v>222</v>
      </c>
      <c r="E350" s="234">
        <v>0</v>
      </c>
      <c r="F350" s="234">
        <v>0</v>
      </c>
      <c r="G350" s="234" t="s">
        <v>138</v>
      </c>
      <c r="H350" s="234" t="s">
        <v>138</v>
      </c>
      <c r="I350" s="893">
        <v>44147</v>
      </c>
      <c r="J350" t="s">
        <v>138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138</v>
      </c>
      <c r="AC350" t="s">
        <v>138</v>
      </c>
      <c r="AD350" t="s">
        <v>138</v>
      </c>
      <c r="AE350" t="s">
        <v>138</v>
      </c>
      <c r="AF350" t="s">
        <v>138</v>
      </c>
      <c r="AG350" t="s">
        <v>138</v>
      </c>
      <c r="AH350" s="888">
        <f t="shared" si="5"/>
        <v>44136</v>
      </c>
    </row>
    <row r="351" spans="1:34">
      <c r="A351">
        <v>6</v>
      </c>
      <c r="B351">
        <v>5353</v>
      </c>
      <c r="C351" t="s">
        <v>185</v>
      </c>
      <c r="D351">
        <v>222</v>
      </c>
      <c r="E351" s="234">
        <v>0</v>
      </c>
      <c r="F351" s="234">
        <v>0</v>
      </c>
      <c r="G351" s="234" t="s">
        <v>138</v>
      </c>
      <c r="H351" s="234" t="s">
        <v>138</v>
      </c>
      <c r="I351" s="893">
        <v>44179</v>
      </c>
      <c r="J351" t="s">
        <v>138</v>
      </c>
      <c r="K351" t="s">
        <v>138</v>
      </c>
      <c r="L351" t="s">
        <v>138</v>
      </c>
      <c r="M351" t="s">
        <v>138</v>
      </c>
      <c r="N351" t="s">
        <v>138</v>
      </c>
      <c r="O351" t="s">
        <v>138</v>
      </c>
      <c r="P351" t="s">
        <v>138</v>
      </c>
      <c r="Q351" t="s">
        <v>138</v>
      </c>
      <c r="R351" t="s">
        <v>138</v>
      </c>
      <c r="S351" t="s">
        <v>138</v>
      </c>
      <c r="T351" t="s">
        <v>138</v>
      </c>
      <c r="U351" t="s">
        <v>138</v>
      </c>
      <c r="V351" t="s">
        <v>138</v>
      </c>
      <c r="W351" t="s">
        <v>138</v>
      </c>
      <c r="X351" t="s">
        <v>138</v>
      </c>
      <c r="Y351" t="s">
        <v>138</v>
      </c>
      <c r="Z351" t="s">
        <v>138</v>
      </c>
      <c r="AA351" t="s">
        <v>138</v>
      </c>
      <c r="AB351" t="s">
        <v>138</v>
      </c>
      <c r="AC351" t="s">
        <v>138</v>
      </c>
      <c r="AD351" t="s">
        <v>138</v>
      </c>
      <c r="AE351" t="s">
        <v>138</v>
      </c>
      <c r="AF351" t="s">
        <v>138</v>
      </c>
      <c r="AG351" t="s">
        <v>138</v>
      </c>
      <c r="AH351" s="888">
        <f t="shared" si="5"/>
        <v>44166</v>
      </c>
    </row>
    <row r="352" spans="1:34">
      <c r="A352">
        <v>7</v>
      </c>
      <c r="B352">
        <v>5353</v>
      </c>
      <c r="C352" t="s">
        <v>185</v>
      </c>
      <c r="D352">
        <v>222</v>
      </c>
      <c r="E352" s="234">
        <v>0</v>
      </c>
      <c r="F352" s="234">
        <v>0</v>
      </c>
      <c r="G352" s="234" t="s">
        <v>138</v>
      </c>
      <c r="H352" s="234" t="s">
        <v>138</v>
      </c>
      <c r="I352" s="893">
        <v>44193</v>
      </c>
      <c r="J352" t="s">
        <v>138</v>
      </c>
      <c r="K352" t="s">
        <v>138</v>
      </c>
      <c r="L352" t="s">
        <v>138</v>
      </c>
      <c r="M352" t="s">
        <v>138</v>
      </c>
      <c r="N352" t="s">
        <v>138</v>
      </c>
      <c r="O352" t="s">
        <v>138</v>
      </c>
      <c r="P352" t="s">
        <v>138</v>
      </c>
      <c r="Q352" t="s">
        <v>138</v>
      </c>
      <c r="R352" t="s">
        <v>138</v>
      </c>
      <c r="S352" t="s">
        <v>138</v>
      </c>
      <c r="T352" t="s">
        <v>138</v>
      </c>
      <c r="U352" t="s">
        <v>138</v>
      </c>
      <c r="V352" t="s">
        <v>138</v>
      </c>
      <c r="W352" t="s">
        <v>138</v>
      </c>
      <c r="X352" t="s">
        <v>138</v>
      </c>
      <c r="Y352" t="s">
        <v>138</v>
      </c>
      <c r="Z352" t="s">
        <v>138</v>
      </c>
      <c r="AA352" t="s">
        <v>138</v>
      </c>
      <c r="AB352" t="s">
        <v>138</v>
      </c>
      <c r="AC352" t="s">
        <v>138</v>
      </c>
      <c r="AD352" t="s">
        <v>138</v>
      </c>
      <c r="AE352" t="s">
        <v>138</v>
      </c>
      <c r="AF352" t="s">
        <v>138</v>
      </c>
      <c r="AG352" t="s">
        <v>138</v>
      </c>
      <c r="AH352" s="888">
        <f t="shared" si="5"/>
        <v>44166</v>
      </c>
    </row>
    <row r="353" spans="1:34">
      <c r="A353">
        <v>8</v>
      </c>
      <c r="B353">
        <v>5353</v>
      </c>
      <c r="C353" t="s">
        <v>185</v>
      </c>
      <c r="D353">
        <v>222</v>
      </c>
      <c r="E353" s="234">
        <v>0</v>
      </c>
      <c r="F353" s="234">
        <v>0</v>
      </c>
      <c r="G353" s="234" t="s">
        <v>138</v>
      </c>
      <c r="H353" s="234" t="s">
        <v>138</v>
      </c>
      <c r="I353" s="893">
        <v>44208</v>
      </c>
      <c r="J353" t="s">
        <v>138</v>
      </c>
      <c r="K353" t="s">
        <v>138</v>
      </c>
      <c r="L353" t="s">
        <v>138</v>
      </c>
      <c r="M353" t="s">
        <v>138</v>
      </c>
      <c r="N353" t="s">
        <v>138</v>
      </c>
      <c r="O353" t="s">
        <v>138</v>
      </c>
      <c r="P353" t="s">
        <v>138</v>
      </c>
      <c r="Q353" t="s">
        <v>138</v>
      </c>
      <c r="R353" t="s">
        <v>138</v>
      </c>
      <c r="S353" t="s">
        <v>138</v>
      </c>
      <c r="T353" t="s">
        <v>138</v>
      </c>
      <c r="U353" t="s">
        <v>138</v>
      </c>
      <c r="V353" t="s">
        <v>138</v>
      </c>
      <c r="W353" t="s">
        <v>138</v>
      </c>
      <c r="X353" t="s">
        <v>138</v>
      </c>
      <c r="Y353" t="s">
        <v>138</v>
      </c>
      <c r="Z353" t="s">
        <v>138</v>
      </c>
      <c r="AA353" t="s">
        <v>138</v>
      </c>
      <c r="AB353" t="s">
        <v>138</v>
      </c>
      <c r="AC353" t="s">
        <v>138</v>
      </c>
      <c r="AD353" t="s">
        <v>138</v>
      </c>
      <c r="AE353" t="s">
        <v>138</v>
      </c>
      <c r="AF353" t="s">
        <v>138</v>
      </c>
      <c r="AG353" t="s">
        <v>138</v>
      </c>
      <c r="AH353" s="888">
        <f t="shared" si="5"/>
        <v>44197</v>
      </c>
    </row>
    <row r="354" spans="1:34">
      <c r="A354">
        <v>1</v>
      </c>
      <c r="B354">
        <v>5356</v>
      </c>
      <c r="C354" t="s">
        <v>186</v>
      </c>
      <c r="D354">
        <v>215</v>
      </c>
      <c r="E354" s="234">
        <v>0</v>
      </c>
      <c r="F354" s="234">
        <v>1000000</v>
      </c>
      <c r="H354" s="234">
        <v>0</v>
      </c>
      <c r="I354" s="893">
        <v>44043</v>
      </c>
      <c r="J354" t="s">
        <v>138</v>
      </c>
      <c r="K354" t="s">
        <v>138</v>
      </c>
      <c r="L354" t="s">
        <v>138</v>
      </c>
      <c r="M354" t="s">
        <v>138</v>
      </c>
      <c r="N354" t="s">
        <v>138</v>
      </c>
      <c r="O354" t="s">
        <v>138</v>
      </c>
      <c r="P354" t="s">
        <v>138</v>
      </c>
      <c r="Q354" t="s">
        <v>138</v>
      </c>
      <c r="R354" t="s">
        <v>138</v>
      </c>
      <c r="S354" t="s">
        <v>138</v>
      </c>
      <c r="T354" t="s">
        <v>138</v>
      </c>
      <c r="U354" t="s">
        <v>138</v>
      </c>
      <c r="V354" t="s">
        <v>138</v>
      </c>
      <c r="W354" t="s">
        <v>138</v>
      </c>
      <c r="X354" t="s">
        <v>138</v>
      </c>
      <c r="Y354" t="s">
        <v>138</v>
      </c>
      <c r="Z354" t="s">
        <v>138</v>
      </c>
      <c r="AA354" t="s">
        <v>138</v>
      </c>
      <c r="AB354" t="s">
        <v>138</v>
      </c>
      <c r="AC354" t="s">
        <v>138</v>
      </c>
      <c r="AD354" t="s">
        <v>138</v>
      </c>
      <c r="AE354" t="s">
        <v>138</v>
      </c>
      <c r="AF354" t="s">
        <v>138</v>
      </c>
      <c r="AG354" t="s">
        <v>138</v>
      </c>
      <c r="AH354" s="888">
        <f t="shared" si="5"/>
        <v>44013</v>
      </c>
    </row>
    <row r="355" spans="1:34">
      <c r="A355">
        <v>2</v>
      </c>
      <c r="B355">
        <v>5356</v>
      </c>
      <c r="C355" t="s">
        <v>186</v>
      </c>
      <c r="D355">
        <v>215</v>
      </c>
      <c r="E355" s="234">
        <v>0</v>
      </c>
      <c r="F355" s="234">
        <v>1000000</v>
      </c>
      <c r="G355" s="234" t="s">
        <v>138</v>
      </c>
      <c r="H355" s="234" t="s">
        <v>138</v>
      </c>
      <c r="I355" s="893">
        <v>44055</v>
      </c>
      <c r="J355" t="s">
        <v>138</v>
      </c>
      <c r="K355" t="s">
        <v>138</v>
      </c>
      <c r="L355" t="s">
        <v>138</v>
      </c>
      <c r="M355" t="s">
        <v>138</v>
      </c>
      <c r="N355" t="s">
        <v>138</v>
      </c>
      <c r="O355" t="s">
        <v>138</v>
      </c>
      <c r="P355" t="s">
        <v>138</v>
      </c>
      <c r="Q355" t="s">
        <v>138</v>
      </c>
      <c r="R355" t="s">
        <v>138</v>
      </c>
      <c r="S355" t="s">
        <v>138</v>
      </c>
      <c r="T355" t="s">
        <v>138</v>
      </c>
      <c r="U355" t="s">
        <v>138</v>
      </c>
      <c r="V355" t="s">
        <v>138</v>
      </c>
      <c r="W355" t="s">
        <v>138</v>
      </c>
      <c r="X355" t="s">
        <v>138</v>
      </c>
      <c r="Y355" t="s">
        <v>138</v>
      </c>
      <c r="Z355" t="s">
        <v>138</v>
      </c>
      <c r="AA355" t="s">
        <v>138</v>
      </c>
      <c r="AB355" t="s">
        <v>138</v>
      </c>
      <c r="AC355" t="s">
        <v>138</v>
      </c>
      <c r="AD355" t="s">
        <v>138</v>
      </c>
      <c r="AE355" t="s">
        <v>138</v>
      </c>
      <c r="AF355" t="s">
        <v>138</v>
      </c>
      <c r="AG355" t="s">
        <v>138</v>
      </c>
      <c r="AH355" s="888">
        <f t="shared" si="5"/>
        <v>44044</v>
      </c>
    </row>
    <row r="356" spans="1:34">
      <c r="A356">
        <v>3</v>
      </c>
      <c r="B356">
        <v>5356</v>
      </c>
      <c r="C356" t="s">
        <v>186</v>
      </c>
      <c r="D356">
        <v>215</v>
      </c>
      <c r="E356" s="234">
        <v>0</v>
      </c>
      <c r="F356" s="234">
        <v>1793801</v>
      </c>
      <c r="G356" s="234">
        <v>-3793801</v>
      </c>
      <c r="H356" s="234" t="s">
        <v>138</v>
      </c>
      <c r="I356" s="893">
        <v>44088</v>
      </c>
      <c r="J356" t="s">
        <v>138</v>
      </c>
      <c r="K356" t="s">
        <v>138</v>
      </c>
      <c r="L356" t="s">
        <v>138</v>
      </c>
      <c r="M356" t="s">
        <v>138</v>
      </c>
      <c r="N356" t="s">
        <v>138</v>
      </c>
      <c r="O356" t="s">
        <v>138</v>
      </c>
      <c r="P356" t="s">
        <v>138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138</v>
      </c>
      <c r="AC356" t="s">
        <v>138</v>
      </c>
      <c r="AD356" t="s">
        <v>138</v>
      </c>
      <c r="AE356" t="s">
        <v>138</v>
      </c>
      <c r="AF356" t="s">
        <v>138</v>
      </c>
      <c r="AG356" t="s">
        <v>138</v>
      </c>
      <c r="AH356" s="888">
        <f t="shared" si="5"/>
        <v>44075</v>
      </c>
    </row>
    <row r="357" spans="1:34">
      <c r="A357">
        <v>4</v>
      </c>
      <c r="B357">
        <v>5356</v>
      </c>
      <c r="C357" t="s">
        <v>186</v>
      </c>
      <c r="D357">
        <v>215</v>
      </c>
      <c r="E357" s="234">
        <v>0</v>
      </c>
      <c r="F357" s="234">
        <v>250000</v>
      </c>
      <c r="G357" s="234" t="s">
        <v>138</v>
      </c>
      <c r="H357" s="234" t="s">
        <v>138</v>
      </c>
      <c r="I357" s="893">
        <v>44117</v>
      </c>
      <c r="J357" t="s">
        <v>138</v>
      </c>
      <c r="K357" t="s">
        <v>138</v>
      </c>
      <c r="L357" t="s">
        <v>138</v>
      </c>
      <c r="M357" t="s">
        <v>138</v>
      </c>
      <c r="N357" t="s">
        <v>138</v>
      </c>
      <c r="O357" t="s">
        <v>138</v>
      </c>
      <c r="P357" t="s">
        <v>138</v>
      </c>
      <c r="Q357" t="s">
        <v>138</v>
      </c>
      <c r="R357" t="s">
        <v>138</v>
      </c>
      <c r="S357" t="s">
        <v>138</v>
      </c>
      <c r="T357" t="s">
        <v>138</v>
      </c>
      <c r="U357" t="s">
        <v>138</v>
      </c>
      <c r="V357" t="s">
        <v>138</v>
      </c>
      <c r="W357" t="s">
        <v>138</v>
      </c>
      <c r="X357" t="s">
        <v>138</v>
      </c>
      <c r="Y357" t="s">
        <v>138</v>
      </c>
      <c r="Z357" t="s">
        <v>138</v>
      </c>
      <c r="AA357" t="s">
        <v>138</v>
      </c>
      <c r="AB357" t="s">
        <v>138</v>
      </c>
      <c r="AC357" t="s">
        <v>138</v>
      </c>
      <c r="AD357" t="s">
        <v>138</v>
      </c>
      <c r="AE357" t="s">
        <v>138</v>
      </c>
      <c r="AF357" t="s">
        <v>138</v>
      </c>
      <c r="AG357" t="s">
        <v>138</v>
      </c>
      <c r="AH357" s="888">
        <f t="shared" si="5"/>
        <v>44105</v>
      </c>
    </row>
    <row r="358" spans="1:34">
      <c r="A358">
        <v>5</v>
      </c>
      <c r="B358">
        <v>5356</v>
      </c>
      <c r="C358" t="s">
        <v>186</v>
      </c>
      <c r="D358">
        <v>215</v>
      </c>
      <c r="E358" s="234">
        <v>0</v>
      </c>
      <c r="F358" s="234">
        <v>250000</v>
      </c>
      <c r="G358" s="234" t="s">
        <v>138</v>
      </c>
      <c r="H358" s="234" t="s">
        <v>138</v>
      </c>
      <c r="I358" s="893">
        <v>44147</v>
      </c>
      <c r="J358" t="s">
        <v>138</v>
      </c>
      <c r="K358" t="s">
        <v>138</v>
      </c>
      <c r="L358" t="s">
        <v>138</v>
      </c>
      <c r="M358" t="s">
        <v>138</v>
      </c>
      <c r="N358" t="s">
        <v>138</v>
      </c>
      <c r="O358" t="s">
        <v>138</v>
      </c>
      <c r="P358" t="s">
        <v>138</v>
      </c>
      <c r="Q358" t="s">
        <v>138</v>
      </c>
      <c r="R358" t="s">
        <v>138</v>
      </c>
      <c r="S358" t="s">
        <v>138</v>
      </c>
      <c r="T358" t="s">
        <v>138</v>
      </c>
      <c r="U358" t="s">
        <v>138</v>
      </c>
      <c r="V358" t="s">
        <v>138</v>
      </c>
      <c r="W358" t="s">
        <v>138</v>
      </c>
      <c r="X358" t="s">
        <v>138</v>
      </c>
      <c r="Y358" t="s">
        <v>138</v>
      </c>
      <c r="Z358" t="s">
        <v>138</v>
      </c>
      <c r="AA358" t="s">
        <v>138</v>
      </c>
      <c r="AB358" t="s">
        <v>138</v>
      </c>
      <c r="AC358" t="s">
        <v>138</v>
      </c>
      <c r="AD358" t="s">
        <v>138</v>
      </c>
      <c r="AE358" t="s">
        <v>138</v>
      </c>
      <c r="AF358" t="s">
        <v>138</v>
      </c>
      <c r="AG358" t="s">
        <v>138</v>
      </c>
      <c r="AH358" s="888">
        <f t="shared" si="5"/>
        <v>44136</v>
      </c>
    </row>
    <row r="359" spans="1:34">
      <c r="A359">
        <v>6</v>
      </c>
      <c r="B359">
        <v>5356</v>
      </c>
      <c r="C359" t="s">
        <v>186</v>
      </c>
      <c r="D359">
        <v>215</v>
      </c>
      <c r="E359" s="234">
        <v>0</v>
      </c>
      <c r="F359" s="234">
        <v>250000</v>
      </c>
      <c r="G359" s="234" t="s">
        <v>138</v>
      </c>
      <c r="H359" s="234" t="s">
        <v>138</v>
      </c>
      <c r="I359" s="893">
        <v>44179</v>
      </c>
      <c r="J359" t="s">
        <v>138</v>
      </c>
      <c r="K359" t="s">
        <v>138</v>
      </c>
      <c r="L359" t="s">
        <v>138</v>
      </c>
      <c r="M359" t="s">
        <v>138</v>
      </c>
      <c r="N359" t="s">
        <v>138</v>
      </c>
      <c r="O359" t="s">
        <v>138</v>
      </c>
      <c r="P359" t="s">
        <v>138</v>
      </c>
      <c r="Q359" t="s">
        <v>138</v>
      </c>
      <c r="R359" t="s">
        <v>138</v>
      </c>
      <c r="S359" t="s">
        <v>138</v>
      </c>
      <c r="T359" t="s">
        <v>138</v>
      </c>
      <c r="U359" t="s">
        <v>138</v>
      </c>
      <c r="V359" t="s">
        <v>138</v>
      </c>
      <c r="W359" t="s">
        <v>138</v>
      </c>
      <c r="X359" t="s">
        <v>138</v>
      </c>
      <c r="Y359" t="s">
        <v>138</v>
      </c>
      <c r="Z359" t="s">
        <v>138</v>
      </c>
      <c r="AA359" t="s">
        <v>138</v>
      </c>
      <c r="AB359" t="s">
        <v>138</v>
      </c>
      <c r="AC359" t="s">
        <v>138</v>
      </c>
      <c r="AD359" t="s">
        <v>138</v>
      </c>
      <c r="AE359" t="s">
        <v>138</v>
      </c>
      <c r="AF359" t="s">
        <v>138</v>
      </c>
      <c r="AG359" t="s">
        <v>138</v>
      </c>
      <c r="AH359" s="888">
        <f t="shared" si="5"/>
        <v>44166</v>
      </c>
    </row>
    <row r="360" spans="1:34">
      <c r="A360">
        <v>7</v>
      </c>
      <c r="B360">
        <v>5356</v>
      </c>
      <c r="C360" t="s">
        <v>186</v>
      </c>
      <c r="D360">
        <v>215</v>
      </c>
      <c r="E360" s="234">
        <v>0</v>
      </c>
      <c r="F360" s="234">
        <v>250000</v>
      </c>
      <c r="G360" s="234" t="s">
        <v>138</v>
      </c>
      <c r="H360" s="234" t="s">
        <v>138</v>
      </c>
      <c r="I360" s="893">
        <v>44193</v>
      </c>
      <c r="J360" t="s">
        <v>138</v>
      </c>
      <c r="K360" t="s">
        <v>138</v>
      </c>
      <c r="L360" t="s">
        <v>138</v>
      </c>
      <c r="M360" t="s">
        <v>138</v>
      </c>
      <c r="N360" t="s">
        <v>138</v>
      </c>
      <c r="O360" t="s">
        <v>138</v>
      </c>
      <c r="P360" t="s">
        <v>138</v>
      </c>
      <c r="Q360" t="s">
        <v>138</v>
      </c>
      <c r="R360" t="s">
        <v>138</v>
      </c>
      <c r="S360" t="s">
        <v>138</v>
      </c>
      <c r="T360" t="s">
        <v>138</v>
      </c>
      <c r="U360" t="s">
        <v>138</v>
      </c>
      <c r="V360" t="s">
        <v>138</v>
      </c>
      <c r="W360" t="s">
        <v>138</v>
      </c>
      <c r="X360" t="s">
        <v>138</v>
      </c>
      <c r="Y360" t="s">
        <v>138</v>
      </c>
      <c r="Z360" t="s">
        <v>138</v>
      </c>
      <c r="AA360" t="s">
        <v>138</v>
      </c>
      <c r="AB360" t="s">
        <v>138</v>
      </c>
      <c r="AC360" t="s">
        <v>138</v>
      </c>
      <c r="AD360" t="s">
        <v>138</v>
      </c>
      <c r="AE360" t="s">
        <v>138</v>
      </c>
      <c r="AF360" t="s">
        <v>138</v>
      </c>
      <c r="AG360" t="s">
        <v>138</v>
      </c>
      <c r="AH360" s="888">
        <f t="shared" si="5"/>
        <v>44166</v>
      </c>
    </row>
    <row r="361" spans="1:34">
      <c r="A361">
        <v>8</v>
      </c>
      <c r="B361">
        <v>5356</v>
      </c>
      <c r="C361" t="s">
        <v>186</v>
      </c>
      <c r="D361">
        <v>215</v>
      </c>
      <c r="E361" s="234">
        <v>0</v>
      </c>
      <c r="F361" s="234">
        <v>0</v>
      </c>
      <c r="G361" s="234" t="s">
        <v>138</v>
      </c>
      <c r="H361" s="234" t="s">
        <v>138</v>
      </c>
      <c r="I361" s="893">
        <v>44208</v>
      </c>
      <c r="J361" t="s">
        <v>138</v>
      </c>
      <c r="K361" t="s">
        <v>138</v>
      </c>
      <c r="L361" t="s">
        <v>138</v>
      </c>
      <c r="M361" t="s">
        <v>138</v>
      </c>
      <c r="N361" t="s">
        <v>138</v>
      </c>
      <c r="O361" t="s">
        <v>138</v>
      </c>
      <c r="P361" t="s">
        <v>138</v>
      </c>
      <c r="Q361" t="s">
        <v>138</v>
      </c>
      <c r="R361" t="s">
        <v>138</v>
      </c>
      <c r="S361" t="s">
        <v>138</v>
      </c>
      <c r="T361" t="s">
        <v>138</v>
      </c>
      <c r="U361" t="s">
        <v>138</v>
      </c>
      <c r="V361" t="s">
        <v>138</v>
      </c>
      <c r="W361" t="s">
        <v>138</v>
      </c>
      <c r="X361" t="s">
        <v>138</v>
      </c>
      <c r="Y361" t="s">
        <v>138</v>
      </c>
      <c r="Z361" t="s">
        <v>138</v>
      </c>
      <c r="AA361" t="s">
        <v>138</v>
      </c>
      <c r="AB361" t="s">
        <v>138</v>
      </c>
      <c r="AC361" t="s">
        <v>138</v>
      </c>
      <c r="AD361" t="s">
        <v>138</v>
      </c>
      <c r="AE361" t="s">
        <v>138</v>
      </c>
      <c r="AF361" t="s">
        <v>138</v>
      </c>
      <c r="AG361" t="s">
        <v>138</v>
      </c>
      <c r="AH361" s="888">
        <f t="shared" si="5"/>
        <v>44197</v>
      </c>
    </row>
    <row r="362" spans="1:34">
      <c r="A362">
        <v>1</v>
      </c>
      <c r="B362">
        <v>5366</v>
      </c>
      <c r="C362" t="s">
        <v>187</v>
      </c>
      <c r="D362">
        <v>202</v>
      </c>
      <c r="E362" s="234">
        <v>0</v>
      </c>
      <c r="F362" s="234">
        <v>479664.66</v>
      </c>
      <c r="H362" s="234"/>
      <c r="I362" s="893">
        <v>44043</v>
      </c>
      <c r="J362" t="s">
        <v>138</v>
      </c>
      <c r="K362" t="s">
        <v>138</v>
      </c>
      <c r="L362" t="s">
        <v>138</v>
      </c>
      <c r="M362" t="s">
        <v>138</v>
      </c>
      <c r="N362" t="s">
        <v>138</v>
      </c>
      <c r="O362" t="s">
        <v>138</v>
      </c>
      <c r="P362" t="s">
        <v>138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138</v>
      </c>
      <c r="AC362" t="s">
        <v>138</v>
      </c>
      <c r="AD362" t="s">
        <v>138</v>
      </c>
      <c r="AE362" t="s">
        <v>138</v>
      </c>
      <c r="AF362" t="s">
        <v>138</v>
      </c>
      <c r="AG362" t="s">
        <v>138</v>
      </c>
      <c r="AH362" s="888">
        <f t="shared" si="5"/>
        <v>44013</v>
      </c>
    </row>
    <row r="363" spans="1:34">
      <c r="A363">
        <v>2</v>
      </c>
      <c r="B363">
        <v>5366</v>
      </c>
      <c r="C363" t="s">
        <v>187</v>
      </c>
      <c r="D363">
        <v>202</v>
      </c>
      <c r="E363" s="234">
        <v>0</v>
      </c>
      <c r="F363" s="234">
        <v>479664.66</v>
      </c>
      <c r="G363" s="235"/>
      <c r="H363" s="234" t="s">
        <v>138</v>
      </c>
      <c r="I363" s="893">
        <v>44055</v>
      </c>
      <c r="J363" t="s">
        <v>138</v>
      </c>
      <c r="K363" t="s">
        <v>138</v>
      </c>
      <c r="L363" t="s">
        <v>138</v>
      </c>
      <c r="M363" t="s">
        <v>138</v>
      </c>
      <c r="N363" t="s">
        <v>138</v>
      </c>
      <c r="O363" t="s">
        <v>138</v>
      </c>
      <c r="P363" t="s">
        <v>138</v>
      </c>
      <c r="Q363" t="s">
        <v>138</v>
      </c>
      <c r="R363" t="s">
        <v>138</v>
      </c>
      <c r="S363" t="s">
        <v>138</v>
      </c>
      <c r="T363" t="s">
        <v>138</v>
      </c>
      <c r="U363" t="s">
        <v>138</v>
      </c>
      <c r="V363" t="s">
        <v>138</v>
      </c>
      <c r="W363" t="s">
        <v>138</v>
      </c>
      <c r="X363" t="s">
        <v>138</v>
      </c>
      <c r="Y363" t="s">
        <v>138</v>
      </c>
      <c r="Z363" t="s">
        <v>138</v>
      </c>
      <c r="AA363" t="s">
        <v>138</v>
      </c>
      <c r="AB363" t="s">
        <v>138</v>
      </c>
      <c r="AC363" t="s">
        <v>138</v>
      </c>
      <c r="AD363" t="s">
        <v>138</v>
      </c>
      <c r="AE363" t="s">
        <v>138</v>
      </c>
      <c r="AF363" t="s">
        <v>138</v>
      </c>
      <c r="AG363" t="s">
        <v>138</v>
      </c>
      <c r="AH363" s="888">
        <f t="shared" si="5"/>
        <v>44044</v>
      </c>
    </row>
    <row r="364" spans="1:34">
      <c r="A364">
        <v>3</v>
      </c>
      <c r="B364">
        <v>5366</v>
      </c>
      <c r="C364" t="s">
        <v>187</v>
      </c>
      <c r="D364">
        <v>202</v>
      </c>
      <c r="E364" s="234">
        <v>0</v>
      </c>
      <c r="F364" s="234">
        <v>479664.66</v>
      </c>
      <c r="G364" s="234">
        <v>-1438993.98</v>
      </c>
      <c r="H364" s="234" t="s">
        <v>138</v>
      </c>
      <c r="I364" s="893">
        <v>44088</v>
      </c>
      <c r="J364" t="s">
        <v>138</v>
      </c>
      <c r="K364" t="s">
        <v>138</v>
      </c>
      <c r="L364" t="s">
        <v>138</v>
      </c>
      <c r="M364" t="s">
        <v>138</v>
      </c>
      <c r="N364" t="s">
        <v>138</v>
      </c>
      <c r="O364" t="s">
        <v>138</v>
      </c>
      <c r="P364" t="s">
        <v>138</v>
      </c>
      <c r="Q364" t="s">
        <v>138</v>
      </c>
      <c r="R364" t="s">
        <v>138</v>
      </c>
      <c r="S364" t="s">
        <v>138</v>
      </c>
      <c r="T364" t="s">
        <v>138</v>
      </c>
      <c r="U364" t="s">
        <v>138</v>
      </c>
      <c r="V364" t="s">
        <v>138</v>
      </c>
      <c r="W364" t="s">
        <v>138</v>
      </c>
      <c r="X364" t="s">
        <v>138</v>
      </c>
      <c r="Y364" t="s">
        <v>138</v>
      </c>
      <c r="Z364" t="s">
        <v>138</v>
      </c>
      <c r="AA364" t="s">
        <v>138</v>
      </c>
      <c r="AB364" t="s">
        <v>138</v>
      </c>
      <c r="AC364" t="s">
        <v>138</v>
      </c>
      <c r="AD364" t="s">
        <v>138</v>
      </c>
      <c r="AE364" t="s">
        <v>138</v>
      </c>
      <c r="AF364" t="s">
        <v>138</v>
      </c>
      <c r="AG364" t="s">
        <v>138</v>
      </c>
      <c r="AH364" s="888">
        <f t="shared" si="5"/>
        <v>44075</v>
      </c>
    </row>
    <row r="365" spans="1:34">
      <c r="A365">
        <v>4</v>
      </c>
      <c r="B365">
        <v>5366</v>
      </c>
      <c r="C365" t="s">
        <v>187</v>
      </c>
      <c r="D365">
        <v>202</v>
      </c>
      <c r="E365" s="234">
        <v>0</v>
      </c>
      <c r="F365" s="234">
        <v>0</v>
      </c>
      <c r="G365" s="234" t="s">
        <v>138</v>
      </c>
      <c r="H365" s="234" t="s">
        <v>138</v>
      </c>
      <c r="I365" s="893">
        <v>44117</v>
      </c>
      <c r="J365" t="s">
        <v>138</v>
      </c>
      <c r="K365" t="s">
        <v>138</v>
      </c>
      <c r="L365" t="s">
        <v>138</v>
      </c>
      <c r="M365" t="s">
        <v>138</v>
      </c>
      <c r="N365" t="s">
        <v>138</v>
      </c>
      <c r="O365" t="s">
        <v>138</v>
      </c>
      <c r="P365" t="s">
        <v>138</v>
      </c>
      <c r="Q365" t="s">
        <v>138</v>
      </c>
      <c r="R365" t="s">
        <v>138</v>
      </c>
      <c r="S365" t="s">
        <v>138</v>
      </c>
      <c r="T365" t="s">
        <v>138</v>
      </c>
      <c r="U365" t="s">
        <v>138</v>
      </c>
      <c r="V365" t="s">
        <v>138</v>
      </c>
      <c r="W365" t="s">
        <v>138</v>
      </c>
      <c r="X365" t="s">
        <v>138</v>
      </c>
      <c r="Y365" t="s">
        <v>138</v>
      </c>
      <c r="Z365" t="s">
        <v>138</v>
      </c>
      <c r="AA365" t="s">
        <v>138</v>
      </c>
      <c r="AB365" t="s">
        <v>138</v>
      </c>
      <c r="AC365" t="s">
        <v>138</v>
      </c>
      <c r="AD365" t="s">
        <v>138</v>
      </c>
      <c r="AE365" t="s">
        <v>138</v>
      </c>
      <c r="AF365" t="s">
        <v>138</v>
      </c>
      <c r="AG365" t="s">
        <v>138</v>
      </c>
      <c r="AH365" s="888">
        <f t="shared" si="5"/>
        <v>44105</v>
      </c>
    </row>
    <row r="366" spans="1:34">
      <c r="A366">
        <v>5</v>
      </c>
      <c r="B366">
        <v>5366</v>
      </c>
      <c r="C366" t="s">
        <v>187</v>
      </c>
      <c r="D366">
        <v>202</v>
      </c>
      <c r="E366" s="234">
        <v>0</v>
      </c>
      <c r="F366" s="234">
        <v>0</v>
      </c>
      <c r="G366" s="234" t="s">
        <v>138</v>
      </c>
      <c r="H366" s="234" t="s">
        <v>138</v>
      </c>
      <c r="I366" s="893">
        <v>44147</v>
      </c>
      <c r="J366" t="s">
        <v>138</v>
      </c>
      <c r="K366" t="s">
        <v>138</v>
      </c>
      <c r="L366" t="s">
        <v>138</v>
      </c>
      <c r="M366" t="s">
        <v>138</v>
      </c>
      <c r="N366" t="s">
        <v>138</v>
      </c>
      <c r="O366" t="s">
        <v>138</v>
      </c>
      <c r="P366" t="s">
        <v>138</v>
      </c>
      <c r="Q366" t="s">
        <v>138</v>
      </c>
      <c r="R366" t="s">
        <v>138</v>
      </c>
      <c r="S366" t="s">
        <v>138</v>
      </c>
      <c r="T366" t="s">
        <v>138</v>
      </c>
      <c r="U366" t="s">
        <v>138</v>
      </c>
      <c r="V366" t="s">
        <v>138</v>
      </c>
      <c r="W366" t="s">
        <v>138</v>
      </c>
      <c r="X366" t="s">
        <v>138</v>
      </c>
      <c r="Y366" t="s">
        <v>138</v>
      </c>
      <c r="Z366" t="s">
        <v>138</v>
      </c>
      <c r="AA366" t="s">
        <v>138</v>
      </c>
      <c r="AB366" t="s">
        <v>138</v>
      </c>
      <c r="AC366" t="s">
        <v>138</v>
      </c>
      <c r="AD366" t="s">
        <v>138</v>
      </c>
      <c r="AE366" t="s">
        <v>138</v>
      </c>
      <c r="AF366" t="s">
        <v>138</v>
      </c>
      <c r="AG366" t="s">
        <v>138</v>
      </c>
      <c r="AH366" s="888">
        <f t="shared" si="5"/>
        <v>44136</v>
      </c>
    </row>
    <row r="367" spans="1:34">
      <c r="A367">
        <v>6</v>
      </c>
      <c r="B367">
        <v>5366</v>
      </c>
      <c r="C367" t="s">
        <v>187</v>
      </c>
      <c r="D367">
        <v>202</v>
      </c>
      <c r="E367" s="234">
        <v>0</v>
      </c>
      <c r="F367" s="234">
        <v>0</v>
      </c>
      <c r="G367" s="234" t="s">
        <v>138</v>
      </c>
      <c r="H367" s="234" t="s">
        <v>138</v>
      </c>
      <c r="I367" s="893">
        <v>44179</v>
      </c>
      <c r="J367" t="s">
        <v>138</v>
      </c>
      <c r="K367" t="s">
        <v>138</v>
      </c>
      <c r="L367" t="s">
        <v>138</v>
      </c>
      <c r="M367" t="s">
        <v>138</v>
      </c>
      <c r="N367" t="s">
        <v>138</v>
      </c>
      <c r="O367" t="s">
        <v>138</v>
      </c>
      <c r="P367" t="s">
        <v>138</v>
      </c>
      <c r="Q367" t="s">
        <v>138</v>
      </c>
      <c r="R367" t="s">
        <v>138</v>
      </c>
      <c r="S367" t="s">
        <v>138</v>
      </c>
      <c r="T367" t="s">
        <v>138</v>
      </c>
      <c r="U367" t="s">
        <v>138</v>
      </c>
      <c r="V367" t="s">
        <v>138</v>
      </c>
      <c r="W367" t="s">
        <v>138</v>
      </c>
      <c r="X367" t="s">
        <v>138</v>
      </c>
      <c r="Y367" t="s">
        <v>138</v>
      </c>
      <c r="Z367" t="s">
        <v>138</v>
      </c>
      <c r="AA367" t="s">
        <v>138</v>
      </c>
      <c r="AB367" t="s">
        <v>138</v>
      </c>
      <c r="AC367" t="s">
        <v>138</v>
      </c>
      <c r="AD367" t="s">
        <v>138</v>
      </c>
      <c r="AE367" t="s">
        <v>138</v>
      </c>
      <c r="AF367" t="s">
        <v>138</v>
      </c>
      <c r="AG367" t="s">
        <v>138</v>
      </c>
      <c r="AH367" s="888">
        <f t="shared" si="5"/>
        <v>44166</v>
      </c>
    </row>
    <row r="368" spans="1:34">
      <c r="A368">
        <v>7</v>
      </c>
      <c r="B368">
        <v>5366</v>
      </c>
      <c r="C368" t="s">
        <v>187</v>
      </c>
      <c r="D368">
        <v>202</v>
      </c>
      <c r="E368" s="234">
        <v>0</v>
      </c>
      <c r="F368" s="234">
        <v>0</v>
      </c>
      <c r="G368" s="234" t="s">
        <v>138</v>
      </c>
      <c r="H368" s="234" t="s">
        <v>138</v>
      </c>
      <c r="I368" s="893">
        <v>44193</v>
      </c>
      <c r="J368" t="s">
        <v>138</v>
      </c>
      <c r="K368" t="s">
        <v>138</v>
      </c>
      <c r="L368" t="s">
        <v>138</v>
      </c>
      <c r="M368" t="s">
        <v>138</v>
      </c>
      <c r="N368" t="s">
        <v>138</v>
      </c>
      <c r="O368" t="s">
        <v>138</v>
      </c>
      <c r="P368" t="s">
        <v>138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138</v>
      </c>
      <c r="AC368" t="s">
        <v>138</v>
      </c>
      <c r="AD368" t="s">
        <v>138</v>
      </c>
      <c r="AE368" t="s">
        <v>138</v>
      </c>
      <c r="AF368" t="s">
        <v>138</v>
      </c>
      <c r="AG368" t="s">
        <v>138</v>
      </c>
      <c r="AH368" s="888">
        <f t="shared" si="5"/>
        <v>44166</v>
      </c>
    </row>
    <row r="369" spans="1:34">
      <c r="A369">
        <v>8</v>
      </c>
      <c r="B369">
        <v>5366</v>
      </c>
      <c r="C369" t="s">
        <v>187</v>
      </c>
      <c r="D369">
        <v>202</v>
      </c>
      <c r="E369" s="234">
        <v>0</v>
      </c>
      <c r="F369" s="234">
        <v>0</v>
      </c>
      <c r="G369" s="234" t="s">
        <v>138</v>
      </c>
      <c r="H369" s="234" t="s">
        <v>138</v>
      </c>
      <c r="I369" s="893">
        <v>44208</v>
      </c>
      <c r="J369" t="s">
        <v>138</v>
      </c>
      <c r="K369" t="s">
        <v>138</v>
      </c>
      <c r="L369" t="s">
        <v>138</v>
      </c>
      <c r="M369" t="s">
        <v>138</v>
      </c>
      <c r="N369" t="s">
        <v>138</v>
      </c>
      <c r="O369" t="s">
        <v>138</v>
      </c>
      <c r="P369" t="s">
        <v>138</v>
      </c>
      <c r="Q369" t="s">
        <v>138</v>
      </c>
      <c r="R369" t="s">
        <v>138</v>
      </c>
      <c r="S369" t="s">
        <v>138</v>
      </c>
      <c r="T369" t="s">
        <v>138</v>
      </c>
      <c r="U369" t="s">
        <v>138</v>
      </c>
      <c r="V369" t="s">
        <v>138</v>
      </c>
      <c r="W369" t="s">
        <v>138</v>
      </c>
      <c r="X369" t="s">
        <v>138</v>
      </c>
      <c r="Y369" t="s">
        <v>138</v>
      </c>
      <c r="Z369" t="s">
        <v>138</v>
      </c>
      <c r="AA369" t="s">
        <v>138</v>
      </c>
      <c r="AB369" t="s">
        <v>138</v>
      </c>
      <c r="AC369" t="s">
        <v>138</v>
      </c>
      <c r="AD369" t="s">
        <v>138</v>
      </c>
      <c r="AE369" t="s">
        <v>138</v>
      </c>
      <c r="AF369" t="s">
        <v>138</v>
      </c>
      <c r="AG369" t="s">
        <v>138</v>
      </c>
      <c r="AH369" s="888">
        <f t="shared" si="5"/>
        <v>44197</v>
      </c>
    </row>
    <row r="370" spans="1:34">
      <c r="A370">
        <v>1</v>
      </c>
      <c r="B370">
        <v>5370</v>
      </c>
      <c r="C370" t="s">
        <v>188</v>
      </c>
      <c r="D370">
        <v>230</v>
      </c>
      <c r="E370" s="234">
        <v>0</v>
      </c>
      <c r="F370" s="234">
        <v>3496444.9</v>
      </c>
      <c r="H370" s="234">
        <v>0</v>
      </c>
      <c r="I370" s="893">
        <v>44043</v>
      </c>
      <c r="J370" t="s">
        <v>138</v>
      </c>
      <c r="K370" t="s">
        <v>138</v>
      </c>
      <c r="L370" t="s">
        <v>138</v>
      </c>
      <c r="M370" t="s">
        <v>138</v>
      </c>
      <c r="N370" t="s">
        <v>138</v>
      </c>
      <c r="O370" t="s">
        <v>138</v>
      </c>
      <c r="P370" t="s">
        <v>138</v>
      </c>
      <c r="Q370" t="s">
        <v>138</v>
      </c>
      <c r="R370" t="s">
        <v>138</v>
      </c>
      <c r="S370" t="s">
        <v>138</v>
      </c>
      <c r="T370" t="s">
        <v>138</v>
      </c>
      <c r="U370" t="s">
        <v>138</v>
      </c>
      <c r="V370" t="s">
        <v>138</v>
      </c>
      <c r="W370" t="s">
        <v>138</v>
      </c>
      <c r="X370" t="s">
        <v>138</v>
      </c>
      <c r="Y370" t="s">
        <v>138</v>
      </c>
      <c r="Z370" t="s">
        <v>138</v>
      </c>
      <c r="AA370" t="s">
        <v>138</v>
      </c>
      <c r="AB370" t="s">
        <v>138</v>
      </c>
      <c r="AC370" t="s">
        <v>138</v>
      </c>
      <c r="AD370" t="s">
        <v>138</v>
      </c>
      <c r="AE370" t="s">
        <v>138</v>
      </c>
      <c r="AF370" t="s">
        <v>138</v>
      </c>
      <c r="AG370" t="s">
        <v>138</v>
      </c>
      <c r="AH370" s="888">
        <f t="shared" si="5"/>
        <v>44013</v>
      </c>
    </row>
    <row r="371" spans="1:34">
      <c r="A371">
        <v>2</v>
      </c>
      <c r="B371">
        <v>5370</v>
      </c>
      <c r="C371" t="s">
        <v>188</v>
      </c>
      <c r="D371">
        <v>230</v>
      </c>
      <c r="E371" s="234">
        <v>0</v>
      </c>
      <c r="F371" s="234">
        <v>3496444.85</v>
      </c>
      <c r="G371" s="234" t="s">
        <v>138</v>
      </c>
      <c r="H371" s="234" t="s">
        <v>138</v>
      </c>
      <c r="I371" s="893">
        <v>44055</v>
      </c>
      <c r="J371" t="s">
        <v>138</v>
      </c>
      <c r="K371" t="s">
        <v>138</v>
      </c>
      <c r="L371" t="s">
        <v>138</v>
      </c>
      <c r="M371" t="s">
        <v>138</v>
      </c>
      <c r="N371" t="s">
        <v>138</v>
      </c>
      <c r="O371" t="s">
        <v>138</v>
      </c>
      <c r="P371" t="s">
        <v>138</v>
      </c>
      <c r="Q371" t="s">
        <v>138</v>
      </c>
      <c r="R371" t="s">
        <v>138</v>
      </c>
      <c r="S371" t="s">
        <v>138</v>
      </c>
      <c r="T371" t="s">
        <v>138</v>
      </c>
      <c r="U371" t="s">
        <v>138</v>
      </c>
      <c r="V371" t="s">
        <v>138</v>
      </c>
      <c r="W371" t="s">
        <v>138</v>
      </c>
      <c r="X371" t="s">
        <v>138</v>
      </c>
      <c r="Y371" t="s">
        <v>138</v>
      </c>
      <c r="Z371" t="s">
        <v>138</v>
      </c>
      <c r="AA371" t="s">
        <v>138</v>
      </c>
      <c r="AB371" t="s">
        <v>138</v>
      </c>
      <c r="AC371" t="s">
        <v>138</v>
      </c>
      <c r="AD371" t="s">
        <v>138</v>
      </c>
      <c r="AE371" t="s">
        <v>138</v>
      </c>
      <c r="AF371" t="s">
        <v>138</v>
      </c>
      <c r="AG371" t="s">
        <v>138</v>
      </c>
      <c r="AH371" s="888">
        <f t="shared" si="5"/>
        <v>44044</v>
      </c>
    </row>
    <row r="372" spans="1:34">
      <c r="A372">
        <v>3</v>
      </c>
      <c r="B372">
        <v>5370</v>
      </c>
      <c r="C372" t="s">
        <v>188</v>
      </c>
      <c r="D372">
        <v>230</v>
      </c>
      <c r="E372" s="234">
        <v>0</v>
      </c>
      <c r="F372" s="234">
        <v>3496444.85</v>
      </c>
      <c r="G372" s="234">
        <v>-10489334.6</v>
      </c>
      <c r="H372" s="234" t="s">
        <v>138</v>
      </c>
      <c r="I372" s="893">
        <v>44088</v>
      </c>
      <c r="J372" t="s">
        <v>138</v>
      </c>
      <c r="K372" t="s">
        <v>138</v>
      </c>
      <c r="L372" t="s">
        <v>138</v>
      </c>
      <c r="M372" t="s">
        <v>138</v>
      </c>
      <c r="N372" t="s">
        <v>138</v>
      </c>
      <c r="O372" t="s">
        <v>138</v>
      </c>
      <c r="P372" t="s">
        <v>138</v>
      </c>
      <c r="Q372" t="s">
        <v>138</v>
      </c>
      <c r="R372" t="s">
        <v>138</v>
      </c>
      <c r="S372" t="s">
        <v>138</v>
      </c>
      <c r="T372" t="s">
        <v>138</v>
      </c>
      <c r="U372" t="s">
        <v>138</v>
      </c>
      <c r="V372" t="s">
        <v>138</v>
      </c>
      <c r="W372" t="s">
        <v>138</v>
      </c>
      <c r="X372" t="s">
        <v>138</v>
      </c>
      <c r="Y372" t="s">
        <v>138</v>
      </c>
      <c r="Z372" t="s">
        <v>138</v>
      </c>
      <c r="AA372" t="s">
        <v>138</v>
      </c>
      <c r="AB372" t="s">
        <v>138</v>
      </c>
      <c r="AC372" t="s">
        <v>138</v>
      </c>
      <c r="AD372" t="s">
        <v>138</v>
      </c>
      <c r="AE372" t="s">
        <v>138</v>
      </c>
      <c r="AF372" t="s">
        <v>138</v>
      </c>
      <c r="AG372" t="s">
        <v>138</v>
      </c>
      <c r="AH372" s="888">
        <f t="shared" si="5"/>
        <v>44075</v>
      </c>
    </row>
    <row r="373" spans="1:34">
      <c r="A373">
        <v>4</v>
      </c>
      <c r="B373">
        <v>5370</v>
      </c>
      <c r="C373" t="s">
        <v>188</v>
      </c>
      <c r="D373">
        <v>230</v>
      </c>
      <c r="E373" s="234">
        <v>0</v>
      </c>
      <c r="F373" s="234">
        <v>3496444.85</v>
      </c>
      <c r="G373" s="234" t="s">
        <v>138</v>
      </c>
      <c r="H373" s="234" t="s">
        <v>138</v>
      </c>
      <c r="I373" s="893">
        <v>44117</v>
      </c>
      <c r="J373" t="s">
        <v>138</v>
      </c>
      <c r="K373" t="s">
        <v>138</v>
      </c>
      <c r="L373" t="s">
        <v>138</v>
      </c>
      <c r="M373" t="s">
        <v>138</v>
      </c>
      <c r="N373" t="s">
        <v>138</v>
      </c>
      <c r="O373" t="s">
        <v>138</v>
      </c>
      <c r="P373" t="s">
        <v>138</v>
      </c>
      <c r="Q373" t="s">
        <v>138</v>
      </c>
      <c r="R373" t="s">
        <v>138</v>
      </c>
      <c r="S373" t="s">
        <v>138</v>
      </c>
      <c r="T373" t="s">
        <v>138</v>
      </c>
      <c r="U373" t="s">
        <v>138</v>
      </c>
      <c r="V373" t="s">
        <v>138</v>
      </c>
      <c r="W373" t="s">
        <v>138</v>
      </c>
      <c r="X373" t="s">
        <v>138</v>
      </c>
      <c r="Y373" t="s">
        <v>138</v>
      </c>
      <c r="Z373" t="s">
        <v>138</v>
      </c>
      <c r="AA373" t="s">
        <v>138</v>
      </c>
      <c r="AB373" t="s">
        <v>138</v>
      </c>
      <c r="AC373" t="s">
        <v>138</v>
      </c>
      <c r="AD373" t="s">
        <v>138</v>
      </c>
      <c r="AE373" t="s">
        <v>138</v>
      </c>
      <c r="AF373" t="s">
        <v>138</v>
      </c>
      <c r="AG373" t="s">
        <v>138</v>
      </c>
      <c r="AH373" s="888">
        <f t="shared" si="5"/>
        <v>44105</v>
      </c>
    </row>
    <row r="374" spans="1:34">
      <c r="A374">
        <v>5</v>
      </c>
      <c r="B374">
        <v>5370</v>
      </c>
      <c r="C374" t="s">
        <v>188</v>
      </c>
      <c r="D374">
        <v>230</v>
      </c>
      <c r="E374" s="234">
        <v>0</v>
      </c>
      <c r="F374" s="234">
        <v>3496444.85</v>
      </c>
      <c r="G374" s="234" t="s">
        <v>138</v>
      </c>
      <c r="H374" s="234" t="s">
        <v>138</v>
      </c>
      <c r="I374" s="893">
        <v>44147</v>
      </c>
      <c r="J374" t="s">
        <v>138</v>
      </c>
      <c r="K374" t="s">
        <v>138</v>
      </c>
      <c r="L374" t="s">
        <v>138</v>
      </c>
      <c r="M374" t="s">
        <v>138</v>
      </c>
      <c r="N374" t="s">
        <v>138</v>
      </c>
      <c r="O374" t="s">
        <v>138</v>
      </c>
      <c r="P374" t="s">
        <v>138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138</v>
      </c>
      <c r="AC374" t="s">
        <v>138</v>
      </c>
      <c r="AD374" t="s">
        <v>138</v>
      </c>
      <c r="AE374" t="s">
        <v>138</v>
      </c>
      <c r="AF374" t="s">
        <v>138</v>
      </c>
      <c r="AG374" t="s">
        <v>138</v>
      </c>
      <c r="AH374" s="888">
        <f t="shared" si="5"/>
        <v>44136</v>
      </c>
    </row>
    <row r="375" spans="1:34">
      <c r="A375">
        <v>6</v>
      </c>
      <c r="B375">
        <v>5370</v>
      </c>
      <c r="C375" t="s">
        <v>188</v>
      </c>
      <c r="D375">
        <v>230</v>
      </c>
      <c r="E375" s="234">
        <v>0</v>
      </c>
      <c r="F375" s="234">
        <v>3496444.85</v>
      </c>
      <c r="G375" s="234" t="s">
        <v>138</v>
      </c>
      <c r="H375" s="234" t="s">
        <v>138</v>
      </c>
      <c r="I375" s="893">
        <v>44179</v>
      </c>
      <c r="J375" t="s">
        <v>138</v>
      </c>
      <c r="K375" t="s">
        <v>138</v>
      </c>
      <c r="L375" t="s">
        <v>138</v>
      </c>
      <c r="M375" t="s">
        <v>138</v>
      </c>
      <c r="N375" t="s">
        <v>138</v>
      </c>
      <c r="O375" t="s">
        <v>138</v>
      </c>
      <c r="P375" t="s">
        <v>138</v>
      </c>
      <c r="Q375" t="s">
        <v>138</v>
      </c>
      <c r="R375" t="s">
        <v>138</v>
      </c>
      <c r="S375" t="s">
        <v>138</v>
      </c>
      <c r="T375" t="s">
        <v>138</v>
      </c>
      <c r="U375" t="s">
        <v>138</v>
      </c>
      <c r="V375" t="s">
        <v>138</v>
      </c>
      <c r="W375" t="s">
        <v>138</v>
      </c>
      <c r="X375" t="s">
        <v>138</v>
      </c>
      <c r="Y375" t="s">
        <v>138</v>
      </c>
      <c r="Z375" t="s">
        <v>138</v>
      </c>
      <c r="AA375" t="s">
        <v>138</v>
      </c>
      <c r="AB375" t="s">
        <v>138</v>
      </c>
      <c r="AC375" t="s">
        <v>138</v>
      </c>
      <c r="AD375" t="s">
        <v>138</v>
      </c>
      <c r="AE375" t="s">
        <v>138</v>
      </c>
      <c r="AF375" t="s">
        <v>138</v>
      </c>
      <c r="AG375" t="s">
        <v>138</v>
      </c>
      <c r="AH375" s="888">
        <f t="shared" si="5"/>
        <v>44166</v>
      </c>
    </row>
    <row r="376" spans="1:34">
      <c r="A376">
        <v>7</v>
      </c>
      <c r="B376">
        <v>5370</v>
      </c>
      <c r="C376" t="s">
        <v>188</v>
      </c>
      <c r="D376">
        <v>230</v>
      </c>
      <c r="E376" s="234">
        <v>0</v>
      </c>
      <c r="F376" s="234">
        <v>3496444.85</v>
      </c>
      <c r="G376" s="234" t="s">
        <v>138</v>
      </c>
      <c r="H376" s="234" t="s">
        <v>138</v>
      </c>
      <c r="I376" s="893">
        <v>44193</v>
      </c>
      <c r="J376" t="s">
        <v>138</v>
      </c>
      <c r="K376" t="s">
        <v>138</v>
      </c>
      <c r="L376" t="s">
        <v>138</v>
      </c>
      <c r="M376" t="s">
        <v>138</v>
      </c>
      <c r="N376" t="s">
        <v>138</v>
      </c>
      <c r="O376" t="s">
        <v>138</v>
      </c>
      <c r="P376" t="s">
        <v>138</v>
      </c>
      <c r="Q376" t="s">
        <v>138</v>
      </c>
      <c r="R376" t="s">
        <v>138</v>
      </c>
      <c r="S376" t="s">
        <v>138</v>
      </c>
      <c r="T376" t="s">
        <v>138</v>
      </c>
      <c r="U376" t="s">
        <v>138</v>
      </c>
      <c r="V376" t="s">
        <v>138</v>
      </c>
      <c r="W376" t="s">
        <v>138</v>
      </c>
      <c r="X376" t="s">
        <v>138</v>
      </c>
      <c r="Y376" t="s">
        <v>138</v>
      </c>
      <c r="Z376" t="s">
        <v>138</v>
      </c>
      <c r="AA376" t="s">
        <v>138</v>
      </c>
      <c r="AB376" t="s">
        <v>138</v>
      </c>
      <c r="AC376" t="s">
        <v>138</v>
      </c>
      <c r="AD376" t="s">
        <v>138</v>
      </c>
      <c r="AE376" t="s">
        <v>138</v>
      </c>
      <c r="AF376" t="s">
        <v>138</v>
      </c>
      <c r="AG376" t="s">
        <v>138</v>
      </c>
      <c r="AH376" s="888">
        <f t="shared" si="5"/>
        <v>44166</v>
      </c>
    </row>
    <row r="377" spans="1:34">
      <c r="A377">
        <v>8</v>
      </c>
      <c r="B377">
        <v>5370</v>
      </c>
      <c r="C377" t="s">
        <v>188</v>
      </c>
      <c r="D377">
        <v>230</v>
      </c>
      <c r="E377" s="234">
        <v>0</v>
      </c>
      <c r="F377" s="234">
        <v>0</v>
      </c>
      <c r="G377" s="234" t="s">
        <v>138</v>
      </c>
      <c r="H377" s="234" t="s">
        <v>138</v>
      </c>
      <c r="I377" s="893">
        <v>44208</v>
      </c>
      <c r="J377" t="s">
        <v>138</v>
      </c>
      <c r="K377" t="s">
        <v>138</v>
      </c>
      <c r="L377" t="s">
        <v>138</v>
      </c>
      <c r="M377" t="s">
        <v>138</v>
      </c>
      <c r="N377" t="s">
        <v>138</v>
      </c>
      <c r="O377" t="s">
        <v>138</v>
      </c>
      <c r="P377" t="s">
        <v>138</v>
      </c>
      <c r="Q377" t="s">
        <v>138</v>
      </c>
      <c r="R377" t="s">
        <v>138</v>
      </c>
      <c r="S377" t="s">
        <v>138</v>
      </c>
      <c r="T377" t="s">
        <v>138</v>
      </c>
      <c r="U377" t="s">
        <v>138</v>
      </c>
      <c r="V377" t="s">
        <v>138</v>
      </c>
      <c r="W377" t="s">
        <v>138</v>
      </c>
      <c r="X377" t="s">
        <v>138</v>
      </c>
      <c r="Y377" t="s">
        <v>138</v>
      </c>
      <c r="Z377" t="s">
        <v>138</v>
      </c>
      <c r="AA377" t="s">
        <v>138</v>
      </c>
      <c r="AB377" t="s">
        <v>138</v>
      </c>
      <c r="AC377" t="s">
        <v>138</v>
      </c>
      <c r="AD377" t="s">
        <v>138</v>
      </c>
      <c r="AE377" t="s">
        <v>138</v>
      </c>
      <c r="AF377" t="s">
        <v>138</v>
      </c>
      <c r="AG377" t="s">
        <v>138</v>
      </c>
      <c r="AH377" s="888">
        <f t="shared" si="5"/>
        <v>44197</v>
      </c>
    </row>
    <row r="378" spans="1:34">
      <c r="A378">
        <v>1</v>
      </c>
      <c r="B378">
        <v>5697</v>
      </c>
      <c r="C378" t="s">
        <v>189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893">
        <v>44043</v>
      </c>
      <c r="J378">
        <v>1</v>
      </c>
      <c r="K378" t="s">
        <v>190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893">
        <v>44043</v>
      </c>
      <c r="AH378" s="888">
        <f t="shared" si="5"/>
        <v>44013</v>
      </c>
    </row>
    <row r="379" spans="1:34">
      <c r="A379">
        <v>2</v>
      </c>
      <c r="B379">
        <v>5697</v>
      </c>
      <c r="C379" t="s">
        <v>189</v>
      </c>
      <c r="D379">
        <v>111</v>
      </c>
      <c r="E379">
        <v>0</v>
      </c>
      <c r="F379">
        <v>0</v>
      </c>
      <c r="G379" t="s">
        <v>138</v>
      </c>
      <c r="H379" t="s">
        <v>138</v>
      </c>
      <c r="I379" s="893">
        <v>44055</v>
      </c>
      <c r="J379">
        <v>2</v>
      </c>
      <c r="K379" t="s">
        <v>190</v>
      </c>
      <c r="L379">
        <v>5697</v>
      </c>
      <c r="M379">
        <v>0</v>
      </c>
      <c r="N379" t="s">
        <v>138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138</v>
      </c>
      <c r="Z379" t="s">
        <v>138</v>
      </c>
      <c r="AA379" t="s">
        <v>138</v>
      </c>
      <c r="AB379" t="s">
        <v>138</v>
      </c>
      <c r="AC379" t="s">
        <v>138</v>
      </c>
      <c r="AD379" t="s">
        <v>138</v>
      </c>
      <c r="AE379" t="s">
        <v>138</v>
      </c>
      <c r="AF379" t="s">
        <v>138</v>
      </c>
      <c r="AG379" s="893">
        <v>44055</v>
      </c>
      <c r="AH379" s="888">
        <f t="shared" si="5"/>
        <v>44044</v>
      </c>
    </row>
    <row r="380" spans="1:34">
      <c r="A380">
        <v>3</v>
      </c>
      <c r="B380">
        <v>5697</v>
      </c>
      <c r="C380" t="s">
        <v>189</v>
      </c>
      <c r="D380">
        <v>111</v>
      </c>
      <c r="E380">
        <v>0</v>
      </c>
      <c r="F380">
        <v>0</v>
      </c>
      <c r="G380" t="s">
        <v>138</v>
      </c>
      <c r="H380" t="s">
        <v>138</v>
      </c>
      <c r="I380" s="893">
        <v>44088</v>
      </c>
      <c r="J380">
        <v>3</v>
      </c>
      <c r="K380" t="s">
        <v>190</v>
      </c>
      <c r="L380">
        <v>5697</v>
      </c>
      <c r="M380">
        <v>0</v>
      </c>
      <c r="N380" t="s">
        <v>138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138</v>
      </c>
      <c r="Z380" t="s">
        <v>138</v>
      </c>
      <c r="AA380" t="s">
        <v>138</v>
      </c>
      <c r="AB380" t="s">
        <v>138</v>
      </c>
      <c r="AC380" t="s">
        <v>138</v>
      </c>
      <c r="AD380" t="s">
        <v>138</v>
      </c>
      <c r="AE380" t="s">
        <v>138</v>
      </c>
      <c r="AF380" t="s">
        <v>138</v>
      </c>
      <c r="AG380" s="893">
        <v>44088</v>
      </c>
      <c r="AH380" s="888">
        <f t="shared" si="5"/>
        <v>44075</v>
      </c>
    </row>
    <row r="381" spans="1:34">
      <c r="A381">
        <v>4</v>
      </c>
      <c r="B381">
        <v>5697</v>
      </c>
      <c r="C381" t="s">
        <v>189</v>
      </c>
      <c r="D381">
        <v>111</v>
      </c>
      <c r="E381">
        <v>0</v>
      </c>
      <c r="F381">
        <v>0</v>
      </c>
      <c r="G381" t="s">
        <v>138</v>
      </c>
      <c r="H381" t="s">
        <v>138</v>
      </c>
      <c r="I381" s="893">
        <v>44117</v>
      </c>
      <c r="J381">
        <v>4</v>
      </c>
      <c r="K381" t="s">
        <v>190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138</v>
      </c>
      <c r="Z381" t="s">
        <v>138</v>
      </c>
      <c r="AA381" t="s">
        <v>138</v>
      </c>
      <c r="AB381" t="s">
        <v>138</v>
      </c>
      <c r="AC381" t="s">
        <v>138</v>
      </c>
      <c r="AD381" t="s">
        <v>138</v>
      </c>
      <c r="AE381" t="s">
        <v>138</v>
      </c>
      <c r="AF381" t="s">
        <v>138</v>
      </c>
      <c r="AG381" s="893">
        <v>44117</v>
      </c>
      <c r="AH381" s="888">
        <f t="shared" si="5"/>
        <v>44105</v>
      </c>
    </row>
    <row r="382" spans="1:34">
      <c r="A382">
        <v>5</v>
      </c>
      <c r="B382">
        <v>5697</v>
      </c>
      <c r="C382" t="s">
        <v>189</v>
      </c>
      <c r="D382">
        <v>111</v>
      </c>
      <c r="E382">
        <v>0</v>
      </c>
      <c r="F382">
        <v>0</v>
      </c>
      <c r="G382" t="s">
        <v>138</v>
      </c>
      <c r="H382" t="s">
        <v>138</v>
      </c>
      <c r="I382" s="893">
        <v>44147</v>
      </c>
      <c r="J382">
        <v>5</v>
      </c>
      <c r="K382" t="s">
        <v>190</v>
      </c>
      <c r="L382">
        <v>5697</v>
      </c>
      <c r="M382" t="s">
        <v>138</v>
      </c>
      <c r="N382" t="s">
        <v>138</v>
      </c>
      <c r="O382" t="s">
        <v>138</v>
      </c>
      <c r="P382" t="s">
        <v>138</v>
      </c>
      <c r="Q382" t="s">
        <v>138</v>
      </c>
      <c r="R382" t="s">
        <v>138</v>
      </c>
      <c r="S382" t="s">
        <v>138</v>
      </c>
      <c r="T382" t="s">
        <v>138</v>
      </c>
      <c r="U382" t="s">
        <v>138</v>
      </c>
      <c r="V382" t="s">
        <v>138</v>
      </c>
      <c r="W382" t="s">
        <v>138</v>
      </c>
      <c r="X382" t="s">
        <v>138</v>
      </c>
      <c r="Y382" t="s">
        <v>138</v>
      </c>
      <c r="Z382" t="s">
        <v>138</v>
      </c>
      <c r="AA382" t="s">
        <v>138</v>
      </c>
      <c r="AB382" t="s">
        <v>138</v>
      </c>
      <c r="AC382" t="s">
        <v>138</v>
      </c>
      <c r="AD382" t="s">
        <v>138</v>
      </c>
      <c r="AE382" t="s">
        <v>138</v>
      </c>
      <c r="AF382" t="s">
        <v>138</v>
      </c>
      <c r="AG382" s="893">
        <v>44147</v>
      </c>
      <c r="AH382" s="888">
        <f t="shared" si="5"/>
        <v>44136</v>
      </c>
    </row>
    <row r="383" spans="1:34">
      <c r="A383">
        <v>6</v>
      </c>
      <c r="B383">
        <v>5697</v>
      </c>
      <c r="C383" t="s">
        <v>189</v>
      </c>
      <c r="D383">
        <v>111</v>
      </c>
      <c r="E383">
        <v>0</v>
      </c>
      <c r="F383">
        <v>0</v>
      </c>
      <c r="G383" t="s">
        <v>138</v>
      </c>
      <c r="H383" t="s">
        <v>138</v>
      </c>
      <c r="I383" s="893">
        <v>44179</v>
      </c>
      <c r="J383">
        <v>6</v>
      </c>
      <c r="K383" t="s">
        <v>190</v>
      </c>
      <c r="L383">
        <v>5697</v>
      </c>
      <c r="M383" t="s">
        <v>138</v>
      </c>
      <c r="N383" t="s">
        <v>138</v>
      </c>
      <c r="O383" t="s">
        <v>138</v>
      </c>
      <c r="P383" t="s">
        <v>138</v>
      </c>
      <c r="Q383" t="s">
        <v>138</v>
      </c>
      <c r="R383" t="s">
        <v>138</v>
      </c>
      <c r="S383" t="s">
        <v>138</v>
      </c>
      <c r="T383" t="s">
        <v>138</v>
      </c>
      <c r="U383" t="s">
        <v>138</v>
      </c>
      <c r="V383" t="s">
        <v>138</v>
      </c>
      <c r="W383" t="s">
        <v>138</v>
      </c>
      <c r="X383" t="s">
        <v>138</v>
      </c>
      <c r="Y383" t="s">
        <v>138</v>
      </c>
      <c r="Z383" t="s">
        <v>138</v>
      </c>
      <c r="AA383" t="s">
        <v>138</v>
      </c>
      <c r="AB383" t="s">
        <v>138</v>
      </c>
      <c r="AC383" t="s">
        <v>138</v>
      </c>
      <c r="AD383" t="s">
        <v>138</v>
      </c>
      <c r="AE383" t="s">
        <v>138</v>
      </c>
      <c r="AF383" t="s">
        <v>138</v>
      </c>
      <c r="AG383" s="893">
        <v>44179</v>
      </c>
      <c r="AH383" s="888">
        <f t="shared" si="5"/>
        <v>44166</v>
      </c>
    </row>
    <row r="384" spans="1:34">
      <c r="A384">
        <v>7</v>
      </c>
      <c r="B384">
        <v>5697</v>
      </c>
      <c r="C384" t="s">
        <v>189</v>
      </c>
      <c r="D384">
        <v>111</v>
      </c>
      <c r="E384">
        <v>0</v>
      </c>
      <c r="F384">
        <v>0</v>
      </c>
      <c r="G384" t="s">
        <v>138</v>
      </c>
      <c r="H384" t="s">
        <v>138</v>
      </c>
      <c r="I384" s="893">
        <v>44193</v>
      </c>
      <c r="J384">
        <v>7</v>
      </c>
      <c r="K384" t="s">
        <v>190</v>
      </c>
      <c r="L384">
        <v>5697</v>
      </c>
      <c r="M384" t="s">
        <v>138</v>
      </c>
      <c r="N384" t="s">
        <v>138</v>
      </c>
      <c r="O384" t="s">
        <v>138</v>
      </c>
      <c r="P384" t="s">
        <v>138</v>
      </c>
      <c r="Q384" t="s">
        <v>138</v>
      </c>
      <c r="R384" t="s">
        <v>138</v>
      </c>
      <c r="S384" t="s">
        <v>138</v>
      </c>
      <c r="T384" t="s">
        <v>138</v>
      </c>
      <c r="U384" t="s">
        <v>138</v>
      </c>
      <c r="V384" t="s">
        <v>138</v>
      </c>
      <c r="W384" t="s">
        <v>138</v>
      </c>
      <c r="X384" t="s">
        <v>138</v>
      </c>
      <c r="Y384" t="s">
        <v>138</v>
      </c>
      <c r="Z384" t="s">
        <v>138</v>
      </c>
      <c r="AA384" t="s">
        <v>138</v>
      </c>
      <c r="AB384" t="s">
        <v>138</v>
      </c>
      <c r="AC384" t="s">
        <v>138</v>
      </c>
      <c r="AD384" t="s">
        <v>138</v>
      </c>
      <c r="AE384" t="s">
        <v>138</v>
      </c>
      <c r="AF384" t="s">
        <v>138</v>
      </c>
      <c r="AG384" s="893">
        <v>44193</v>
      </c>
      <c r="AH384" s="888">
        <f t="shared" si="5"/>
        <v>44166</v>
      </c>
    </row>
    <row r="385" spans="1:34">
      <c r="A385">
        <v>8</v>
      </c>
      <c r="B385">
        <v>5697</v>
      </c>
      <c r="C385" t="s">
        <v>189</v>
      </c>
      <c r="D385">
        <v>111</v>
      </c>
      <c r="E385">
        <v>0</v>
      </c>
      <c r="F385">
        <v>0</v>
      </c>
      <c r="G385" t="s">
        <v>138</v>
      </c>
      <c r="H385" t="s">
        <v>138</v>
      </c>
      <c r="I385" s="893">
        <v>44208</v>
      </c>
      <c r="J385">
        <v>8</v>
      </c>
      <c r="K385" t="s">
        <v>190</v>
      </c>
      <c r="L385">
        <v>5697</v>
      </c>
      <c r="M385" t="s">
        <v>138</v>
      </c>
      <c r="N385" t="s">
        <v>138</v>
      </c>
      <c r="O385" t="s">
        <v>138</v>
      </c>
      <c r="P385" t="s">
        <v>138</v>
      </c>
      <c r="Q385" t="s">
        <v>138</v>
      </c>
      <c r="R385" t="s">
        <v>138</v>
      </c>
      <c r="S385" t="s">
        <v>138</v>
      </c>
      <c r="T385" t="s">
        <v>138</v>
      </c>
      <c r="U385" t="s">
        <v>138</v>
      </c>
      <c r="V385" t="s">
        <v>138</v>
      </c>
      <c r="W385" t="s">
        <v>138</v>
      </c>
      <c r="X385" t="s">
        <v>138</v>
      </c>
      <c r="Y385" t="s">
        <v>138</v>
      </c>
      <c r="Z385" t="s">
        <v>138</v>
      </c>
      <c r="AA385" t="s">
        <v>138</v>
      </c>
      <c r="AB385" t="s">
        <v>138</v>
      </c>
      <c r="AC385" t="s">
        <v>138</v>
      </c>
      <c r="AD385" t="s">
        <v>138</v>
      </c>
      <c r="AE385" t="s">
        <v>138</v>
      </c>
      <c r="AF385" t="s">
        <v>138</v>
      </c>
      <c r="AG385" s="893">
        <v>44208</v>
      </c>
      <c r="AH385" s="888">
        <f t="shared" si="5"/>
        <v>44197</v>
      </c>
    </row>
    <row r="386" spans="1:34">
      <c r="A386">
        <v>1</v>
      </c>
      <c r="B386">
        <v>5707</v>
      </c>
      <c r="C386" t="s">
        <v>191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893">
        <v>44043</v>
      </c>
      <c r="J386">
        <v>1</v>
      </c>
      <c r="K386" t="s">
        <v>191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893">
        <v>44043</v>
      </c>
      <c r="AH386" s="888">
        <f t="shared" si="5"/>
        <v>44013</v>
      </c>
    </row>
    <row r="387" spans="1:34">
      <c r="A387">
        <v>2</v>
      </c>
      <c r="B387">
        <v>5707</v>
      </c>
      <c r="C387" t="s">
        <v>191</v>
      </c>
      <c r="D387">
        <v>110</v>
      </c>
      <c r="E387">
        <v>34572160.210000001</v>
      </c>
      <c r="F387">
        <v>0</v>
      </c>
      <c r="G387" t="s">
        <v>138</v>
      </c>
      <c r="H387" t="s">
        <v>138</v>
      </c>
      <c r="I387" s="893">
        <v>44055</v>
      </c>
      <c r="J387">
        <v>2</v>
      </c>
      <c r="K387" t="s">
        <v>191</v>
      </c>
      <c r="L387">
        <v>5707</v>
      </c>
      <c r="M387">
        <v>0.40883116615468401</v>
      </c>
      <c r="N387" t="s">
        <v>138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138</v>
      </c>
      <c r="Z387" t="s">
        <v>138</v>
      </c>
      <c r="AA387" t="s">
        <v>138</v>
      </c>
      <c r="AB387" t="s">
        <v>138</v>
      </c>
      <c r="AC387" t="s">
        <v>138</v>
      </c>
      <c r="AD387" t="s">
        <v>138</v>
      </c>
      <c r="AE387" t="s">
        <v>138</v>
      </c>
      <c r="AF387" t="s">
        <v>138</v>
      </c>
      <c r="AG387" s="893">
        <v>44055</v>
      </c>
      <c r="AH387" s="888">
        <f t="shared" ref="AH387:AH450" si="7">DATE(YEAR(I387),MONTH(I387),1)</f>
        <v>44044</v>
      </c>
    </row>
    <row r="388" spans="1:34">
      <c r="A388">
        <v>3</v>
      </c>
      <c r="B388">
        <v>5707</v>
      </c>
      <c r="C388" t="s">
        <v>191</v>
      </c>
      <c r="D388">
        <v>110</v>
      </c>
      <c r="E388">
        <v>36967933.700000003</v>
      </c>
      <c r="F388">
        <v>0</v>
      </c>
      <c r="G388" t="s">
        <v>138</v>
      </c>
      <c r="H388" t="s">
        <v>138</v>
      </c>
      <c r="I388" s="893">
        <v>44088</v>
      </c>
      <c r="J388">
        <v>3</v>
      </c>
      <c r="K388" t="s">
        <v>191</v>
      </c>
      <c r="L388">
        <v>5707</v>
      </c>
      <c r="M388">
        <v>0.65536292543449504</v>
      </c>
      <c r="N388" t="s">
        <v>138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138</v>
      </c>
      <c r="Z388" t="s">
        <v>138</v>
      </c>
      <c r="AA388" t="s">
        <v>138</v>
      </c>
      <c r="AB388" t="s">
        <v>138</v>
      </c>
      <c r="AC388" t="s">
        <v>138</v>
      </c>
      <c r="AD388" t="s">
        <v>138</v>
      </c>
      <c r="AE388" t="s">
        <v>138</v>
      </c>
      <c r="AF388" t="s">
        <v>138</v>
      </c>
      <c r="AG388" s="893">
        <v>44088</v>
      </c>
      <c r="AH388" s="888">
        <f t="shared" si="7"/>
        <v>44075</v>
      </c>
    </row>
    <row r="389" spans="1:34">
      <c r="A389">
        <v>4</v>
      </c>
      <c r="B389">
        <v>5707</v>
      </c>
      <c r="C389" t="s">
        <v>191</v>
      </c>
      <c r="D389">
        <v>110</v>
      </c>
      <c r="E389">
        <v>18758768.452395</v>
      </c>
      <c r="F389">
        <v>0</v>
      </c>
      <c r="G389" t="s">
        <v>138</v>
      </c>
      <c r="H389" t="s">
        <v>138</v>
      </c>
      <c r="I389" s="893">
        <v>44117</v>
      </c>
      <c r="J389">
        <v>4</v>
      </c>
      <c r="K389" t="s">
        <v>191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138</v>
      </c>
      <c r="Z389" t="s">
        <v>138</v>
      </c>
      <c r="AA389" t="s">
        <v>138</v>
      </c>
      <c r="AB389" t="s">
        <v>138</v>
      </c>
      <c r="AC389" t="s">
        <v>138</v>
      </c>
      <c r="AD389" t="s">
        <v>138</v>
      </c>
      <c r="AE389" t="s">
        <v>138</v>
      </c>
      <c r="AF389" t="s">
        <v>138</v>
      </c>
      <c r="AG389" s="893">
        <v>44117</v>
      </c>
      <c r="AH389" s="888">
        <f t="shared" si="7"/>
        <v>44105</v>
      </c>
    </row>
    <row r="390" spans="1:34">
      <c r="A390">
        <v>5</v>
      </c>
      <c r="B390">
        <v>5707</v>
      </c>
      <c r="C390" t="s">
        <v>191</v>
      </c>
      <c r="D390">
        <v>110</v>
      </c>
      <c r="E390">
        <v>50778659.477604903</v>
      </c>
      <c r="F390">
        <v>0</v>
      </c>
      <c r="G390" t="s">
        <v>138</v>
      </c>
      <c r="H390" t="s">
        <v>138</v>
      </c>
      <c r="I390" s="893">
        <v>44147</v>
      </c>
      <c r="J390">
        <v>5</v>
      </c>
      <c r="K390" t="s">
        <v>191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138</v>
      </c>
      <c r="Z390" t="s">
        <v>138</v>
      </c>
      <c r="AA390" t="s">
        <v>138</v>
      </c>
      <c r="AB390" t="s">
        <v>138</v>
      </c>
      <c r="AC390" t="s">
        <v>138</v>
      </c>
      <c r="AD390" t="s">
        <v>138</v>
      </c>
      <c r="AE390" t="s">
        <v>138</v>
      </c>
      <c r="AF390" t="s">
        <v>138</v>
      </c>
      <c r="AG390" s="893">
        <v>44147</v>
      </c>
      <c r="AH390" s="888">
        <f t="shared" si="7"/>
        <v>44136</v>
      </c>
    </row>
    <row r="391" spans="1:34">
      <c r="A391">
        <v>6</v>
      </c>
      <c r="B391">
        <v>5707</v>
      </c>
      <c r="C391" t="s">
        <v>191</v>
      </c>
      <c r="D391">
        <v>110</v>
      </c>
      <c r="E391">
        <v>0</v>
      </c>
      <c r="F391">
        <v>0</v>
      </c>
      <c r="G391" t="s">
        <v>138</v>
      </c>
      <c r="H391" t="s">
        <v>138</v>
      </c>
      <c r="I391" s="893">
        <v>44179</v>
      </c>
      <c r="J391">
        <v>6</v>
      </c>
      <c r="K391" t="s">
        <v>191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138</v>
      </c>
      <c r="Z391" t="s">
        <v>138</v>
      </c>
      <c r="AA391" t="s">
        <v>138</v>
      </c>
      <c r="AB391" t="s">
        <v>138</v>
      </c>
      <c r="AC391" t="s">
        <v>138</v>
      </c>
      <c r="AD391" t="s">
        <v>138</v>
      </c>
      <c r="AE391" t="s">
        <v>138</v>
      </c>
      <c r="AF391" t="s">
        <v>138</v>
      </c>
      <c r="AG391" s="893">
        <v>44179</v>
      </c>
      <c r="AH391" s="888">
        <f t="shared" si="7"/>
        <v>44166</v>
      </c>
    </row>
    <row r="392" spans="1:34">
      <c r="A392">
        <v>7</v>
      </c>
      <c r="B392">
        <v>5707</v>
      </c>
      <c r="C392" t="s">
        <v>191</v>
      </c>
      <c r="D392">
        <v>110</v>
      </c>
      <c r="E392">
        <v>0</v>
      </c>
      <c r="F392">
        <v>0</v>
      </c>
      <c r="G392" t="s">
        <v>138</v>
      </c>
      <c r="H392" t="s">
        <v>138</v>
      </c>
      <c r="I392" s="893">
        <v>44193</v>
      </c>
      <c r="J392">
        <v>7</v>
      </c>
      <c r="K392" t="s">
        <v>191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138</v>
      </c>
      <c r="Z392" t="s">
        <v>138</v>
      </c>
      <c r="AA392" t="s">
        <v>138</v>
      </c>
      <c r="AB392" t="s">
        <v>138</v>
      </c>
      <c r="AC392" t="s">
        <v>138</v>
      </c>
      <c r="AD392" t="s">
        <v>138</v>
      </c>
      <c r="AE392" t="s">
        <v>138</v>
      </c>
      <c r="AF392" t="s">
        <v>138</v>
      </c>
      <c r="AG392" s="893">
        <v>44193</v>
      </c>
      <c r="AH392" s="888">
        <f t="shared" si="7"/>
        <v>44166</v>
      </c>
    </row>
    <row r="393" spans="1:34">
      <c r="A393">
        <v>8</v>
      </c>
      <c r="B393">
        <v>5707</v>
      </c>
      <c r="C393" t="s">
        <v>191</v>
      </c>
      <c r="D393">
        <v>110</v>
      </c>
      <c r="E393">
        <v>0</v>
      </c>
      <c r="F393">
        <v>0</v>
      </c>
      <c r="G393" t="s">
        <v>138</v>
      </c>
      <c r="H393" t="s">
        <v>138</v>
      </c>
      <c r="I393" s="893">
        <v>44208</v>
      </c>
      <c r="J393">
        <v>8</v>
      </c>
      <c r="K393" t="s">
        <v>191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138</v>
      </c>
      <c r="Z393" t="s">
        <v>138</v>
      </c>
      <c r="AA393" t="s">
        <v>138</v>
      </c>
      <c r="AB393" t="s">
        <v>138</v>
      </c>
      <c r="AC393" t="s">
        <v>138</v>
      </c>
      <c r="AD393" t="s">
        <v>138</v>
      </c>
      <c r="AE393" t="s">
        <v>138</v>
      </c>
      <c r="AF393" t="s">
        <v>138</v>
      </c>
      <c r="AG393" s="893">
        <v>44208</v>
      </c>
      <c r="AH393" s="888">
        <f t="shared" si="7"/>
        <v>44197</v>
      </c>
    </row>
    <row r="394" spans="1:34">
      <c r="A394">
        <v>1</v>
      </c>
      <c r="B394">
        <v>6072</v>
      </c>
      <c r="C394" t="s">
        <v>192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893">
        <v>44043</v>
      </c>
      <c r="J394">
        <v>1</v>
      </c>
      <c r="K394" t="s">
        <v>192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893">
        <v>44043</v>
      </c>
      <c r="AH394" s="888">
        <f t="shared" si="7"/>
        <v>44013</v>
      </c>
    </row>
    <row r="395" spans="1:34">
      <c r="A395">
        <v>2</v>
      </c>
      <c r="B395">
        <v>6072</v>
      </c>
      <c r="C395" t="s">
        <v>192</v>
      </c>
      <c r="D395">
        <v>112</v>
      </c>
      <c r="E395">
        <v>66101585.004667699</v>
      </c>
      <c r="F395">
        <v>0</v>
      </c>
      <c r="G395" t="s">
        <v>138</v>
      </c>
      <c r="H395" t="s">
        <v>138</v>
      </c>
      <c r="I395" s="893">
        <v>44055</v>
      </c>
      <c r="J395">
        <v>2</v>
      </c>
      <c r="K395" t="s">
        <v>192</v>
      </c>
      <c r="L395">
        <v>6072</v>
      </c>
      <c r="M395">
        <v>0.76157296141006903</v>
      </c>
      <c r="N395" t="s">
        <v>138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138</v>
      </c>
      <c r="Z395" t="s">
        <v>138</v>
      </c>
      <c r="AA395" t="s">
        <v>138</v>
      </c>
      <c r="AB395" t="s">
        <v>138</v>
      </c>
      <c r="AC395" t="s">
        <v>138</v>
      </c>
      <c r="AD395" t="s">
        <v>138</v>
      </c>
      <c r="AE395" t="s">
        <v>138</v>
      </c>
      <c r="AF395" t="s">
        <v>138</v>
      </c>
      <c r="AG395" s="893">
        <v>44055</v>
      </c>
      <c r="AH395" s="888">
        <f t="shared" si="7"/>
        <v>44044</v>
      </c>
    </row>
    <row r="396" spans="1:34">
      <c r="A396">
        <v>3</v>
      </c>
      <c r="B396">
        <v>6072</v>
      </c>
      <c r="C396" t="s">
        <v>192</v>
      </c>
      <c r="D396">
        <v>112</v>
      </c>
      <c r="E396">
        <v>63035170.921968102</v>
      </c>
      <c r="F396">
        <v>0</v>
      </c>
      <c r="G396" t="s">
        <v>138</v>
      </c>
      <c r="H396" t="s">
        <v>138</v>
      </c>
      <c r="I396" s="893">
        <v>44088</v>
      </c>
      <c r="J396">
        <v>3</v>
      </c>
      <c r="K396" t="s">
        <v>192</v>
      </c>
      <c r="L396">
        <v>6072</v>
      </c>
      <c r="M396">
        <v>0.89186478482607701</v>
      </c>
      <c r="N396" t="s">
        <v>138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138</v>
      </c>
      <c r="Z396" t="s">
        <v>138</v>
      </c>
      <c r="AA396" t="s">
        <v>138</v>
      </c>
      <c r="AB396" t="s">
        <v>138</v>
      </c>
      <c r="AC396" t="s">
        <v>138</v>
      </c>
      <c r="AD396" t="s">
        <v>138</v>
      </c>
      <c r="AE396" t="s">
        <v>138</v>
      </c>
      <c r="AF396" t="s">
        <v>138</v>
      </c>
      <c r="AG396" s="893">
        <v>44088</v>
      </c>
      <c r="AH396" s="888">
        <f t="shared" si="7"/>
        <v>44075</v>
      </c>
    </row>
    <row r="397" spans="1:34">
      <c r="A397">
        <v>4</v>
      </c>
      <c r="B397">
        <v>6072</v>
      </c>
      <c r="C397" t="s">
        <v>192</v>
      </c>
      <c r="D397">
        <v>112</v>
      </c>
      <c r="E397">
        <v>51595135.063423701</v>
      </c>
      <c r="F397">
        <v>0</v>
      </c>
      <c r="G397" t="s">
        <v>138</v>
      </c>
      <c r="H397" t="s">
        <v>138</v>
      </c>
      <c r="I397" s="893">
        <v>44117</v>
      </c>
      <c r="J397">
        <v>4</v>
      </c>
      <c r="K397" t="s">
        <v>192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138</v>
      </c>
      <c r="Z397" t="s">
        <v>138</v>
      </c>
      <c r="AA397" t="s">
        <v>138</v>
      </c>
      <c r="AB397" t="s">
        <v>138</v>
      </c>
      <c r="AC397" t="s">
        <v>138</v>
      </c>
      <c r="AD397" t="s">
        <v>138</v>
      </c>
      <c r="AE397" t="s">
        <v>138</v>
      </c>
      <c r="AF397" t="s">
        <v>138</v>
      </c>
      <c r="AG397" s="893">
        <v>44117</v>
      </c>
      <c r="AH397" s="888">
        <f t="shared" si="7"/>
        <v>44105</v>
      </c>
    </row>
    <row r="398" spans="1:34">
      <c r="A398">
        <v>5</v>
      </c>
      <c r="B398">
        <v>6072</v>
      </c>
      <c r="C398" t="s">
        <v>192</v>
      </c>
      <c r="D398">
        <v>112</v>
      </c>
      <c r="E398">
        <v>32263674.1555149</v>
      </c>
      <c r="F398">
        <v>0</v>
      </c>
      <c r="G398" t="s">
        <v>138</v>
      </c>
      <c r="H398" t="s">
        <v>138</v>
      </c>
      <c r="I398" s="893">
        <v>44147</v>
      </c>
      <c r="J398">
        <v>5</v>
      </c>
      <c r="K398" t="s">
        <v>192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138</v>
      </c>
      <c r="Z398" t="s">
        <v>138</v>
      </c>
      <c r="AA398" t="s">
        <v>138</v>
      </c>
      <c r="AB398" t="s">
        <v>138</v>
      </c>
      <c r="AC398" t="s">
        <v>138</v>
      </c>
      <c r="AD398" t="s">
        <v>138</v>
      </c>
      <c r="AE398" t="s">
        <v>138</v>
      </c>
      <c r="AF398" t="s">
        <v>138</v>
      </c>
      <c r="AG398" s="893">
        <v>44147</v>
      </c>
      <c r="AH398" s="888">
        <f t="shared" si="7"/>
        <v>44136</v>
      </c>
    </row>
    <row r="399" spans="1:34">
      <c r="A399">
        <v>6</v>
      </c>
      <c r="B399">
        <v>6072</v>
      </c>
      <c r="C399" t="s">
        <v>192</v>
      </c>
      <c r="D399">
        <v>112</v>
      </c>
      <c r="E399">
        <v>0</v>
      </c>
      <c r="F399">
        <v>0</v>
      </c>
      <c r="G399" t="s">
        <v>138</v>
      </c>
      <c r="H399" t="s">
        <v>138</v>
      </c>
      <c r="I399" s="893">
        <v>44179</v>
      </c>
      <c r="J399">
        <v>6</v>
      </c>
      <c r="K399" t="s">
        <v>192</v>
      </c>
      <c r="L399">
        <v>6072</v>
      </c>
      <c r="M399" t="s">
        <v>138</v>
      </c>
      <c r="N399">
        <v>0</v>
      </c>
      <c r="O399" t="s">
        <v>138</v>
      </c>
      <c r="P399" t="s">
        <v>138</v>
      </c>
      <c r="Q399" t="s">
        <v>138</v>
      </c>
      <c r="R399" t="s">
        <v>138</v>
      </c>
      <c r="S399" t="s">
        <v>138</v>
      </c>
      <c r="T399" t="s">
        <v>138</v>
      </c>
      <c r="U399" t="s">
        <v>138</v>
      </c>
      <c r="V399" t="s">
        <v>138</v>
      </c>
      <c r="W399" t="s">
        <v>138</v>
      </c>
      <c r="X399" t="s">
        <v>138</v>
      </c>
      <c r="Y399" t="s">
        <v>138</v>
      </c>
      <c r="Z399" t="s">
        <v>138</v>
      </c>
      <c r="AA399" t="s">
        <v>138</v>
      </c>
      <c r="AB399" t="s">
        <v>138</v>
      </c>
      <c r="AC399" t="s">
        <v>138</v>
      </c>
      <c r="AD399" t="s">
        <v>138</v>
      </c>
      <c r="AE399" t="s">
        <v>138</v>
      </c>
      <c r="AF399" t="s">
        <v>138</v>
      </c>
      <c r="AG399" s="893">
        <v>44179</v>
      </c>
      <c r="AH399" s="888">
        <f t="shared" si="7"/>
        <v>44166</v>
      </c>
    </row>
    <row r="400" spans="1:34">
      <c r="A400">
        <v>7</v>
      </c>
      <c r="B400">
        <v>6072</v>
      </c>
      <c r="C400" t="s">
        <v>192</v>
      </c>
      <c r="D400">
        <v>112</v>
      </c>
      <c r="E400">
        <v>0</v>
      </c>
      <c r="F400">
        <v>0</v>
      </c>
      <c r="G400" t="s">
        <v>138</v>
      </c>
      <c r="H400" t="s">
        <v>138</v>
      </c>
      <c r="I400" s="893">
        <v>44193</v>
      </c>
      <c r="J400">
        <v>7</v>
      </c>
      <c r="K400" t="s">
        <v>192</v>
      </c>
      <c r="L400">
        <v>6072</v>
      </c>
      <c r="M400" t="s">
        <v>138</v>
      </c>
      <c r="N400">
        <v>0</v>
      </c>
      <c r="O400" t="s">
        <v>138</v>
      </c>
      <c r="P400" t="s">
        <v>138</v>
      </c>
      <c r="Q400" t="s">
        <v>138</v>
      </c>
      <c r="R400" t="s">
        <v>138</v>
      </c>
      <c r="S400" t="s">
        <v>138</v>
      </c>
      <c r="T400" t="s">
        <v>138</v>
      </c>
      <c r="U400" t="s">
        <v>138</v>
      </c>
      <c r="V400" t="s">
        <v>138</v>
      </c>
      <c r="W400" t="s">
        <v>138</v>
      </c>
      <c r="X400" t="s">
        <v>138</v>
      </c>
      <c r="Y400" t="s">
        <v>138</v>
      </c>
      <c r="Z400" t="s">
        <v>138</v>
      </c>
      <c r="AA400" t="s">
        <v>138</v>
      </c>
      <c r="AB400" t="s">
        <v>138</v>
      </c>
      <c r="AC400" t="s">
        <v>138</v>
      </c>
      <c r="AD400" t="s">
        <v>138</v>
      </c>
      <c r="AE400" t="s">
        <v>138</v>
      </c>
      <c r="AF400" t="s">
        <v>138</v>
      </c>
      <c r="AG400" s="893">
        <v>44193</v>
      </c>
      <c r="AH400" s="888">
        <f t="shared" si="7"/>
        <v>44166</v>
      </c>
    </row>
    <row r="401" spans="1:34">
      <c r="A401">
        <v>8</v>
      </c>
      <c r="B401">
        <v>6072</v>
      </c>
      <c r="C401" t="s">
        <v>192</v>
      </c>
      <c r="D401">
        <v>112</v>
      </c>
      <c r="E401">
        <v>0</v>
      </c>
      <c r="F401">
        <v>0</v>
      </c>
      <c r="G401" t="s">
        <v>138</v>
      </c>
      <c r="H401" t="s">
        <v>138</v>
      </c>
      <c r="I401" s="893">
        <v>44208</v>
      </c>
      <c r="J401">
        <v>8</v>
      </c>
      <c r="K401" t="s">
        <v>192</v>
      </c>
      <c r="L401">
        <v>6072</v>
      </c>
      <c r="M401" t="s">
        <v>138</v>
      </c>
      <c r="N401">
        <v>0</v>
      </c>
      <c r="O401" t="s">
        <v>138</v>
      </c>
      <c r="P401" t="s">
        <v>138</v>
      </c>
      <c r="Q401" t="s">
        <v>138</v>
      </c>
      <c r="R401" t="s">
        <v>138</v>
      </c>
      <c r="S401" t="s">
        <v>138</v>
      </c>
      <c r="T401" t="s">
        <v>138</v>
      </c>
      <c r="U401" t="s">
        <v>138</v>
      </c>
      <c r="V401" t="s">
        <v>138</v>
      </c>
      <c r="W401" t="s">
        <v>138</v>
      </c>
      <c r="X401" t="s">
        <v>138</v>
      </c>
      <c r="Y401" t="s">
        <v>138</v>
      </c>
      <c r="Z401" t="s">
        <v>138</v>
      </c>
      <c r="AA401" t="s">
        <v>138</v>
      </c>
      <c r="AB401" t="s">
        <v>138</v>
      </c>
      <c r="AC401" t="s">
        <v>138</v>
      </c>
      <c r="AD401" t="s">
        <v>138</v>
      </c>
      <c r="AE401" t="s">
        <v>138</v>
      </c>
      <c r="AF401" t="s">
        <v>138</v>
      </c>
      <c r="AG401" s="893">
        <v>44208</v>
      </c>
      <c r="AH401" s="888">
        <f t="shared" si="7"/>
        <v>44197</v>
      </c>
    </row>
    <row r="402" spans="1:34">
      <c r="A402">
        <v>1</v>
      </c>
      <c r="B402">
        <v>6585</v>
      </c>
      <c r="C402" t="s">
        <v>193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893">
        <v>44043</v>
      </c>
      <c r="J402">
        <v>1</v>
      </c>
      <c r="K402" t="s">
        <v>193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893">
        <v>44043</v>
      </c>
      <c r="AH402" s="888">
        <f t="shared" si="7"/>
        <v>44013</v>
      </c>
    </row>
    <row r="403" spans="1:34">
      <c r="A403">
        <v>2</v>
      </c>
      <c r="B403">
        <v>6585</v>
      </c>
      <c r="C403" t="s">
        <v>193</v>
      </c>
      <c r="D403">
        <v>150</v>
      </c>
      <c r="E403">
        <v>633577.72911032999</v>
      </c>
      <c r="F403">
        <v>0</v>
      </c>
      <c r="G403" t="s">
        <v>138</v>
      </c>
      <c r="H403" t="s">
        <v>138</v>
      </c>
      <c r="I403" s="893">
        <v>44055</v>
      </c>
      <c r="J403">
        <v>2</v>
      </c>
      <c r="K403" t="s">
        <v>193</v>
      </c>
      <c r="L403">
        <v>6585</v>
      </c>
      <c r="M403">
        <v>0.76843777545717895</v>
      </c>
      <c r="N403" t="s">
        <v>138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138</v>
      </c>
      <c r="Z403" t="s">
        <v>138</v>
      </c>
      <c r="AA403" t="s">
        <v>138</v>
      </c>
      <c r="AB403" t="s">
        <v>138</v>
      </c>
      <c r="AC403" t="s">
        <v>138</v>
      </c>
      <c r="AD403" t="s">
        <v>138</v>
      </c>
      <c r="AE403" t="s">
        <v>138</v>
      </c>
      <c r="AF403" t="s">
        <v>138</v>
      </c>
      <c r="AG403" s="893">
        <v>44055</v>
      </c>
      <c r="AH403" s="888">
        <f t="shared" si="7"/>
        <v>44044</v>
      </c>
    </row>
    <row r="404" spans="1:34">
      <c r="A404">
        <v>3</v>
      </c>
      <c r="B404">
        <v>6585</v>
      </c>
      <c r="C404" t="s">
        <v>193</v>
      </c>
      <c r="D404">
        <v>150</v>
      </c>
      <c r="E404">
        <v>0</v>
      </c>
      <c r="F404">
        <v>0</v>
      </c>
      <c r="G404" t="s">
        <v>138</v>
      </c>
      <c r="H404" t="s">
        <v>138</v>
      </c>
      <c r="I404" s="893">
        <v>44088</v>
      </c>
      <c r="J404">
        <v>3</v>
      </c>
      <c r="K404" t="s">
        <v>193</v>
      </c>
      <c r="L404">
        <v>6585</v>
      </c>
      <c r="M404">
        <v>0</v>
      </c>
      <c r="N404" t="s">
        <v>138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138</v>
      </c>
      <c r="Z404" t="s">
        <v>138</v>
      </c>
      <c r="AA404" t="s">
        <v>138</v>
      </c>
      <c r="AB404" t="s">
        <v>138</v>
      </c>
      <c r="AC404" t="s">
        <v>138</v>
      </c>
      <c r="AD404" t="s">
        <v>138</v>
      </c>
      <c r="AE404" t="s">
        <v>138</v>
      </c>
      <c r="AF404" t="s">
        <v>138</v>
      </c>
      <c r="AG404" s="893">
        <v>44088</v>
      </c>
      <c r="AH404" s="888">
        <f t="shared" si="7"/>
        <v>44075</v>
      </c>
    </row>
    <row r="405" spans="1:34">
      <c r="A405">
        <v>4</v>
      </c>
      <c r="B405">
        <v>6585</v>
      </c>
      <c r="C405" t="s">
        <v>193</v>
      </c>
      <c r="D405">
        <v>150</v>
      </c>
      <c r="E405">
        <v>0</v>
      </c>
      <c r="F405">
        <v>0</v>
      </c>
      <c r="G405" t="s">
        <v>138</v>
      </c>
      <c r="H405" t="s">
        <v>138</v>
      </c>
      <c r="I405" s="893">
        <v>44117</v>
      </c>
      <c r="J405">
        <v>4</v>
      </c>
      <c r="K405" t="s">
        <v>193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138</v>
      </c>
      <c r="Z405" t="s">
        <v>138</v>
      </c>
      <c r="AA405" t="s">
        <v>138</v>
      </c>
      <c r="AB405" t="s">
        <v>138</v>
      </c>
      <c r="AC405" t="s">
        <v>138</v>
      </c>
      <c r="AD405" t="s">
        <v>138</v>
      </c>
      <c r="AE405" t="s">
        <v>138</v>
      </c>
      <c r="AF405" t="s">
        <v>138</v>
      </c>
      <c r="AG405" s="893">
        <v>44117</v>
      </c>
      <c r="AH405" s="888">
        <f t="shared" si="7"/>
        <v>44105</v>
      </c>
    </row>
    <row r="406" spans="1:34">
      <c r="A406">
        <v>5</v>
      </c>
      <c r="B406">
        <v>6585</v>
      </c>
      <c r="C406" t="s">
        <v>193</v>
      </c>
      <c r="D406">
        <v>150</v>
      </c>
      <c r="E406">
        <v>0</v>
      </c>
      <c r="F406">
        <v>0</v>
      </c>
      <c r="G406" t="s">
        <v>138</v>
      </c>
      <c r="H406" t="s">
        <v>138</v>
      </c>
      <c r="I406" s="893">
        <v>44147</v>
      </c>
      <c r="J406">
        <v>5</v>
      </c>
      <c r="K406" t="s">
        <v>193</v>
      </c>
      <c r="L406">
        <v>6585</v>
      </c>
      <c r="M406" t="s">
        <v>138</v>
      </c>
      <c r="N406" t="s">
        <v>138</v>
      </c>
      <c r="O406" t="s">
        <v>138</v>
      </c>
      <c r="P406" t="s">
        <v>138</v>
      </c>
      <c r="Q406" t="s">
        <v>138</v>
      </c>
      <c r="R406" t="s">
        <v>138</v>
      </c>
      <c r="S406" t="s">
        <v>138</v>
      </c>
      <c r="T406" t="s">
        <v>138</v>
      </c>
      <c r="U406" t="s">
        <v>138</v>
      </c>
      <c r="V406" t="s">
        <v>138</v>
      </c>
      <c r="W406" t="s">
        <v>138</v>
      </c>
      <c r="X406" t="s">
        <v>138</v>
      </c>
      <c r="Y406" t="s">
        <v>138</v>
      </c>
      <c r="Z406" t="s">
        <v>138</v>
      </c>
      <c r="AA406" t="s">
        <v>138</v>
      </c>
      <c r="AB406" t="s">
        <v>138</v>
      </c>
      <c r="AC406" t="s">
        <v>138</v>
      </c>
      <c r="AD406" t="s">
        <v>138</v>
      </c>
      <c r="AE406" t="s">
        <v>138</v>
      </c>
      <c r="AF406" t="s">
        <v>138</v>
      </c>
      <c r="AG406" s="893">
        <v>44147</v>
      </c>
      <c r="AH406" s="888">
        <f t="shared" si="7"/>
        <v>44136</v>
      </c>
    </row>
    <row r="407" spans="1:34">
      <c r="A407">
        <v>6</v>
      </c>
      <c r="B407">
        <v>6585</v>
      </c>
      <c r="C407" t="s">
        <v>193</v>
      </c>
      <c r="D407">
        <v>150</v>
      </c>
      <c r="E407">
        <v>0</v>
      </c>
      <c r="F407">
        <v>0</v>
      </c>
      <c r="G407" t="s">
        <v>138</v>
      </c>
      <c r="H407" t="s">
        <v>138</v>
      </c>
      <c r="I407" s="893">
        <v>44179</v>
      </c>
      <c r="J407">
        <v>6</v>
      </c>
      <c r="K407" t="s">
        <v>193</v>
      </c>
      <c r="L407">
        <v>6585</v>
      </c>
      <c r="M407" t="s">
        <v>138</v>
      </c>
      <c r="N407" t="s">
        <v>138</v>
      </c>
      <c r="O407" t="s">
        <v>138</v>
      </c>
      <c r="P407" t="s">
        <v>138</v>
      </c>
      <c r="Q407" t="s">
        <v>138</v>
      </c>
      <c r="R407" t="s">
        <v>138</v>
      </c>
      <c r="S407" t="s">
        <v>138</v>
      </c>
      <c r="T407" t="s">
        <v>138</v>
      </c>
      <c r="U407" t="s">
        <v>138</v>
      </c>
      <c r="V407" t="s">
        <v>138</v>
      </c>
      <c r="W407" t="s">
        <v>138</v>
      </c>
      <c r="X407" t="s">
        <v>138</v>
      </c>
      <c r="Y407" t="s">
        <v>138</v>
      </c>
      <c r="Z407" t="s">
        <v>138</v>
      </c>
      <c r="AA407" t="s">
        <v>138</v>
      </c>
      <c r="AB407" t="s">
        <v>138</v>
      </c>
      <c r="AC407" t="s">
        <v>138</v>
      </c>
      <c r="AD407" t="s">
        <v>138</v>
      </c>
      <c r="AE407" t="s">
        <v>138</v>
      </c>
      <c r="AF407" t="s">
        <v>138</v>
      </c>
      <c r="AG407" s="893">
        <v>44179</v>
      </c>
      <c r="AH407" s="888">
        <f t="shared" si="7"/>
        <v>44166</v>
      </c>
    </row>
    <row r="408" spans="1:34">
      <c r="A408">
        <v>7</v>
      </c>
      <c r="B408">
        <v>6585</v>
      </c>
      <c r="C408" t="s">
        <v>193</v>
      </c>
      <c r="D408">
        <v>150</v>
      </c>
      <c r="E408">
        <v>0</v>
      </c>
      <c r="F408">
        <v>0</v>
      </c>
      <c r="G408" t="s">
        <v>138</v>
      </c>
      <c r="H408" t="s">
        <v>138</v>
      </c>
      <c r="I408" s="893">
        <v>44193</v>
      </c>
      <c r="J408">
        <v>7</v>
      </c>
      <c r="K408" t="s">
        <v>193</v>
      </c>
      <c r="L408">
        <v>6585</v>
      </c>
      <c r="M408" t="s">
        <v>138</v>
      </c>
      <c r="N408" t="s">
        <v>138</v>
      </c>
      <c r="O408" t="s">
        <v>138</v>
      </c>
      <c r="P408" t="s">
        <v>138</v>
      </c>
      <c r="Q408" t="s">
        <v>138</v>
      </c>
      <c r="R408" t="s">
        <v>138</v>
      </c>
      <c r="S408" t="s">
        <v>138</v>
      </c>
      <c r="T408" t="s">
        <v>138</v>
      </c>
      <c r="U408" t="s">
        <v>138</v>
      </c>
      <c r="V408" t="s">
        <v>138</v>
      </c>
      <c r="W408" t="s">
        <v>138</v>
      </c>
      <c r="X408" t="s">
        <v>138</v>
      </c>
      <c r="Y408" t="s">
        <v>138</v>
      </c>
      <c r="Z408" t="s">
        <v>138</v>
      </c>
      <c r="AA408" t="s">
        <v>138</v>
      </c>
      <c r="AB408" t="s">
        <v>138</v>
      </c>
      <c r="AC408" t="s">
        <v>138</v>
      </c>
      <c r="AD408" t="s">
        <v>138</v>
      </c>
      <c r="AE408" t="s">
        <v>138</v>
      </c>
      <c r="AF408" t="s">
        <v>138</v>
      </c>
      <c r="AG408" s="893">
        <v>44193</v>
      </c>
      <c r="AH408" s="888">
        <f t="shared" si="7"/>
        <v>44166</v>
      </c>
    </row>
    <row r="409" spans="1:34">
      <c r="A409">
        <v>8</v>
      </c>
      <c r="B409">
        <v>6585</v>
      </c>
      <c r="C409" t="s">
        <v>193</v>
      </c>
      <c r="D409">
        <v>150</v>
      </c>
      <c r="E409">
        <v>0</v>
      </c>
      <c r="F409">
        <v>0</v>
      </c>
      <c r="G409" t="s">
        <v>138</v>
      </c>
      <c r="H409" t="s">
        <v>138</v>
      </c>
      <c r="I409" s="893">
        <v>44208</v>
      </c>
      <c r="J409">
        <v>8</v>
      </c>
      <c r="K409" t="s">
        <v>193</v>
      </c>
      <c r="L409">
        <v>6585</v>
      </c>
      <c r="M409" t="s">
        <v>138</v>
      </c>
      <c r="N409" t="s">
        <v>138</v>
      </c>
      <c r="O409" t="s">
        <v>138</v>
      </c>
      <c r="P409" t="s">
        <v>138</v>
      </c>
      <c r="Q409" t="s">
        <v>138</v>
      </c>
      <c r="R409" t="s">
        <v>138</v>
      </c>
      <c r="S409" t="s">
        <v>138</v>
      </c>
      <c r="T409" t="s">
        <v>138</v>
      </c>
      <c r="U409" t="s">
        <v>138</v>
      </c>
      <c r="V409" t="s">
        <v>138</v>
      </c>
      <c r="W409" t="s">
        <v>138</v>
      </c>
      <c r="X409" t="s">
        <v>138</v>
      </c>
      <c r="Y409" t="s">
        <v>138</v>
      </c>
      <c r="Z409" t="s">
        <v>138</v>
      </c>
      <c r="AA409" t="s">
        <v>138</v>
      </c>
      <c r="AB409" t="s">
        <v>138</v>
      </c>
      <c r="AC409" t="s">
        <v>138</v>
      </c>
      <c r="AD409" t="s">
        <v>138</v>
      </c>
      <c r="AE409" t="s">
        <v>138</v>
      </c>
      <c r="AF409" t="s">
        <v>138</v>
      </c>
      <c r="AG409" s="893">
        <v>44208</v>
      </c>
      <c r="AH409" s="888">
        <f t="shared" si="7"/>
        <v>44197</v>
      </c>
    </row>
    <row r="410" spans="1:34">
      <c r="A410">
        <v>1</v>
      </c>
      <c r="B410">
        <v>6587</v>
      </c>
      <c r="C410" t="s">
        <v>194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893">
        <v>44043</v>
      </c>
      <c r="J410">
        <v>1</v>
      </c>
      <c r="K410" t="s">
        <v>194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893">
        <v>44043</v>
      </c>
      <c r="AH410" s="888">
        <f t="shared" si="7"/>
        <v>44013</v>
      </c>
    </row>
    <row r="411" spans="1:34">
      <c r="A411">
        <v>2</v>
      </c>
      <c r="B411">
        <v>6587</v>
      </c>
      <c r="C411" t="s">
        <v>194</v>
      </c>
      <c r="D411">
        <v>155</v>
      </c>
      <c r="E411">
        <v>0</v>
      </c>
      <c r="F411">
        <v>0</v>
      </c>
      <c r="G411" t="s">
        <v>138</v>
      </c>
      <c r="H411" t="s">
        <v>138</v>
      </c>
      <c r="I411" s="893">
        <v>44055</v>
      </c>
      <c r="J411">
        <v>2</v>
      </c>
      <c r="K411" t="s">
        <v>194</v>
      </c>
      <c r="L411">
        <v>6587</v>
      </c>
      <c r="M411">
        <v>0</v>
      </c>
      <c r="N411" t="s">
        <v>138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138</v>
      </c>
      <c r="Z411" t="s">
        <v>138</v>
      </c>
      <c r="AA411" t="s">
        <v>138</v>
      </c>
      <c r="AB411" t="s">
        <v>138</v>
      </c>
      <c r="AC411" t="s">
        <v>138</v>
      </c>
      <c r="AD411" t="s">
        <v>138</v>
      </c>
      <c r="AE411" t="s">
        <v>138</v>
      </c>
      <c r="AF411" t="s">
        <v>138</v>
      </c>
      <c r="AG411" s="893">
        <v>44055</v>
      </c>
      <c r="AH411" s="888">
        <f t="shared" si="7"/>
        <v>44044</v>
      </c>
    </row>
    <row r="412" spans="1:34">
      <c r="A412">
        <v>3</v>
      </c>
      <c r="B412">
        <v>6587</v>
      </c>
      <c r="C412" t="s">
        <v>194</v>
      </c>
      <c r="D412">
        <v>155</v>
      </c>
      <c r="E412">
        <v>0</v>
      </c>
      <c r="F412">
        <v>0</v>
      </c>
      <c r="G412" t="s">
        <v>138</v>
      </c>
      <c r="H412" t="s">
        <v>138</v>
      </c>
      <c r="I412" s="893">
        <v>44088</v>
      </c>
      <c r="J412">
        <v>3</v>
      </c>
      <c r="K412" t="s">
        <v>194</v>
      </c>
      <c r="L412">
        <v>6587</v>
      </c>
      <c r="M412">
        <v>0</v>
      </c>
      <c r="N412" t="s">
        <v>138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138</v>
      </c>
      <c r="Z412" t="s">
        <v>138</v>
      </c>
      <c r="AA412" t="s">
        <v>138</v>
      </c>
      <c r="AB412" t="s">
        <v>138</v>
      </c>
      <c r="AC412" t="s">
        <v>138</v>
      </c>
      <c r="AD412" t="s">
        <v>138</v>
      </c>
      <c r="AE412" t="s">
        <v>138</v>
      </c>
      <c r="AF412" t="s">
        <v>138</v>
      </c>
      <c r="AG412" s="893">
        <v>44088</v>
      </c>
      <c r="AH412" s="888">
        <f t="shared" si="7"/>
        <v>44075</v>
      </c>
    </row>
    <row r="413" spans="1:34">
      <c r="A413">
        <v>4</v>
      </c>
      <c r="B413">
        <v>6587</v>
      </c>
      <c r="C413" t="s">
        <v>194</v>
      </c>
      <c r="D413">
        <v>155</v>
      </c>
      <c r="E413">
        <v>0</v>
      </c>
      <c r="F413">
        <v>0</v>
      </c>
      <c r="G413" t="s">
        <v>138</v>
      </c>
      <c r="H413" t="s">
        <v>138</v>
      </c>
      <c r="I413" s="893">
        <v>44117</v>
      </c>
      <c r="J413">
        <v>4</v>
      </c>
      <c r="K413" t="s">
        <v>194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138</v>
      </c>
      <c r="Z413" t="s">
        <v>138</v>
      </c>
      <c r="AA413" t="s">
        <v>138</v>
      </c>
      <c r="AB413" t="s">
        <v>138</v>
      </c>
      <c r="AC413" t="s">
        <v>138</v>
      </c>
      <c r="AD413" t="s">
        <v>138</v>
      </c>
      <c r="AE413" t="s">
        <v>138</v>
      </c>
      <c r="AF413" t="s">
        <v>138</v>
      </c>
      <c r="AG413" s="893">
        <v>44117</v>
      </c>
      <c r="AH413" s="888">
        <f t="shared" si="7"/>
        <v>44105</v>
      </c>
    </row>
    <row r="414" spans="1:34">
      <c r="A414">
        <v>5</v>
      </c>
      <c r="B414">
        <v>6587</v>
      </c>
      <c r="C414" t="s">
        <v>194</v>
      </c>
      <c r="D414">
        <v>155</v>
      </c>
      <c r="E414">
        <v>0</v>
      </c>
      <c r="F414">
        <v>0</v>
      </c>
      <c r="G414" t="s">
        <v>138</v>
      </c>
      <c r="H414" t="s">
        <v>138</v>
      </c>
      <c r="I414" s="893">
        <v>44147</v>
      </c>
      <c r="J414">
        <v>5</v>
      </c>
      <c r="K414" t="s">
        <v>194</v>
      </c>
      <c r="L414">
        <v>6587</v>
      </c>
      <c r="M414" t="s">
        <v>138</v>
      </c>
      <c r="N414" t="s">
        <v>138</v>
      </c>
      <c r="O414" t="s">
        <v>138</v>
      </c>
      <c r="P414" t="s">
        <v>138</v>
      </c>
      <c r="Q414" t="s">
        <v>138</v>
      </c>
      <c r="R414" t="s">
        <v>138</v>
      </c>
      <c r="S414" t="s">
        <v>138</v>
      </c>
      <c r="T414" t="s">
        <v>138</v>
      </c>
      <c r="U414" t="s">
        <v>138</v>
      </c>
      <c r="V414" t="s">
        <v>138</v>
      </c>
      <c r="W414" t="s">
        <v>138</v>
      </c>
      <c r="X414" t="s">
        <v>138</v>
      </c>
      <c r="Y414" t="s">
        <v>138</v>
      </c>
      <c r="Z414" t="s">
        <v>138</v>
      </c>
      <c r="AA414" t="s">
        <v>138</v>
      </c>
      <c r="AB414" t="s">
        <v>138</v>
      </c>
      <c r="AC414" t="s">
        <v>138</v>
      </c>
      <c r="AD414" t="s">
        <v>138</v>
      </c>
      <c r="AE414" t="s">
        <v>138</v>
      </c>
      <c r="AF414" t="s">
        <v>138</v>
      </c>
      <c r="AG414" s="893">
        <v>44147</v>
      </c>
      <c r="AH414" s="888">
        <f t="shared" si="7"/>
        <v>44136</v>
      </c>
    </row>
    <row r="415" spans="1:34">
      <c r="A415">
        <v>6</v>
      </c>
      <c r="B415">
        <v>6587</v>
      </c>
      <c r="C415" t="s">
        <v>194</v>
      </c>
      <c r="D415">
        <v>155</v>
      </c>
      <c r="E415">
        <v>0</v>
      </c>
      <c r="F415">
        <v>0</v>
      </c>
      <c r="G415" t="s">
        <v>138</v>
      </c>
      <c r="H415" t="s">
        <v>138</v>
      </c>
      <c r="I415" s="893">
        <v>44179</v>
      </c>
      <c r="J415">
        <v>6</v>
      </c>
      <c r="K415" t="s">
        <v>194</v>
      </c>
      <c r="L415">
        <v>6587</v>
      </c>
      <c r="M415" t="s">
        <v>138</v>
      </c>
      <c r="N415" t="s">
        <v>138</v>
      </c>
      <c r="O415" t="s">
        <v>138</v>
      </c>
      <c r="P415" t="s">
        <v>138</v>
      </c>
      <c r="Q415" t="s">
        <v>138</v>
      </c>
      <c r="R415" t="s">
        <v>138</v>
      </c>
      <c r="S415" t="s">
        <v>138</v>
      </c>
      <c r="T415" t="s">
        <v>138</v>
      </c>
      <c r="U415" t="s">
        <v>138</v>
      </c>
      <c r="V415" t="s">
        <v>138</v>
      </c>
      <c r="W415" t="s">
        <v>138</v>
      </c>
      <c r="X415" t="s">
        <v>138</v>
      </c>
      <c r="Y415" t="s">
        <v>138</v>
      </c>
      <c r="Z415" t="s">
        <v>138</v>
      </c>
      <c r="AA415" t="s">
        <v>138</v>
      </c>
      <c r="AB415" t="s">
        <v>138</v>
      </c>
      <c r="AC415" t="s">
        <v>138</v>
      </c>
      <c r="AD415" t="s">
        <v>138</v>
      </c>
      <c r="AE415" t="s">
        <v>138</v>
      </c>
      <c r="AF415" t="s">
        <v>138</v>
      </c>
      <c r="AG415" s="893">
        <v>44179</v>
      </c>
      <c r="AH415" s="888">
        <f t="shared" si="7"/>
        <v>44166</v>
      </c>
    </row>
    <row r="416" spans="1:34">
      <c r="A416">
        <v>7</v>
      </c>
      <c r="B416">
        <v>6587</v>
      </c>
      <c r="C416" t="s">
        <v>194</v>
      </c>
      <c r="D416">
        <v>155</v>
      </c>
      <c r="E416">
        <v>0</v>
      </c>
      <c r="F416">
        <v>0</v>
      </c>
      <c r="G416" t="s">
        <v>138</v>
      </c>
      <c r="H416" t="s">
        <v>138</v>
      </c>
      <c r="I416" s="893">
        <v>44193</v>
      </c>
      <c r="J416">
        <v>7</v>
      </c>
      <c r="K416" t="s">
        <v>194</v>
      </c>
      <c r="L416">
        <v>6587</v>
      </c>
      <c r="M416" t="s">
        <v>138</v>
      </c>
      <c r="N416" t="s">
        <v>138</v>
      </c>
      <c r="O416" t="s">
        <v>138</v>
      </c>
      <c r="P416" t="s">
        <v>138</v>
      </c>
      <c r="Q416" t="s">
        <v>138</v>
      </c>
      <c r="R416" t="s">
        <v>138</v>
      </c>
      <c r="S416" t="s">
        <v>138</v>
      </c>
      <c r="T416" t="s">
        <v>138</v>
      </c>
      <c r="U416" t="s">
        <v>138</v>
      </c>
      <c r="V416" t="s">
        <v>138</v>
      </c>
      <c r="W416" t="s">
        <v>138</v>
      </c>
      <c r="X416" t="s">
        <v>138</v>
      </c>
      <c r="Y416" t="s">
        <v>138</v>
      </c>
      <c r="Z416" t="s">
        <v>138</v>
      </c>
      <c r="AA416" t="s">
        <v>138</v>
      </c>
      <c r="AB416" t="s">
        <v>138</v>
      </c>
      <c r="AC416" t="s">
        <v>138</v>
      </c>
      <c r="AD416" t="s">
        <v>138</v>
      </c>
      <c r="AE416" t="s">
        <v>138</v>
      </c>
      <c r="AF416" t="s">
        <v>138</v>
      </c>
      <c r="AG416" s="893">
        <v>44193</v>
      </c>
      <c r="AH416" s="888">
        <f t="shared" si="7"/>
        <v>44166</v>
      </c>
    </row>
    <row r="417" spans="1:34">
      <c r="A417">
        <v>8</v>
      </c>
      <c r="B417">
        <v>6587</v>
      </c>
      <c r="C417" t="s">
        <v>194</v>
      </c>
      <c r="D417">
        <v>155</v>
      </c>
      <c r="E417">
        <v>0</v>
      </c>
      <c r="F417">
        <v>0</v>
      </c>
      <c r="G417" t="s">
        <v>138</v>
      </c>
      <c r="H417" t="s">
        <v>138</v>
      </c>
      <c r="I417" s="893">
        <v>44208</v>
      </c>
      <c r="J417">
        <v>8</v>
      </c>
      <c r="K417" t="s">
        <v>194</v>
      </c>
      <c r="L417">
        <v>6587</v>
      </c>
      <c r="M417" t="s">
        <v>138</v>
      </c>
      <c r="N417" t="s">
        <v>138</v>
      </c>
      <c r="O417" t="s">
        <v>138</v>
      </c>
      <c r="P417" t="s">
        <v>138</v>
      </c>
      <c r="Q417" t="s">
        <v>138</v>
      </c>
      <c r="R417" t="s">
        <v>138</v>
      </c>
      <c r="S417" t="s">
        <v>138</v>
      </c>
      <c r="T417" t="s">
        <v>138</v>
      </c>
      <c r="U417" t="s">
        <v>138</v>
      </c>
      <c r="V417" t="s">
        <v>138</v>
      </c>
      <c r="W417" t="s">
        <v>138</v>
      </c>
      <c r="X417" t="s">
        <v>138</v>
      </c>
      <c r="Y417" t="s">
        <v>138</v>
      </c>
      <c r="Z417" t="s">
        <v>138</v>
      </c>
      <c r="AA417" t="s">
        <v>138</v>
      </c>
      <c r="AB417" t="s">
        <v>138</v>
      </c>
      <c r="AC417" t="s">
        <v>138</v>
      </c>
      <c r="AD417" t="s">
        <v>138</v>
      </c>
      <c r="AE417" t="s">
        <v>138</v>
      </c>
      <c r="AF417" t="s">
        <v>138</v>
      </c>
      <c r="AG417" s="893">
        <v>44208</v>
      </c>
      <c r="AH417" s="888">
        <f t="shared" si="7"/>
        <v>44197</v>
      </c>
    </row>
    <row r="418" spans="1:34">
      <c r="A418">
        <v>1</v>
      </c>
      <c r="B418">
        <v>6600</v>
      </c>
      <c r="C418" t="s">
        <v>195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893">
        <v>44043</v>
      </c>
      <c r="J418">
        <v>1</v>
      </c>
      <c r="K418" t="s">
        <v>195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893">
        <v>44043</v>
      </c>
      <c r="AH418" s="888">
        <f t="shared" si="7"/>
        <v>44013</v>
      </c>
    </row>
    <row r="419" spans="1:34">
      <c r="A419">
        <v>2</v>
      </c>
      <c r="B419">
        <v>6600</v>
      </c>
      <c r="C419" t="s">
        <v>195</v>
      </c>
      <c r="D419">
        <v>153</v>
      </c>
      <c r="E419">
        <v>11637221.380000001</v>
      </c>
      <c r="F419">
        <v>0</v>
      </c>
      <c r="G419" t="s">
        <v>138</v>
      </c>
      <c r="H419" t="s">
        <v>138</v>
      </c>
      <c r="I419" s="893">
        <v>44055</v>
      </c>
      <c r="J419">
        <v>2</v>
      </c>
      <c r="K419" t="s">
        <v>195</v>
      </c>
      <c r="L419">
        <v>6600</v>
      </c>
      <c r="M419">
        <v>0.79651487938021703</v>
      </c>
      <c r="N419" t="s">
        <v>138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138</v>
      </c>
      <c r="Z419" t="s">
        <v>138</v>
      </c>
      <c r="AA419" t="s">
        <v>138</v>
      </c>
      <c r="AB419" t="s">
        <v>138</v>
      </c>
      <c r="AC419" t="s">
        <v>138</v>
      </c>
      <c r="AD419" t="s">
        <v>138</v>
      </c>
      <c r="AE419" t="s">
        <v>138</v>
      </c>
      <c r="AF419" t="s">
        <v>138</v>
      </c>
      <c r="AG419" s="893">
        <v>44055</v>
      </c>
      <c r="AH419" s="888">
        <f t="shared" si="7"/>
        <v>44044</v>
      </c>
    </row>
    <row r="420" spans="1:34">
      <c r="A420">
        <v>3</v>
      </c>
      <c r="B420">
        <v>6600</v>
      </c>
      <c r="C420" t="s">
        <v>195</v>
      </c>
      <c r="D420">
        <v>153</v>
      </c>
      <c r="E420">
        <v>8347681.4105861103</v>
      </c>
      <c r="F420">
        <v>0</v>
      </c>
      <c r="G420" t="s">
        <v>138</v>
      </c>
      <c r="H420" t="s">
        <v>138</v>
      </c>
      <c r="I420" s="893">
        <v>44088</v>
      </c>
      <c r="J420">
        <v>3</v>
      </c>
      <c r="K420" t="s">
        <v>195</v>
      </c>
      <c r="L420">
        <v>6600</v>
      </c>
      <c r="M420">
        <v>0.93567372357471101</v>
      </c>
      <c r="N420" t="s">
        <v>138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138</v>
      </c>
      <c r="Z420" t="s">
        <v>138</v>
      </c>
      <c r="AA420" t="s">
        <v>138</v>
      </c>
      <c r="AB420" t="s">
        <v>138</v>
      </c>
      <c r="AC420" t="s">
        <v>138</v>
      </c>
      <c r="AD420" t="s">
        <v>138</v>
      </c>
      <c r="AE420" t="s">
        <v>138</v>
      </c>
      <c r="AF420" t="s">
        <v>138</v>
      </c>
      <c r="AG420" s="893">
        <v>44088</v>
      </c>
      <c r="AH420" s="888">
        <f t="shared" si="7"/>
        <v>44075</v>
      </c>
    </row>
    <row r="421" spans="1:34">
      <c r="A421">
        <v>4</v>
      </c>
      <c r="B421">
        <v>6600</v>
      </c>
      <c r="C421" t="s">
        <v>195</v>
      </c>
      <c r="D421">
        <v>153</v>
      </c>
      <c r="E421">
        <v>5010647.6404968901</v>
      </c>
      <c r="F421">
        <v>0</v>
      </c>
      <c r="G421" t="s">
        <v>138</v>
      </c>
      <c r="H421" t="s">
        <v>138</v>
      </c>
      <c r="I421" s="893">
        <v>44117</v>
      </c>
      <c r="J421">
        <v>4</v>
      </c>
      <c r="K421" t="s">
        <v>195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138</v>
      </c>
      <c r="Z421" t="s">
        <v>138</v>
      </c>
      <c r="AA421" t="s">
        <v>138</v>
      </c>
      <c r="AB421" t="s">
        <v>138</v>
      </c>
      <c r="AC421" t="s">
        <v>138</v>
      </c>
      <c r="AD421" t="s">
        <v>138</v>
      </c>
      <c r="AE421" t="s">
        <v>138</v>
      </c>
      <c r="AF421" t="s">
        <v>138</v>
      </c>
      <c r="AG421" s="893">
        <v>44117</v>
      </c>
      <c r="AH421" s="888">
        <f t="shared" si="7"/>
        <v>44105</v>
      </c>
    </row>
    <row r="422" spans="1:34">
      <c r="A422">
        <v>5</v>
      </c>
      <c r="B422">
        <v>6600</v>
      </c>
      <c r="C422" t="s">
        <v>195</v>
      </c>
      <c r="D422">
        <v>153</v>
      </c>
      <c r="E422">
        <v>0</v>
      </c>
      <c r="F422">
        <v>0</v>
      </c>
      <c r="G422" t="s">
        <v>138</v>
      </c>
      <c r="H422" t="s">
        <v>138</v>
      </c>
      <c r="I422" s="893">
        <v>44147</v>
      </c>
      <c r="J422">
        <v>5</v>
      </c>
      <c r="K422" t="s">
        <v>195</v>
      </c>
      <c r="L422">
        <v>6600</v>
      </c>
      <c r="M422" t="s">
        <v>138</v>
      </c>
      <c r="N422" t="s">
        <v>138</v>
      </c>
      <c r="O422" t="s">
        <v>138</v>
      </c>
      <c r="P422" t="s">
        <v>138</v>
      </c>
      <c r="Q422" t="s">
        <v>138</v>
      </c>
      <c r="R422" t="s">
        <v>138</v>
      </c>
      <c r="S422" t="s">
        <v>138</v>
      </c>
      <c r="T422" t="s">
        <v>138</v>
      </c>
      <c r="U422" t="s">
        <v>138</v>
      </c>
      <c r="V422" t="s">
        <v>138</v>
      </c>
      <c r="W422" t="s">
        <v>138</v>
      </c>
      <c r="X422" t="s">
        <v>138</v>
      </c>
      <c r="Y422" t="s">
        <v>138</v>
      </c>
      <c r="Z422" t="s">
        <v>138</v>
      </c>
      <c r="AA422" t="s">
        <v>138</v>
      </c>
      <c r="AB422" t="s">
        <v>138</v>
      </c>
      <c r="AC422" t="s">
        <v>138</v>
      </c>
      <c r="AD422" t="s">
        <v>138</v>
      </c>
      <c r="AE422" t="s">
        <v>138</v>
      </c>
      <c r="AF422" t="s">
        <v>138</v>
      </c>
      <c r="AG422" s="893">
        <v>44147</v>
      </c>
      <c r="AH422" s="888">
        <f t="shared" si="7"/>
        <v>44136</v>
      </c>
    </row>
    <row r="423" spans="1:34">
      <c r="A423">
        <v>6</v>
      </c>
      <c r="B423">
        <v>6600</v>
      </c>
      <c r="C423" t="s">
        <v>195</v>
      </c>
      <c r="D423">
        <v>153</v>
      </c>
      <c r="E423">
        <v>0</v>
      </c>
      <c r="F423">
        <v>0</v>
      </c>
      <c r="G423" t="s">
        <v>138</v>
      </c>
      <c r="H423" t="s">
        <v>138</v>
      </c>
      <c r="I423" s="893">
        <v>44179</v>
      </c>
      <c r="J423">
        <v>6</v>
      </c>
      <c r="K423" t="s">
        <v>195</v>
      </c>
      <c r="L423">
        <v>6600</v>
      </c>
      <c r="M423" t="s">
        <v>138</v>
      </c>
      <c r="N423" t="s">
        <v>138</v>
      </c>
      <c r="O423" t="s">
        <v>138</v>
      </c>
      <c r="P423" t="s">
        <v>138</v>
      </c>
      <c r="Q423" t="s">
        <v>138</v>
      </c>
      <c r="R423" t="s">
        <v>138</v>
      </c>
      <c r="S423" t="s">
        <v>138</v>
      </c>
      <c r="T423" t="s">
        <v>138</v>
      </c>
      <c r="U423" t="s">
        <v>138</v>
      </c>
      <c r="V423" t="s">
        <v>138</v>
      </c>
      <c r="W423" t="s">
        <v>138</v>
      </c>
      <c r="X423" t="s">
        <v>138</v>
      </c>
      <c r="Y423" t="s">
        <v>138</v>
      </c>
      <c r="Z423" t="s">
        <v>138</v>
      </c>
      <c r="AA423" t="s">
        <v>138</v>
      </c>
      <c r="AB423" t="s">
        <v>138</v>
      </c>
      <c r="AC423" t="s">
        <v>138</v>
      </c>
      <c r="AD423" t="s">
        <v>138</v>
      </c>
      <c r="AE423" t="s">
        <v>138</v>
      </c>
      <c r="AF423" t="s">
        <v>138</v>
      </c>
      <c r="AG423" s="893">
        <v>44179</v>
      </c>
      <c r="AH423" s="888">
        <f t="shared" si="7"/>
        <v>44166</v>
      </c>
    </row>
    <row r="424" spans="1:34">
      <c r="A424">
        <v>7</v>
      </c>
      <c r="B424">
        <v>6600</v>
      </c>
      <c r="C424" t="s">
        <v>195</v>
      </c>
      <c r="D424">
        <v>153</v>
      </c>
      <c r="E424">
        <v>0</v>
      </c>
      <c r="F424">
        <v>0</v>
      </c>
      <c r="G424" t="s">
        <v>138</v>
      </c>
      <c r="H424" t="s">
        <v>138</v>
      </c>
      <c r="I424" s="893">
        <v>44193</v>
      </c>
      <c r="J424">
        <v>7</v>
      </c>
      <c r="K424" t="s">
        <v>195</v>
      </c>
      <c r="L424">
        <v>6600</v>
      </c>
      <c r="M424" t="s">
        <v>138</v>
      </c>
      <c r="N424" t="s">
        <v>138</v>
      </c>
      <c r="O424" t="s">
        <v>138</v>
      </c>
      <c r="P424" t="s">
        <v>138</v>
      </c>
      <c r="Q424" t="s">
        <v>138</v>
      </c>
      <c r="R424" t="s">
        <v>138</v>
      </c>
      <c r="S424" t="s">
        <v>138</v>
      </c>
      <c r="T424" t="s">
        <v>138</v>
      </c>
      <c r="U424" t="s">
        <v>138</v>
      </c>
      <c r="V424" t="s">
        <v>138</v>
      </c>
      <c r="W424" t="s">
        <v>138</v>
      </c>
      <c r="X424" t="s">
        <v>138</v>
      </c>
      <c r="Y424" t="s">
        <v>138</v>
      </c>
      <c r="Z424" t="s">
        <v>138</v>
      </c>
      <c r="AA424" t="s">
        <v>138</v>
      </c>
      <c r="AB424" t="s">
        <v>138</v>
      </c>
      <c r="AC424" t="s">
        <v>138</v>
      </c>
      <c r="AD424" t="s">
        <v>138</v>
      </c>
      <c r="AE424" t="s">
        <v>138</v>
      </c>
      <c r="AF424" t="s">
        <v>138</v>
      </c>
      <c r="AG424" s="893">
        <v>44193</v>
      </c>
      <c r="AH424" s="888">
        <f t="shared" si="7"/>
        <v>44166</v>
      </c>
    </row>
    <row r="425" spans="1:34">
      <c r="A425">
        <v>8</v>
      </c>
      <c r="B425">
        <v>6600</v>
      </c>
      <c r="C425" t="s">
        <v>195</v>
      </c>
      <c r="D425">
        <v>153</v>
      </c>
      <c r="E425">
        <v>0</v>
      </c>
      <c r="F425">
        <v>0</v>
      </c>
      <c r="G425" t="s">
        <v>138</v>
      </c>
      <c r="H425" t="s">
        <v>138</v>
      </c>
      <c r="I425" s="893">
        <v>44208</v>
      </c>
      <c r="J425">
        <v>8</v>
      </c>
      <c r="K425" t="s">
        <v>195</v>
      </c>
      <c r="L425">
        <v>6600</v>
      </c>
      <c r="M425" t="s">
        <v>138</v>
      </c>
      <c r="N425" t="s">
        <v>138</v>
      </c>
      <c r="O425" t="s">
        <v>138</v>
      </c>
      <c r="P425" t="s">
        <v>138</v>
      </c>
      <c r="Q425" t="s">
        <v>138</v>
      </c>
      <c r="R425" t="s">
        <v>138</v>
      </c>
      <c r="S425" t="s">
        <v>138</v>
      </c>
      <c r="T425" t="s">
        <v>138</v>
      </c>
      <c r="U425" t="s">
        <v>138</v>
      </c>
      <c r="V425" t="s">
        <v>138</v>
      </c>
      <c r="W425" t="s">
        <v>138</v>
      </c>
      <c r="X425" t="s">
        <v>138</v>
      </c>
      <c r="Y425" t="s">
        <v>138</v>
      </c>
      <c r="Z425" t="s">
        <v>138</v>
      </c>
      <c r="AA425" t="s">
        <v>138</v>
      </c>
      <c r="AB425" t="s">
        <v>138</v>
      </c>
      <c r="AC425" t="s">
        <v>138</v>
      </c>
      <c r="AD425" t="s">
        <v>138</v>
      </c>
      <c r="AE425" t="s">
        <v>138</v>
      </c>
      <c r="AF425" t="s">
        <v>138</v>
      </c>
      <c r="AG425" s="893">
        <v>44208</v>
      </c>
      <c r="AH425" s="888">
        <f t="shared" si="7"/>
        <v>44197</v>
      </c>
    </row>
    <row r="426" spans="1:34">
      <c r="A426">
        <v>1</v>
      </c>
      <c r="B426">
        <v>6603</v>
      </c>
      <c r="C426" t="s">
        <v>196</v>
      </c>
      <c r="D426">
        <v>256</v>
      </c>
      <c r="E426" s="234">
        <v>0</v>
      </c>
      <c r="F426" s="234">
        <v>200000</v>
      </c>
      <c r="G426" s="234">
        <f>F426*25%</f>
        <v>50000</v>
      </c>
      <c r="H426" s="234">
        <v>0</v>
      </c>
      <c r="I426" s="893">
        <v>44043</v>
      </c>
      <c r="J426" t="s">
        <v>138</v>
      </c>
      <c r="K426" t="s">
        <v>138</v>
      </c>
      <c r="L426" t="s">
        <v>138</v>
      </c>
      <c r="M426" t="s">
        <v>138</v>
      </c>
      <c r="N426" t="s">
        <v>138</v>
      </c>
      <c r="O426" t="s">
        <v>138</v>
      </c>
      <c r="P426" t="s">
        <v>138</v>
      </c>
      <c r="Q426" t="s">
        <v>138</v>
      </c>
      <c r="R426" t="s">
        <v>138</v>
      </c>
      <c r="S426" t="s">
        <v>138</v>
      </c>
      <c r="T426" t="s">
        <v>138</v>
      </c>
      <c r="U426" t="s">
        <v>138</v>
      </c>
      <c r="V426" t="s">
        <v>138</v>
      </c>
      <c r="W426" t="s">
        <v>138</v>
      </c>
      <c r="X426" t="s">
        <v>138</v>
      </c>
      <c r="Y426" t="s">
        <v>138</v>
      </c>
      <c r="Z426" t="s">
        <v>138</v>
      </c>
      <c r="AA426" t="s">
        <v>138</v>
      </c>
      <c r="AB426" t="s">
        <v>138</v>
      </c>
      <c r="AC426" t="s">
        <v>138</v>
      </c>
      <c r="AD426" t="s">
        <v>138</v>
      </c>
      <c r="AE426" t="s">
        <v>138</v>
      </c>
      <c r="AF426" t="s">
        <v>138</v>
      </c>
      <c r="AG426" t="s">
        <v>138</v>
      </c>
      <c r="AH426" s="888">
        <f t="shared" si="7"/>
        <v>44013</v>
      </c>
    </row>
    <row r="427" spans="1:34">
      <c r="A427">
        <v>2</v>
      </c>
      <c r="B427">
        <v>6603</v>
      </c>
      <c r="C427" t="s">
        <v>196</v>
      </c>
      <c r="D427">
        <v>256</v>
      </c>
      <c r="E427" s="234">
        <v>0</v>
      </c>
      <c r="F427" s="234">
        <v>201000</v>
      </c>
      <c r="G427" s="234">
        <f t="shared" ref="G427:G428" si="8">F427*25%</f>
        <v>50250</v>
      </c>
      <c r="H427" s="234" t="s">
        <v>138</v>
      </c>
      <c r="I427" s="893">
        <v>44055</v>
      </c>
      <c r="J427" t="s">
        <v>138</v>
      </c>
      <c r="K427" t="s">
        <v>138</v>
      </c>
      <c r="L427" t="s">
        <v>138</v>
      </c>
      <c r="M427" t="s">
        <v>138</v>
      </c>
      <c r="N427" t="s">
        <v>138</v>
      </c>
      <c r="O427" t="s">
        <v>138</v>
      </c>
      <c r="P427" t="s">
        <v>138</v>
      </c>
      <c r="Q427" t="s">
        <v>138</v>
      </c>
      <c r="R427" t="s">
        <v>138</v>
      </c>
      <c r="S427" t="s">
        <v>138</v>
      </c>
      <c r="T427" t="s">
        <v>138</v>
      </c>
      <c r="U427" t="s">
        <v>138</v>
      </c>
      <c r="V427" t="s">
        <v>138</v>
      </c>
      <c r="W427" t="s">
        <v>138</v>
      </c>
      <c r="X427" t="s">
        <v>138</v>
      </c>
      <c r="Y427" t="s">
        <v>138</v>
      </c>
      <c r="Z427" t="s">
        <v>138</v>
      </c>
      <c r="AA427" t="s">
        <v>138</v>
      </c>
      <c r="AB427" t="s">
        <v>138</v>
      </c>
      <c r="AC427" t="s">
        <v>138</v>
      </c>
      <c r="AD427" t="s">
        <v>138</v>
      </c>
      <c r="AE427" t="s">
        <v>138</v>
      </c>
      <c r="AF427" t="s">
        <v>138</v>
      </c>
      <c r="AG427" t="s">
        <v>138</v>
      </c>
      <c r="AH427" s="888">
        <f t="shared" si="7"/>
        <v>44044</v>
      </c>
    </row>
    <row r="428" spans="1:34">
      <c r="A428">
        <v>3</v>
      </c>
      <c r="B428">
        <v>6603</v>
      </c>
      <c r="C428" t="s">
        <v>196</v>
      </c>
      <c r="D428">
        <v>256</v>
      </c>
      <c r="E428" s="234">
        <v>0</v>
      </c>
      <c r="F428" s="234">
        <v>201000</v>
      </c>
      <c r="G428" s="234">
        <f t="shared" si="8"/>
        <v>50250</v>
      </c>
      <c r="H428" s="234" t="s">
        <v>138</v>
      </c>
      <c r="I428" s="893">
        <v>44088</v>
      </c>
      <c r="J428" t="s">
        <v>138</v>
      </c>
      <c r="K428" t="s">
        <v>138</v>
      </c>
      <c r="L428" t="s">
        <v>138</v>
      </c>
      <c r="M428" t="s">
        <v>138</v>
      </c>
      <c r="N428" t="s">
        <v>138</v>
      </c>
      <c r="O428" t="s">
        <v>138</v>
      </c>
      <c r="P428" t="s">
        <v>138</v>
      </c>
      <c r="Q428" t="s">
        <v>138</v>
      </c>
      <c r="R428" t="s">
        <v>138</v>
      </c>
      <c r="S428" t="s">
        <v>138</v>
      </c>
      <c r="T428" t="s">
        <v>138</v>
      </c>
      <c r="U428" t="s">
        <v>138</v>
      </c>
      <c r="V428" t="s">
        <v>138</v>
      </c>
      <c r="W428" t="s">
        <v>138</v>
      </c>
      <c r="X428" t="s">
        <v>138</v>
      </c>
      <c r="Y428" t="s">
        <v>138</v>
      </c>
      <c r="Z428" t="s">
        <v>138</v>
      </c>
      <c r="AA428" t="s">
        <v>138</v>
      </c>
      <c r="AB428" t="s">
        <v>138</v>
      </c>
      <c r="AC428" t="s">
        <v>138</v>
      </c>
      <c r="AD428" t="s">
        <v>138</v>
      </c>
      <c r="AE428" t="s">
        <v>138</v>
      </c>
      <c r="AF428" t="s">
        <v>138</v>
      </c>
      <c r="AG428" t="s">
        <v>138</v>
      </c>
      <c r="AH428" s="888">
        <f t="shared" si="7"/>
        <v>44075</v>
      </c>
    </row>
    <row r="429" spans="1:34">
      <c r="A429">
        <v>4</v>
      </c>
      <c r="B429">
        <v>6603</v>
      </c>
      <c r="C429" t="s">
        <v>196</v>
      </c>
      <c r="D429">
        <v>256</v>
      </c>
      <c r="E429" s="234">
        <v>0</v>
      </c>
      <c r="F429" s="234">
        <v>0</v>
      </c>
      <c r="G429" s="234" t="s">
        <v>138</v>
      </c>
      <c r="H429" s="234" t="s">
        <v>138</v>
      </c>
      <c r="I429" s="893">
        <v>44117</v>
      </c>
      <c r="J429" t="s">
        <v>138</v>
      </c>
      <c r="K429" t="s">
        <v>138</v>
      </c>
      <c r="L429" t="s">
        <v>138</v>
      </c>
      <c r="M429" t="s">
        <v>138</v>
      </c>
      <c r="N429" t="s">
        <v>138</v>
      </c>
      <c r="O429" t="s">
        <v>138</v>
      </c>
      <c r="P429" t="s">
        <v>138</v>
      </c>
      <c r="Q429" t="s">
        <v>138</v>
      </c>
      <c r="R429" t="s">
        <v>138</v>
      </c>
      <c r="S429" t="s">
        <v>138</v>
      </c>
      <c r="T429" t="s">
        <v>138</v>
      </c>
      <c r="U429" t="s">
        <v>138</v>
      </c>
      <c r="V429" t="s">
        <v>138</v>
      </c>
      <c r="W429" t="s">
        <v>138</v>
      </c>
      <c r="X429" t="s">
        <v>138</v>
      </c>
      <c r="Y429" t="s">
        <v>138</v>
      </c>
      <c r="Z429" t="s">
        <v>138</v>
      </c>
      <c r="AA429" t="s">
        <v>138</v>
      </c>
      <c r="AB429" t="s">
        <v>138</v>
      </c>
      <c r="AC429" t="s">
        <v>138</v>
      </c>
      <c r="AD429" t="s">
        <v>138</v>
      </c>
      <c r="AE429" t="s">
        <v>138</v>
      </c>
      <c r="AF429" t="s">
        <v>138</v>
      </c>
      <c r="AG429" t="s">
        <v>138</v>
      </c>
      <c r="AH429" s="888">
        <f t="shared" si="7"/>
        <v>44105</v>
      </c>
    </row>
    <row r="430" spans="1:34">
      <c r="A430">
        <v>5</v>
      </c>
      <c r="B430">
        <v>6603</v>
      </c>
      <c r="C430" t="s">
        <v>196</v>
      </c>
      <c r="D430">
        <v>256</v>
      </c>
      <c r="E430" s="234">
        <v>0</v>
      </c>
      <c r="F430" s="234">
        <v>0</v>
      </c>
      <c r="G430" s="234" t="s">
        <v>138</v>
      </c>
      <c r="H430" s="234" t="s">
        <v>138</v>
      </c>
      <c r="I430" s="893">
        <v>44147</v>
      </c>
      <c r="J430" t="s">
        <v>138</v>
      </c>
      <c r="K430" t="s">
        <v>138</v>
      </c>
      <c r="L430" t="s">
        <v>138</v>
      </c>
      <c r="M430" t="s">
        <v>138</v>
      </c>
      <c r="N430" t="s">
        <v>138</v>
      </c>
      <c r="O430" t="s">
        <v>138</v>
      </c>
      <c r="P430" t="s">
        <v>138</v>
      </c>
      <c r="Q430" t="s">
        <v>138</v>
      </c>
      <c r="R430" t="s">
        <v>138</v>
      </c>
      <c r="S430" t="s">
        <v>138</v>
      </c>
      <c r="T430" t="s">
        <v>138</v>
      </c>
      <c r="U430" t="s">
        <v>138</v>
      </c>
      <c r="V430" t="s">
        <v>138</v>
      </c>
      <c r="W430" t="s">
        <v>138</v>
      </c>
      <c r="X430" t="s">
        <v>138</v>
      </c>
      <c r="Y430" t="s">
        <v>138</v>
      </c>
      <c r="Z430" t="s">
        <v>138</v>
      </c>
      <c r="AA430" t="s">
        <v>138</v>
      </c>
      <c r="AB430" t="s">
        <v>138</v>
      </c>
      <c r="AC430" t="s">
        <v>138</v>
      </c>
      <c r="AD430" t="s">
        <v>138</v>
      </c>
      <c r="AE430" t="s">
        <v>138</v>
      </c>
      <c r="AF430" t="s">
        <v>138</v>
      </c>
      <c r="AG430" t="s">
        <v>138</v>
      </c>
      <c r="AH430" s="888">
        <f t="shared" si="7"/>
        <v>44136</v>
      </c>
    </row>
    <row r="431" spans="1:34">
      <c r="A431">
        <v>6</v>
      </c>
      <c r="B431">
        <v>6603</v>
      </c>
      <c r="C431" t="s">
        <v>196</v>
      </c>
      <c r="D431">
        <v>256</v>
      </c>
      <c r="E431" s="234">
        <v>0</v>
      </c>
      <c r="F431" s="234">
        <v>0</v>
      </c>
      <c r="G431" s="234" t="s">
        <v>138</v>
      </c>
      <c r="H431" s="234" t="s">
        <v>138</v>
      </c>
      <c r="I431" s="893">
        <v>44179</v>
      </c>
      <c r="J431" t="s">
        <v>138</v>
      </c>
      <c r="K431" t="s">
        <v>138</v>
      </c>
      <c r="L431" t="s">
        <v>138</v>
      </c>
      <c r="M431" t="s">
        <v>138</v>
      </c>
      <c r="N431" t="s">
        <v>138</v>
      </c>
      <c r="O431" t="s">
        <v>138</v>
      </c>
      <c r="P431" t="s">
        <v>138</v>
      </c>
      <c r="Q431" t="s">
        <v>138</v>
      </c>
      <c r="R431" t="s">
        <v>138</v>
      </c>
      <c r="S431" t="s">
        <v>138</v>
      </c>
      <c r="T431" t="s">
        <v>138</v>
      </c>
      <c r="U431" t="s">
        <v>138</v>
      </c>
      <c r="V431" t="s">
        <v>138</v>
      </c>
      <c r="W431" t="s">
        <v>138</v>
      </c>
      <c r="X431" t="s">
        <v>138</v>
      </c>
      <c r="Y431" t="s">
        <v>138</v>
      </c>
      <c r="Z431" t="s">
        <v>138</v>
      </c>
      <c r="AA431" t="s">
        <v>138</v>
      </c>
      <c r="AB431" t="s">
        <v>138</v>
      </c>
      <c r="AC431" t="s">
        <v>138</v>
      </c>
      <c r="AD431" t="s">
        <v>138</v>
      </c>
      <c r="AE431" t="s">
        <v>138</v>
      </c>
      <c r="AF431" t="s">
        <v>138</v>
      </c>
      <c r="AG431" t="s">
        <v>138</v>
      </c>
      <c r="AH431" s="888">
        <f t="shared" si="7"/>
        <v>44166</v>
      </c>
    </row>
    <row r="432" spans="1:34">
      <c r="A432">
        <v>7</v>
      </c>
      <c r="B432">
        <v>6603</v>
      </c>
      <c r="C432" t="s">
        <v>196</v>
      </c>
      <c r="D432">
        <v>256</v>
      </c>
      <c r="E432" s="234">
        <v>0</v>
      </c>
      <c r="F432" s="234">
        <v>0</v>
      </c>
      <c r="G432" s="234" t="s">
        <v>138</v>
      </c>
      <c r="H432" s="234" t="s">
        <v>138</v>
      </c>
      <c r="I432" s="893">
        <v>44193</v>
      </c>
      <c r="J432" t="s">
        <v>138</v>
      </c>
      <c r="K432" t="s">
        <v>138</v>
      </c>
      <c r="L432" t="s">
        <v>138</v>
      </c>
      <c r="M432" t="s">
        <v>138</v>
      </c>
      <c r="N432" t="s">
        <v>138</v>
      </c>
      <c r="O432" t="s">
        <v>138</v>
      </c>
      <c r="P432" t="s">
        <v>138</v>
      </c>
      <c r="Q432" t="s">
        <v>138</v>
      </c>
      <c r="R432" t="s">
        <v>138</v>
      </c>
      <c r="S432" t="s">
        <v>138</v>
      </c>
      <c r="T432" t="s">
        <v>138</v>
      </c>
      <c r="U432" t="s">
        <v>138</v>
      </c>
      <c r="V432" t="s">
        <v>138</v>
      </c>
      <c r="W432" t="s">
        <v>138</v>
      </c>
      <c r="X432" t="s">
        <v>138</v>
      </c>
      <c r="Y432" t="s">
        <v>138</v>
      </c>
      <c r="Z432" t="s">
        <v>138</v>
      </c>
      <c r="AA432" t="s">
        <v>138</v>
      </c>
      <c r="AB432" t="s">
        <v>138</v>
      </c>
      <c r="AC432" t="s">
        <v>138</v>
      </c>
      <c r="AD432" t="s">
        <v>138</v>
      </c>
      <c r="AE432" t="s">
        <v>138</v>
      </c>
      <c r="AF432" t="s">
        <v>138</v>
      </c>
      <c r="AG432" t="s">
        <v>138</v>
      </c>
      <c r="AH432" s="888">
        <f t="shared" si="7"/>
        <v>44166</v>
      </c>
    </row>
    <row r="433" spans="1:34">
      <c r="A433">
        <v>8</v>
      </c>
      <c r="B433">
        <v>6603</v>
      </c>
      <c r="C433" t="s">
        <v>196</v>
      </c>
      <c r="D433">
        <v>256</v>
      </c>
      <c r="E433" s="234">
        <v>0</v>
      </c>
      <c r="F433" s="234">
        <v>0</v>
      </c>
      <c r="G433" s="234" t="s">
        <v>138</v>
      </c>
      <c r="H433" s="234" t="s">
        <v>138</v>
      </c>
      <c r="I433" s="893">
        <v>44208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  <c r="Y433" t="s">
        <v>138</v>
      </c>
      <c r="Z433" t="s">
        <v>138</v>
      </c>
      <c r="AA433" t="s">
        <v>138</v>
      </c>
      <c r="AB433" t="s">
        <v>138</v>
      </c>
      <c r="AC433" t="s">
        <v>138</v>
      </c>
      <c r="AD433" t="s">
        <v>138</v>
      </c>
      <c r="AE433" t="s">
        <v>138</v>
      </c>
      <c r="AF433" t="s">
        <v>138</v>
      </c>
      <c r="AG433" t="s">
        <v>138</v>
      </c>
      <c r="AH433" s="888">
        <f t="shared" si="7"/>
        <v>44197</v>
      </c>
    </row>
    <row r="434" spans="1:34">
      <c r="A434">
        <v>1</v>
      </c>
      <c r="B434">
        <v>6611</v>
      </c>
      <c r="C434" t="s">
        <v>197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893">
        <v>44043</v>
      </c>
      <c r="J434">
        <v>1</v>
      </c>
      <c r="K434" t="s">
        <v>197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893">
        <v>44043</v>
      </c>
      <c r="AH434" s="888">
        <f t="shared" si="7"/>
        <v>44013</v>
      </c>
    </row>
    <row r="435" spans="1:34">
      <c r="A435">
        <v>2</v>
      </c>
      <c r="B435">
        <v>6611</v>
      </c>
      <c r="C435" t="s">
        <v>197</v>
      </c>
      <c r="D435">
        <v>140</v>
      </c>
      <c r="E435">
        <v>1404349.69</v>
      </c>
      <c r="F435">
        <v>0</v>
      </c>
      <c r="G435" t="s">
        <v>138</v>
      </c>
      <c r="H435" t="s">
        <v>138</v>
      </c>
      <c r="I435" s="893">
        <v>44055</v>
      </c>
      <c r="J435">
        <v>2</v>
      </c>
      <c r="K435" t="s">
        <v>197</v>
      </c>
      <c r="L435">
        <v>6611</v>
      </c>
      <c r="M435">
        <v>0.79652071135525704</v>
      </c>
      <c r="N435" t="s">
        <v>138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138</v>
      </c>
      <c r="Z435" t="s">
        <v>138</v>
      </c>
      <c r="AA435" t="s">
        <v>138</v>
      </c>
      <c r="AB435" t="s">
        <v>138</v>
      </c>
      <c r="AC435" t="s">
        <v>138</v>
      </c>
      <c r="AD435" t="s">
        <v>138</v>
      </c>
      <c r="AE435" t="s">
        <v>138</v>
      </c>
      <c r="AF435" t="s">
        <v>138</v>
      </c>
      <c r="AG435" s="893">
        <v>44055</v>
      </c>
      <c r="AH435" s="888">
        <f t="shared" si="7"/>
        <v>44044</v>
      </c>
    </row>
    <row r="436" spans="1:34">
      <c r="A436">
        <v>3</v>
      </c>
      <c r="B436">
        <v>6611</v>
      </c>
      <c r="C436" t="s">
        <v>197</v>
      </c>
      <c r="D436">
        <v>140</v>
      </c>
      <c r="E436">
        <v>1708224.98</v>
      </c>
      <c r="F436">
        <v>0</v>
      </c>
      <c r="G436" t="s">
        <v>138</v>
      </c>
      <c r="H436" t="s">
        <v>138</v>
      </c>
      <c r="I436" s="893">
        <v>44088</v>
      </c>
      <c r="J436">
        <v>3</v>
      </c>
      <c r="K436" t="s">
        <v>197</v>
      </c>
      <c r="L436">
        <v>6611</v>
      </c>
      <c r="M436">
        <v>0.95173580799780599</v>
      </c>
      <c r="N436" t="s">
        <v>138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138</v>
      </c>
      <c r="Z436" t="s">
        <v>138</v>
      </c>
      <c r="AA436" t="s">
        <v>138</v>
      </c>
      <c r="AB436" t="s">
        <v>138</v>
      </c>
      <c r="AC436" t="s">
        <v>138</v>
      </c>
      <c r="AD436" t="s">
        <v>138</v>
      </c>
      <c r="AE436" t="s">
        <v>138</v>
      </c>
      <c r="AF436" t="s">
        <v>138</v>
      </c>
      <c r="AG436" s="893">
        <v>44088</v>
      </c>
      <c r="AH436" s="888">
        <f t="shared" si="7"/>
        <v>44075</v>
      </c>
    </row>
    <row r="437" spans="1:34">
      <c r="A437">
        <v>4</v>
      </c>
      <c r="B437">
        <v>6611</v>
      </c>
      <c r="C437" t="s">
        <v>197</v>
      </c>
      <c r="D437">
        <v>140</v>
      </c>
      <c r="E437">
        <v>1278821.2479417899</v>
      </c>
      <c r="F437">
        <v>0</v>
      </c>
      <c r="G437" t="s">
        <v>138</v>
      </c>
      <c r="H437" t="s">
        <v>138</v>
      </c>
      <c r="I437" s="893">
        <v>44117</v>
      </c>
      <c r="J437">
        <v>4</v>
      </c>
      <c r="K437" t="s">
        <v>197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138</v>
      </c>
      <c r="Z437" t="s">
        <v>138</v>
      </c>
      <c r="AA437" t="s">
        <v>138</v>
      </c>
      <c r="AB437" t="s">
        <v>138</v>
      </c>
      <c r="AC437" t="s">
        <v>138</v>
      </c>
      <c r="AD437" t="s">
        <v>138</v>
      </c>
      <c r="AE437" t="s">
        <v>138</v>
      </c>
      <c r="AF437" t="s">
        <v>138</v>
      </c>
      <c r="AG437" s="893">
        <v>44117</v>
      </c>
      <c r="AH437" s="888">
        <f t="shared" si="7"/>
        <v>44105</v>
      </c>
    </row>
    <row r="438" spans="1:34">
      <c r="A438">
        <v>5</v>
      </c>
      <c r="B438">
        <v>6611</v>
      </c>
      <c r="C438" t="s">
        <v>197</v>
      </c>
      <c r="D438">
        <v>140</v>
      </c>
      <c r="E438">
        <v>1636287.67150382</v>
      </c>
      <c r="F438">
        <v>0</v>
      </c>
      <c r="G438" t="s">
        <v>138</v>
      </c>
      <c r="H438" t="s">
        <v>138</v>
      </c>
      <c r="I438" s="893">
        <v>44147</v>
      </c>
      <c r="J438">
        <v>5</v>
      </c>
      <c r="K438" t="s">
        <v>197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138</v>
      </c>
      <c r="Z438" t="s">
        <v>138</v>
      </c>
      <c r="AA438" t="s">
        <v>138</v>
      </c>
      <c r="AB438" t="s">
        <v>138</v>
      </c>
      <c r="AC438" t="s">
        <v>138</v>
      </c>
      <c r="AD438" t="s">
        <v>138</v>
      </c>
      <c r="AE438" t="s">
        <v>138</v>
      </c>
      <c r="AF438" t="s">
        <v>138</v>
      </c>
      <c r="AG438" s="893">
        <v>44147</v>
      </c>
      <c r="AH438" s="888">
        <f t="shared" si="7"/>
        <v>44136</v>
      </c>
    </row>
    <row r="439" spans="1:34">
      <c r="A439">
        <v>6</v>
      </c>
      <c r="B439">
        <v>6611</v>
      </c>
      <c r="C439" t="s">
        <v>197</v>
      </c>
      <c r="D439">
        <v>140</v>
      </c>
      <c r="E439">
        <v>1334692.8068423099</v>
      </c>
      <c r="F439">
        <v>0</v>
      </c>
      <c r="G439" t="s">
        <v>138</v>
      </c>
      <c r="H439" t="s">
        <v>138</v>
      </c>
      <c r="I439" s="893">
        <v>44179</v>
      </c>
      <c r="J439">
        <v>6</v>
      </c>
      <c r="K439" t="s">
        <v>197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138</v>
      </c>
      <c r="Z439" t="s">
        <v>138</v>
      </c>
      <c r="AA439" t="s">
        <v>138</v>
      </c>
      <c r="AB439" t="s">
        <v>138</v>
      </c>
      <c r="AC439" t="s">
        <v>138</v>
      </c>
      <c r="AD439" t="s">
        <v>138</v>
      </c>
      <c r="AE439" t="s">
        <v>138</v>
      </c>
      <c r="AF439" t="s">
        <v>138</v>
      </c>
      <c r="AG439" s="893">
        <v>44179</v>
      </c>
      <c r="AH439" s="888">
        <f t="shared" si="7"/>
        <v>44166</v>
      </c>
    </row>
    <row r="440" spans="1:34">
      <c r="A440">
        <v>7</v>
      </c>
      <c r="B440">
        <v>6611</v>
      </c>
      <c r="C440" t="s">
        <v>197</v>
      </c>
      <c r="D440">
        <v>140</v>
      </c>
      <c r="E440">
        <v>0</v>
      </c>
      <c r="F440">
        <v>0</v>
      </c>
      <c r="G440" t="s">
        <v>138</v>
      </c>
      <c r="H440" t="s">
        <v>138</v>
      </c>
      <c r="I440" s="893">
        <v>44193</v>
      </c>
      <c r="J440">
        <v>7</v>
      </c>
      <c r="K440" t="s">
        <v>197</v>
      </c>
      <c r="L440">
        <v>6611</v>
      </c>
      <c r="M440" t="s">
        <v>138</v>
      </c>
      <c r="N440">
        <v>0</v>
      </c>
      <c r="O440" t="s">
        <v>138</v>
      </c>
      <c r="P440" t="s">
        <v>138</v>
      </c>
      <c r="Q440" t="s">
        <v>138</v>
      </c>
      <c r="R440" t="s">
        <v>138</v>
      </c>
      <c r="S440" t="s">
        <v>138</v>
      </c>
      <c r="T440" t="s">
        <v>138</v>
      </c>
      <c r="U440" t="s">
        <v>138</v>
      </c>
      <c r="V440" t="s">
        <v>138</v>
      </c>
      <c r="W440" t="s">
        <v>138</v>
      </c>
      <c r="X440" t="s">
        <v>138</v>
      </c>
      <c r="Y440" t="s">
        <v>138</v>
      </c>
      <c r="Z440" t="s">
        <v>138</v>
      </c>
      <c r="AA440" t="s">
        <v>138</v>
      </c>
      <c r="AB440" t="s">
        <v>138</v>
      </c>
      <c r="AC440" t="s">
        <v>138</v>
      </c>
      <c r="AD440" t="s">
        <v>138</v>
      </c>
      <c r="AE440" t="s">
        <v>138</v>
      </c>
      <c r="AF440" t="s">
        <v>138</v>
      </c>
      <c r="AG440" s="893">
        <v>44193</v>
      </c>
      <c r="AH440" s="888">
        <f t="shared" si="7"/>
        <v>44166</v>
      </c>
    </row>
    <row r="441" spans="1:34">
      <c r="A441">
        <v>8</v>
      </c>
      <c r="B441">
        <v>6611</v>
      </c>
      <c r="C441" t="s">
        <v>197</v>
      </c>
      <c r="D441">
        <v>140</v>
      </c>
      <c r="E441">
        <v>0</v>
      </c>
      <c r="F441">
        <v>0</v>
      </c>
      <c r="G441" t="s">
        <v>138</v>
      </c>
      <c r="H441" t="s">
        <v>138</v>
      </c>
      <c r="I441" s="893">
        <v>44208</v>
      </c>
      <c r="J441">
        <v>8</v>
      </c>
      <c r="K441" t="s">
        <v>197</v>
      </c>
      <c r="L441">
        <v>6611</v>
      </c>
      <c r="M441" t="s">
        <v>138</v>
      </c>
      <c r="N441">
        <v>0</v>
      </c>
      <c r="O441" t="s">
        <v>138</v>
      </c>
      <c r="P441" t="s">
        <v>138</v>
      </c>
      <c r="Q441" t="s">
        <v>138</v>
      </c>
      <c r="R441" t="s">
        <v>138</v>
      </c>
      <c r="S441" t="s">
        <v>138</v>
      </c>
      <c r="T441" t="s">
        <v>138</v>
      </c>
      <c r="U441" t="s">
        <v>138</v>
      </c>
      <c r="V441" t="s">
        <v>138</v>
      </c>
      <c r="W441" t="s">
        <v>138</v>
      </c>
      <c r="X441" t="s">
        <v>138</v>
      </c>
      <c r="Y441" t="s">
        <v>138</v>
      </c>
      <c r="Z441" t="s">
        <v>138</v>
      </c>
      <c r="AA441" t="s">
        <v>138</v>
      </c>
      <c r="AB441" t="s">
        <v>138</v>
      </c>
      <c r="AC441" t="s">
        <v>138</v>
      </c>
      <c r="AD441" t="s">
        <v>138</v>
      </c>
      <c r="AE441" t="s">
        <v>138</v>
      </c>
      <c r="AF441" t="s">
        <v>138</v>
      </c>
      <c r="AG441" s="893">
        <v>44208</v>
      </c>
      <c r="AH441" s="888">
        <f t="shared" si="7"/>
        <v>44197</v>
      </c>
    </row>
    <row r="442" spans="1:34">
      <c r="A442">
        <v>1</v>
      </c>
      <c r="B442">
        <v>6612</v>
      </c>
      <c r="C442" t="s">
        <v>198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893">
        <v>44043</v>
      </c>
      <c r="J442">
        <v>1</v>
      </c>
      <c r="K442" t="s">
        <v>198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893">
        <v>44043</v>
      </c>
      <c r="AH442" s="888">
        <f t="shared" si="7"/>
        <v>44013</v>
      </c>
    </row>
    <row r="443" spans="1:34">
      <c r="A443">
        <v>2</v>
      </c>
      <c r="B443">
        <v>6612</v>
      </c>
      <c r="C443" t="s">
        <v>198</v>
      </c>
      <c r="D443">
        <v>152</v>
      </c>
      <c r="E443">
        <v>225184.204217133</v>
      </c>
      <c r="F443">
        <v>0</v>
      </c>
      <c r="G443" t="s">
        <v>138</v>
      </c>
      <c r="H443" t="s">
        <v>138</v>
      </c>
      <c r="I443" s="893">
        <v>44055</v>
      </c>
      <c r="J443">
        <v>2</v>
      </c>
      <c r="K443" t="s">
        <v>198</v>
      </c>
      <c r="L443">
        <v>6612</v>
      </c>
      <c r="M443">
        <v>0.74277918137250298</v>
      </c>
      <c r="N443" t="s">
        <v>138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138</v>
      </c>
      <c r="Z443" t="s">
        <v>138</v>
      </c>
      <c r="AA443" t="s">
        <v>138</v>
      </c>
      <c r="AB443" t="s">
        <v>138</v>
      </c>
      <c r="AC443" t="s">
        <v>138</v>
      </c>
      <c r="AD443" t="s">
        <v>138</v>
      </c>
      <c r="AE443" t="s">
        <v>138</v>
      </c>
      <c r="AF443" t="s">
        <v>138</v>
      </c>
      <c r="AG443" s="893">
        <v>44055</v>
      </c>
      <c r="AH443" s="888">
        <f t="shared" si="7"/>
        <v>44044</v>
      </c>
    </row>
    <row r="444" spans="1:34">
      <c r="A444">
        <v>3</v>
      </c>
      <c r="B444">
        <v>6612</v>
      </c>
      <c r="C444" t="s">
        <v>198</v>
      </c>
      <c r="D444">
        <v>152</v>
      </c>
      <c r="E444">
        <v>0</v>
      </c>
      <c r="F444">
        <v>0</v>
      </c>
      <c r="G444" t="s">
        <v>138</v>
      </c>
      <c r="H444" t="s">
        <v>138</v>
      </c>
      <c r="I444" s="893">
        <v>44088</v>
      </c>
      <c r="J444">
        <v>3</v>
      </c>
      <c r="K444" t="s">
        <v>198</v>
      </c>
      <c r="L444">
        <v>6612</v>
      </c>
      <c r="M444">
        <v>0</v>
      </c>
      <c r="N444" t="s">
        <v>138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138</v>
      </c>
      <c r="Z444" t="s">
        <v>138</v>
      </c>
      <c r="AA444" t="s">
        <v>138</v>
      </c>
      <c r="AB444" t="s">
        <v>138</v>
      </c>
      <c r="AC444" t="s">
        <v>138</v>
      </c>
      <c r="AD444" t="s">
        <v>138</v>
      </c>
      <c r="AE444" t="s">
        <v>138</v>
      </c>
      <c r="AF444" t="s">
        <v>138</v>
      </c>
      <c r="AG444" s="893">
        <v>44088</v>
      </c>
      <c r="AH444" s="888">
        <f t="shared" si="7"/>
        <v>44075</v>
      </c>
    </row>
    <row r="445" spans="1:34">
      <c r="A445">
        <v>4</v>
      </c>
      <c r="B445">
        <v>6612</v>
      </c>
      <c r="C445" t="s">
        <v>198</v>
      </c>
      <c r="D445">
        <v>152</v>
      </c>
      <c r="E445">
        <v>0</v>
      </c>
      <c r="F445">
        <v>0</v>
      </c>
      <c r="G445" t="s">
        <v>138</v>
      </c>
      <c r="H445" t="s">
        <v>138</v>
      </c>
      <c r="I445" s="893">
        <v>44117</v>
      </c>
      <c r="J445">
        <v>4</v>
      </c>
      <c r="K445" t="s">
        <v>198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138</v>
      </c>
      <c r="Z445" t="s">
        <v>138</v>
      </c>
      <c r="AA445" t="s">
        <v>138</v>
      </c>
      <c r="AB445" t="s">
        <v>138</v>
      </c>
      <c r="AC445" t="s">
        <v>138</v>
      </c>
      <c r="AD445" t="s">
        <v>138</v>
      </c>
      <c r="AE445" t="s">
        <v>138</v>
      </c>
      <c r="AF445" t="s">
        <v>138</v>
      </c>
      <c r="AG445" s="893">
        <v>44117</v>
      </c>
      <c r="AH445" s="888">
        <f t="shared" si="7"/>
        <v>44105</v>
      </c>
    </row>
    <row r="446" spans="1:34">
      <c r="A446">
        <v>5</v>
      </c>
      <c r="B446">
        <v>6612</v>
      </c>
      <c r="C446" t="s">
        <v>198</v>
      </c>
      <c r="D446">
        <v>152</v>
      </c>
      <c r="E446">
        <v>0</v>
      </c>
      <c r="F446">
        <v>0</v>
      </c>
      <c r="G446" t="s">
        <v>138</v>
      </c>
      <c r="H446" t="s">
        <v>138</v>
      </c>
      <c r="I446" s="893">
        <v>44147</v>
      </c>
      <c r="J446">
        <v>5</v>
      </c>
      <c r="K446" t="s">
        <v>198</v>
      </c>
      <c r="L446">
        <v>6612</v>
      </c>
      <c r="M446" t="s">
        <v>138</v>
      </c>
      <c r="N446" t="s">
        <v>138</v>
      </c>
      <c r="O446" t="s">
        <v>138</v>
      </c>
      <c r="P446" t="s">
        <v>138</v>
      </c>
      <c r="Q446" t="s">
        <v>138</v>
      </c>
      <c r="R446" t="s">
        <v>138</v>
      </c>
      <c r="S446" t="s">
        <v>138</v>
      </c>
      <c r="T446" t="s">
        <v>138</v>
      </c>
      <c r="U446" t="s">
        <v>138</v>
      </c>
      <c r="V446" t="s">
        <v>138</v>
      </c>
      <c r="W446" t="s">
        <v>138</v>
      </c>
      <c r="X446" t="s">
        <v>138</v>
      </c>
      <c r="Y446" t="s">
        <v>138</v>
      </c>
      <c r="Z446" t="s">
        <v>138</v>
      </c>
      <c r="AA446" t="s">
        <v>138</v>
      </c>
      <c r="AB446" t="s">
        <v>138</v>
      </c>
      <c r="AC446" t="s">
        <v>138</v>
      </c>
      <c r="AD446" t="s">
        <v>138</v>
      </c>
      <c r="AE446" t="s">
        <v>138</v>
      </c>
      <c r="AF446" t="s">
        <v>138</v>
      </c>
      <c r="AG446" s="893">
        <v>44147</v>
      </c>
      <c r="AH446" s="888">
        <f t="shared" si="7"/>
        <v>44136</v>
      </c>
    </row>
    <row r="447" spans="1:34">
      <c r="A447">
        <v>6</v>
      </c>
      <c r="B447">
        <v>6612</v>
      </c>
      <c r="C447" t="s">
        <v>198</v>
      </c>
      <c r="D447">
        <v>152</v>
      </c>
      <c r="E447">
        <v>0</v>
      </c>
      <c r="F447">
        <v>0</v>
      </c>
      <c r="G447" t="s">
        <v>138</v>
      </c>
      <c r="H447" t="s">
        <v>138</v>
      </c>
      <c r="I447" s="893">
        <v>44179</v>
      </c>
      <c r="J447">
        <v>6</v>
      </c>
      <c r="K447" t="s">
        <v>198</v>
      </c>
      <c r="L447">
        <v>6612</v>
      </c>
      <c r="M447" t="s">
        <v>138</v>
      </c>
      <c r="N447" t="s">
        <v>138</v>
      </c>
      <c r="O447" t="s">
        <v>138</v>
      </c>
      <c r="P447" t="s">
        <v>138</v>
      </c>
      <c r="Q447" t="s">
        <v>138</v>
      </c>
      <c r="R447" t="s">
        <v>138</v>
      </c>
      <c r="S447" t="s">
        <v>138</v>
      </c>
      <c r="T447" t="s">
        <v>138</v>
      </c>
      <c r="U447" t="s">
        <v>138</v>
      </c>
      <c r="V447" t="s">
        <v>138</v>
      </c>
      <c r="W447" t="s">
        <v>138</v>
      </c>
      <c r="X447" t="s">
        <v>138</v>
      </c>
      <c r="Y447" t="s">
        <v>138</v>
      </c>
      <c r="Z447" t="s">
        <v>138</v>
      </c>
      <c r="AA447" t="s">
        <v>138</v>
      </c>
      <c r="AB447" t="s">
        <v>138</v>
      </c>
      <c r="AC447" t="s">
        <v>138</v>
      </c>
      <c r="AD447" t="s">
        <v>138</v>
      </c>
      <c r="AE447" t="s">
        <v>138</v>
      </c>
      <c r="AF447" t="s">
        <v>138</v>
      </c>
      <c r="AG447" s="893">
        <v>44179</v>
      </c>
      <c r="AH447" s="888">
        <f t="shared" si="7"/>
        <v>44166</v>
      </c>
    </row>
    <row r="448" spans="1:34">
      <c r="A448">
        <v>7</v>
      </c>
      <c r="B448">
        <v>6612</v>
      </c>
      <c r="C448" t="s">
        <v>198</v>
      </c>
      <c r="D448">
        <v>152</v>
      </c>
      <c r="E448">
        <v>0</v>
      </c>
      <c r="F448">
        <v>0</v>
      </c>
      <c r="G448" t="s">
        <v>138</v>
      </c>
      <c r="H448" t="s">
        <v>138</v>
      </c>
      <c r="I448" s="893">
        <v>44193</v>
      </c>
      <c r="J448">
        <v>7</v>
      </c>
      <c r="K448" t="s">
        <v>198</v>
      </c>
      <c r="L448">
        <v>6612</v>
      </c>
      <c r="M448" t="s">
        <v>138</v>
      </c>
      <c r="N448" t="s">
        <v>138</v>
      </c>
      <c r="O448" t="s">
        <v>138</v>
      </c>
      <c r="P448" t="s">
        <v>138</v>
      </c>
      <c r="Q448" t="s">
        <v>138</v>
      </c>
      <c r="R448" t="s">
        <v>138</v>
      </c>
      <c r="S448" t="s">
        <v>138</v>
      </c>
      <c r="T448" t="s">
        <v>138</v>
      </c>
      <c r="U448" t="s">
        <v>138</v>
      </c>
      <c r="V448" t="s">
        <v>138</v>
      </c>
      <c r="W448" t="s">
        <v>138</v>
      </c>
      <c r="X448" t="s">
        <v>138</v>
      </c>
      <c r="Y448" t="s">
        <v>138</v>
      </c>
      <c r="Z448" t="s">
        <v>138</v>
      </c>
      <c r="AA448" t="s">
        <v>138</v>
      </c>
      <c r="AB448" t="s">
        <v>138</v>
      </c>
      <c r="AC448" t="s">
        <v>138</v>
      </c>
      <c r="AD448" t="s">
        <v>138</v>
      </c>
      <c r="AE448" t="s">
        <v>138</v>
      </c>
      <c r="AF448" t="s">
        <v>138</v>
      </c>
      <c r="AG448" s="893">
        <v>44193</v>
      </c>
      <c r="AH448" s="888">
        <f t="shared" si="7"/>
        <v>44166</v>
      </c>
    </row>
    <row r="449" spans="1:34">
      <c r="A449">
        <v>8</v>
      </c>
      <c r="B449">
        <v>6612</v>
      </c>
      <c r="C449" t="s">
        <v>198</v>
      </c>
      <c r="D449">
        <v>152</v>
      </c>
      <c r="E449">
        <v>0</v>
      </c>
      <c r="F449">
        <v>0</v>
      </c>
      <c r="G449" t="s">
        <v>138</v>
      </c>
      <c r="H449" t="s">
        <v>138</v>
      </c>
      <c r="I449" s="893">
        <v>44208</v>
      </c>
      <c r="J449">
        <v>8</v>
      </c>
      <c r="K449" t="s">
        <v>198</v>
      </c>
      <c r="L449">
        <v>6612</v>
      </c>
      <c r="M449" t="s">
        <v>138</v>
      </c>
      <c r="N449" t="s">
        <v>138</v>
      </c>
      <c r="O449" t="s">
        <v>138</v>
      </c>
      <c r="P449" t="s">
        <v>138</v>
      </c>
      <c r="Q449" t="s">
        <v>138</v>
      </c>
      <c r="R449" t="s">
        <v>138</v>
      </c>
      <c r="S449" t="s">
        <v>138</v>
      </c>
      <c r="T449" t="s">
        <v>138</v>
      </c>
      <c r="U449" t="s">
        <v>138</v>
      </c>
      <c r="V449" t="s">
        <v>138</v>
      </c>
      <c r="W449" t="s">
        <v>138</v>
      </c>
      <c r="X449" t="s">
        <v>138</v>
      </c>
      <c r="Y449" t="s">
        <v>138</v>
      </c>
      <c r="Z449" t="s">
        <v>138</v>
      </c>
      <c r="AA449" t="s">
        <v>138</v>
      </c>
      <c r="AB449" t="s">
        <v>138</v>
      </c>
      <c r="AC449" t="s">
        <v>138</v>
      </c>
      <c r="AD449" t="s">
        <v>138</v>
      </c>
      <c r="AE449" t="s">
        <v>138</v>
      </c>
      <c r="AF449" t="s">
        <v>138</v>
      </c>
      <c r="AG449" s="893">
        <v>44208</v>
      </c>
      <c r="AH449" s="888">
        <f t="shared" si="7"/>
        <v>44197</v>
      </c>
    </row>
    <row r="450" spans="1:34">
      <c r="A450">
        <v>1</v>
      </c>
      <c r="B450">
        <v>7019</v>
      </c>
      <c r="C450" t="s">
        <v>199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893">
        <v>44043</v>
      </c>
      <c r="J450">
        <v>1</v>
      </c>
      <c r="K450" t="s">
        <v>200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893">
        <v>44043</v>
      </c>
      <c r="AH450" s="888">
        <f t="shared" si="7"/>
        <v>44013</v>
      </c>
    </row>
    <row r="451" spans="1:34">
      <c r="A451">
        <v>2</v>
      </c>
      <c r="B451">
        <v>7019</v>
      </c>
      <c r="C451" t="s">
        <v>199</v>
      </c>
      <c r="D451">
        <v>102</v>
      </c>
      <c r="E451">
        <v>0</v>
      </c>
      <c r="F451">
        <v>0</v>
      </c>
      <c r="G451" t="s">
        <v>138</v>
      </c>
      <c r="H451" t="s">
        <v>138</v>
      </c>
      <c r="I451" s="893">
        <v>44055</v>
      </c>
      <c r="J451">
        <v>2</v>
      </c>
      <c r="K451" t="s">
        <v>200</v>
      </c>
      <c r="L451">
        <v>7019</v>
      </c>
      <c r="M451">
        <v>0</v>
      </c>
      <c r="N451" t="s">
        <v>138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138</v>
      </c>
      <c r="Z451" t="s">
        <v>138</v>
      </c>
      <c r="AA451" t="s">
        <v>138</v>
      </c>
      <c r="AB451" t="s">
        <v>138</v>
      </c>
      <c r="AC451" t="s">
        <v>138</v>
      </c>
      <c r="AD451" t="s">
        <v>138</v>
      </c>
      <c r="AE451" t="s">
        <v>138</v>
      </c>
      <c r="AF451" t="s">
        <v>138</v>
      </c>
      <c r="AG451" s="893">
        <v>44055</v>
      </c>
      <c r="AH451" s="888">
        <f t="shared" ref="AH451:AH457" si="9">DATE(YEAR(I451),MONTH(I451),1)</f>
        <v>44044</v>
      </c>
    </row>
    <row r="452" spans="1:34">
      <c r="A452">
        <v>3</v>
      </c>
      <c r="B452">
        <v>7019</v>
      </c>
      <c r="C452" t="s">
        <v>199</v>
      </c>
      <c r="D452">
        <v>102</v>
      </c>
      <c r="E452">
        <v>0</v>
      </c>
      <c r="F452">
        <v>0</v>
      </c>
      <c r="G452" t="s">
        <v>138</v>
      </c>
      <c r="H452" t="s">
        <v>138</v>
      </c>
      <c r="I452" s="893">
        <v>44088</v>
      </c>
      <c r="J452">
        <v>3</v>
      </c>
      <c r="K452" t="s">
        <v>200</v>
      </c>
      <c r="L452">
        <v>7019</v>
      </c>
      <c r="M452">
        <v>0</v>
      </c>
      <c r="N452" t="s">
        <v>138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138</v>
      </c>
      <c r="Z452" t="s">
        <v>138</v>
      </c>
      <c r="AA452" t="s">
        <v>138</v>
      </c>
      <c r="AB452" t="s">
        <v>138</v>
      </c>
      <c r="AC452" t="s">
        <v>138</v>
      </c>
      <c r="AD452" t="s">
        <v>138</v>
      </c>
      <c r="AE452" t="s">
        <v>138</v>
      </c>
      <c r="AF452" t="s">
        <v>138</v>
      </c>
      <c r="AG452" s="893">
        <v>44088</v>
      </c>
      <c r="AH452" s="888">
        <f t="shared" si="9"/>
        <v>44075</v>
      </c>
    </row>
    <row r="453" spans="1:34">
      <c r="A453">
        <v>4</v>
      </c>
      <c r="B453">
        <v>7019</v>
      </c>
      <c r="C453" t="s">
        <v>199</v>
      </c>
      <c r="D453">
        <v>102</v>
      </c>
      <c r="E453">
        <v>0</v>
      </c>
      <c r="F453">
        <v>0</v>
      </c>
      <c r="G453" t="s">
        <v>138</v>
      </c>
      <c r="H453" t="s">
        <v>138</v>
      </c>
      <c r="I453" s="893">
        <v>44117</v>
      </c>
      <c r="J453">
        <v>4</v>
      </c>
      <c r="K453" t="s">
        <v>200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138</v>
      </c>
      <c r="Z453" t="s">
        <v>138</v>
      </c>
      <c r="AA453" t="s">
        <v>138</v>
      </c>
      <c r="AB453" t="s">
        <v>138</v>
      </c>
      <c r="AC453" t="s">
        <v>138</v>
      </c>
      <c r="AD453" t="s">
        <v>138</v>
      </c>
      <c r="AE453" t="s">
        <v>138</v>
      </c>
      <c r="AF453" t="s">
        <v>138</v>
      </c>
      <c r="AG453" s="893">
        <v>44117</v>
      </c>
      <c r="AH453" s="888">
        <f t="shared" si="9"/>
        <v>44105</v>
      </c>
    </row>
    <row r="454" spans="1:34">
      <c r="A454">
        <v>5</v>
      </c>
      <c r="B454">
        <v>7019</v>
      </c>
      <c r="C454" t="s">
        <v>199</v>
      </c>
      <c r="D454">
        <v>102</v>
      </c>
      <c r="E454">
        <v>0</v>
      </c>
      <c r="F454">
        <v>0</v>
      </c>
      <c r="G454" t="s">
        <v>138</v>
      </c>
      <c r="H454" t="s">
        <v>138</v>
      </c>
      <c r="I454" s="893">
        <v>44147</v>
      </c>
      <c r="J454">
        <v>5</v>
      </c>
      <c r="K454" t="s">
        <v>200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138</v>
      </c>
      <c r="Z454" t="s">
        <v>138</v>
      </c>
      <c r="AA454" t="s">
        <v>138</v>
      </c>
      <c r="AB454" t="s">
        <v>138</v>
      </c>
      <c r="AC454" t="s">
        <v>138</v>
      </c>
      <c r="AD454" t="s">
        <v>138</v>
      </c>
      <c r="AE454" t="s">
        <v>138</v>
      </c>
      <c r="AF454" t="s">
        <v>138</v>
      </c>
      <c r="AG454" s="893">
        <v>44147</v>
      </c>
      <c r="AH454" s="888">
        <f t="shared" si="9"/>
        <v>44136</v>
      </c>
    </row>
    <row r="455" spans="1:34">
      <c r="A455">
        <v>6</v>
      </c>
      <c r="B455">
        <v>7019</v>
      </c>
      <c r="C455" t="s">
        <v>199</v>
      </c>
      <c r="D455">
        <v>102</v>
      </c>
      <c r="E455">
        <v>0</v>
      </c>
      <c r="F455">
        <v>0</v>
      </c>
      <c r="G455" t="s">
        <v>138</v>
      </c>
      <c r="H455" t="s">
        <v>138</v>
      </c>
      <c r="I455" s="893">
        <v>44179</v>
      </c>
      <c r="J455">
        <v>6</v>
      </c>
      <c r="K455" t="s">
        <v>200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138</v>
      </c>
      <c r="Z455" t="s">
        <v>138</v>
      </c>
      <c r="AA455" t="s">
        <v>138</v>
      </c>
      <c r="AB455" t="s">
        <v>138</v>
      </c>
      <c r="AC455" t="s">
        <v>138</v>
      </c>
      <c r="AD455" t="s">
        <v>138</v>
      </c>
      <c r="AE455" t="s">
        <v>138</v>
      </c>
      <c r="AF455" t="s">
        <v>138</v>
      </c>
      <c r="AG455" s="893">
        <v>44179</v>
      </c>
      <c r="AH455" s="888">
        <f t="shared" si="9"/>
        <v>44166</v>
      </c>
    </row>
    <row r="456" spans="1:34">
      <c r="A456">
        <v>7</v>
      </c>
      <c r="B456">
        <v>7019</v>
      </c>
      <c r="C456" t="s">
        <v>199</v>
      </c>
      <c r="D456">
        <v>102</v>
      </c>
      <c r="E456">
        <v>0</v>
      </c>
      <c r="F456">
        <v>0</v>
      </c>
      <c r="G456" t="s">
        <v>138</v>
      </c>
      <c r="H456" t="s">
        <v>138</v>
      </c>
      <c r="I456" s="893">
        <v>44193</v>
      </c>
      <c r="J456">
        <v>7</v>
      </c>
      <c r="K456" t="s">
        <v>200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138</v>
      </c>
      <c r="Z456" t="s">
        <v>138</v>
      </c>
      <c r="AA456" t="s">
        <v>138</v>
      </c>
      <c r="AB456" t="s">
        <v>138</v>
      </c>
      <c r="AC456" t="s">
        <v>138</v>
      </c>
      <c r="AD456" t="s">
        <v>138</v>
      </c>
      <c r="AE456" t="s">
        <v>138</v>
      </c>
      <c r="AF456" t="s">
        <v>138</v>
      </c>
      <c r="AG456" s="893">
        <v>44193</v>
      </c>
      <c r="AH456" s="888">
        <f t="shared" si="9"/>
        <v>44166</v>
      </c>
    </row>
    <row r="457" spans="1:34">
      <c r="A457">
        <v>8</v>
      </c>
      <c r="B457">
        <v>7019</v>
      </c>
      <c r="C457" t="s">
        <v>199</v>
      </c>
      <c r="D457">
        <v>102</v>
      </c>
      <c r="E457">
        <v>0</v>
      </c>
      <c r="F457">
        <v>0</v>
      </c>
      <c r="G457" t="s">
        <v>138</v>
      </c>
      <c r="H457" t="s">
        <v>138</v>
      </c>
      <c r="I457" s="893">
        <v>44208</v>
      </c>
      <c r="J457">
        <v>8</v>
      </c>
      <c r="K457" t="s">
        <v>200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138</v>
      </c>
      <c r="Z457" t="s">
        <v>138</v>
      </c>
      <c r="AA457" t="s">
        <v>138</v>
      </c>
      <c r="AB457" t="s">
        <v>138</v>
      </c>
      <c r="AC457" t="s">
        <v>138</v>
      </c>
      <c r="AD457" t="s">
        <v>138</v>
      </c>
      <c r="AE457" t="s">
        <v>138</v>
      </c>
      <c r="AF457" t="s">
        <v>138</v>
      </c>
      <c r="AG457" s="893">
        <v>44208</v>
      </c>
      <c r="AH457" s="888">
        <f t="shared" si="9"/>
        <v>44197</v>
      </c>
    </row>
    <row r="458" spans="1:34">
      <c r="A458">
        <v>1</v>
      </c>
      <c r="B458">
        <v>7371</v>
      </c>
      <c r="C458" t="s">
        <v>201</v>
      </c>
      <c r="D458">
        <v>240</v>
      </c>
      <c r="E458" s="234">
        <v>0</v>
      </c>
      <c r="F458" s="234">
        <v>2357142.8571428601</v>
      </c>
      <c r="G458" s="234">
        <v>0</v>
      </c>
      <c r="H458" s="234">
        <v>0</v>
      </c>
      <c r="I458" s="893">
        <v>44043</v>
      </c>
      <c r="J458" t="s">
        <v>138</v>
      </c>
      <c r="K458" t="s">
        <v>138</v>
      </c>
      <c r="L458" t="s">
        <v>138</v>
      </c>
      <c r="M458" t="s">
        <v>138</v>
      </c>
      <c r="N458" t="s">
        <v>138</v>
      </c>
      <c r="O458" t="s">
        <v>138</v>
      </c>
      <c r="P458" t="s">
        <v>138</v>
      </c>
      <c r="Q458" t="s">
        <v>138</v>
      </c>
      <c r="R458" t="s">
        <v>138</v>
      </c>
      <c r="S458" t="s">
        <v>138</v>
      </c>
      <c r="T458" t="s">
        <v>138</v>
      </c>
      <c r="U458" t="s">
        <v>138</v>
      </c>
      <c r="V458" t="s">
        <v>138</v>
      </c>
      <c r="W458" t="s">
        <v>138</v>
      </c>
      <c r="X458" t="s">
        <v>138</v>
      </c>
      <c r="Y458" t="s">
        <v>138</v>
      </c>
      <c r="Z458" t="s">
        <v>138</v>
      </c>
      <c r="AA458" t="s">
        <v>138</v>
      </c>
      <c r="AB458" t="s">
        <v>138</v>
      </c>
      <c r="AC458" t="s">
        <v>138</v>
      </c>
      <c r="AD458" t="s">
        <v>138</v>
      </c>
      <c r="AE458" t="s">
        <v>138</v>
      </c>
      <c r="AF458" t="s">
        <v>138</v>
      </c>
      <c r="AG458" t="s">
        <v>138</v>
      </c>
    </row>
    <row r="459" spans="1:34">
      <c r="A459">
        <v>2</v>
      </c>
      <c r="B459">
        <v>7371</v>
      </c>
      <c r="C459" t="s">
        <v>201</v>
      </c>
      <c r="D459">
        <v>240</v>
      </c>
      <c r="E459" s="234">
        <v>0</v>
      </c>
      <c r="F459" s="234">
        <v>2357142.8571428601</v>
      </c>
      <c r="G459" s="234" t="s">
        <v>138</v>
      </c>
      <c r="H459" s="234" t="s">
        <v>138</v>
      </c>
      <c r="I459" s="893">
        <v>44055</v>
      </c>
      <c r="J459" t="s">
        <v>138</v>
      </c>
      <c r="K459" t="s">
        <v>138</v>
      </c>
      <c r="L459" t="s">
        <v>138</v>
      </c>
      <c r="M459" t="s">
        <v>138</v>
      </c>
      <c r="N459" t="s">
        <v>138</v>
      </c>
      <c r="O459" t="s">
        <v>138</v>
      </c>
      <c r="P459" t="s">
        <v>138</v>
      </c>
      <c r="Q459" t="s">
        <v>138</v>
      </c>
      <c r="R459" t="s">
        <v>138</v>
      </c>
      <c r="S459" t="s">
        <v>138</v>
      </c>
      <c r="T459" t="s">
        <v>138</v>
      </c>
      <c r="U459" t="s">
        <v>138</v>
      </c>
      <c r="V459" t="s">
        <v>138</v>
      </c>
      <c r="W459" t="s">
        <v>138</v>
      </c>
      <c r="X459" t="s">
        <v>138</v>
      </c>
      <c r="Y459" t="s">
        <v>138</v>
      </c>
      <c r="Z459" t="s">
        <v>138</v>
      </c>
      <c r="AA459" t="s">
        <v>138</v>
      </c>
      <c r="AB459" t="s">
        <v>138</v>
      </c>
      <c r="AC459" t="s">
        <v>138</v>
      </c>
      <c r="AD459" t="s">
        <v>138</v>
      </c>
      <c r="AE459" t="s">
        <v>138</v>
      </c>
      <c r="AF459" t="s">
        <v>138</v>
      </c>
      <c r="AG459" t="s">
        <v>138</v>
      </c>
    </row>
    <row r="460" spans="1:34">
      <c r="A460">
        <v>3</v>
      </c>
      <c r="B460">
        <v>7371</v>
      </c>
      <c r="C460" t="s">
        <v>201</v>
      </c>
      <c r="D460">
        <v>240</v>
      </c>
      <c r="E460" s="234">
        <v>0</v>
      </c>
      <c r="F460" s="234">
        <v>2357142.8571428601</v>
      </c>
      <c r="G460" s="234" t="s">
        <v>138</v>
      </c>
      <c r="H460" s="234" t="s">
        <v>138</v>
      </c>
      <c r="I460" s="893">
        <v>44088</v>
      </c>
      <c r="J460" t="s">
        <v>138</v>
      </c>
      <c r="K460" t="s">
        <v>138</v>
      </c>
      <c r="L460" t="s">
        <v>138</v>
      </c>
      <c r="M460" t="s">
        <v>138</v>
      </c>
      <c r="N460" t="s">
        <v>138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138</v>
      </c>
      <c r="Y460" t="s">
        <v>138</v>
      </c>
      <c r="Z460" t="s">
        <v>138</v>
      </c>
      <c r="AA460" t="s">
        <v>138</v>
      </c>
      <c r="AB460" t="s">
        <v>138</v>
      </c>
      <c r="AC460" t="s">
        <v>138</v>
      </c>
      <c r="AD460" t="s">
        <v>138</v>
      </c>
      <c r="AE460" t="s">
        <v>138</v>
      </c>
      <c r="AF460" t="s">
        <v>138</v>
      </c>
      <c r="AG460" t="s">
        <v>138</v>
      </c>
    </row>
    <row r="461" spans="1:34">
      <c r="A461">
        <v>4</v>
      </c>
      <c r="B461">
        <v>7371</v>
      </c>
      <c r="C461" t="s">
        <v>201</v>
      </c>
      <c r="D461">
        <v>240</v>
      </c>
      <c r="E461" s="234">
        <v>0</v>
      </c>
      <c r="F461" s="234">
        <v>2357142.8571428601</v>
      </c>
      <c r="G461" s="234" t="s">
        <v>138</v>
      </c>
      <c r="H461" s="234" t="s">
        <v>138</v>
      </c>
      <c r="I461" s="893">
        <v>44117</v>
      </c>
      <c r="J461" t="s">
        <v>138</v>
      </c>
      <c r="K461" t="s">
        <v>138</v>
      </c>
      <c r="L461" t="s">
        <v>138</v>
      </c>
      <c r="M461" t="s">
        <v>138</v>
      </c>
      <c r="N461" t="s">
        <v>138</v>
      </c>
      <c r="O461" t="s">
        <v>138</v>
      </c>
      <c r="P461" t="s">
        <v>138</v>
      </c>
      <c r="Q461" t="s">
        <v>138</v>
      </c>
      <c r="R461" t="s">
        <v>138</v>
      </c>
      <c r="S461" t="s">
        <v>138</v>
      </c>
      <c r="T461" t="s">
        <v>138</v>
      </c>
      <c r="U461" t="s">
        <v>138</v>
      </c>
      <c r="V461" t="s">
        <v>138</v>
      </c>
      <c r="W461" t="s">
        <v>138</v>
      </c>
      <c r="X461" t="s">
        <v>138</v>
      </c>
      <c r="Y461" t="s">
        <v>138</v>
      </c>
      <c r="Z461" t="s">
        <v>138</v>
      </c>
      <c r="AA461" t="s">
        <v>138</v>
      </c>
      <c r="AB461" t="s">
        <v>138</v>
      </c>
      <c r="AC461" t="s">
        <v>138</v>
      </c>
      <c r="AD461" t="s">
        <v>138</v>
      </c>
      <c r="AE461" t="s">
        <v>138</v>
      </c>
      <c r="AF461" t="s">
        <v>138</v>
      </c>
      <c r="AG461" t="s">
        <v>138</v>
      </c>
    </row>
    <row r="462" spans="1:34">
      <c r="A462">
        <v>5</v>
      </c>
      <c r="B462">
        <v>7371</v>
      </c>
      <c r="C462" t="s">
        <v>201</v>
      </c>
      <c r="D462">
        <v>240</v>
      </c>
      <c r="E462" s="234">
        <v>0</v>
      </c>
      <c r="F462" s="234">
        <v>2357142.8571428601</v>
      </c>
      <c r="G462" s="234" t="s">
        <v>138</v>
      </c>
      <c r="H462" s="234" t="s">
        <v>138</v>
      </c>
      <c r="I462" s="893">
        <v>44147</v>
      </c>
      <c r="J462" t="s">
        <v>138</v>
      </c>
      <c r="K462" t="s">
        <v>138</v>
      </c>
      <c r="L462" t="s">
        <v>138</v>
      </c>
      <c r="M462" t="s">
        <v>138</v>
      </c>
      <c r="N462" t="s">
        <v>138</v>
      </c>
      <c r="O462" t="s">
        <v>138</v>
      </c>
      <c r="P462" t="s">
        <v>138</v>
      </c>
      <c r="Q462" t="s">
        <v>138</v>
      </c>
      <c r="R462" t="s">
        <v>138</v>
      </c>
      <c r="S462" t="s">
        <v>138</v>
      </c>
      <c r="T462" t="s">
        <v>138</v>
      </c>
      <c r="U462" t="s">
        <v>138</v>
      </c>
      <c r="V462" t="s">
        <v>138</v>
      </c>
      <c r="W462" t="s">
        <v>138</v>
      </c>
      <c r="X462" t="s">
        <v>138</v>
      </c>
      <c r="Y462" t="s">
        <v>138</v>
      </c>
      <c r="Z462" t="s">
        <v>138</v>
      </c>
      <c r="AA462" t="s">
        <v>138</v>
      </c>
      <c r="AB462" t="s">
        <v>138</v>
      </c>
      <c r="AC462" t="s">
        <v>138</v>
      </c>
      <c r="AD462" t="s">
        <v>138</v>
      </c>
      <c r="AE462" t="s">
        <v>138</v>
      </c>
      <c r="AF462" t="s">
        <v>138</v>
      </c>
      <c r="AG462" t="s">
        <v>138</v>
      </c>
    </row>
    <row r="463" spans="1:34">
      <c r="A463">
        <v>6</v>
      </c>
      <c r="B463">
        <v>7371</v>
      </c>
      <c r="C463" t="s">
        <v>201</v>
      </c>
      <c r="D463">
        <v>240</v>
      </c>
      <c r="E463" s="234">
        <v>0</v>
      </c>
      <c r="F463" s="234">
        <v>2357142.8571428601</v>
      </c>
      <c r="G463" s="234" t="s">
        <v>138</v>
      </c>
      <c r="H463" s="234" t="s">
        <v>138</v>
      </c>
      <c r="I463" s="893">
        <v>44179</v>
      </c>
      <c r="J463" t="s">
        <v>138</v>
      </c>
      <c r="K463" t="s">
        <v>138</v>
      </c>
      <c r="L463" t="s">
        <v>138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138</v>
      </c>
      <c r="W463" t="s">
        <v>138</v>
      </c>
      <c r="X463" t="s">
        <v>138</v>
      </c>
      <c r="Y463" t="s">
        <v>138</v>
      </c>
      <c r="Z463" t="s">
        <v>138</v>
      </c>
      <c r="AA463" t="s">
        <v>138</v>
      </c>
      <c r="AB463" t="s">
        <v>138</v>
      </c>
      <c r="AC463" t="s">
        <v>138</v>
      </c>
      <c r="AD463" t="s">
        <v>138</v>
      </c>
      <c r="AE463" t="s">
        <v>138</v>
      </c>
      <c r="AF463" t="s">
        <v>138</v>
      </c>
      <c r="AG463" t="s">
        <v>138</v>
      </c>
    </row>
    <row r="464" spans="1:34">
      <c r="A464">
        <v>7</v>
      </c>
      <c r="B464">
        <v>7371</v>
      </c>
      <c r="C464" t="s">
        <v>201</v>
      </c>
      <c r="D464">
        <v>240</v>
      </c>
      <c r="E464" s="234">
        <v>0</v>
      </c>
      <c r="F464" s="234">
        <v>2357142.8571428601</v>
      </c>
      <c r="G464" s="234" t="s">
        <v>138</v>
      </c>
      <c r="H464" s="234" t="s">
        <v>138</v>
      </c>
      <c r="I464" s="893">
        <v>44193</v>
      </c>
      <c r="J464" t="s">
        <v>138</v>
      </c>
      <c r="K464" t="s">
        <v>138</v>
      </c>
      <c r="L464" t="s">
        <v>138</v>
      </c>
      <c r="M464" t="s">
        <v>138</v>
      </c>
      <c r="N464" t="s">
        <v>138</v>
      </c>
      <c r="O464" t="s">
        <v>138</v>
      </c>
      <c r="P464" t="s">
        <v>138</v>
      </c>
      <c r="Q464" t="s">
        <v>138</v>
      </c>
      <c r="R464" t="s">
        <v>138</v>
      </c>
      <c r="S464" t="s">
        <v>138</v>
      </c>
      <c r="T464" t="s">
        <v>138</v>
      </c>
      <c r="U464" t="s">
        <v>138</v>
      </c>
      <c r="V464" t="s">
        <v>138</v>
      </c>
      <c r="W464" t="s">
        <v>138</v>
      </c>
      <c r="X464" t="s">
        <v>138</v>
      </c>
      <c r="Y464" t="s">
        <v>138</v>
      </c>
      <c r="Z464" t="s">
        <v>138</v>
      </c>
      <c r="AA464" t="s">
        <v>138</v>
      </c>
      <c r="AB464" t="s">
        <v>138</v>
      </c>
      <c r="AC464" t="s">
        <v>138</v>
      </c>
      <c r="AD464" t="s">
        <v>138</v>
      </c>
      <c r="AE464" t="s">
        <v>138</v>
      </c>
      <c r="AF464" t="s">
        <v>138</v>
      </c>
      <c r="AG464" t="s">
        <v>138</v>
      </c>
    </row>
    <row r="465" spans="1:33">
      <c r="A465">
        <v>8</v>
      </c>
      <c r="B465">
        <v>7371</v>
      </c>
      <c r="C465" t="s">
        <v>201</v>
      </c>
      <c r="D465">
        <v>240</v>
      </c>
      <c r="E465" s="234">
        <v>0</v>
      </c>
      <c r="F465" s="234">
        <v>0</v>
      </c>
      <c r="G465" s="234" t="s">
        <v>138</v>
      </c>
      <c r="H465" s="234" t="s">
        <v>138</v>
      </c>
      <c r="I465" s="893">
        <v>44208</v>
      </c>
      <c r="J465" t="s">
        <v>138</v>
      </c>
      <c r="K465" t="s">
        <v>138</v>
      </c>
      <c r="L465" t="s">
        <v>138</v>
      </c>
      <c r="M465" t="s">
        <v>138</v>
      </c>
      <c r="N465" t="s">
        <v>138</v>
      </c>
      <c r="O465" t="s">
        <v>138</v>
      </c>
      <c r="P465" t="s">
        <v>138</v>
      </c>
      <c r="Q465" t="s">
        <v>138</v>
      </c>
      <c r="R465" t="s">
        <v>138</v>
      </c>
      <c r="S465" t="s">
        <v>138</v>
      </c>
      <c r="T465" t="s">
        <v>138</v>
      </c>
      <c r="U465" t="s">
        <v>138</v>
      </c>
      <c r="V465" t="s">
        <v>138</v>
      </c>
      <c r="W465" t="s">
        <v>138</v>
      </c>
      <c r="X465" t="s">
        <v>138</v>
      </c>
      <c r="Y465" t="s">
        <v>138</v>
      </c>
      <c r="Z465" t="s">
        <v>138</v>
      </c>
      <c r="AA465" t="s">
        <v>138</v>
      </c>
      <c r="AB465" t="s">
        <v>138</v>
      </c>
      <c r="AC465" t="s">
        <v>138</v>
      </c>
      <c r="AD465" t="s">
        <v>138</v>
      </c>
      <c r="AE465" t="s">
        <v>138</v>
      </c>
      <c r="AF465" t="s">
        <v>138</v>
      </c>
      <c r="AG465" t="s">
        <v>138</v>
      </c>
    </row>
    <row r="466" spans="1:33">
      <c r="A466">
        <v>1</v>
      </c>
      <c r="B466">
        <v>1000040</v>
      </c>
      <c r="C466" t="s">
        <v>202</v>
      </c>
      <c r="D466">
        <v>165</v>
      </c>
      <c r="E466">
        <v>97396427.996694505</v>
      </c>
      <c r="F466">
        <v>0</v>
      </c>
      <c r="G466">
        <v>0</v>
      </c>
      <c r="H466">
        <v>0</v>
      </c>
      <c r="I466" s="893">
        <v>44043</v>
      </c>
      <c r="J466">
        <v>1</v>
      </c>
      <c r="K466" t="s">
        <v>125</v>
      </c>
      <c r="L466">
        <v>1000040</v>
      </c>
      <c r="M466">
        <v>0.11040074720757299</v>
      </c>
      <c r="N466">
        <v>0.770537344132458</v>
      </c>
      <c r="O466">
        <v>8.1614413573386696E-2</v>
      </c>
      <c r="P466">
        <v>3.7447495086582197E-2</v>
      </c>
      <c r="Q466">
        <v>9.6506500755319996E-2</v>
      </c>
      <c r="R466">
        <v>0</v>
      </c>
      <c r="S466">
        <v>-3.6597671820187798E-3</v>
      </c>
      <c r="T466">
        <v>-1.0644741090961301E-3</v>
      </c>
      <c r="U466">
        <v>1.11447219928279E-3</v>
      </c>
      <c r="V466">
        <v>2.80894149348327E-3</v>
      </c>
      <c r="W466">
        <v>1.4695074050602301E-2</v>
      </c>
      <c r="X466">
        <v>0</v>
      </c>
      <c r="Y466">
        <v>0.81262247750501804</v>
      </c>
      <c r="Z466">
        <v>0</v>
      </c>
      <c r="AA466">
        <v>-1.5784685345165299E-2</v>
      </c>
      <c r="AB466">
        <v>0.11241535620476099</v>
      </c>
      <c r="AC466">
        <v>1.54347873407088E-2</v>
      </c>
      <c r="AD466">
        <v>-0.30284395249566798</v>
      </c>
      <c r="AE466">
        <v>0.148693360922803</v>
      </c>
      <c r="AF466">
        <v>0</v>
      </c>
      <c r="AG466" s="893">
        <v>44043</v>
      </c>
    </row>
    <row r="467" spans="1:33">
      <c r="A467">
        <v>2</v>
      </c>
      <c r="B467">
        <v>1000040</v>
      </c>
      <c r="C467" t="s">
        <v>202</v>
      </c>
      <c r="D467">
        <v>165</v>
      </c>
      <c r="E467">
        <v>0</v>
      </c>
      <c r="F467">
        <v>0</v>
      </c>
      <c r="G467" t="s">
        <v>138</v>
      </c>
      <c r="H467" t="s">
        <v>138</v>
      </c>
      <c r="I467" s="893">
        <v>44055</v>
      </c>
      <c r="J467">
        <v>2</v>
      </c>
      <c r="K467" t="s">
        <v>125</v>
      </c>
      <c r="L467">
        <v>1000040</v>
      </c>
      <c r="M467">
        <v>0</v>
      </c>
      <c r="N467" t="s">
        <v>138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138</v>
      </c>
      <c r="Z467" t="s">
        <v>138</v>
      </c>
      <c r="AA467" t="s">
        <v>138</v>
      </c>
      <c r="AB467" t="s">
        <v>138</v>
      </c>
      <c r="AC467" t="s">
        <v>138</v>
      </c>
      <c r="AD467" t="s">
        <v>138</v>
      </c>
      <c r="AE467" t="s">
        <v>138</v>
      </c>
      <c r="AF467" t="s">
        <v>138</v>
      </c>
      <c r="AG467" s="893">
        <v>44055</v>
      </c>
    </row>
    <row r="468" spans="1:33">
      <c r="A468">
        <v>3</v>
      </c>
      <c r="B468">
        <v>1000040</v>
      </c>
      <c r="C468" t="s">
        <v>202</v>
      </c>
      <c r="D468">
        <v>165</v>
      </c>
      <c r="E468">
        <v>0</v>
      </c>
      <c r="F468">
        <v>0</v>
      </c>
      <c r="G468" t="s">
        <v>138</v>
      </c>
      <c r="H468" t="s">
        <v>138</v>
      </c>
      <c r="I468" s="893">
        <v>44088</v>
      </c>
      <c r="J468">
        <v>3</v>
      </c>
      <c r="K468" t="s">
        <v>125</v>
      </c>
      <c r="L468">
        <v>1000040</v>
      </c>
      <c r="M468">
        <v>0</v>
      </c>
      <c r="N468" t="s">
        <v>138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138</v>
      </c>
      <c r="Z468" t="s">
        <v>138</v>
      </c>
      <c r="AA468" t="s">
        <v>138</v>
      </c>
      <c r="AB468" t="s">
        <v>138</v>
      </c>
      <c r="AC468" t="s">
        <v>138</v>
      </c>
      <c r="AD468" t="s">
        <v>138</v>
      </c>
      <c r="AE468" t="s">
        <v>138</v>
      </c>
      <c r="AF468" t="s">
        <v>138</v>
      </c>
      <c r="AG468" s="893">
        <v>44088</v>
      </c>
    </row>
    <row r="469" spans="1:33">
      <c r="A469">
        <v>4</v>
      </c>
      <c r="B469">
        <v>1000040</v>
      </c>
      <c r="C469" t="s">
        <v>202</v>
      </c>
      <c r="D469">
        <v>165</v>
      </c>
      <c r="E469">
        <v>0</v>
      </c>
      <c r="F469">
        <v>0</v>
      </c>
      <c r="G469" t="s">
        <v>138</v>
      </c>
      <c r="H469" t="s">
        <v>138</v>
      </c>
      <c r="I469" s="893">
        <v>44117</v>
      </c>
      <c r="J469">
        <v>4</v>
      </c>
      <c r="K469" t="s">
        <v>125</v>
      </c>
      <c r="L469">
        <v>1000040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138</v>
      </c>
      <c r="Z469" t="s">
        <v>138</v>
      </c>
      <c r="AA469" t="s">
        <v>138</v>
      </c>
      <c r="AB469" t="s">
        <v>138</v>
      </c>
      <c r="AC469" t="s">
        <v>138</v>
      </c>
      <c r="AD469" t="s">
        <v>138</v>
      </c>
      <c r="AE469" t="s">
        <v>138</v>
      </c>
      <c r="AF469" t="s">
        <v>138</v>
      </c>
      <c r="AG469" s="893">
        <v>44117</v>
      </c>
    </row>
    <row r="470" spans="1:33">
      <c r="A470">
        <v>5</v>
      </c>
      <c r="B470">
        <v>1000040</v>
      </c>
      <c r="C470" t="s">
        <v>202</v>
      </c>
      <c r="D470">
        <v>165</v>
      </c>
      <c r="E470">
        <v>0</v>
      </c>
      <c r="F470">
        <v>0</v>
      </c>
      <c r="G470" t="s">
        <v>138</v>
      </c>
      <c r="H470" t="s">
        <v>138</v>
      </c>
      <c r="I470" s="893">
        <v>44147</v>
      </c>
      <c r="J470">
        <v>5</v>
      </c>
      <c r="K470" t="s">
        <v>125</v>
      </c>
      <c r="L470">
        <v>1000040</v>
      </c>
      <c r="M470" t="s">
        <v>138</v>
      </c>
      <c r="N470" t="s">
        <v>138</v>
      </c>
      <c r="O470" t="s">
        <v>138</v>
      </c>
      <c r="P470" t="s">
        <v>138</v>
      </c>
      <c r="Q470" t="s">
        <v>138</v>
      </c>
      <c r="R470" t="s">
        <v>138</v>
      </c>
      <c r="S470" t="s">
        <v>138</v>
      </c>
      <c r="T470" t="s">
        <v>138</v>
      </c>
      <c r="U470" t="s">
        <v>138</v>
      </c>
      <c r="V470" t="s">
        <v>138</v>
      </c>
      <c r="W470" t="s">
        <v>138</v>
      </c>
      <c r="X470" t="s">
        <v>138</v>
      </c>
      <c r="Y470" t="s">
        <v>138</v>
      </c>
      <c r="Z470" t="s">
        <v>138</v>
      </c>
      <c r="AA470" t="s">
        <v>138</v>
      </c>
      <c r="AB470" t="s">
        <v>138</v>
      </c>
      <c r="AC470" t="s">
        <v>138</v>
      </c>
      <c r="AD470" t="s">
        <v>138</v>
      </c>
      <c r="AE470" t="s">
        <v>138</v>
      </c>
      <c r="AF470" t="s">
        <v>138</v>
      </c>
      <c r="AG470" s="893">
        <v>44147</v>
      </c>
    </row>
    <row r="471" spans="1:33">
      <c r="A471">
        <v>6</v>
      </c>
      <c r="B471">
        <v>1000040</v>
      </c>
      <c r="C471" t="s">
        <v>202</v>
      </c>
      <c r="D471">
        <v>165</v>
      </c>
      <c r="E471">
        <v>0</v>
      </c>
      <c r="F471">
        <v>0</v>
      </c>
      <c r="G471" t="s">
        <v>138</v>
      </c>
      <c r="H471" t="s">
        <v>138</v>
      </c>
      <c r="I471" s="893">
        <v>44179</v>
      </c>
      <c r="J471">
        <v>6</v>
      </c>
      <c r="K471" t="s">
        <v>125</v>
      </c>
      <c r="L471">
        <v>1000040</v>
      </c>
      <c r="M471" t="s">
        <v>138</v>
      </c>
      <c r="N471" t="s">
        <v>138</v>
      </c>
      <c r="O471" t="s">
        <v>138</v>
      </c>
      <c r="P471" t="s">
        <v>138</v>
      </c>
      <c r="Q471" t="s">
        <v>138</v>
      </c>
      <c r="R471" t="s">
        <v>138</v>
      </c>
      <c r="S471" t="s">
        <v>138</v>
      </c>
      <c r="T471" t="s">
        <v>138</v>
      </c>
      <c r="U471" t="s">
        <v>138</v>
      </c>
      <c r="V471" t="s">
        <v>138</v>
      </c>
      <c r="W471" t="s">
        <v>138</v>
      </c>
      <c r="X471" t="s">
        <v>138</v>
      </c>
      <c r="Y471" t="s">
        <v>138</v>
      </c>
      <c r="Z471" t="s">
        <v>138</v>
      </c>
      <c r="AA471" t="s">
        <v>138</v>
      </c>
      <c r="AB471" t="s">
        <v>138</v>
      </c>
      <c r="AC471" t="s">
        <v>138</v>
      </c>
      <c r="AD471" t="s">
        <v>138</v>
      </c>
      <c r="AE471" t="s">
        <v>138</v>
      </c>
      <c r="AF471" t="s">
        <v>138</v>
      </c>
      <c r="AG471" s="893">
        <v>44179</v>
      </c>
    </row>
    <row r="472" spans="1:33">
      <c r="A472">
        <v>7</v>
      </c>
      <c r="B472">
        <v>1000040</v>
      </c>
      <c r="C472" t="s">
        <v>202</v>
      </c>
      <c r="D472">
        <v>165</v>
      </c>
      <c r="E472">
        <v>0</v>
      </c>
      <c r="F472">
        <v>0</v>
      </c>
      <c r="G472" t="s">
        <v>138</v>
      </c>
      <c r="H472" t="s">
        <v>138</v>
      </c>
      <c r="I472" s="893">
        <v>44193</v>
      </c>
      <c r="J472">
        <v>7</v>
      </c>
      <c r="K472" t="s">
        <v>125</v>
      </c>
      <c r="L472">
        <v>1000040</v>
      </c>
      <c r="M472" t="s">
        <v>138</v>
      </c>
      <c r="N472" t="s">
        <v>138</v>
      </c>
      <c r="O472" t="s">
        <v>138</v>
      </c>
      <c r="P472" t="s">
        <v>138</v>
      </c>
      <c r="Q472" t="s">
        <v>138</v>
      </c>
      <c r="R472" t="s">
        <v>138</v>
      </c>
      <c r="S472" t="s">
        <v>138</v>
      </c>
      <c r="T472" t="s">
        <v>138</v>
      </c>
      <c r="U472" t="s">
        <v>138</v>
      </c>
      <c r="V472" t="s">
        <v>138</v>
      </c>
      <c r="W472" t="s">
        <v>138</v>
      </c>
      <c r="X472" t="s">
        <v>138</v>
      </c>
      <c r="Y472" t="s">
        <v>138</v>
      </c>
      <c r="Z472" t="s">
        <v>138</v>
      </c>
      <c r="AA472" t="s">
        <v>138</v>
      </c>
      <c r="AB472" t="s">
        <v>138</v>
      </c>
      <c r="AC472" t="s">
        <v>138</v>
      </c>
      <c r="AD472" t="s">
        <v>138</v>
      </c>
      <c r="AE472" t="s">
        <v>138</v>
      </c>
      <c r="AF472" t="s">
        <v>138</v>
      </c>
      <c r="AG472" s="893">
        <v>44193</v>
      </c>
    </row>
    <row r="473" spans="1:33">
      <c r="A473">
        <v>8</v>
      </c>
      <c r="B473">
        <v>1000040</v>
      </c>
      <c r="C473" t="s">
        <v>202</v>
      </c>
      <c r="D473">
        <v>165</v>
      </c>
      <c r="E473">
        <v>0</v>
      </c>
      <c r="F473">
        <v>0</v>
      </c>
      <c r="G473" t="s">
        <v>138</v>
      </c>
      <c r="H473" t="s">
        <v>138</v>
      </c>
      <c r="I473" s="893">
        <v>44208</v>
      </c>
      <c r="J473">
        <v>8</v>
      </c>
      <c r="K473" t="s">
        <v>125</v>
      </c>
      <c r="L473">
        <v>1000040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  <c r="Y473" t="s">
        <v>138</v>
      </c>
      <c r="Z473" t="s">
        <v>138</v>
      </c>
      <c r="AA473" t="s">
        <v>138</v>
      </c>
      <c r="AB473" t="s">
        <v>138</v>
      </c>
      <c r="AC473" t="s">
        <v>138</v>
      </c>
      <c r="AD473" t="s">
        <v>138</v>
      </c>
      <c r="AE473" t="s">
        <v>138</v>
      </c>
      <c r="AF473" t="s">
        <v>138</v>
      </c>
      <c r="AG473" s="893">
        <v>44208</v>
      </c>
    </row>
    <row r="474" spans="1:33">
      <c r="A474">
        <v>1</v>
      </c>
      <c r="B474">
        <v>1000041</v>
      </c>
      <c r="C474" t="s">
        <v>203</v>
      </c>
      <c r="D474">
        <v>166</v>
      </c>
      <c r="E474">
        <v>35249144.286588296</v>
      </c>
      <c r="F474">
        <v>0</v>
      </c>
      <c r="G474">
        <v>0</v>
      </c>
      <c r="H474">
        <v>0</v>
      </c>
      <c r="I474" s="893">
        <v>44043</v>
      </c>
      <c r="J474">
        <v>1</v>
      </c>
      <c r="K474" t="s">
        <v>204</v>
      </c>
      <c r="L474">
        <v>1000041</v>
      </c>
      <c r="M474">
        <v>0.101899395330646</v>
      </c>
      <c r="N474">
        <v>0.82492664823351802</v>
      </c>
      <c r="O474">
        <v>1.7355063471914799E-2</v>
      </c>
      <c r="P474">
        <v>5.5818892963921597E-2</v>
      </c>
      <c r="Q474">
        <v>-2.2662159106409002E-3</v>
      </c>
      <c r="R474">
        <v>9.3922152861703495E-2</v>
      </c>
      <c r="S474">
        <v>0</v>
      </c>
      <c r="T474">
        <v>-2.30222883320575E-4</v>
      </c>
      <c r="U474">
        <v>1.05180391688056E-3</v>
      </c>
      <c r="V474">
        <v>9.6076112930103506E-3</v>
      </c>
      <c r="W474">
        <v>-1.8573394698685901E-4</v>
      </c>
      <c r="X474">
        <v>0</v>
      </c>
      <c r="Y474">
        <v>-6.9809447106852204E-2</v>
      </c>
      <c r="Z474">
        <v>0.94643762471911297</v>
      </c>
      <c r="AA474">
        <v>-6.4497023381543403E-3</v>
      </c>
      <c r="AB474">
        <v>0.22784198505762099</v>
      </c>
      <c r="AC474">
        <v>2.02979884172407E-2</v>
      </c>
      <c r="AD474">
        <v>-0.34477089908986602</v>
      </c>
      <c r="AE474">
        <v>5.13790985744145E-2</v>
      </c>
      <c r="AF474">
        <v>0</v>
      </c>
      <c r="AG474" s="893">
        <v>44043</v>
      </c>
    </row>
    <row r="475" spans="1:33">
      <c r="A475">
        <v>2</v>
      </c>
      <c r="B475">
        <v>1000041</v>
      </c>
      <c r="C475" t="s">
        <v>203</v>
      </c>
      <c r="D475">
        <v>166</v>
      </c>
      <c r="E475">
        <v>13702748.626934299</v>
      </c>
      <c r="F475">
        <v>0</v>
      </c>
      <c r="G475" t="s">
        <v>138</v>
      </c>
      <c r="H475" t="s">
        <v>138</v>
      </c>
      <c r="I475" s="893">
        <v>44055</v>
      </c>
      <c r="J475">
        <v>2</v>
      </c>
      <c r="K475" t="s">
        <v>204</v>
      </c>
      <c r="L475">
        <v>1000041</v>
      </c>
      <c r="M475">
        <v>0.79217426289116599</v>
      </c>
      <c r="N475" t="s">
        <v>138</v>
      </c>
      <c r="O475">
        <v>4.1202431499999997E-2</v>
      </c>
      <c r="P475">
        <v>0.16662330559999999</v>
      </c>
      <c r="Q475">
        <v>-0.27539679331063899</v>
      </c>
      <c r="R475">
        <v>0.63084551931717303</v>
      </c>
      <c r="S475">
        <v>0</v>
      </c>
      <c r="T475">
        <v>0.41325545000791097</v>
      </c>
      <c r="U475">
        <v>2.4156878147156401E-2</v>
      </c>
      <c r="V475">
        <v>-2.72035657289887E-3</v>
      </c>
      <c r="W475">
        <v>2.0335653024619901E-3</v>
      </c>
      <c r="X475">
        <v>0</v>
      </c>
      <c r="Y475" t="s">
        <v>138</v>
      </c>
      <c r="Z475" t="s">
        <v>138</v>
      </c>
      <c r="AA475" t="s">
        <v>138</v>
      </c>
      <c r="AB475" t="s">
        <v>138</v>
      </c>
      <c r="AC475" t="s">
        <v>138</v>
      </c>
      <c r="AD475" t="s">
        <v>138</v>
      </c>
      <c r="AE475" t="s">
        <v>138</v>
      </c>
      <c r="AF475" t="s">
        <v>138</v>
      </c>
      <c r="AG475" s="893">
        <v>44055</v>
      </c>
    </row>
    <row r="476" spans="1:33">
      <c r="A476">
        <v>3</v>
      </c>
      <c r="B476">
        <v>1000041</v>
      </c>
      <c r="C476" t="s">
        <v>203</v>
      </c>
      <c r="D476">
        <v>166</v>
      </c>
      <c r="E476">
        <v>10644802.156550201</v>
      </c>
      <c r="F476">
        <v>0</v>
      </c>
      <c r="G476" t="s">
        <v>138</v>
      </c>
      <c r="H476" t="s">
        <v>138</v>
      </c>
      <c r="I476" s="893">
        <v>44088</v>
      </c>
      <c r="J476">
        <v>3</v>
      </c>
      <c r="K476" t="s">
        <v>204</v>
      </c>
      <c r="L476">
        <v>1000041</v>
      </c>
      <c r="M476">
        <v>0.81493726663561294</v>
      </c>
      <c r="N476" t="s">
        <v>138</v>
      </c>
      <c r="O476">
        <v>0.18506273340000001</v>
      </c>
      <c r="P476">
        <v>0</v>
      </c>
      <c r="Q476">
        <v>-0.25062098195854698</v>
      </c>
      <c r="R476">
        <v>0.76044757396019003</v>
      </c>
      <c r="S476">
        <v>0</v>
      </c>
      <c r="T476">
        <v>0.32965947325517703</v>
      </c>
      <c r="U476">
        <v>3.58970551800777E-2</v>
      </c>
      <c r="V476">
        <v>-6.01815174282413E-2</v>
      </c>
      <c r="W476">
        <v>-2.6433637304320602E-4</v>
      </c>
      <c r="X476">
        <v>0</v>
      </c>
      <c r="Y476" t="s">
        <v>138</v>
      </c>
      <c r="Z476" t="s">
        <v>138</v>
      </c>
      <c r="AA476" t="s">
        <v>138</v>
      </c>
      <c r="AB476" t="s">
        <v>138</v>
      </c>
      <c r="AC476" t="s">
        <v>138</v>
      </c>
      <c r="AD476" t="s">
        <v>138</v>
      </c>
      <c r="AE476" t="s">
        <v>138</v>
      </c>
      <c r="AF476" t="s">
        <v>138</v>
      </c>
      <c r="AG476" s="893">
        <v>44088</v>
      </c>
    </row>
    <row r="477" spans="1:33">
      <c r="A477">
        <v>4</v>
      </c>
      <c r="B477">
        <v>1000041</v>
      </c>
      <c r="C477" t="s">
        <v>203</v>
      </c>
      <c r="D477">
        <v>166</v>
      </c>
      <c r="E477">
        <v>1649890.9299272201</v>
      </c>
      <c r="F477">
        <v>0</v>
      </c>
      <c r="G477" t="s">
        <v>138</v>
      </c>
      <c r="H477" t="s">
        <v>138</v>
      </c>
      <c r="I477" s="893">
        <v>44117</v>
      </c>
      <c r="J477">
        <v>4</v>
      </c>
      <c r="K477" t="s">
        <v>204</v>
      </c>
      <c r="L477">
        <v>1000041</v>
      </c>
      <c r="M477">
        <v>1</v>
      </c>
      <c r="N477">
        <v>0</v>
      </c>
      <c r="O477">
        <v>0</v>
      </c>
      <c r="P477">
        <v>0</v>
      </c>
      <c r="Q477">
        <v>-0.45029353756413099</v>
      </c>
      <c r="R477">
        <v>0.93136450231998003</v>
      </c>
      <c r="S477">
        <v>-2.3008365499042701E-5</v>
      </c>
      <c r="T477">
        <v>0.51857948491682304</v>
      </c>
      <c r="U477">
        <v>3.97213663859338E-2</v>
      </c>
      <c r="V477">
        <v>-3.9659559373287502E-2</v>
      </c>
      <c r="W477">
        <v>3.1075168018006798E-4</v>
      </c>
      <c r="X477">
        <v>0</v>
      </c>
      <c r="Y477" t="s">
        <v>138</v>
      </c>
      <c r="Z477" t="s">
        <v>138</v>
      </c>
      <c r="AA477" t="s">
        <v>138</v>
      </c>
      <c r="AB477" t="s">
        <v>138</v>
      </c>
      <c r="AC477" t="s">
        <v>138</v>
      </c>
      <c r="AD477" t="s">
        <v>138</v>
      </c>
      <c r="AE477" t="s">
        <v>138</v>
      </c>
      <c r="AF477" t="s">
        <v>138</v>
      </c>
      <c r="AG477" s="893">
        <v>44117</v>
      </c>
    </row>
    <row r="478" spans="1:33">
      <c r="A478">
        <v>5</v>
      </c>
      <c r="B478">
        <v>1000041</v>
      </c>
      <c r="C478" t="s">
        <v>203</v>
      </c>
      <c r="D478">
        <v>166</v>
      </c>
      <c r="E478">
        <v>0</v>
      </c>
      <c r="F478">
        <v>0</v>
      </c>
      <c r="G478" t="s">
        <v>138</v>
      </c>
      <c r="H478" t="s">
        <v>138</v>
      </c>
      <c r="I478" s="893">
        <v>44147</v>
      </c>
      <c r="J478">
        <v>5</v>
      </c>
      <c r="K478" t="s">
        <v>204</v>
      </c>
      <c r="L478">
        <v>1000041</v>
      </c>
      <c r="M478" t="s">
        <v>138</v>
      </c>
      <c r="N478" t="s">
        <v>138</v>
      </c>
      <c r="O478" t="s">
        <v>138</v>
      </c>
      <c r="P478" t="s">
        <v>138</v>
      </c>
      <c r="Q478" t="s">
        <v>138</v>
      </c>
      <c r="R478" t="s">
        <v>138</v>
      </c>
      <c r="S478" t="s">
        <v>138</v>
      </c>
      <c r="T478" t="s">
        <v>138</v>
      </c>
      <c r="U478" t="s">
        <v>138</v>
      </c>
      <c r="V478" t="s">
        <v>138</v>
      </c>
      <c r="W478" t="s">
        <v>138</v>
      </c>
      <c r="X478" t="s">
        <v>138</v>
      </c>
      <c r="Y478" t="s">
        <v>138</v>
      </c>
      <c r="Z478" t="s">
        <v>138</v>
      </c>
      <c r="AA478" t="s">
        <v>138</v>
      </c>
      <c r="AB478" t="s">
        <v>138</v>
      </c>
      <c r="AC478" t="s">
        <v>138</v>
      </c>
      <c r="AD478" t="s">
        <v>138</v>
      </c>
      <c r="AE478" t="s">
        <v>138</v>
      </c>
      <c r="AF478" t="s">
        <v>138</v>
      </c>
      <c r="AG478" s="893">
        <v>44147</v>
      </c>
    </row>
    <row r="479" spans="1:33">
      <c r="A479">
        <v>6</v>
      </c>
      <c r="B479">
        <v>1000041</v>
      </c>
      <c r="C479" t="s">
        <v>203</v>
      </c>
      <c r="D479">
        <v>166</v>
      </c>
      <c r="E479">
        <v>0</v>
      </c>
      <c r="F479">
        <v>0</v>
      </c>
      <c r="G479" t="s">
        <v>138</v>
      </c>
      <c r="H479" t="s">
        <v>138</v>
      </c>
      <c r="I479" s="893">
        <v>44179</v>
      </c>
      <c r="J479">
        <v>6</v>
      </c>
      <c r="K479" t="s">
        <v>204</v>
      </c>
      <c r="L479">
        <v>1000041</v>
      </c>
      <c r="M479" t="s">
        <v>138</v>
      </c>
      <c r="N479" t="s">
        <v>138</v>
      </c>
      <c r="O479" t="s">
        <v>138</v>
      </c>
      <c r="P479" t="s">
        <v>138</v>
      </c>
      <c r="Q479" t="s">
        <v>138</v>
      </c>
      <c r="R479" t="s">
        <v>138</v>
      </c>
      <c r="S479" t="s">
        <v>138</v>
      </c>
      <c r="T479" t="s">
        <v>138</v>
      </c>
      <c r="U479" t="s">
        <v>138</v>
      </c>
      <c r="V479" t="s">
        <v>138</v>
      </c>
      <c r="W479" t="s">
        <v>138</v>
      </c>
      <c r="X479" t="s">
        <v>138</v>
      </c>
      <c r="Y479" t="s">
        <v>138</v>
      </c>
      <c r="Z479" t="s">
        <v>138</v>
      </c>
      <c r="AA479" t="s">
        <v>138</v>
      </c>
      <c r="AB479" t="s">
        <v>138</v>
      </c>
      <c r="AC479" t="s">
        <v>138</v>
      </c>
      <c r="AD479" t="s">
        <v>138</v>
      </c>
      <c r="AE479" t="s">
        <v>138</v>
      </c>
      <c r="AF479" t="s">
        <v>138</v>
      </c>
      <c r="AG479" s="893">
        <v>44179</v>
      </c>
    </row>
    <row r="480" spans="1:33">
      <c r="A480">
        <v>7</v>
      </c>
      <c r="B480">
        <v>1000041</v>
      </c>
      <c r="C480" t="s">
        <v>203</v>
      </c>
      <c r="D480">
        <v>166</v>
      </c>
      <c r="E480">
        <v>0</v>
      </c>
      <c r="F480">
        <v>0</v>
      </c>
      <c r="G480" t="s">
        <v>138</v>
      </c>
      <c r="H480" t="s">
        <v>138</v>
      </c>
      <c r="I480" s="893">
        <v>44193</v>
      </c>
      <c r="J480">
        <v>7</v>
      </c>
      <c r="K480" t="s">
        <v>204</v>
      </c>
      <c r="L480">
        <v>1000041</v>
      </c>
      <c r="M480" t="s">
        <v>138</v>
      </c>
      <c r="N480" t="s">
        <v>138</v>
      </c>
      <c r="O480" t="s">
        <v>138</v>
      </c>
      <c r="P480" t="s">
        <v>138</v>
      </c>
      <c r="Q480" t="s">
        <v>138</v>
      </c>
      <c r="R480" t="s">
        <v>138</v>
      </c>
      <c r="S480" t="s">
        <v>138</v>
      </c>
      <c r="T480" t="s">
        <v>138</v>
      </c>
      <c r="U480" t="s">
        <v>138</v>
      </c>
      <c r="V480" t="s">
        <v>138</v>
      </c>
      <c r="W480" t="s">
        <v>138</v>
      </c>
      <c r="X480" t="s">
        <v>138</v>
      </c>
      <c r="Y480" t="s">
        <v>138</v>
      </c>
      <c r="Z480" t="s">
        <v>138</v>
      </c>
      <c r="AA480" t="s">
        <v>138</v>
      </c>
      <c r="AB480" t="s">
        <v>138</v>
      </c>
      <c r="AC480" t="s">
        <v>138</v>
      </c>
      <c r="AD480" t="s">
        <v>138</v>
      </c>
      <c r="AE480" t="s">
        <v>138</v>
      </c>
      <c r="AF480" t="s">
        <v>138</v>
      </c>
      <c r="AG480" s="893">
        <v>44193</v>
      </c>
    </row>
    <row r="481" spans="1:33">
      <c r="A481">
        <v>8</v>
      </c>
      <c r="B481">
        <v>1000041</v>
      </c>
      <c r="C481" t="s">
        <v>203</v>
      </c>
      <c r="D481">
        <v>166</v>
      </c>
      <c r="E481">
        <v>0</v>
      </c>
      <c r="F481">
        <v>0</v>
      </c>
      <c r="G481" t="s">
        <v>138</v>
      </c>
      <c r="H481" t="s">
        <v>138</v>
      </c>
      <c r="I481" s="893">
        <v>44208</v>
      </c>
      <c r="J481">
        <v>8</v>
      </c>
      <c r="K481" t="s">
        <v>204</v>
      </c>
      <c r="L481">
        <v>1000041</v>
      </c>
      <c r="M481" t="s">
        <v>138</v>
      </c>
      <c r="N481" t="s">
        <v>138</v>
      </c>
      <c r="O481" t="s">
        <v>138</v>
      </c>
      <c r="P481" t="s">
        <v>138</v>
      </c>
      <c r="Q481" t="s">
        <v>138</v>
      </c>
      <c r="R481" t="s">
        <v>138</v>
      </c>
      <c r="S481" t="s">
        <v>138</v>
      </c>
      <c r="T481" t="s">
        <v>138</v>
      </c>
      <c r="U481" t="s">
        <v>138</v>
      </c>
      <c r="V481" t="s">
        <v>138</v>
      </c>
      <c r="W481" t="s">
        <v>138</v>
      </c>
      <c r="X481" t="s">
        <v>138</v>
      </c>
      <c r="Y481" t="s">
        <v>138</v>
      </c>
      <c r="Z481" t="s">
        <v>138</v>
      </c>
      <c r="AA481" t="s">
        <v>138</v>
      </c>
      <c r="AB481" t="s">
        <v>138</v>
      </c>
      <c r="AC481" t="s">
        <v>138</v>
      </c>
      <c r="AD481" t="s">
        <v>138</v>
      </c>
      <c r="AE481" t="s">
        <v>138</v>
      </c>
      <c r="AF481" t="s">
        <v>138</v>
      </c>
      <c r="AG481" s="893">
        <v>44208</v>
      </c>
    </row>
    <row r="482" spans="1:33">
      <c r="A482">
        <v>1</v>
      </c>
      <c r="B482">
        <v>1000042</v>
      </c>
      <c r="C482" t="s">
        <v>205</v>
      </c>
      <c r="D482">
        <v>167</v>
      </c>
      <c r="E482">
        <v>81524285.711015806</v>
      </c>
      <c r="F482">
        <v>0</v>
      </c>
      <c r="G482">
        <v>15083437</v>
      </c>
      <c r="H482">
        <v>0</v>
      </c>
      <c r="I482" s="893">
        <v>44043</v>
      </c>
      <c r="J482">
        <v>1</v>
      </c>
      <c r="K482" t="s">
        <v>206</v>
      </c>
      <c r="L482">
        <v>1000042</v>
      </c>
      <c r="M482">
        <v>0.109326278965189</v>
      </c>
      <c r="N482">
        <v>0.73293327047415602</v>
      </c>
      <c r="O482">
        <v>0.10198958965157701</v>
      </c>
      <c r="P482">
        <v>5.5750860909077597E-2</v>
      </c>
      <c r="Q482">
        <v>-2.3662702376428899E-2</v>
      </c>
      <c r="R482">
        <v>0.113205075220026</v>
      </c>
      <c r="S482">
        <v>-2.8225366220622499E-3</v>
      </c>
      <c r="T482">
        <v>9.0481631442365304E-4</v>
      </c>
      <c r="U482">
        <v>1.8250390045902599E-3</v>
      </c>
      <c r="V482">
        <v>1.38445626496378E-2</v>
      </c>
      <c r="W482">
        <v>6.03202477500271E-3</v>
      </c>
      <c r="X482">
        <v>0</v>
      </c>
      <c r="Y482">
        <v>-0.27071127389704103</v>
      </c>
      <c r="Z482">
        <v>1.12568204246788</v>
      </c>
      <c r="AA482">
        <v>-2.2276505552554601E-2</v>
      </c>
      <c r="AB482">
        <v>0.15448751308115699</v>
      </c>
      <c r="AC482">
        <v>3.1089157763061499E-2</v>
      </c>
      <c r="AD482">
        <v>-0.41760950737318903</v>
      </c>
      <c r="AE482">
        <v>0.13227184398484701</v>
      </c>
      <c r="AF482">
        <v>0</v>
      </c>
      <c r="AG482" s="893">
        <v>44043</v>
      </c>
    </row>
    <row r="483" spans="1:33">
      <c r="A483">
        <v>2</v>
      </c>
      <c r="B483">
        <v>1000042</v>
      </c>
      <c r="C483" t="s">
        <v>205</v>
      </c>
      <c r="D483">
        <v>167</v>
      </c>
      <c r="E483">
        <v>47462583.271848202</v>
      </c>
      <c r="F483">
        <v>0</v>
      </c>
      <c r="G483" t="s">
        <v>138</v>
      </c>
      <c r="H483" t="s">
        <v>138</v>
      </c>
      <c r="I483" s="893">
        <v>44055</v>
      </c>
      <c r="J483">
        <v>2</v>
      </c>
      <c r="K483" t="s">
        <v>206</v>
      </c>
      <c r="L483">
        <v>1000042</v>
      </c>
      <c r="M483">
        <v>7.8970773247570195E-2</v>
      </c>
      <c r="N483" t="s">
        <v>138</v>
      </c>
      <c r="O483">
        <v>0.60732641490454198</v>
      </c>
      <c r="P483">
        <v>0.31370281184788801</v>
      </c>
      <c r="Q483">
        <v>-3.0598382974385099</v>
      </c>
      <c r="R483">
        <v>1.89990368382317</v>
      </c>
      <c r="S483">
        <v>0</v>
      </c>
      <c r="T483">
        <v>1.2606343625404199</v>
      </c>
      <c r="U483">
        <v>0.113617666353135</v>
      </c>
      <c r="V483">
        <v>-0.13479842191440899</v>
      </c>
      <c r="W483">
        <v>-5.4822011623560901E-4</v>
      </c>
      <c r="X483">
        <v>0</v>
      </c>
      <c r="Y483" t="s">
        <v>138</v>
      </c>
      <c r="Z483" t="s">
        <v>138</v>
      </c>
      <c r="AA483" t="s">
        <v>138</v>
      </c>
      <c r="AB483" t="s">
        <v>138</v>
      </c>
      <c r="AC483" t="s">
        <v>138</v>
      </c>
      <c r="AD483" t="s">
        <v>138</v>
      </c>
      <c r="AE483" t="s">
        <v>138</v>
      </c>
      <c r="AF483" t="s">
        <v>138</v>
      </c>
      <c r="AG483" s="893">
        <v>44055</v>
      </c>
    </row>
    <row r="484" spans="1:33">
      <c r="A484">
        <v>3</v>
      </c>
      <c r="B484">
        <v>1000042</v>
      </c>
      <c r="C484" t="s">
        <v>205</v>
      </c>
      <c r="D484">
        <v>167</v>
      </c>
      <c r="E484">
        <v>43654504.444983803</v>
      </c>
      <c r="F484">
        <v>0</v>
      </c>
      <c r="G484" t="s">
        <v>138</v>
      </c>
      <c r="H484" t="s">
        <v>138</v>
      </c>
      <c r="I484" s="893">
        <v>44088</v>
      </c>
      <c r="J484">
        <v>3</v>
      </c>
      <c r="K484" t="s">
        <v>206</v>
      </c>
      <c r="L484">
        <v>1000042</v>
      </c>
      <c r="M484">
        <v>0.407898640665673</v>
      </c>
      <c r="N484" t="s">
        <v>138</v>
      </c>
      <c r="O484">
        <v>0.138378433611895</v>
      </c>
      <c r="P484">
        <v>0.453722925722432</v>
      </c>
      <c r="Q484">
        <v>-0.81300673887619701</v>
      </c>
      <c r="R484">
        <v>0.88337991549564499</v>
      </c>
      <c r="S484">
        <v>1.7125763745277201E-11</v>
      </c>
      <c r="T484">
        <v>0.33866078943365602</v>
      </c>
      <c r="U484">
        <v>5.7547005145652801E-2</v>
      </c>
      <c r="V484">
        <v>-5.8546661866844998E-2</v>
      </c>
      <c r="W484">
        <v>-1.35668683365871E-4</v>
      </c>
      <c r="X484">
        <v>0</v>
      </c>
      <c r="Y484" t="s">
        <v>138</v>
      </c>
      <c r="Z484" t="s">
        <v>138</v>
      </c>
      <c r="AA484" t="s">
        <v>138</v>
      </c>
      <c r="AB484" t="s">
        <v>138</v>
      </c>
      <c r="AC484" t="s">
        <v>138</v>
      </c>
      <c r="AD484" t="s">
        <v>138</v>
      </c>
      <c r="AE484" t="s">
        <v>138</v>
      </c>
      <c r="AF484" t="s">
        <v>138</v>
      </c>
      <c r="AG484" s="893">
        <v>44088</v>
      </c>
    </row>
    <row r="485" spans="1:33">
      <c r="A485">
        <v>4</v>
      </c>
      <c r="B485">
        <v>1000042</v>
      </c>
      <c r="C485" t="s">
        <v>205</v>
      </c>
      <c r="D485">
        <v>167</v>
      </c>
      <c r="E485">
        <v>38005938.800682202</v>
      </c>
      <c r="F485">
        <v>0</v>
      </c>
      <c r="G485" t="s">
        <v>138</v>
      </c>
      <c r="H485" t="s">
        <v>138</v>
      </c>
      <c r="I485" s="893">
        <v>44117</v>
      </c>
      <c r="J485">
        <v>4</v>
      </c>
      <c r="K485" t="s">
        <v>206</v>
      </c>
      <c r="L485">
        <v>1000042</v>
      </c>
      <c r="M485">
        <v>0.59470870278780597</v>
      </c>
      <c r="N485">
        <v>0</v>
      </c>
      <c r="O485">
        <v>0.188177234361801</v>
      </c>
      <c r="P485">
        <v>0.217114062850393</v>
      </c>
      <c r="Q485">
        <v>-0.92525341179968001</v>
      </c>
      <c r="R485">
        <v>1.0842173647483999</v>
      </c>
      <c r="S485">
        <v>2.8731704981253801E-5</v>
      </c>
      <c r="T485">
        <v>0.45483429119586999</v>
      </c>
      <c r="U485">
        <v>5.6979835104035099E-2</v>
      </c>
      <c r="V485">
        <v>-7.5717090498745504E-2</v>
      </c>
      <c r="W485">
        <v>-3.8101766705688801E-4</v>
      </c>
      <c r="X485">
        <v>0</v>
      </c>
      <c r="Y485" t="s">
        <v>138</v>
      </c>
      <c r="Z485" t="s">
        <v>138</v>
      </c>
      <c r="AA485" t="s">
        <v>138</v>
      </c>
      <c r="AB485" t="s">
        <v>138</v>
      </c>
      <c r="AC485" t="s">
        <v>138</v>
      </c>
      <c r="AD485" t="s">
        <v>138</v>
      </c>
      <c r="AE485" t="s">
        <v>138</v>
      </c>
      <c r="AF485" t="s">
        <v>138</v>
      </c>
      <c r="AG485" s="893">
        <v>44117</v>
      </c>
    </row>
    <row r="486" spans="1:33">
      <c r="A486">
        <v>5</v>
      </c>
      <c r="B486">
        <v>1000042</v>
      </c>
      <c r="C486" t="s">
        <v>205</v>
      </c>
      <c r="D486">
        <v>167</v>
      </c>
      <c r="E486">
        <v>15686848.771469999</v>
      </c>
      <c r="F486">
        <v>0</v>
      </c>
      <c r="G486" t="s">
        <v>138</v>
      </c>
      <c r="H486" t="s">
        <v>138</v>
      </c>
      <c r="I486" s="893">
        <v>44147</v>
      </c>
      <c r="J486">
        <v>5</v>
      </c>
      <c r="K486" t="s">
        <v>206</v>
      </c>
      <c r="L486">
        <v>1000042</v>
      </c>
      <c r="M486">
        <v>0.92670959736231895</v>
      </c>
      <c r="N486">
        <v>0</v>
      </c>
      <c r="O486">
        <v>0</v>
      </c>
      <c r="P486">
        <v>7.3290402637681704E-2</v>
      </c>
      <c r="Q486">
        <v>0.103660812835406</v>
      </c>
      <c r="R486">
        <v>0.54938476125132396</v>
      </c>
      <c r="S486">
        <v>-2.5531557595426801E-5</v>
      </c>
      <c r="T486">
        <v>0.182023558764109</v>
      </c>
      <c r="U486">
        <v>2.2232140457099401E-2</v>
      </c>
      <c r="V486">
        <v>6.9534375248792094E-2</v>
      </c>
      <c r="W486">
        <v>-1.00519636816303E-4</v>
      </c>
      <c r="X486">
        <v>0</v>
      </c>
      <c r="Y486" t="s">
        <v>138</v>
      </c>
      <c r="Z486" t="s">
        <v>138</v>
      </c>
      <c r="AA486" t="s">
        <v>138</v>
      </c>
      <c r="AB486" t="s">
        <v>138</v>
      </c>
      <c r="AC486" t="s">
        <v>138</v>
      </c>
      <c r="AD486" t="s">
        <v>138</v>
      </c>
      <c r="AE486" t="s">
        <v>138</v>
      </c>
      <c r="AF486" t="s">
        <v>138</v>
      </c>
      <c r="AG486" s="893">
        <v>44147</v>
      </c>
    </row>
    <row r="487" spans="1:33">
      <c r="A487">
        <v>6</v>
      </c>
      <c r="B487">
        <v>1000042</v>
      </c>
      <c r="C487" t="s">
        <v>205</v>
      </c>
      <c r="D487">
        <v>167</v>
      </c>
      <c r="E487">
        <v>0</v>
      </c>
      <c r="F487">
        <v>0</v>
      </c>
      <c r="G487" t="s">
        <v>138</v>
      </c>
      <c r="H487" t="s">
        <v>138</v>
      </c>
      <c r="I487" s="893">
        <v>44179</v>
      </c>
      <c r="J487">
        <v>6</v>
      </c>
      <c r="K487" t="s">
        <v>206</v>
      </c>
      <c r="L487">
        <v>1000042</v>
      </c>
      <c r="M487" t="s">
        <v>138</v>
      </c>
      <c r="N487">
        <v>0</v>
      </c>
      <c r="O487" t="s">
        <v>138</v>
      </c>
      <c r="P487" t="s">
        <v>138</v>
      </c>
      <c r="Q487" t="s">
        <v>138</v>
      </c>
      <c r="R487" t="s">
        <v>138</v>
      </c>
      <c r="S487" t="s">
        <v>138</v>
      </c>
      <c r="T487" t="s">
        <v>138</v>
      </c>
      <c r="U487" t="s">
        <v>138</v>
      </c>
      <c r="V487" t="s">
        <v>138</v>
      </c>
      <c r="W487" t="s">
        <v>138</v>
      </c>
      <c r="X487" t="s">
        <v>138</v>
      </c>
      <c r="Y487" t="s">
        <v>138</v>
      </c>
      <c r="Z487" t="s">
        <v>138</v>
      </c>
      <c r="AA487" t="s">
        <v>138</v>
      </c>
      <c r="AB487" t="s">
        <v>138</v>
      </c>
      <c r="AC487" t="s">
        <v>138</v>
      </c>
      <c r="AD487" t="s">
        <v>138</v>
      </c>
      <c r="AE487" t="s">
        <v>138</v>
      </c>
      <c r="AF487" t="s">
        <v>138</v>
      </c>
      <c r="AG487" s="893">
        <v>44179</v>
      </c>
    </row>
    <row r="488" spans="1:33">
      <c r="A488">
        <v>7</v>
      </c>
      <c r="B488">
        <v>1000042</v>
      </c>
      <c r="C488" t="s">
        <v>205</v>
      </c>
      <c r="D488">
        <v>167</v>
      </c>
      <c r="E488">
        <v>0</v>
      </c>
      <c r="F488">
        <v>0</v>
      </c>
      <c r="G488" t="s">
        <v>138</v>
      </c>
      <c r="H488" t="s">
        <v>138</v>
      </c>
      <c r="I488" s="893">
        <v>44193</v>
      </c>
      <c r="J488">
        <v>7</v>
      </c>
      <c r="K488" t="s">
        <v>206</v>
      </c>
      <c r="L488">
        <v>1000042</v>
      </c>
      <c r="M488" t="s">
        <v>138</v>
      </c>
      <c r="N488">
        <v>0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  <c r="Y488" t="s">
        <v>138</v>
      </c>
      <c r="Z488" t="s">
        <v>138</v>
      </c>
      <c r="AA488" t="s">
        <v>138</v>
      </c>
      <c r="AB488" t="s">
        <v>138</v>
      </c>
      <c r="AC488" t="s">
        <v>138</v>
      </c>
      <c r="AD488" t="s">
        <v>138</v>
      </c>
      <c r="AE488" t="s">
        <v>138</v>
      </c>
      <c r="AF488" t="s">
        <v>138</v>
      </c>
      <c r="AG488" s="893">
        <v>44193</v>
      </c>
    </row>
    <row r="489" spans="1:33">
      <c r="A489">
        <v>8</v>
      </c>
      <c r="B489">
        <v>1000042</v>
      </c>
      <c r="C489" t="s">
        <v>205</v>
      </c>
      <c r="D489">
        <v>167</v>
      </c>
      <c r="E489">
        <v>0</v>
      </c>
      <c r="F489">
        <v>0</v>
      </c>
      <c r="G489" t="s">
        <v>138</v>
      </c>
      <c r="H489" t="s">
        <v>138</v>
      </c>
      <c r="I489" s="893">
        <v>44208</v>
      </c>
      <c r="J489">
        <v>8</v>
      </c>
      <c r="K489" t="s">
        <v>206</v>
      </c>
      <c r="L489">
        <v>1000042</v>
      </c>
      <c r="M489" t="s">
        <v>138</v>
      </c>
      <c r="N489">
        <v>0</v>
      </c>
      <c r="O489" t="s">
        <v>138</v>
      </c>
      <c r="P489" t="s">
        <v>138</v>
      </c>
      <c r="Q489" t="s">
        <v>138</v>
      </c>
      <c r="R489" t="s">
        <v>138</v>
      </c>
      <c r="S489" t="s">
        <v>138</v>
      </c>
      <c r="T489" t="s">
        <v>138</v>
      </c>
      <c r="U489" t="s">
        <v>138</v>
      </c>
      <c r="V489" t="s">
        <v>138</v>
      </c>
      <c r="W489" t="s">
        <v>138</v>
      </c>
      <c r="X489" t="s">
        <v>138</v>
      </c>
      <c r="Y489" t="s">
        <v>138</v>
      </c>
      <c r="Z489" t="s">
        <v>138</v>
      </c>
      <c r="AA489" t="s">
        <v>138</v>
      </c>
      <c r="AB489" t="s">
        <v>138</v>
      </c>
      <c r="AC489" t="s">
        <v>138</v>
      </c>
      <c r="AD489" t="s">
        <v>138</v>
      </c>
      <c r="AE489" t="s">
        <v>138</v>
      </c>
      <c r="AF489" t="s">
        <v>138</v>
      </c>
      <c r="AG489" s="893">
        <v>44208</v>
      </c>
    </row>
    <row r="490" spans="1:33">
      <c r="A490" t="s">
        <v>138</v>
      </c>
      <c r="B490" t="s">
        <v>138</v>
      </c>
      <c r="C490" t="e">
        <v>#N/A</v>
      </c>
      <c r="D490" t="e">
        <v>#N/A</v>
      </c>
      <c r="E490" t="s">
        <v>138</v>
      </c>
      <c r="F490" t="s">
        <v>138</v>
      </c>
      <c r="G490" t="s">
        <v>138</v>
      </c>
      <c r="H490" t="s">
        <v>138</v>
      </c>
      <c r="I490" t="s">
        <v>138</v>
      </c>
      <c r="J490">
        <v>1</v>
      </c>
      <c r="K490" t="s">
        <v>207</v>
      </c>
      <c r="L490">
        <v>83</v>
      </c>
      <c r="M490">
        <v>0.192354085172981</v>
      </c>
      <c r="N490">
        <v>0.67066344809699496</v>
      </c>
      <c r="O490">
        <v>0</v>
      </c>
      <c r="P490">
        <v>0.13698246673002301</v>
      </c>
      <c r="Q490">
        <v>0.190963145053827</v>
      </c>
      <c r="R490">
        <v>0</v>
      </c>
      <c r="S490">
        <v>-3.9356578169999204E-3</v>
      </c>
      <c r="T490">
        <v>1.15656158360868E-3</v>
      </c>
      <c r="U490">
        <v>1.5282505898426501E-3</v>
      </c>
      <c r="V490">
        <v>-2.4565615350068799E-2</v>
      </c>
      <c r="W490">
        <v>2.7207401112771801E-2</v>
      </c>
      <c r="X490">
        <v>0</v>
      </c>
      <c r="Y490">
        <v>0.84276788744882503</v>
      </c>
      <c r="Z490">
        <v>0</v>
      </c>
      <c r="AA490">
        <v>-1.8414614647071802E-2</v>
      </c>
      <c r="AB490">
        <v>1.9905009198080099E-2</v>
      </c>
      <c r="AC490">
        <v>2.0521655079857499E-2</v>
      </c>
      <c r="AD490">
        <v>-0.32381914544937201</v>
      </c>
      <c r="AE490">
        <v>0.129702656466677</v>
      </c>
      <c r="AF490">
        <v>0</v>
      </c>
      <c r="AG490" s="893">
        <v>44043</v>
      </c>
    </row>
    <row r="491" spans="1:33">
      <c r="A491" t="s">
        <v>138</v>
      </c>
      <c r="B491" t="s">
        <v>138</v>
      </c>
      <c r="C491" t="e">
        <v>#N/A</v>
      </c>
      <c r="D491" t="e">
        <v>#N/A</v>
      </c>
      <c r="E491" t="s">
        <v>138</v>
      </c>
      <c r="F491" t="s">
        <v>138</v>
      </c>
      <c r="G491" t="s">
        <v>138</v>
      </c>
      <c r="H491" t="s">
        <v>138</v>
      </c>
      <c r="I491" t="s">
        <v>138</v>
      </c>
      <c r="J491">
        <v>2</v>
      </c>
      <c r="K491" t="s">
        <v>207</v>
      </c>
      <c r="L491">
        <v>83</v>
      </c>
      <c r="M491">
        <v>0.485003664106544</v>
      </c>
      <c r="N491" t="s">
        <v>138</v>
      </c>
      <c r="O491">
        <v>0.51499633589345595</v>
      </c>
      <c r="P491">
        <v>0</v>
      </c>
      <c r="Q491">
        <v>-0.47096272951292301</v>
      </c>
      <c r="R491">
        <v>0</v>
      </c>
      <c r="S491">
        <v>-5.0461679651956103E-2</v>
      </c>
      <c r="T491">
        <v>1.7440299581078601E-2</v>
      </c>
      <c r="U491">
        <v>2.4596200085186801E-2</v>
      </c>
      <c r="V491">
        <v>0.532992626503907</v>
      </c>
      <c r="W491">
        <v>0.43139894710125098</v>
      </c>
      <c r="X491">
        <v>0</v>
      </c>
      <c r="Y491" t="s">
        <v>138</v>
      </c>
      <c r="Z491" t="s">
        <v>138</v>
      </c>
      <c r="AA491" t="s">
        <v>138</v>
      </c>
      <c r="AB491" t="s">
        <v>138</v>
      </c>
      <c r="AC491" t="s">
        <v>138</v>
      </c>
      <c r="AD491" t="s">
        <v>138</v>
      </c>
      <c r="AE491" t="s">
        <v>138</v>
      </c>
      <c r="AF491" t="s">
        <v>138</v>
      </c>
      <c r="AG491" s="893">
        <v>44055</v>
      </c>
    </row>
    <row r="492" spans="1:33">
      <c r="A492" t="s">
        <v>138</v>
      </c>
      <c r="B492" t="s">
        <v>138</v>
      </c>
      <c r="C492" t="e">
        <v>#N/A</v>
      </c>
      <c r="D492" t="e">
        <v>#N/A</v>
      </c>
      <c r="E492" t="s">
        <v>138</v>
      </c>
      <c r="F492" t="s">
        <v>138</v>
      </c>
      <c r="G492" t="s">
        <v>138</v>
      </c>
      <c r="H492" t="s">
        <v>138</v>
      </c>
      <c r="I492" t="s">
        <v>138</v>
      </c>
      <c r="J492">
        <v>3</v>
      </c>
      <c r="K492" t="s">
        <v>207</v>
      </c>
      <c r="L492">
        <v>83</v>
      </c>
      <c r="M492">
        <v>0</v>
      </c>
      <c r="N492" t="s">
        <v>138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138</v>
      </c>
      <c r="Z492" t="s">
        <v>138</v>
      </c>
      <c r="AA492" t="s">
        <v>138</v>
      </c>
      <c r="AB492" t="s">
        <v>138</v>
      </c>
      <c r="AC492" t="s">
        <v>138</v>
      </c>
      <c r="AD492" t="s">
        <v>138</v>
      </c>
      <c r="AE492" t="s">
        <v>138</v>
      </c>
      <c r="AF492" t="s">
        <v>138</v>
      </c>
      <c r="AG492" s="893">
        <v>44088</v>
      </c>
    </row>
    <row r="493" spans="1:33">
      <c r="A493" t="s">
        <v>138</v>
      </c>
      <c r="B493" t="s">
        <v>138</v>
      </c>
      <c r="C493" t="e">
        <v>#N/A</v>
      </c>
      <c r="D493" t="e">
        <v>#N/A</v>
      </c>
      <c r="E493" t="s">
        <v>138</v>
      </c>
      <c r="F493" t="s">
        <v>138</v>
      </c>
      <c r="G493" t="s">
        <v>138</v>
      </c>
      <c r="H493" t="s">
        <v>138</v>
      </c>
      <c r="I493" t="s">
        <v>138</v>
      </c>
      <c r="J493">
        <v>4</v>
      </c>
      <c r="K493" t="s">
        <v>207</v>
      </c>
      <c r="L493">
        <v>83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138</v>
      </c>
      <c r="Z493" t="s">
        <v>138</v>
      </c>
      <c r="AA493" t="s">
        <v>138</v>
      </c>
      <c r="AB493" t="s">
        <v>138</v>
      </c>
      <c r="AC493" t="s">
        <v>138</v>
      </c>
      <c r="AD493" t="s">
        <v>138</v>
      </c>
      <c r="AE493" t="s">
        <v>138</v>
      </c>
      <c r="AF493" t="s">
        <v>138</v>
      </c>
      <c r="AG493" s="893">
        <v>44117</v>
      </c>
    </row>
    <row r="494" spans="1:33">
      <c r="A494" t="s">
        <v>138</v>
      </c>
      <c r="B494" t="s">
        <v>138</v>
      </c>
      <c r="C494" t="e">
        <v>#N/A</v>
      </c>
      <c r="D494" t="e">
        <v>#N/A</v>
      </c>
      <c r="E494" t="s">
        <v>138</v>
      </c>
      <c r="F494" t="s">
        <v>138</v>
      </c>
      <c r="G494" t="s">
        <v>138</v>
      </c>
      <c r="H494" t="s">
        <v>138</v>
      </c>
      <c r="I494" t="s">
        <v>138</v>
      </c>
      <c r="J494">
        <v>5</v>
      </c>
      <c r="K494" t="s">
        <v>207</v>
      </c>
      <c r="L494">
        <v>83</v>
      </c>
      <c r="M494" t="s">
        <v>138</v>
      </c>
      <c r="N494" t="s">
        <v>138</v>
      </c>
      <c r="O494" t="s">
        <v>138</v>
      </c>
      <c r="P494" t="s">
        <v>138</v>
      </c>
      <c r="Q494" t="s">
        <v>138</v>
      </c>
      <c r="R494" t="s">
        <v>138</v>
      </c>
      <c r="S494" t="s">
        <v>138</v>
      </c>
      <c r="T494" t="s">
        <v>138</v>
      </c>
      <c r="U494" t="s">
        <v>138</v>
      </c>
      <c r="V494" t="s">
        <v>138</v>
      </c>
      <c r="W494" t="s">
        <v>138</v>
      </c>
      <c r="X494" t="s">
        <v>138</v>
      </c>
      <c r="Y494" t="s">
        <v>138</v>
      </c>
      <c r="Z494" t="s">
        <v>138</v>
      </c>
      <c r="AA494" t="s">
        <v>138</v>
      </c>
      <c r="AB494" t="s">
        <v>138</v>
      </c>
      <c r="AC494" t="s">
        <v>138</v>
      </c>
      <c r="AD494" t="s">
        <v>138</v>
      </c>
      <c r="AE494" t="s">
        <v>138</v>
      </c>
      <c r="AF494" t="s">
        <v>138</v>
      </c>
      <c r="AG494" s="893">
        <v>44147</v>
      </c>
    </row>
    <row r="495" spans="1:33">
      <c r="A495" t="s">
        <v>138</v>
      </c>
      <c r="B495" t="s">
        <v>138</v>
      </c>
      <c r="C495" t="e">
        <v>#N/A</v>
      </c>
      <c r="D495" t="e">
        <v>#N/A</v>
      </c>
      <c r="E495" t="s">
        <v>138</v>
      </c>
      <c r="F495" t="s">
        <v>138</v>
      </c>
      <c r="G495" t="s">
        <v>138</v>
      </c>
      <c r="H495" t="s">
        <v>138</v>
      </c>
      <c r="I495" t="s">
        <v>138</v>
      </c>
      <c r="J495">
        <v>6</v>
      </c>
      <c r="K495" t="s">
        <v>207</v>
      </c>
      <c r="L495">
        <v>83</v>
      </c>
      <c r="M495" t="s">
        <v>138</v>
      </c>
      <c r="N495" t="s">
        <v>138</v>
      </c>
      <c r="O495" t="s">
        <v>138</v>
      </c>
      <c r="P495" t="s">
        <v>138</v>
      </c>
      <c r="Q495" t="s">
        <v>138</v>
      </c>
      <c r="R495" t="s">
        <v>138</v>
      </c>
      <c r="S495" t="s">
        <v>138</v>
      </c>
      <c r="T495" t="s">
        <v>138</v>
      </c>
      <c r="U495" t="s">
        <v>138</v>
      </c>
      <c r="V495" t="s">
        <v>138</v>
      </c>
      <c r="W495" t="s">
        <v>138</v>
      </c>
      <c r="X495" t="s">
        <v>138</v>
      </c>
      <c r="Y495" t="s">
        <v>138</v>
      </c>
      <c r="Z495" t="s">
        <v>138</v>
      </c>
      <c r="AA495" t="s">
        <v>138</v>
      </c>
      <c r="AB495" t="s">
        <v>138</v>
      </c>
      <c r="AC495" t="s">
        <v>138</v>
      </c>
      <c r="AD495" t="s">
        <v>138</v>
      </c>
      <c r="AE495" t="s">
        <v>138</v>
      </c>
      <c r="AF495" t="s">
        <v>138</v>
      </c>
      <c r="AG495" s="893">
        <v>44179</v>
      </c>
    </row>
    <row r="496" spans="1:33">
      <c r="A496" t="s">
        <v>138</v>
      </c>
      <c r="B496" t="s">
        <v>138</v>
      </c>
      <c r="C496" t="e">
        <v>#N/A</v>
      </c>
      <c r="D496" t="e">
        <v>#N/A</v>
      </c>
      <c r="E496" t="s">
        <v>138</v>
      </c>
      <c r="F496" t="s">
        <v>138</v>
      </c>
      <c r="G496" t="s">
        <v>138</v>
      </c>
      <c r="H496" t="s">
        <v>138</v>
      </c>
      <c r="I496" t="s">
        <v>138</v>
      </c>
      <c r="J496">
        <v>7</v>
      </c>
      <c r="K496" t="s">
        <v>207</v>
      </c>
      <c r="L496">
        <v>83</v>
      </c>
      <c r="M496" t="s">
        <v>138</v>
      </c>
      <c r="N496" t="s">
        <v>138</v>
      </c>
      <c r="O496" t="s">
        <v>138</v>
      </c>
      <c r="P496" t="s">
        <v>138</v>
      </c>
      <c r="Q496" t="s">
        <v>138</v>
      </c>
      <c r="R496" t="s">
        <v>138</v>
      </c>
      <c r="S496" t="s">
        <v>138</v>
      </c>
      <c r="T496" t="s">
        <v>138</v>
      </c>
      <c r="U496" t="s">
        <v>138</v>
      </c>
      <c r="V496" t="s">
        <v>138</v>
      </c>
      <c r="W496" t="s">
        <v>138</v>
      </c>
      <c r="X496" t="s">
        <v>138</v>
      </c>
      <c r="Y496" t="s">
        <v>138</v>
      </c>
      <c r="Z496" t="s">
        <v>138</v>
      </c>
      <c r="AA496" t="s">
        <v>138</v>
      </c>
      <c r="AB496" t="s">
        <v>138</v>
      </c>
      <c r="AC496" t="s">
        <v>138</v>
      </c>
      <c r="AD496" t="s">
        <v>138</v>
      </c>
      <c r="AE496" t="s">
        <v>138</v>
      </c>
      <c r="AF496" t="s">
        <v>138</v>
      </c>
      <c r="AG496" s="893">
        <v>44193</v>
      </c>
    </row>
    <row r="497" spans="1:33">
      <c r="A497" t="s">
        <v>138</v>
      </c>
      <c r="B497" t="s">
        <v>138</v>
      </c>
      <c r="C497" t="e">
        <v>#N/A</v>
      </c>
      <c r="D497" t="e">
        <v>#N/A</v>
      </c>
      <c r="E497" t="s">
        <v>138</v>
      </c>
      <c r="F497" t="s">
        <v>138</v>
      </c>
      <c r="G497" t="s">
        <v>138</v>
      </c>
      <c r="H497" t="s">
        <v>138</v>
      </c>
      <c r="I497" t="s">
        <v>138</v>
      </c>
      <c r="J497">
        <v>8</v>
      </c>
      <c r="K497" t="s">
        <v>207</v>
      </c>
      <c r="L497">
        <v>83</v>
      </c>
      <c r="M497" t="s">
        <v>138</v>
      </c>
      <c r="N497" t="s">
        <v>138</v>
      </c>
      <c r="O497" t="s">
        <v>138</v>
      </c>
      <c r="P497" t="s">
        <v>138</v>
      </c>
      <c r="Q497" t="s">
        <v>138</v>
      </c>
      <c r="R497" t="s">
        <v>138</v>
      </c>
      <c r="S497" t="s">
        <v>138</v>
      </c>
      <c r="T497" t="s">
        <v>138</v>
      </c>
      <c r="U497" t="s">
        <v>138</v>
      </c>
      <c r="V497" t="s">
        <v>138</v>
      </c>
      <c r="W497" t="s">
        <v>138</v>
      </c>
      <c r="X497" t="s">
        <v>138</v>
      </c>
      <c r="Y497" t="s">
        <v>138</v>
      </c>
      <c r="Z497" t="s">
        <v>138</v>
      </c>
      <c r="AA497" t="s">
        <v>138</v>
      </c>
      <c r="AB497" t="s">
        <v>138</v>
      </c>
      <c r="AC497" t="s">
        <v>138</v>
      </c>
      <c r="AD497" t="s">
        <v>138</v>
      </c>
      <c r="AE497" t="s">
        <v>138</v>
      </c>
      <c r="AF497" t="s">
        <v>138</v>
      </c>
      <c r="AG497" s="893">
        <v>44208</v>
      </c>
    </row>
  </sheetData>
  <autoFilter ref="A1:AH497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141"/>
  <sheetViews>
    <sheetView topLeftCell="B1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37</v>
      </c>
      <c r="J1" s="753" t="s">
        <v>208</v>
      </c>
      <c r="K1" s="753" t="s">
        <v>214</v>
      </c>
      <c r="L1" s="753" t="s">
        <v>213</v>
      </c>
      <c r="M1" s="753" t="s">
        <v>213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37</v>
      </c>
      <c r="X1" t="s">
        <v>210</v>
      </c>
      <c r="Y1" t="s">
        <v>211</v>
      </c>
      <c r="Z1" t="s">
        <v>212</v>
      </c>
      <c r="AB1" t="s">
        <v>210</v>
      </c>
      <c r="AC1" t="s">
        <v>211</v>
      </c>
      <c r="AD1" t="s">
        <v>212</v>
      </c>
      <c r="AE1" t="s">
        <v>214</v>
      </c>
      <c r="AH1" t="s">
        <v>210</v>
      </c>
      <c r="AI1" t="s">
        <v>227</v>
      </c>
      <c r="AJ1" t="s">
        <v>229</v>
      </c>
    </row>
    <row r="2" spans="1:36">
      <c r="A2" t="s">
        <v>2310</v>
      </c>
      <c r="B2" t="s">
        <v>2311</v>
      </c>
      <c r="C2" t="s">
        <v>2312</v>
      </c>
      <c r="D2" t="s">
        <v>2313</v>
      </c>
      <c r="E2" t="s">
        <v>2179</v>
      </c>
      <c r="F2">
        <v>202104</v>
      </c>
      <c r="G2" t="s">
        <v>215</v>
      </c>
      <c r="H2">
        <v>-28832.83</v>
      </c>
      <c r="J2" s="754">
        <f>CAPA!K12</f>
        <v>504</v>
      </c>
      <c r="K2" s="754" t="s">
        <v>216</v>
      </c>
      <c r="L2" s="754" t="str">
        <f>"&gt;="&amp;K6</f>
        <v>&gt;=202107</v>
      </c>
      <c r="M2" s="754" t="str">
        <f>"&lt;="&amp;K7</f>
        <v>&lt;=202206</v>
      </c>
      <c r="O2" t="s">
        <v>2310</v>
      </c>
      <c r="P2" t="s">
        <v>2311</v>
      </c>
      <c r="Q2" t="s">
        <v>2312</v>
      </c>
      <c r="R2" t="s">
        <v>2313</v>
      </c>
      <c r="S2" t="s">
        <v>2179</v>
      </c>
      <c r="T2">
        <v>202107</v>
      </c>
      <c r="U2" t="s">
        <v>217</v>
      </c>
      <c r="V2">
        <v>15847.37</v>
      </c>
      <c r="X2" t="s">
        <v>2312</v>
      </c>
      <c r="Y2" t="s">
        <v>2313</v>
      </c>
      <c r="Z2" t="s">
        <v>2179</v>
      </c>
      <c r="AB2" t="s">
        <v>2312</v>
      </c>
      <c r="AC2" t="s">
        <v>2313</v>
      </c>
      <c r="AD2" t="s">
        <v>2179</v>
      </c>
      <c r="AE2" t="s">
        <v>217</v>
      </c>
      <c r="AH2" t="s">
        <v>2312</v>
      </c>
      <c r="AI2">
        <f>_xlfn.MAXIFS(F:F,C:C,AH2)</f>
        <v>202205</v>
      </c>
      <c r="AJ2">
        <f>IFERROR(ROUND((DATE(ROUND($K$7/100,0),$K$7-ROUND($K$7/100,0)*100,1)-DATE(ROUND(AI2/100,0),AI2-ROUND(AI2/100,0)*100,1))/30,0),"Nada")</f>
        <v>1</v>
      </c>
    </row>
    <row r="3" spans="1:36">
      <c r="A3" t="s">
        <v>2310</v>
      </c>
      <c r="B3" t="s">
        <v>2311</v>
      </c>
      <c r="C3" t="s">
        <v>2312</v>
      </c>
      <c r="D3" t="s">
        <v>2313</v>
      </c>
      <c r="E3" t="s">
        <v>2179</v>
      </c>
      <c r="F3">
        <v>202105</v>
      </c>
      <c r="G3" t="s">
        <v>215</v>
      </c>
      <c r="H3">
        <v>-3639.76</v>
      </c>
      <c r="J3" s="754">
        <f>J2</f>
        <v>504</v>
      </c>
      <c r="K3" s="754" t="s">
        <v>218</v>
      </c>
      <c r="L3" s="754" t="str">
        <f>L2</f>
        <v>&gt;=202107</v>
      </c>
      <c r="M3" s="754" t="str">
        <f>M2</f>
        <v>&lt;=202206</v>
      </c>
      <c r="O3" t="s">
        <v>2310</v>
      </c>
      <c r="P3" t="s">
        <v>2311</v>
      </c>
      <c r="Q3" t="s">
        <v>2312</v>
      </c>
      <c r="R3" t="s">
        <v>2313</v>
      </c>
      <c r="S3" t="s">
        <v>2179</v>
      </c>
      <c r="T3">
        <v>202107</v>
      </c>
      <c r="U3" t="s">
        <v>219</v>
      </c>
      <c r="V3">
        <v>15591.4</v>
      </c>
      <c r="AB3" t="s">
        <v>2312</v>
      </c>
      <c r="AC3" t="s">
        <v>2313</v>
      </c>
      <c r="AD3" t="s">
        <v>2179</v>
      </c>
      <c r="AE3" t="s">
        <v>219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 t="s">
        <v>2310</v>
      </c>
      <c r="B4" t="s">
        <v>2311</v>
      </c>
      <c r="C4" t="s">
        <v>2312</v>
      </c>
      <c r="D4" t="s">
        <v>2313</v>
      </c>
      <c r="E4" t="s">
        <v>2179</v>
      </c>
      <c r="F4">
        <v>202106</v>
      </c>
      <c r="G4" t="s">
        <v>215</v>
      </c>
      <c r="H4">
        <v>-23014.71</v>
      </c>
      <c r="J4" s="756">
        <f>J3</f>
        <v>504</v>
      </c>
      <c r="K4" s="754" t="s">
        <v>220</v>
      </c>
      <c r="L4" s="755" t="str">
        <f>L2</f>
        <v>&gt;=202107</v>
      </c>
      <c r="M4" s="755" t="str">
        <f>M2</f>
        <v>&lt;=202206</v>
      </c>
      <c r="O4" t="s">
        <v>2310</v>
      </c>
      <c r="P4" t="s">
        <v>2311</v>
      </c>
      <c r="Q4" t="s">
        <v>2312</v>
      </c>
      <c r="R4" t="s">
        <v>2313</v>
      </c>
      <c r="S4" t="s">
        <v>2179</v>
      </c>
      <c r="T4">
        <v>202108</v>
      </c>
      <c r="U4" t="s">
        <v>217</v>
      </c>
      <c r="V4">
        <v>15762.69</v>
      </c>
      <c r="AB4" t="s">
        <v>2312</v>
      </c>
      <c r="AC4" t="s">
        <v>2313</v>
      </c>
      <c r="AD4" t="s">
        <v>2179</v>
      </c>
      <c r="AE4" t="s">
        <v>221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 t="s">
        <v>2310</v>
      </c>
      <c r="B5" t="s">
        <v>2311</v>
      </c>
      <c r="C5" t="s">
        <v>2312</v>
      </c>
      <c r="D5" t="s">
        <v>2313</v>
      </c>
      <c r="E5" t="s">
        <v>2179</v>
      </c>
      <c r="F5">
        <v>202107</v>
      </c>
      <c r="G5" t="s">
        <v>215</v>
      </c>
      <c r="H5">
        <v>-40858.46</v>
      </c>
      <c r="J5" s="756">
        <f>J4</f>
        <v>504</v>
      </c>
      <c r="K5" s="995" t="s">
        <v>222</v>
      </c>
      <c r="L5" s="755" t="str">
        <f>L3</f>
        <v>&gt;=202107</v>
      </c>
      <c r="M5" s="755" t="str">
        <f>M3</f>
        <v>&lt;=202206</v>
      </c>
      <c r="O5" t="s">
        <v>2310</v>
      </c>
      <c r="P5" t="s">
        <v>2311</v>
      </c>
      <c r="Q5" t="s">
        <v>2312</v>
      </c>
      <c r="R5" t="s">
        <v>2313</v>
      </c>
      <c r="S5" t="s">
        <v>2179</v>
      </c>
      <c r="T5">
        <v>202108</v>
      </c>
      <c r="U5" t="s">
        <v>219</v>
      </c>
      <c r="V5">
        <v>15777.95</v>
      </c>
      <c r="AB5" t="s">
        <v>2312</v>
      </c>
      <c r="AC5" t="s">
        <v>2313</v>
      </c>
      <c r="AD5" t="s">
        <v>2179</v>
      </c>
      <c r="AE5" t="s">
        <v>223</v>
      </c>
      <c r="AI5">
        <f t="shared" si="0"/>
        <v>0</v>
      </c>
      <c r="AJ5" t="str">
        <f t="shared" si="1"/>
        <v>Nada</v>
      </c>
    </row>
    <row r="6" spans="1:36">
      <c r="A6" t="s">
        <v>2310</v>
      </c>
      <c r="B6" t="s">
        <v>2311</v>
      </c>
      <c r="C6" t="s">
        <v>2312</v>
      </c>
      <c r="D6" t="s">
        <v>2313</v>
      </c>
      <c r="E6" t="s">
        <v>2179</v>
      </c>
      <c r="F6">
        <v>202108</v>
      </c>
      <c r="G6" t="s">
        <v>215</v>
      </c>
      <c r="H6">
        <v>0</v>
      </c>
      <c r="J6" t="s">
        <v>224</v>
      </c>
      <c r="K6">
        <f>(YEAR(SAS_RA0_DataInicio)*100+MONTH(SAS_RA0_DataInicio))</f>
        <v>202107</v>
      </c>
      <c r="O6" t="s">
        <v>2310</v>
      </c>
      <c r="P6" t="s">
        <v>2311</v>
      </c>
      <c r="Q6" t="s">
        <v>2312</v>
      </c>
      <c r="R6" t="s">
        <v>2313</v>
      </c>
      <c r="S6" t="s">
        <v>2179</v>
      </c>
      <c r="T6">
        <v>202109</v>
      </c>
      <c r="U6" t="s">
        <v>217</v>
      </c>
      <c r="V6">
        <v>14589.12</v>
      </c>
      <c r="AB6" t="s">
        <v>2312</v>
      </c>
      <c r="AC6" t="s">
        <v>2313</v>
      </c>
      <c r="AD6" t="s">
        <v>2179</v>
      </c>
      <c r="AE6" t="s">
        <v>225</v>
      </c>
      <c r="AI6">
        <f t="shared" si="0"/>
        <v>0</v>
      </c>
      <c r="AJ6" t="str">
        <f t="shared" si="1"/>
        <v>Nada</v>
      </c>
    </row>
    <row r="7" spans="1:36">
      <c r="A7" t="s">
        <v>2310</v>
      </c>
      <c r="B7" t="s">
        <v>2311</v>
      </c>
      <c r="C7" t="s">
        <v>2312</v>
      </c>
      <c r="D7" t="s">
        <v>2313</v>
      </c>
      <c r="E7" t="s">
        <v>2179</v>
      </c>
      <c r="F7">
        <v>202109</v>
      </c>
      <c r="G7" t="s">
        <v>215</v>
      </c>
      <c r="H7">
        <v>-6883.63</v>
      </c>
      <c r="J7" t="s">
        <v>226</v>
      </c>
      <c r="K7">
        <f>YEAR(SAS_RA0_DataFim)*100+MONTH(SAS_RA0_DataFim)</f>
        <v>202206</v>
      </c>
      <c r="O7" t="s">
        <v>2310</v>
      </c>
      <c r="P7" t="s">
        <v>2311</v>
      </c>
      <c r="Q7" t="s">
        <v>2312</v>
      </c>
      <c r="R7" t="s">
        <v>2313</v>
      </c>
      <c r="S7" t="s">
        <v>2179</v>
      </c>
      <c r="T7">
        <v>202109</v>
      </c>
      <c r="U7" t="s">
        <v>219</v>
      </c>
      <c r="V7">
        <v>15035.36</v>
      </c>
      <c r="AI7">
        <f t="shared" si="0"/>
        <v>0</v>
      </c>
      <c r="AJ7" t="str">
        <f t="shared" si="1"/>
        <v>Nada</v>
      </c>
    </row>
    <row r="8" spans="1:36">
      <c r="A8" t="s">
        <v>2310</v>
      </c>
      <c r="B8" t="s">
        <v>2311</v>
      </c>
      <c r="C8" t="s">
        <v>2312</v>
      </c>
      <c r="D8" t="s">
        <v>2313</v>
      </c>
      <c r="E8" t="s">
        <v>2179</v>
      </c>
      <c r="F8">
        <v>202110</v>
      </c>
      <c r="G8" t="s">
        <v>215</v>
      </c>
      <c r="H8">
        <v>-4593.6499999999996</v>
      </c>
      <c r="J8" t="s">
        <v>227</v>
      </c>
      <c r="K8" s="661">
        <f>MAX(AI:AI)</f>
        <v>202205</v>
      </c>
      <c r="O8" t="s">
        <v>2310</v>
      </c>
      <c r="P8" t="s">
        <v>2311</v>
      </c>
      <c r="Q8" t="s">
        <v>2312</v>
      </c>
      <c r="R8" t="s">
        <v>2313</v>
      </c>
      <c r="S8" t="s">
        <v>2179</v>
      </c>
      <c r="T8">
        <v>202110</v>
      </c>
      <c r="U8" t="s">
        <v>217</v>
      </c>
      <c r="V8">
        <v>15619.07</v>
      </c>
      <c r="AI8">
        <f t="shared" si="0"/>
        <v>0</v>
      </c>
      <c r="AJ8" t="str">
        <f t="shared" si="1"/>
        <v>Nada</v>
      </c>
    </row>
    <row r="9" spans="1:36">
      <c r="A9" t="s">
        <v>2310</v>
      </c>
      <c r="B9" t="s">
        <v>2311</v>
      </c>
      <c r="C9" t="s">
        <v>2312</v>
      </c>
      <c r="D9" t="s">
        <v>2313</v>
      </c>
      <c r="E9" t="s">
        <v>2179</v>
      </c>
      <c r="F9">
        <v>202111</v>
      </c>
      <c r="G9" t="s">
        <v>215</v>
      </c>
      <c r="H9">
        <v>-3269.92</v>
      </c>
      <c r="J9" t="s">
        <v>229</v>
      </c>
      <c r="K9" s="661">
        <f>MAX(AJ:AJ)</f>
        <v>1</v>
      </c>
      <c r="O9" t="s">
        <v>2310</v>
      </c>
      <c r="P9" t="s">
        <v>2311</v>
      </c>
      <c r="Q9" t="s">
        <v>2312</v>
      </c>
      <c r="R9" t="s">
        <v>2313</v>
      </c>
      <c r="S9" t="s">
        <v>2179</v>
      </c>
      <c r="T9">
        <v>202110</v>
      </c>
      <c r="U9" t="s">
        <v>219</v>
      </c>
      <c r="V9">
        <v>15718.91</v>
      </c>
    </row>
    <row r="10" spans="1:36">
      <c r="A10" t="s">
        <v>2310</v>
      </c>
      <c r="B10" t="s">
        <v>2311</v>
      </c>
      <c r="C10" t="s">
        <v>2312</v>
      </c>
      <c r="D10" t="s">
        <v>2313</v>
      </c>
      <c r="E10" t="s">
        <v>2179</v>
      </c>
      <c r="F10">
        <v>202112</v>
      </c>
      <c r="G10" t="s">
        <v>215</v>
      </c>
      <c r="H10">
        <v>-31.03</v>
      </c>
      <c r="O10" t="s">
        <v>2310</v>
      </c>
      <c r="P10" t="s">
        <v>2311</v>
      </c>
      <c r="Q10" t="s">
        <v>2312</v>
      </c>
      <c r="R10" t="s">
        <v>2313</v>
      </c>
      <c r="S10" t="s">
        <v>2179</v>
      </c>
      <c r="T10">
        <v>202111</v>
      </c>
      <c r="U10" t="s">
        <v>217</v>
      </c>
      <c r="V10">
        <v>15892.25</v>
      </c>
    </row>
    <row r="11" spans="1:36">
      <c r="A11" t="s">
        <v>2310</v>
      </c>
      <c r="B11" t="s">
        <v>2311</v>
      </c>
      <c r="C11" t="s">
        <v>2312</v>
      </c>
      <c r="D11" t="s">
        <v>2313</v>
      </c>
      <c r="E11" t="s">
        <v>2179</v>
      </c>
      <c r="F11">
        <v>202201</v>
      </c>
      <c r="G11" t="s">
        <v>215</v>
      </c>
      <c r="H11">
        <v>0</v>
      </c>
      <c r="J11" s="819">
        <f>VALUE(A2)</f>
        <v>504</v>
      </c>
      <c r="O11" t="s">
        <v>2310</v>
      </c>
      <c r="P11" t="s">
        <v>2311</v>
      </c>
      <c r="Q11" t="s">
        <v>2312</v>
      </c>
      <c r="R11" t="s">
        <v>2313</v>
      </c>
      <c r="S11" t="s">
        <v>2179</v>
      </c>
      <c r="T11">
        <v>202111</v>
      </c>
      <c r="U11" t="s">
        <v>219</v>
      </c>
      <c r="V11">
        <v>15292.09</v>
      </c>
    </row>
    <row r="12" spans="1:36">
      <c r="A12" t="s">
        <v>2310</v>
      </c>
      <c r="B12" t="s">
        <v>2311</v>
      </c>
      <c r="C12" t="s">
        <v>2312</v>
      </c>
      <c r="D12" t="s">
        <v>2313</v>
      </c>
      <c r="E12" t="s">
        <v>2179</v>
      </c>
      <c r="F12">
        <v>202202</v>
      </c>
      <c r="G12" t="s">
        <v>215</v>
      </c>
      <c r="H12">
        <v>-45885.07</v>
      </c>
      <c r="K12" s="8"/>
      <c r="O12" t="s">
        <v>2310</v>
      </c>
      <c r="P12" t="s">
        <v>2311</v>
      </c>
      <c r="Q12" t="s">
        <v>2312</v>
      </c>
      <c r="R12" t="s">
        <v>2313</v>
      </c>
      <c r="S12" t="s">
        <v>2179</v>
      </c>
      <c r="T12">
        <v>202112</v>
      </c>
      <c r="U12" t="s">
        <v>217</v>
      </c>
      <c r="V12">
        <v>16044.07</v>
      </c>
    </row>
    <row r="13" spans="1:36">
      <c r="A13" t="s">
        <v>2310</v>
      </c>
      <c r="B13" t="s">
        <v>2311</v>
      </c>
      <c r="C13" t="s">
        <v>2312</v>
      </c>
      <c r="D13" t="s">
        <v>2313</v>
      </c>
      <c r="E13" t="s">
        <v>2179</v>
      </c>
      <c r="F13">
        <v>202203</v>
      </c>
      <c r="G13" t="s">
        <v>215</v>
      </c>
      <c r="H13">
        <v>-49527.519999999997</v>
      </c>
      <c r="O13" t="s">
        <v>2310</v>
      </c>
      <c r="P13" t="s">
        <v>2311</v>
      </c>
      <c r="Q13" t="s">
        <v>2312</v>
      </c>
      <c r="R13" t="s">
        <v>2313</v>
      </c>
      <c r="S13" t="s">
        <v>2179</v>
      </c>
      <c r="T13">
        <v>202112</v>
      </c>
      <c r="U13" t="s">
        <v>219</v>
      </c>
      <c r="V13">
        <v>16223.58</v>
      </c>
    </row>
    <row r="14" spans="1:36">
      <c r="A14" t="s">
        <v>2310</v>
      </c>
      <c r="B14" t="s">
        <v>2311</v>
      </c>
      <c r="C14" t="s">
        <v>2312</v>
      </c>
      <c r="D14" t="s">
        <v>2313</v>
      </c>
      <c r="E14" t="s">
        <v>2179</v>
      </c>
      <c r="F14">
        <v>202204</v>
      </c>
      <c r="G14" t="s">
        <v>215</v>
      </c>
      <c r="H14">
        <v>-79113.460000000006</v>
      </c>
      <c r="O14" t="s">
        <v>2310</v>
      </c>
      <c r="P14" t="s">
        <v>2311</v>
      </c>
      <c r="Q14" t="s">
        <v>2312</v>
      </c>
      <c r="R14" t="s">
        <v>2313</v>
      </c>
      <c r="S14" t="s">
        <v>2179</v>
      </c>
      <c r="T14">
        <v>202201</v>
      </c>
      <c r="U14" t="s">
        <v>217</v>
      </c>
      <c r="V14">
        <v>18383.099999999999</v>
      </c>
    </row>
    <row r="15" spans="1:36">
      <c r="A15" t="s">
        <v>2310</v>
      </c>
      <c r="B15" t="s">
        <v>2311</v>
      </c>
      <c r="C15" t="s">
        <v>2312</v>
      </c>
      <c r="D15" t="s">
        <v>2313</v>
      </c>
      <c r="E15" t="s">
        <v>2179</v>
      </c>
      <c r="F15">
        <v>202205</v>
      </c>
      <c r="G15" t="s">
        <v>215</v>
      </c>
      <c r="H15">
        <v>-3529.81</v>
      </c>
      <c r="O15" t="s">
        <v>2310</v>
      </c>
      <c r="P15" t="s">
        <v>2311</v>
      </c>
      <c r="Q15" t="s">
        <v>2312</v>
      </c>
      <c r="R15" t="s">
        <v>2313</v>
      </c>
      <c r="S15" t="s">
        <v>2179</v>
      </c>
      <c r="T15">
        <v>202201</v>
      </c>
      <c r="U15" t="s">
        <v>219</v>
      </c>
      <c r="V15">
        <v>16988.28</v>
      </c>
    </row>
    <row r="16" spans="1:36">
      <c r="A16" t="s">
        <v>2310</v>
      </c>
      <c r="B16" t="s">
        <v>2311</v>
      </c>
      <c r="C16" t="s">
        <v>2312</v>
      </c>
      <c r="D16" t="s">
        <v>2313</v>
      </c>
      <c r="E16" t="s">
        <v>2179</v>
      </c>
      <c r="F16">
        <v>202104</v>
      </c>
      <c r="G16" t="s">
        <v>228</v>
      </c>
      <c r="H16">
        <v>99090.25</v>
      </c>
      <c r="O16" t="s">
        <v>2310</v>
      </c>
      <c r="P16" t="s">
        <v>2311</v>
      </c>
      <c r="Q16" t="s">
        <v>2312</v>
      </c>
      <c r="R16" t="s">
        <v>2313</v>
      </c>
      <c r="S16" t="s">
        <v>2179</v>
      </c>
      <c r="T16">
        <v>202202</v>
      </c>
      <c r="U16" t="s">
        <v>217</v>
      </c>
      <c r="V16">
        <v>17826.2</v>
      </c>
    </row>
    <row r="17" spans="1:22">
      <c r="A17" t="s">
        <v>2310</v>
      </c>
      <c r="B17" t="s">
        <v>2311</v>
      </c>
      <c r="C17" t="s">
        <v>2312</v>
      </c>
      <c r="D17" t="s">
        <v>2313</v>
      </c>
      <c r="E17" t="s">
        <v>2179</v>
      </c>
      <c r="F17">
        <v>202105</v>
      </c>
      <c r="G17" t="s">
        <v>228</v>
      </c>
      <c r="H17">
        <v>117877.75</v>
      </c>
      <c r="O17" t="s">
        <v>2310</v>
      </c>
      <c r="P17" t="s">
        <v>2311</v>
      </c>
      <c r="Q17" t="s">
        <v>2312</v>
      </c>
      <c r="R17" t="s">
        <v>2313</v>
      </c>
      <c r="S17" t="s">
        <v>2179</v>
      </c>
      <c r="T17">
        <v>202202</v>
      </c>
      <c r="U17" t="s">
        <v>219</v>
      </c>
      <c r="V17">
        <v>17628.2</v>
      </c>
    </row>
    <row r="18" spans="1:22">
      <c r="A18" t="s">
        <v>2310</v>
      </c>
      <c r="B18" t="s">
        <v>2311</v>
      </c>
      <c r="C18" t="s">
        <v>2312</v>
      </c>
      <c r="D18" t="s">
        <v>2313</v>
      </c>
      <c r="E18" t="s">
        <v>2179</v>
      </c>
      <c r="F18">
        <v>202106</v>
      </c>
      <c r="G18" t="s">
        <v>228</v>
      </c>
      <c r="H18">
        <v>124493.73</v>
      </c>
      <c r="O18" t="s">
        <v>2310</v>
      </c>
      <c r="P18" t="s">
        <v>2311</v>
      </c>
      <c r="Q18" t="s">
        <v>2312</v>
      </c>
      <c r="R18" t="s">
        <v>2313</v>
      </c>
      <c r="S18" t="s">
        <v>2179</v>
      </c>
      <c r="T18">
        <v>202203</v>
      </c>
      <c r="U18" t="s">
        <v>217</v>
      </c>
      <c r="V18">
        <v>17423.75</v>
      </c>
    </row>
    <row r="19" spans="1:22">
      <c r="A19" t="s">
        <v>2310</v>
      </c>
      <c r="B19" t="s">
        <v>2311</v>
      </c>
      <c r="C19" t="s">
        <v>2312</v>
      </c>
      <c r="D19" t="s">
        <v>2313</v>
      </c>
      <c r="E19" t="s">
        <v>2179</v>
      </c>
      <c r="F19">
        <v>202107</v>
      </c>
      <c r="G19" t="s">
        <v>228</v>
      </c>
      <c r="H19">
        <v>136852.35</v>
      </c>
      <c r="O19" t="s">
        <v>2310</v>
      </c>
      <c r="P19" t="s">
        <v>2311</v>
      </c>
      <c r="Q19" t="s">
        <v>2312</v>
      </c>
      <c r="R19" t="s">
        <v>2313</v>
      </c>
      <c r="S19" t="s">
        <v>2179</v>
      </c>
      <c r="T19">
        <v>202203</v>
      </c>
      <c r="U19" t="s">
        <v>219</v>
      </c>
      <c r="V19">
        <v>16488.23</v>
      </c>
    </row>
    <row r="20" spans="1:22">
      <c r="A20" t="s">
        <v>2310</v>
      </c>
      <c r="B20" t="s">
        <v>2311</v>
      </c>
      <c r="C20" t="s">
        <v>2312</v>
      </c>
      <c r="D20" t="s">
        <v>2313</v>
      </c>
      <c r="E20" t="s">
        <v>2179</v>
      </c>
      <c r="F20">
        <v>202108</v>
      </c>
      <c r="G20" t="s">
        <v>228</v>
      </c>
      <c r="H20">
        <v>153625.74</v>
      </c>
      <c r="O20" t="s">
        <v>2310</v>
      </c>
      <c r="P20" t="s">
        <v>2311</v>
      </c>
      <c r="Q20" t="s">
        <v>2312</v>
      </c>
      <c r="R20" t="s">
        <v>2313</v>
      </c>
      <c r="S20" t="s">
        <v>2179</v>
      </c>
      <c r="T20">
        <v>202204</v>
      </c>
      <c r="U20" t="s">
        <v>217</v>
      </c>
      <c r="V20">
        <v>15709.16</v>
      </c>
    </row>
    <row r="21" spans="1:22">
      <c r="A21" t="s">
        <v>2310</v>
      </c>
      <c r="B21" t="s">
        <v>2311</v>
      </c>
      <c r="C21" t="s">
        <v>2312</v>
      </c>
      <c r="D21" t="s">
        <v>2313</v>
      </c>
      <c r="E21" t="s">
        <v>2179</v>
      </c>
      <c r="F21">
        <v>202109</v>
      </c>
      <c r="G21" t="s">
        <v>228</v>
      </c>
      <c r="H21">
        <v>154568.18</v>
      </c>
      <c r="O21" t="s">
        <v>2310</v>
      </c>
      <c r="P21" t="s">
        <v>2311</v>
      </c>
      <c r="Q21" t="s">
        <v>2312</v>
      </c>
      <c r="R21" t="s">
        <v>2313</v>
      </c>
      <c r="S21" t="s">
        <v>2179</v>
      </c>
      <c r="T21">
        <v>202204</v>
      </c>
      <c r="U21" t="s">
        <v>219</v>
      </c>
      <c r="V21">
        <v>15251.05</v>
      </c>
    </row>
    <row r="22" spans="1:22">
      <c r="A22" t="s">
        <v>2310</v>
      </c>
      <c r="B22" t="s">
        <v>2311</v>
      </c>
      <c r="C22" t="s">
        <v>2312</v>
      </c>
      <c r="D22" t="s">
        <v>2313</v>
      </c>
      <c r="E22" t="s">
        <v>2179</v>
      </c>
      <c r="F22">
        <v>202110</v>
      </c>
      <c r="G22" t="s">
        <v>228</v>
      </c>
      <c r="H22">
        <v>146384.79999999999</v>
      </c>
      <c r="O22" t="s">
        <v>2310</v>
      </c>
      <c r="P22" t="s">
        <v>2311</v>
      </c>
      <c r="Q22" t="s">
        <v>2312</v>
      </c>
      <c r="R22" t="s">
        <v>2313</v>
      </c>
      <c r="S22" t="s">
        <v>2179</v>
      </c>
      <c r="T22">
        <v>202205</v>
      </c>
      <c r="U22" t="s">
        <v>217</v>
      </c>
      <c r="V22">
        <v>15611.52</v>
      </c>
    </row>
    <row r="23" spans="1:22">
      <c r="A23" t="s">
        <v>2310</v>
      </c>
      <c r="B23" t="s">
        <v>2311</v>
      </c>
      <c r="C23" t="s">
        <v>2312</v>
      </c>
      <c r="D23" t="s">
        <v>2313</v>
      </c>
      <c r="E23" t="s">
        <v>2179</v>
      </c>
      <c r="F23">
        <v>202111</v>
      </c>
      <c r="G23" t="s">
        <v>228</v>
      </c>
      <c r="H23">
        <v>120176.23</v>
      </c>
      <c r="O23" t="s">
        <v>2310</v>
      </c>
      <c r="P23" t="s">
        <v>2311</v>
      </c>
      <c r="Q23" t="s">
        <v>2312</v>
      </c>
      <c r="R23" t="s">
        <v>2313</v>
      </c>
      <c r="S23" t="s">
        <v>2179</v>
      </c>
      <c r="T23">
        <v>202205</v>
      </c>
      <c r="U23" t="s">
        <v>219</v>
      </c>
      <c r="V23">
        <v>14108.17</v>
      </c>
    </row>
    <row r="24" spans="1:22">
      <c r="A24" t="s">
        <v>2310</v>
      </c>
      <c r="B24" t="s">
        <v>2311</v>
      </c>
      <c r="C24" t="s">
        <v>2312</v>
      </c>
      <c r="D24" t="s">
        <v>2313</v>
      </c>
      <c r="E24" t="s">
        <v>2179</v>
      </c>
      <c r="F24">
        <v>202112</v>
      </c>
      <c r="G24" t="s">
        <v>228</v>
      </c>
      <c r="H24">
        <v>66376.820000000007</v>
      </c>
      <c r="O24" t="s">
        <v>2310</v>
      </c>
      <c r="P24" t="s">
        <v>2311</v>
      </c>
      <c r="Q24" t="s">
        <v>2312</v>
      </c>
      <c r="R24" t="s">
        <v>2313</v>
      </c>
      <c r="S24" t="s">
        <v>2179</v>
      </c>
      <c r="T24">
        <v>202107</v>
      </c>
      <c r="U24" t="s">
        <v>230</v>
      </c>
      <c r="V24">
        <v>4771108.9000000004</v>
      </c>
    </row>
    <row r="25" spans="1:22">
      <c r="A25" t="s">
        <v>2310</v>
      </c>
      <c r="B25" t="s">
        <v>2311</v>
      </c>
      <c r="C25" t="s">
        <v>2312</v>
      </c>
      <c r="D25" t="s">
        <v>2313</v>
      </c>
      <c r="E25" t="s">
        <v>2179</v>
      </c>
      <c r="F25">
        <v>202201</v>
      </c>
      <c r="G25" t="s">
        <v>228</v>
      </c>
      <c r="H25">
        <v>5556.15</v>
      </c>
      <c r="O25" t="s">
        <v>2310</v>
      </c>
      <c r="P25" t="s">
        <v>2311</v>
      </c>
      <c r="Q25" t="s">
        <v>2312</v>
      </c>
      <c r="R25" t="s">
        <v>2313</v>
      </c>
      <c r="S25" t="s">
        <v>2179</v>
      </c>
      <c r="T25">
        <v>202107</v>
      </c>
      <c r="U25" t="s">
        <v>231</v>
      </c>
      <c r="V25">
        <v>716523.27</v>
      </c>
    </row>
    <row r="26" spans="1:22">
      <c r="A26" t="s">
        <v>2310</v>
      </c>
      <c r="B26" t="s">
        <v>2311</v>
      </c>
      <c r="C26" t="s">
        <v>2312</v>
      </c>
      <c r="D26" t="s">
        <v>2313</v>
      </c>
      <c r="E26" t="s">
        <v>2179</v>
      </c>
      <c r="F26">
        <v>202202</v>
      </c>
      <c r="G26" t="s">
        <v>228</v>
      </c>
      <c r="H26">
        <v>33532.230000000003</v>
      </c>
      <c r="O26" t="s">
        <v>2310</v>
      </c>
      <c r="P26" t="s">
        <v>2311</v>
      </c>
      <c r="Q26" t="s">
        <v>2312</v>
      </c>
      <c r="R26" t="s">
        <v>2313</v>
      </c>
      <c r="S26" t="s">
        <v>2179</v>
      </c>
      <c r="T26">
        <v>202107</v>
      </c>
      <c r="U26" t="s">
        <v>221</v>
      </c>
      <c r="V26">
        <v>5065296.24</v>
      </c>
    </row>
    <row r="27" spans="1:22">
      <c r="A27" t="s">
        <v>2310</v>
      </c>
      <c r="B27" t="s">
        <v>2311</v>
      </c>
      <c r="C27" t="s">
        <v>2312</v>
      </c>
      <c r="D27" t="s">
        <v>2313</v>
      </c>
      <c r="E27" t="s">
        <v>2179</v>
      </c>
      <c r="F27">
        <v>202203</v>
      </c>
      <c r="G27" t="s">
        <v>228</v>
      </c>
      <c r="H27">
        <v>156448.39000000001</v>
      </c>
      <c r="O27" t="s">
        <v>2310</v>
      </c>
      <c r="P27" t="s">
        <v>2311</v>
      </c>
      <c r="Q27" t="s">
        <v>2312</v>
      </c>
      <c r="R27" t="s">
        <v>2313</v>
      </c>
      <c r="S27" t="s">
        <v>2179</v>
      </c>
      <c r="T27">
        <v>202107</v>
      </c>
      <c r="U27" t="s">
        <v>223</v>
      </c>
      <c r="V27">
        <v>741567.01</v>
      </c>
    </row>
    <row r="28" spans="1:22">
      <c r="A28" t="s">
        <v>2310</v>
      </c>
      <c r="B28" t="s">
        <v>2311</v>
      </c>
      <c r="C28" t="s">
        <v>2312</v>
      </c>
      <c r="D28" t="s">
        <v>2313</v>
      </c>
      <c r="E28" t="s">
        <v>2179</v>
      </c>
      <c r="F28">
        <v>202204</v>
      </c>
      <c r="G28" t="s">
        <v>228</v>
      </c>
      <c r="H28">
        <v>142688.99</v>
      </c>
      <c r="O28" t="s">
        <v>2310</v>
      </c>
      <c r="P28" t="s">
        <v>2311</v>
      </c>
      <c r="Q28" t="s">
        <v>2312</v>
      </c>
      <c r="R28" t="s">
        <v>2313</v>
      </c>
      <c r="S28" t="s">
        <v>2179</v>
      </c>
      <c r="T28">
        <v>202107</v>
      </c>
      <c r="U28" t="s">
        <v>225</v>
      </c>
      <c r="V28">
        <v>95538.05</v>
      </c>
    </row>
    <row r="29" spans="1:22">
      <c r="A29" t="s">
        <v>2310</v>
      </c>
      <c r="B29" t="s">
        <v>2311</v>
      </c>
      <c r="C29" t="s">
        <v>2312</v>
      </c>
      <c r="D29" t="s">
        <v>2313</v>
      </c>
      <c r="E29" t="s">
        <v>2179</v>
      </c>
      <c r="F29">
        <v>202205</v>
      </c>
      <c r="G29" t="s">
        <v>228</v>
      </c>
      <c r="H29">
        <v>117823.33</v>
      </c>
      <c r="O29" t="s">
        <v>2310</v>
      </c>
      <c r="P29" t="s">
        <v>2311</v>
      </c>
      <c r="Q29" t="s">
        <v>2312</v>
      </c>
      <c r="R29" t="s">
        <v>2313</v>
      </c>
      <c r="S29" t="s">
        <v>2179</v>
      </c>
      <c r="T29">
        <v>202108</v>
      </c>
      <c r="U29" t="s">
        <v>230</v>
      </c>
      <c r="V29">
        <v>4718722.71</v>
      </c>
    </row>
    <row r="30" spans="1:22">
      <c r="A30" t="s">
        <v>2310</v>
      </c>
      <c r="B30" t="s">
        <v>2311</v>
      </c>
      <c r="C30" t="s">
        <v>2312</v>
      </c>
      <c r="D30" t="s">
        <v>2313</v>
      </c>
      <c r="E30" t="s">
        <v>2179</v>
      </c>
      <c r="F30">
        <v>202104</v>
      </c>
      <c r="G30" t="s">
        <v>232</v>
      </c>
      <c r="H30">
        <v>0</v>
      </c>
      <c r="O30" t="s">
        <v>2310</v>
      </c>
      <c r="P30" t="s">
        <v>2311</v>
      </c>
      <c r="Q30" t="s">
        <v>2312</v>
      </c>
      <c r="R30" t="s">
        <v>2313</v>
      </c>
      <c r="S30" t="s">
        <v>2179</v>
      </c>
      <c r="T30">
        <v>202108</v>
      </c>
      <c r="U30" t="s">
        <v>231</v>
      </c>
      <c r="V30">
        <v>713991.54</v>
      </c>
    </row>
    <row r="31" spans="1:22">
      <c r="A31" t="s">
        <v>2310</v>
      </c>
      <c r="B31" t="s">
        <v>2311</v>
      </c>
      <c r="C31" t="s">
        <v>2312</v>
      </c>
      <c r="D31" t="s">
        <v>2313</v>
      </c>
      <c r="E31" t="s">
        <v>2179</v>
      </c>
      <c r="F31">
        <v>202105</v>
      </c>
      <c r="G31" t="s">
        <v>232</v>
      </c>
      <c r="H31">
        <v>0</v>
      </c>
      <c r="O31" t="s">
        <v>2310</v>
      </c>
      <c r="P31" t="s">
        <v>2311</v>
      </c>
      <c r="Q31" t="s">
        <v>2312</v>
      </c>
      <c r="R31" t="s">
        <v>2313</v>
      </c>
      <c r="S31" t="s">
        <v>2179</v>
      </c>
      <c r="T31">
        <v>202108</v>
      </c>
      <c r="U31" t="s">
        <v>221</v>
      </c>
      <c r="V31">
        <v>5026298.2699999996</v>
      </c>
    </row>
    <row r="32" spans="1:22">
      <c r="A32" t="s">
        <v>2310</v>
      </c>
      <c r="B32" t="s">
        <v>2311</v>
      </c>
      <c r="C32" t="s">
        <v>2312</v>
      </c>
      <c r="D32" t="s">
        <v>2313</v>
      </c>
      <c r="E32" t="s">
        <v>2179</v>
      </c>
      <c r="F32">
        <v>202106</v>
      </c>
      <c r="G32" t="s">
        <v>232</v>
      </c>
      <c r="H32">
        <v>0</v>
      </c>
      <c r="O32" t="s">
        <v>2310</v>
      </c>
      <c r="P32" t="s">
        <v>2311</v>
      </c>
      <c r="Q32" t="s">
        <v>2312</v>
      </c>
      <c r="R32" t="s">
        <v>2313</v>
      </c>
      <c r="S32" t="s">
        <v>2179</v>
      </c>
      <c r="T32">
        <v>202108</v>
      </c>
      <c r="U32" t="s">
        <v>223</v>
      </c>
      <c r="V32">
        <v>740416.68</v>
      </c>
    </row>
    <row r="33" spans="1:22">
      <c r="A33" t="s">
        <v>2310</v>
      </c>
      <c r="B33" t="s">
        <v>2311</v>
      </c>
      <c r="C33" t="s">
        <v>2312</v>
      </c>
      <c r="D33" t="s">
        <v>2313</v>
      </c>
      <c r="E33" t="s">
        <v>2179</v>
      </c>
      <c r="F33">
        <v>202107</v>
      </c>
      <c r="G33" t="s">
        <v>232</v>
      </c>
      <c r="H33">
        <v>0</v>
      </c>
      <c r="O33" t="s">
        <v>2310</v>
      </c>
      <c r="P33" t="s">
        <v>2311</v>
      </c>
      <c r="Q33" t="s">
        <v>2312</v>
      </c>
      <c r="R33" t="s">
        <v>2313</v>
      </c>
      <c r="S33" t="s">
        <v>2179</v>
      </c>
      <c r="T33">
        <v>202108</v>
      </c>
      <c r="U33" t="s">
        <v>225</v>
      </c>
      <c r="V33">
        <v>99428.7</v>
      </c>
    </row>
    <row r="34" spans="1:22">
      <c r="A34" t="s">
        <v>2310</v>
      </c>
      <c r="B34" t="s">
        <v>2311</v>
      </c>
      <c r="C34" t="s">
        <v>2312</v>
      </c>
      <c r="D34" t="s">
        <v>2313</v>
      </c>
      <c r="E34" t="s">
        <v>2179</v>
      </c>
      <c r="F34">
        <v>202108</v>
      </c>
      <c r="G34" t="s">
        <v>232</v>
      </c>
      <c r="H34">
        <v>0</v>
      </c>
      <c r="O34" t="s">
        <v>2310</v>
      </c>
      <c r="P34" t="s">
        <v>2311</v>
      </c>
      <c r="Q34" t="s">
        <v>2312</v>
      </c>
      <c r="R34" t="s">
        <v>2313</v>
      </c>
      <c r="S34" t="s">
        <v>2179</v>
      </c>
      <c r="T34">
        <v>202109</v>
      </c>
      <c r="U34" t="s">
        <v>230</v>
      </c>
      <c r="V34">
        <v>4602210.1100000003</v>
      </c>
    </row>
    <row r="35" spans="1:22">
      <c r="A35" t="s">
        <v>2310</v>
      </c>
      <c r="B35" t="s">
        <v>2311</v>
      </c>
      <c r="C35" t="s">
        <v>2312</v>
      </c>
      <c r="D35" t="s">
        <v>2313</v>
      </c>
      <c r="E35" t="s">
        <v>2179</v>
      </c>
      <c r="F35">
        <v>202109</v>
      </c>
      <c r="G35" t="s">
        <v>232</v>
      </c>
      <c r="H35">
        <v>0</v>
      </c>
      <c r="O35" t="s">
        <v>2310</v>
      </c>
      <c r="P35" t="s">
        <v>2311</v>
      </c>
      <c r="Q35" t="s">
        <v>2312</v>
      </c>
      <c r="R35" t="s">
        <v>2313</v>
      </c>
      <c r="S35" t="s">
        <v>2179</v>
      </c>
      <c r="T35">
        <v>202109</v>
      </c>
      <c r="U35" t="s">
        <v>231</v>
      </c>
      <c r="V35">
        <v>684036.09</v>
      </c>
    </row>
    <row r="36" spans="1:22">
      <c r="A36" t="s">
        <v>2310</v>
      </c>
      <c r="B36" t="s">
        <v>2311</v>
      </c>
      <c r="C36" t="s">
        <v>2312</v>
      </c>
      <c r="D36" t="s">
        <v>2313</v>
      </c>
      <c r="E36" t="s">
        <v>2179</v>
      </c>
      <c r="F36">
        <v>202110</v>
      </c>
      <c r="G36" t="s">
        <v>232</v>
      </c>
      <c r="H36">
        <v>0</v>
      </c>
      <c r="O36" t="s">
        <v>2310</v>
      </c>
      <c r="P36" t="s">
        <v>2311</v>
      </c>
      <c r="Q36" t="s">
        <v>2312</v>
      </c>
      <c r="R36" t="s">
        <v>2313</v>
      </c>
      <c r="S36" t="s">
        <v>2179</v>
      </c>
      <c r="T36">
        <v>202109</v>
      </c>
      <c r="U36" t="s">
        <v>221</v>
      </c>
      <c r="V36">
        <v>4904918.58</v>
      </c>
    </row>
    <row r="37" spans="1:22">
      <c r="A37" t="s">
        <v>2310</v>
      </c>
      <c r="B37" t="s">
        <v>2311</v>
      </c>
      <c r="C37" t="s">
        <v>2312</v>
      </c>
      <c r="D37" t="s">
        <v>2313</v>
      </c>
      <c r="E37" t="s">
        <v>2179</v>
      </c>
      <c r="F37">
        <v>202111</v>
      </c>
      <c r="G37" t="s">
        <v>232</v>
      </c>
      <c r="H37">
        <v>0</v>
      </c>
      <c r="O37" t="s">
        <v>2310</v>
      </c>
      <c r="P37" t="s">
        <v>2311</v>
      </c>
      <c r="Q37" t="s">
        <v>2312</v>
      </c>
      <c r="R37" t="s">
        <v>2313</v>
      </c>
      <c r="S37" t="s">
        <v>2179</v>
      </c>
      <c r="T37">
        <v>202109</v>
      </c>
      <c r="U37" t="s">
        <v>223</v>
      </c>
      <c r="V37">
        <v>710807.27</v>
      </c>
    </row>
    <row r="38" spans="1:22">
      <c r="A38" t="s">
        <v>2310</v>
      </c>
      <c r="B38" t="s">
        <v>2311</v>
      </c>
      <c r="C38" t="s">
        <v>2312</v>
      </c>
      <c r="D38" t="s">
        <v>2313</v>
      </c>
      <c r="E38" t="s">
        <v>2179</v>
      </c>
      <c r="F38">
        <v>202112</v>
      </c>
      <c r="G38" t="s">
        <v>232</v>
      </c>
      <c r="H38">
        <v>0</v>
      </c>
      <c r="O38" t="s">
        <v>2310</v>
      </c>
      <c r="P38" t="s">
        <v>2311</v>
      </c>
      <c r="Q38" t="s">
        <v>2312</v>
      </c>
      <c r="R38" t="s">
        <v>2313</v>
      </c>
      <c r="S38" t="s">
        <v>2179</v>
      </c>
      <c r="T38">
        <v>202109</v>
      </c>
      <c r="U38" t="s">
        <v>225</v>
      </c>
      <c r="V38">
        <v>99405.69</v>
      </c>
    </row>
    <row r="39" spans="1:22">
      <c r="A39" t="s">
        <v>2310</v>
      </c>
      <c r="B39" t="s">
        <v>2311</v>
      </c>
      <c r="C39" t="s">
        <v>2312</v>
      </c>
      <c r="D39" t="s">
        <v>2313</v>
      </c>
      <c r="E39" t="s">
        <v>2179</v>
      </c>
      <c r="F39">
        <v>202201</v>
      </c>
      <c r="G39" t="s">
        <v>232</v>
      </c>
      <c r="H39">
        <v>0</v>
      </c>
      <c r="O39" t="s">
        <v>2310</v>
      </c>
      <c r="P39" t="s">
        <v>2311</v>
      </c>
      <c r="Q39" t="s">
        <v>2312</v>
      </c>
      <c r="R39" t="s">
        <v>2313</v>
      </c>
      <c r="S39" t="s">
        <v>2179</v>
      </c>
      <c r="T39">
        <v>202110</v>
      </c>
      <c r="U39" t="s">
        <v>230</v>
      </c>
      <c r="V39">
        <v>4735458.49</v>
      </c>
    </row>
    <row r="40" spans="1:22">
      <c r="A40" t="s">
        <v>2310</v>
      </c>
      <c r="B40" t="s">
        <v>2311</v>
      </c>
      <c r="C40" t="s">
        <v>2312</v>
      </c>
      <c r="D40" t="s">
        <v>2313</v>
      </c>
      <c r="E40" t="s">
        <v>2179</v>
      </c>
      <c r="F40">
        <v>202202</v>
      </c>
      <c r="G40" t="s">
        <v>232</v>
      </c>
      <c r="H40">
        <v>0</v>
      </c>
      <c r="O40" t="s">
        <v>2310</v>
      </c>
      <c r="P40" t="s">
        <v>2311</v>
      </c>
      <c r="Q40" t="s">
        <v>2312</v>
      </c>
      <c r="R40" t="s">
        <v>2313</v>
      </c>
      <c r="S40" t="s">
        <v>2179</v>
      </c>
      <c r="T40">
        <v>202110</v>
      </c>
      <c r="U40" t="s">
        <v>231</v>
      </c>
      <c r="V40">
        <v>665831.06999999995</v>
      </c>
    </row>
    <row r="41" spans="1:22">
      <c r="A41" t="s">
        <v>2310</v>
      </c>
      <c r="B41" t="s">
        <v>2311</v>
      </c>
      <c r="C41" t="s">
        <v>2312</v>
      </c>
      <c r="D41" t="s">
        <v>2313</v>
      </c>
      <c r="E41" t="s">
        <v>2179</v>
      </c>
      <c r="F41">
        <v>202203</v>
      </c>
      <c r="G41" t="s">
        <v>232</v>
      </c>
      <c r="H41">
        <v>0</v>
      </c>
      <c r="O41" t="s">
        <v>2310</v>
      </c>
      <c r="P41" t="s">
        <v>2311</v>
      </c>
      <c r="Q41" t="s">
        <v>2312</v>
      </c>
      <c r="R41" t="s">
        <v>2313</v>
      </c>
      <c r="S41" t="s">
        <v>2179</v>
      </c>
      <c r="T41">
        <v>202110</v>
      </c>
      <c r="U41" t="s">
        <v>221</v>
      </c>
      <c r="V41">
        <v>5061575.96</v>
      </c>
    </row>
    <row r="42" spans="1:22">
      <c r="A42" t="s">
        <v>2310</v>
      </c>
      <c r="B42" t="s">
        <v>2311</v>
      </c>
      <c r="C42" t="s">
        <v>2312</v>
      </c>
      <c r="D42" t="s">
        <v>2313</v>
      </c>
      <c r="E42" t="s">
        <v>2179</v>
      </c>
      <c r="F42">
        <v>202204</v>
      </c>
      <c r="G42" t="s">
        <v>232</v>
      </c>
      <c r="H42">
        <v>0</v>
      </c>
      <c r="O42" t="s">
        <v>2310</v>
      </c>
      <c r="P42" t="s">
        <v>2311</v>
      </c>
      <c r="Q42" t="s">
        <v>2312</v>
      </c>
      <c r="R42" t="s">
        <v>2313</v>
      </c>
      <c r="S42" t="s">
        <v>2179</v>
      </c>
      <c r="T42">
        <v>202110</v>
      </c>
      <c r="U42" t="s">
        <v>223</v>
      </c>
      <c r="V42">
        <v>694175.71</v>
      </c>
    </row>
    <row r="43" spans="1:22">
      <c r="A43" t="s">
        <v>2310</v>
      </c>
      <c r="B43" t="s">
        <v>2311</v>
      </c>
      <c r="C43" t="s">
        <v>2312</v>
      </c>
      <c r="D43" t="s">
        <v>2313</v>
      </c>
      <c r="E43" t="s">
        <v>2179</v>
      </c>
      <c r="F43">
        <v>202205</v>
      </c>
      <c r="G43" t="s">
        <v>232</v>
      </c>
      <c r="H43">
        <v>0</v>
      </c>
      <c r="O43" t="s">
        <v>2310</v>
      </c>
      <c r="P43" t="s">
        <v>2311</v>
      </c>
      <c r="Q43" t="s">
        <v>2312</v>
      </c>
      <c r="R43" t="s">
        <v>2313</v>
      </c>
      <c r="S43" t="s">
        <v>2179</v>
      </c>
      <c r="T43">
        <v>202110</v>
      </c>
      <c r="U43" t="s">
        <v>225</v>
      </c>
      <c r="V43">
        <v>105846.41</v>
      </c>
    </row>
    <row r="44" spans="1:22">
      <c r="A44" t="s">
        <v>2310</v>
      </c>
      <c r="B44" t="s">
        <v>2311</v>
      </c>
      <c r="C44" t="s">
        <v>2312</v>
      </c>
      <c r="D44" t="s">
        <v>2313</v>
      </c>
      <c r="E44" t="s">
        <v>2179</v>
      </c>
      <c r="F44">
        <v>202104</v>
      </c>
      <c r="G44" t="s">
        <v>217</v>
      </c>
      <c r="H44">
        <v>16021.24</v>
      </c>
      <c r="O44" t="s">
        <v>2310</v>
      </c>
      <c r="P44" t="s">
        <v>2311</v>
      </c>
      <c r="Q44" t="s">
        <v>2312</v>
      </c>
      <c r="R44" t="s">
        <v>2313</v>
      </c>
      <c r="S44" t="s">
        <v>2179</v>
      </c>
      <c r="T44">
        <v>202111</v>
      </c>
      <c r="U44" t="s">
        <v>230</v>
      </c>
      <c r="V44">
        <v>4874773.3899999997</v>
      </c>
    </row>
    <row r="45" spans="1:22">
      <c r="A45" t="s">
        <v>2310</v>
      </c>
      <c r="B45" t="s">
        <v>2311</v>
      </c>
      <c r="C45" t="s">
        <v>2312</v>
      </c>
      <c r="D45" t="s">
        <v>2313</v>
      </c>
      <c r="E45" t="s">
        <v>2179</v>
      </c>
      <c r="F45">
        <v>202104</v>
      </c>
      <c r="G45" t="s">
        <v>219</v>
      </c>
      <c r="H45">
        <v>16344.24</v>
      </c>
      <c r="O45" t="s">
        <v>2310</v>
      </c>
      <c r="P45" t="s">
        <v>2311</v>
      </c>
      <c r="Q45" t="s">
        <v>2312</v>
      </c>
      <c r="R45" t="s">
        <v>2313</v>
      </c>
      <c r="S45" t="s">
        <v>2179</v>
      </c>
      <c r="T45">
        <v>202111</v>
      </c>
      <c r="U45" t="s">
        <v>231</v>
      </c>
      <c r="V45">
        <v>687724.5</v>
      </c>
    </row>
    <row r="46" spans="1:22">
      <c r="A46" t="s">
        <v>2310</v>
      </c>
      <c r="B46" t="s">
        <v>2311</v>
      </c>
      <c r="C46" t="s">
        <v>2312</v>
      </c>
      <c r="D46" t="s">
        <v>2313</v>
      </c>
      <c r="E46" t="s">
        <v>2179</v>
      </c>
      <c r="F46">
        <v>202105</v>
      </c>
      <c r="G46" t="s">
        <v>217</v>
      </c>
      <c r="H46">
        <v>15717.75</v>
      </c>
      <c r="O46" t="s">
        <v>2310</v>
      </c>
      <c r="P46" t="s">
        <v>2311</v>
      </c>
      <c r="Q46" t="s">
        <v>2312</v>
      </c>
      <c r="R46" t="s">
        <v>2313</v>
      </c>
      <c r="S46" t="s">
        <v>2179</v>
      </c>
      <c r="T46">
        <v>202111</v>
      </c>
      <c r="U46" t="s">
        <v>221</v>
      </c>
      <c r="V46">
        <v>5199198.3499999996</v>
      </c>
    </row>
    <row r="47" spans="1:22">
      <c r="A47" t="s">
        <v>2310</v>
      </c>
      <c r="B47" t="s">
        <v>2311</v>
      </c>
      <c r="C47" t="s">
        <v>2312</v>
      </c>
      <c r="D47" t="s">
        <v>2313</v>
      </c>
      <c r="E47" t="s">
        <v>2179</v>
      </c>
      <c r="F47">
        <v>202105</v>
      </c>
      <c r="G47" t="s">
        <v>219</v>
      </c>
      <c r="H47">
        <v>14894.53</v>
      </c>
      <c r="O47" t="s">
        <v>2310</v>
      </c>
      <c r="P47" t="s">
        <v>2311</v>
      </c>
      <c r="Q47" t="s">
        <v>2312</v>
      </c>
      <c r="R47" t="s">
        <v>2313</v>
      </c>
      <c r="S47" t="s">
        <v>2179</v>
      </c>
      <c r="T47">
        <v>202111</v>
      </c>
      <c r="U47" t="s">
        <v>223</v>
      </c>
      <c r="V47">
        <v>719527.01</v>
      </c>
    </row>
    <row r="48" spans="1:22">
      <c r="A48" t="s">
        <v>2310</v>
      </c>
      <c r="B48" t="s">
        <v>2311</v>
      </c>
      <c r="C48" t="s">
        <v>2312</v>
      </c>
      <c r="D48" t="s">
        <v>2313</v>
      </c>
      <c r="E48" t="s">
        <v>2179</v>
      </c>
      <c r="F48">
        <v>202106</v>
      </c>
      <c r="G48" t="s">
        <v>217</v>
      </c>
      <c r="H48">
        <v>16614.27</v>
      </c>
      <c r="O48" t="s">
        <v>2310</v>
      </c>
      <c r="P48" t="s">
        <v>2311</v>
      </c>
      <c r="Q48" t="s">
        <v>2312</v>
      </c>
      <c r="R48" t="s">
        <v>2313</v>
      </c>
      <c r="S48" t="s">
        <v>2179</v>
      </c>
      <c r="T48">
        <v>202111</v>
      </c>
      <c r="U48" t="s">
        <v>225</v>
      </c>
      <c r="V48">
        <v>105673.48</v>
      </c>
    </row>
    <row r="49" spans="1:22">
      <c r="A49" t="s">
        <v>2310</v>
      </c>
      <c r="B49" t="s">
        <v>2311</v>
      </c>
      <c r="C49" t="s">
        <v>2312</v>
      </c>
      <c r="D49" t="s">
        <v>2313</v>
      </c>
      <c r="E49" t="s">
        <v>2179</v>
      </c>
      <c r="F49">
        <v>202106</v>
      </c>
      <c r="G49" t="s">
        <v>219</v>
      </c>
      <c r="H49">
        <v>15723.61</v>
      </c>
      <c r="O49" t="s">
        <v>2310</v>
      </c>
      <c r="P49" t="s">
        <v>2311</v>
      </c>
      <c r="Q49" t="s">
        <v>2312</v>
      </c>
      <c r="R49" t="s">
        <v>2313</v>
      </c>
      <c r="S49" t="s">
        <v>2179</v>
      </c>
      <c r="T49">
        <v>202112</v>
      </c>
      <c r="U49" t="s">
        <v>230</v>
      </c>
      <c r="V49">
        <v>5294731.34</v>
      </c>
    </row>
    <row r="50" spans="1:22">
      <c r="A50" t="s">
        <v>2310</v>
      </c>
      <c r="B50" t="s">
        <v>2311</v>
      </c>
      <c r="C50" t="s">
        <v>2312</v>
      </c>
      <c r="D50" t="s">
        <v>2313</v>
      </c>
      <c r="E50" t="s">
        <v>2179</v>
      </c>
      <c r="F50">
        <v>202107</v>
      </c>
      <c r="G50" t="s">
        <v>217</v>
      </c>
      <c r="H50">
        <v>15847.37</v>
      </c>
      <c r="O50" t="s">
        <v>2310</v>
      </c>
      <c r="P50" t="s">
        <v>2311</v>
      </c>
      <c r="Q50" t="s">
        <v>2312</v>
      </c>
      <c r="R50" t="s">
        <v>2313</v>
      </c>
      <c r="S50" t="s">
        <v>2179</v>
      </c>
      <c r="T50">
        <v>202112</v>
      </c>
      <c r="U50" t="s">
        <v>231</v>
      </c>
      <c r="V50">
        <v>839815.42</v>
      </c>
    </row>
    <row r="51" spans="1:22">
      <c r="A51" t="s">
        <v>2310</v>
      </c>
      <c r="B51" t="s">
        <v>2311</v>
      </c>
      <c r="C51" t="s">
        <v>2312</v>
      </c>
      <c r="D51" t="s">
        <v>2313</v>
      </c>
      <c r="E51" t="s">
        <v>2179</v>
      </c>
      <c r="F51">
        <v>202107</v>
      </c>
      <c r="G51" t="s">
        <v>219</v>
      </c>
      <c r="H51">
        <v>15591.4</v>
      </c>
      <c r="O51" t="s">
        <v>2310</v>
      </c>
      <c r="P51" t="s">
        <v>2311</v>
      </c>
      <c r="Q51" t="s">
        <v>2312</v>
      </c>
      <c r="R51" t="s">
        <v>2313</v>
      </c>
      <c r="S51" t="s">
        <v>2179</v>
      </c>
      <c r="T51">
        <v>202112</v>
      </c>
      <c r="U51" t="s">
        <v>221</v>
      </c>
      <c r="V51">
        <v>5594297.1100000003</v>
      </c>
    </row>
    <row r="52" spans="1:22">
      <c r="A52" t="s">
        <v>2310</v>
      </c>
      <c r="B52" t="s">
        <v>2311</v>
      </c>
      <c r="C52" t="s">
        <v>2312</v>
      </c>
      <c r="D52" t="s">
        <v>2313</v>
      </c>
      <c r="E52" t="s">
        <v>2179</v>
      </c>
      <c r="F52">
        <v>202108</v>
      </c>
      <c r="G52" t="s">
        <v>217</v>
      </c>
      <c r="H52">
        <v>15762.69</v>
      </c>
      <c r="O52" t="s">
        <v>2310</v>
      </c>
      <c r="P52" t="s">
        <v>2311</v>
      </c>
      <c r="Q52" t="s">
        <v>2312</v>
      </c>
      <c r="R52" t="s">
        <v>2313</v>
      </c>
      <c r="S52" t="s">
        <v>2179</v>
      </c>
      <c r="T52">
        <v>202112</v>
      </c>
      <c r="U52" t="s">
        <v>223</v>
      </c>
      <c r="V52">
        <v>868535.77</v>
      </c>
    </row>
    <row r="53" spans="1:22">
      <c r="A53" t="s">
        <v>2310</v>
      </c>
      <c r="B53" t="s">
        <v>2311</v>
      </c>
      <c r="C53" t="s">
        <v>2312</v>
      </c>
      <c r="D53" t="s">
        <v>2313</v>
      </c>
      <c r="E53" t="s">
        <v>2179</v>
      </c>
      <c r="F53">
        <v>202108</v>
      </c>
      <c r="G53" t="s">
        <v>219</v>
      </c>
      <c r="H53">
        <v>15777.95</v>
      </c>
      <c r="O53" t="s">
        <v>2310</v>
      </c>
      <c r="P53" t="s">
        <v>2311</v>
      </c>
      <c r="Q53" t="s">
        <v>2312</v>
      </c>
      <c r="R53" t="s">
        <v>2313</v>
      </c>
      <c r="S53" t="s">
        <v>2179</v>
      </c>
      <c r="T53">
        <v>202112</v>
      </c>
      <c r="U53" t="s">
        <v>225</v>
      </c>
      <c r="V53">
        <v>96357.13</v>
      </c>
    </row>
    <row r="54" spans="1:22">
      <c r="A54" t="s">
        <v>2310</v>
      </c>
      <c r="B54" t="s">
        <v>2311</v>
      </c>
      <c r="C54" t="s">
        <v>2312</v>
      </c>
      <c r="D54" t="s">
        <v>2313</v>
      </c>
      <c r="E54" t="s">
        <v>2179</v>
      </c>
      <c r="F54">
        <v>202109</v>
      </c>
      <c r="G54" t="s">
        <v>217</v>
      </c>
      <c r="H54">
        <v>14589.12</v>
      </c>
      <c r="O54" t="s">
        <v>2310</v>
      </c>
      <c r="P54" t="s">
        <v>2311</v>
      </c>
      <c r="Q54" t="s">
        <v>2312</v>
      </c>
      <c r="R54" t="s">
        <v>2313</v>
      </c>
      <c r="S54" t="s">
        <v>2179</v>
      </c>
      <c r="T54">
        <v>202201</v>
      </c>
      <c r="U54" t="s">
        <v>230</v>
      </c>
      <c r="V54">
        <v>6223502.9000000004</v>
      </c>
    </row>
    <row r="55" spans="1:22">
      <c r="A55" t="s">
        <v>2310</v>
      </c>
      <c r="B55" t="s">
        <v>2311</v>
      </c>
      <c r="C55" t="s">
        <v>2312</v>
      </c>
      <c r="D55" t="s">
        <v>2313</v>
      </c>
      <c r="E55" t="s">
        <v>2179</v>
      </c>
      <c r="F55">
        <v>202109</v>
      </c>
      <c r="G55" t="s">
        <v>219</v>
      </c>
      <c r="H55">
        <v>15035.36</v>
      </c>
      <c r="O55" t="s">
        <v>2310</v>
      </c>
      <c r="P55" t="s">
        <v>2311</v>
      </c>
      <c r="Q55" t="s">
        <v>2312</v>
      </c>
      <c r="R55" t="s">
        <v>2313</v>
      </c>
      <c r="S55" t="s">
        <v>2179</v>
      </c>
      <c r="T55">
        <v>202201</v>
      </c>
      <c r="U55" t="s">
        <v>231</v>
      </c>
      <c r="V55">
        <v>806719.36</v>
      </c>
    </row>
    <row r="56" spans="1:22">
      <c r="A56" t="s">
        <v>2310</v>
      </c>
      <c r="B56" t="s">
        <v>2311</v>
      </c>
      <c r="C56" t="s">
        <v>2312</v>
      </c>
      <c r="D56" t="s">
        <v>2313</v>
      </c>
      <c r="E56" t="s">
        <v>2179</v>
      </c>
      <c r="F56">
        <v>202110</v>
      </c>
      <c r="G56" t="s">
        <v>217</v>
      </c>
      <c r="H56">
        <v>15619.07</v>
      </c>
      <c r="O56" t="s">
        <v>2310</v>
      </c>
      <c r="P56" t="s">
        <v>2311</v>
      </c>
      <c r="Q56" t="s">
        <v>2312</v>
      </c>
      <c r="R56" t="s">
        <v>2313</v>
      </c>
      <c r="S56" t="s">
        <v>2179</v>
      </c>
      <c r="T56">
        <v>202201</v>
      </c>
      <c r="U56" t="s">
        <v>221</v>
      </c>
      <c r="V56">
        <v>6485608.3099999996</v>
      </c>
    </row>
    <row r="57" spans="1:22">
      <c r="A57" t="s">
        <v>2310</v>
      </c>
      <c r="B57" t="s">
        <v>2311</v>
      </c>
      <c r="C57" t="s">
        <v>2312</v>
      </c>
      <c r="D57" t="s">
        <v>2313</v>
      </c>
      <c r="E57" t="s">
        <v>2179</v>
      </c>
      <c r="F57">
        <v>202110</v>
      </c>
      <c r="G57" t="s">
        <v>219</v>
      </c>
      <c r="H57">
        <v>15718.91</v>
      </c>
      <c r="O57" t="s">
        <v>2310</v>
      </c>
      <c r="P57" t="s">
        <v>2311</v>
      </c>
      <c r="Q57" t="s">
        <v>2312</v>
      </c>
      <c r="R57" t="s">
        <v>2313</v>
      </c>
      <c r="S57" t="s">
        <v>2179</v>
      </c>
      <c r="T57">
        <v>202201</v>
      </c>
      <c r="U57" t="s">
        <v>223</v>
      </c>
      <c r="V57">
        <v>829616.57</v>
      </c>
    </row>
    <row r="58" spans="1:22">
      <c r="A58" t="s">
        <v>2310</v>
      </c>
      <c r="B58" t="s">
        <v>2311</v>
      </c>
      <c r="C58" t="s">
        <v>2312</v>
      </c>
      <c r="D58" t="s">
        <v>2313</v>
      </c>
      <c r="E58" t="s">
        <v>2179</v>
      </c>
      <c r="F58">
        <v>202111</v>
      </c>
      <c r="G58" t="s">
        <v>217</v>
      </c>
      <c r="H58">
        <v>15892.25</v>
      </c>
      <c r="O58" t="s">
        <v>2310</v>
      </c>
      <c r="P58" t="s">
        <v>2311</v>
      </c>
      <c r="Q58" t="s">
        <v>2312</v>
      </c>
      <c r="R58" t="s">
        <v>2313</v>
      </c>
      <c r="S58" t="s">
        <v>2179</v>
      </c>
      <c r="T58">
        <v>202201</v>
      </c>
      <c r="U58" t="s">
        <v>225</v>
      </c>
      <c r="V58">
        <v>87313.600000000006</v>
      </c>
    </row>
    <row r="59" spans="1:22">
      <c r="A59" t="s">
        <v>2310</v>
      </c>
      <c r="B59" t="s">
        <v>2311</v>
      </c>
      <c r="C59" t="s">
        <v>2312</v>
      </c>
      <c r="D59" t="s">
        <v>2313</v>
      </c>
      <c r="E59" t="s">
        <v>2179</v>
      </c>
      <c r="F59">
        <v>202111</v>
      </c>
      <c r="G59" t="s">
        <v>219</v>
      </c>
      <c r="H59">
        <v>15292.09</v>
      </c>
      <c r="O59" t="s">
        <v>2310</v>
      </c>
      <c r="P59" t="s">
        <v>2311</v>
      </c>
      <c r="Q59" t="s">
        <v>2312</v>
      </c>
      <c r="R59" t="s">
        <v>2313</v>
      </c>
      <c r="S59" t="s">
        <v>2179</v>
      </c>
      <c r="T59">
        <v>202202</v>
      </c>
      <c r="U59" t="s">
        <v>230</v>
      </c>
      <c r="V59">
        <v>5143188.63</v>
      </c>
    </row>
    <row r="60" spans="1:22">
      <c r="A60" t="s">
        <v>2310</v>
      </c>
      <c r="B60" t="s">
        <v>2311</v>
      </c>
      <c r="C60" t="s">
        <v>2312</v>
      </c>
      <c r="D60" t="s">
        <v>2313</v>
      </c>
      <c r="E60" t="s">
        <v>2179</v>
      </c>
      <c r="F60">
        <v>202112</v>
      </c>
      <c r="G60" t="s">
        <v>217</v>
      </c>
      <c r="H60">
        <v>16044.07</v>
      </c>
      <c r="O60" t="s">
        <v>2310</v>
      </c>
      <c r="P60" t="s">
        <v>2311</v>
      </c>
      <c r="Q60" t="s">
        <v>2312</v>
      </c>
      <c r="R60" t="s">
        <v>2313</v>
      </c>
      <c r="S60" t="s">
        <v>2179</v>
      </c>
      <c r="T60">
        <v>202202</v>
      </c>
      <c r="U60" t="s">
        <v>231</v>
      </c>
      <c r="V60">
        <v>734586.99</v>
      </c>
    </row>
    <row r="61" spans="1:22">
      <c r="A61" t="s">
        <v>2310</v>
      </c>
      <c r="B61" t="s">
        <v>2311</v>
      </c>
      <c r="C61" t="s">
        <v>2312</v>
      </c>
      <c r="D61" t="s">
        <v>2313</v>
      </c>
      <c r="E61" t="s">
        <v>2179</v>
      </c>
      <c r="F61">
        <v>202112</v>
      </c>
      <c r="G61" t="s">
        <v>219</v>
      </c>
      <c r="H61">
        <v>16223.58</v>
      </c>
      <c r="O61" t="s">
        <v>2310</v>
      </c>
      <c r="P61" t="s">
        <v>2311</v>
      </c>
      <c r="Q61" t="s">
        <v>2312</v>
      </c>
      <c r="R61" t="s">
        <v>2313</v>
      </c>
      <c r="S61" t="s">
        <v>2179</v>
      </c>
      <c r="T61">
        <v>202202</v>
      </c>
      <c r="U61" t="s">
        <v>221</v>
      </c>
      <c r="V61">
        <v>5409929.7400000002</v>
      </c>
    </row>
    <row r="62" spans="1:22">
      <c r="A62" t="s">
        <v>2310</v>
      </c>
      <c r="B62" t="s">
        <v>2311</v>
      </c>
      <c r="C62" t="s">
        <v>2312</v>
      </c>
      <c r="D62" t="s">
        <v>2313</v>
      </c>
      <c r="E62" t="s">
        <v>2179</v>
      </c>
      <c r="F62">
        <v>202201</v>
      </c>
      <c r="G62" t="s">
        <v>217</v>
      </c>
      <c r="H62">
        <v>18383.099999999999</v>
      </c>
      <c r="O62" t="s">
        <v>2310</v>
      </c>
      <c r="P62" t="s">
        <v>2311</v>
      </c>
      <c r="Q62" t="s">
        <v>2312</v>
      </c>
      <c r="R62" t="s">
        <v>2313</v>
      </c>
      <c r="S62" t="s">
        <v>2179</v>
      </c>
      <c r="T62">
        <v>202202</v>
      </c>
      <c r="U62" t="s">
        <v>223</v>
      </c>
      <c r="V62">
        <v>760156.14</v>
      </c>
    </row>
    <row r="63" spans="1:22">
      <c r="A63" t="s">
        <v>2310</v>
      </c>
      <c r="B63" t="s">
        <v>2311</v>
      </c>
      <c r="C63" t="s">
        <v>2312</v>
      </c>
      <c r="D63" t="s">
        <v>2313</v>
      </c>
      <c r="E63" t="s">
        <v>2179</v>
      </c>
      <c r="F63">
        <v>202201</v>
      </c>
      <c r="G63" t="s">
        <v>219</v>
      </c>
      <c r="H63">
        <v>16988.28</v>
      </c>
      <c r="O63" t="s">
        <v>2310</v>
      </c>
      <c r="P63" t="s">
        <v>2311</v>
      </c>
      <c r="Q63" t="s">
        <v>2312</v>
      </c>
      <c r="R63" t="s">
        <v>2313</v>
      </c>
      <c r="S63" t="s">
        <v>2179</v>
      </c>
      <c r="T63">
        <v>202202</v>
      </c>
      <c r="U63" t="s">
        <v>225</v>
      </c>
      <c r="V63">
        <v>78199.25</v>
      </c>
    </row>
    <row r="64" spans="1:22">
      <c r="A64" t="s">
        <v>2310</v>
      </c>
      <c r="B64" t="s">
        <v>2311</v>
      </c>
      <c r="C64" t="s">
        <v>2312</v>
      </c>
      <c r="D64" t="s">
        <v>2313</v>
      </c>
      <c r="E64" t="s">
        <v>2179</v>
      </c>
      <c r="F64">
        <v>202202</v>
      </c>
      <c r="G64" t="s">
        <v>217</v>
      </c>
      <c r="H64">
        <v>17826.2</v>
      </c>
      <c r="O64" t="s">
        <v>2310</v>
      </c>
      <c r="P64" t="s">
        <v>2311</v>
      </c>
      <c r="Q64" t="s">
        <v>2312</v>
      </c>
      <c r="R64" t="s">
        <v>2313</v>
      </c>
      <c r="S64" t="s">
        <v>2179</v>
      </c>
      <c r="T64">
        <v>202203</v>
      </c>
      <c r="U64" t="s">
        <v>230</v>
      </c>
      <c r="V64">
        <v>5384793.3499999996</v>
      </c>
    </row>
    <row r="65" spans="1:22">
      <c r="A65" t="s">
        <v>2310</v>
      </c>
      <c r="B65" t="s">
        <v>2311</v>
      </c>
      <c r="C65" t="s">
        <v>2312</v>
      </c>
      <c r="D65" t="s">
        <v>2313</v>
      </c>
      <c r="E65" t="s">
        <v>2179</v>
      </c>
      <c r="F65">
        <v>202202</v>
      </c>
      <c r="G65" t="s">
        <v>219</v>
      </c>
      <c r="H65">
        <v>17628.2</v>
      </c>
      <c r="O65" t="s">
        <v>2310</v>
      </c>
      <c r="P65" t="s">
        <v>2311</v>
      </c>
      <c r="Q65" t="s">
        <v>2312</v>
      </c>
      <c r="R65" t="s">
        <v>2313</v>
      </c>
      <c r="S65" t="s">
        <v>2179</v>
      </c>
      <c r="T65">
        <v>202203</v>
      </c>
      <c r="U65" t="s">
        <v>231</v>
      </c>
      <c r="V65">
        <v>767590.39</v>
      </c>
    </row>
    <row r="66" spans="1:22">
      <c r="A66" t="s">
        <v>2310</v>
      </c>
      <c r="B66" t="s">
        <v>2311</v>
      </c>
      <c r="C66" t="s">
        <v>2312</v>
      </c>
      <c r="D66" t="s">
        <v>2313</v>
      </c>
      <c r="E66" t="s">
        <v>2179</v>
      </c>
      <c r="F66">
        <v>202203</v>
      </c>
      <c r="G66" t="s">
        <v>217</v>
      </c>
      <c r="H66">
        <v>17423.75</v>
      </c>
      <c r="O66" t="s">
        <v>2310</v>
      </c>
      <c r="P66" t="s">
        <v>2311</v>
      </c>
      <c r="Q66" t="s">
        <v>2312</v>
      </c>
      <c r="R66" t="s">
        <v>2313</v>
      </c>
      <c r="S66" t="s">
        <v>2179</v>
      </c>
      <c r="T66">
        <v>202203</v>
      </c>
      <c r="U66" t="s">
        <v>221</v>
      </c>
      <c r="V66">
        <v>5747787.1200000001</v>
      </c>
    </row>
    <row r="67" spans="1:22">
      <c r="A67" t="s">
        <v>2310</v>
      </c>
      <c r="B67" t="s">
        <v>2311</v>
      </c>
      <c r="C67" t="s">
        <v>2312</v>
      </c>
      <c r="D67" t="s">
        <v>2313</v>
      </c>
      <c r="E67" t="s">
        <v>2179</v>
      </c>
      <c r="F67">
        <v>202203</v>
      </c>
      <c r="G67" t="s">
        <v>219</v>
      </c>
      <c r="H67">
        <v>16488.23</v>
      </c>
      <c r="O67" t="s">
        <v>2310</v>
      </c>
      <c r="P67" t="s">
        <v>2311</v>
      </c>
      <c r="Q67" t="s">
        <v>2312</v>
      </c>
      <c r="R67" t="s">
        <v>2313</v>
      </c>
      <c r="S67" t="s">
        <v>2179</v>
      </c>
      <c r="T67">
        <v>202203</v>
      </c>
      <c r="U67" t="s">
        <v>223</v>
      </c>
      <c r="V67">
        <v>799544.36</v>
      </c>
    </row>
    <row r="68" spans="1:22">
      <c r="A68" t="s">
        <v>2310</v>
      </c>
      <c r="B68" t="s">
        <v>2311</v>
      </c>
      <c r="C68" t="s">
        <v>2312</v>
      </c>
      <c r="D68" t="s">
        <v>2313</v>
      </c>
      <c r="E68" t="s">
        <v>2179</v>
      </c>
      <c r="F68">
        <v>202204</v>
      </c>
      <c r="G68" t="s">
        <v>217</v>
      </c>
      <c r="H68">
        <v>15709.16</v>
      </c>
      <c r="O68" t="s">
        <v>2310</v>
      </c>
      <c r="P68" t="s">
        <v>2311</v>
      </c>
      <c r="Q68" t="s">
        <v>2312</v>
      </c>
      <c r="R68" t="s">
        <v>2313</v>
      </c>
      <c r="S68" t="s">
        <v>2179</v>
      </c>
      <c r="T68">
        <v>202203</v>
      </c>
      <c r="U68" t="s">
        <v>225</v>
      </c>
      <c r="V68">
        <v>84516.75</v>
      </c>
    </row>
    <row r="69" spans="1:22">
      <c r="A69" t="s">
        <v>2310</v>
      </c>
      <c r="B69" t="s">
        <v>2311</v>
      </c>
      <c r="C69" t="s">
        <v>2312</v>
      </c>
      <c r="D69" t="s">
        <v>2313</v>
      </c>
      <c r="E69" t="s">
        <v>2179</v>
      </c>
      <c r="F69">
        <v>202204</v>
      </c>
      <c r="G69" t="s">
        <v>219</v>
      </c>
      <c r="H69">
        <v>15251.05</v>
      </c>
      <c r="O69" t="s">
        <v>2310</v>
      </c>
      <c r="P69" t="s">
        <v>2311</v>
      </c>
      <c r="Q69" t="s">
        <v>2312</v>
      </c>
      <c r="R69" t="s">
        <v>2313</v>
      </c>
      <c r="S69" t="s">
        <v>2179</v>
      </c>
      <c r="T69">
        <v>202204</v>
      </c>
      <c r="U69" t="s">
        <v>230</v>
      </c>
      <c r="V69">
        <v>4539129.83</v>
      </c>
    </row>
    <row r="70" spans="1:22">
      <c r="A70" t="s">
        <v>2310</v>
      </c>
      <c r="B70" t="s">
        <v>2311</v>
      </c>
      <c r="C70" t="s">
        <v>2312</v>
      </c>
      <c r="D70" t="s">
        <v>2313</v>
      </c>
      <c r="E70" t="s">
        <v>2179</v>
      </c>
      <c r="F70">
        <v>202205</v>
      </c>
      <c r="G70" t="s">
        <v>217</v>
      </c>
      <c r="H70">
        <v>15611.52</v>
      </c>
      <c r="O70" t="s">
        <v>2310</v>
      </c>
      <c r="P70" t="s">
        <v>2311</v>
      </c>
      <c r="Q70" t="s">
        <v>2312</v>
      </c>
      <c r="R70" t="s">
        <v>2313</v>
      </c>
      <c r="S70" t="s">
        <v>2179</v>
      </c>
      <c r="T70">
        <v>202204</v>
      </c>
      <c r="U70" t="s">
        <v>231</v>
      </c>
      <c r="V70">
        <v>592640.74</v>
      </c>
    </row>
    <row r="71" spans="1:22">
      <c r="A71" t="s">
        <v>2310</v>
      </c>
      <c r="B71" t="s">
        <v>2311</v>
      </c>
      <c r="C71" t="s">
        <v>2312</v>
      </c>
      <c r="D71" t="s">
        <v>2313</v>
      </c>
      <c r="E71" t="s">
        <v>2179</v>
      </c>
      <c r="F71">
        <v>202205</v>
      </c>
      <c r="G71" t="s">
        <v>219</v>
      </c>
      <c r="H71">
        <v>14108.17</v>
      </c>
      <c r="O71" t="s">
        <v>2310</v>
      </c>
      <c r="P71" t="s">
        <v>2311</v>
      </c>
      <c r="Q71" t="s">
        <v>2312</v>
      </c>
      <c r="R71" t="s">
        <v>2313</v>
      </c>
      <c r="S71" t="s">
        <v>2179</v>
      </c>
      <c r="T71">
        <v>202204</v>
      </c>
      <c r="U71" t="s">
        <v>221</v>
      </c>
      <c r="V71">
        <v>4881071.3600000003</v>
      </c>
    </row>
    <row r="72" spans="1:22">
      <c r="A72" t="s">
        <v>2310</v>
      </c>
      <c r="B72" t="s">
        <v>2311</v>
      </c>
      <c r="C72" t="s">
        <v>2312</v>
      </c>
      <c r="D72" t="s">
        <v>2313</v>
      </c>
      <c r="E72" t="s">
        <v>2179</v>
      </c>
      <c r="F72">
        <v>202104</v>
      </c>
      <c r="G72" t="s">
        <v>230</v>
      </c>
      <c r="H72">
        <v>4751364.99</v>
      </c>
      <c r="O72" t="s">
        <v>2310</v>
      </c>
      <c r="P72" t="s">
        <v>2311</v>
      </c>
      <c r="Q72" t="s">
        <v>2312</v>
      </c>
      <c r="R72" t="s">
        <v>2313</v>
      </c>
      <c r="S72" t="s">
        <v>2179</v>
      </c>
      <c r="T72">
        <v>202204</v>
      </c>
      <c r="U72" t="s">
        <v>223</v>
      </c>
      <c r="V72">
        <v>621668.01</v>
      </c>
    </row>
    <row r="73" spans="1:22">
      <c r="A73" t="s">
        <v>2310</v>
      </c>
      <c r="B73" t="s">
        <v>2311</v>
      </c>
      <c r="C73" t="s">
        <v>2312</v>
      </c>
      <c r="D73" t="s">
        <v>2313</v>
      </c>
      <c r="E73" t="s">
        <v>2179</v>
      </c>
      <c r="F73">
        <v>202104</v>
      </c>
      <c r="G73" t="s">
        <v>231</v>
      </c>
      <c r="H73">
        <v>671447.14</v>
      </c>
      <c r="O73" t="s">
        <v>2310</v>
      </c>
      <c r="P73" t="s">
        <v>2311</v>
      </c>
      <c r="Q73" t="s">
        <v>2312</v>
      </c>
      <c r="R73" t="s">
        <v>2313</v>
      </c>
      <c r="S73" t="s">
        <v>2179</v>
      </c>
      <c r="T73">
        <v>202204</v>
      </c>
      <c r="U73" t="s">
        <v>225</v>
      </c>
      <c r="V73">
        <v>81321.84</v>
      </c>
    </row>
    <row r="74" spans="1:22">
      <c r="A74" t="s">
        <v>2310</v>
      </c>
      <c r="B74" t="s">
        <v>2311</v>
      </c>
      <c r="C74" t="s">
        <v>2312</v>
      </c>
      <c r="D74" t="s">
        <v>2313</v>
      </c>
      <c r="E74" t="s">
        <v>2179</v>
      </c>
      <c r="F74">
        <v>202104</v>
      </c>
      <c r="G74" t="s">
        <v>221</v>
      </c>
      <c r="H74">
        <v>5008335.2</v>
      </c>
      <c r="O74" t="s">
        <v>2310</v>
      </c>
      <c r="P74" t="s">
        <v>2311</v>
      </c>
      <c r="Q74" t="s">
        <v>2312</v>
      </c>
      <c r="R74" t="s">
        <v>2313</v>
      </c>
      <c r="S74" t="s">
        <v>2179</v>
      </c>
      <c r="T74">
        <v>202205</v>
      </c>
      <c r="U74" t="s">
        <v>230</v>
      </c>
      <c r="V74">
        <v>4822291.4400000004</v>
      </c>
    </row>
    <row r="75" spans="1:22">
      <c r="A75" t="s">
        <v>2310</v>
      </c>
      <c r="B75" t="s">
        <v>2311</v>
      </c>
      <c r="C75" t="s">
        <v>2312</v>
      </c>
      <c r="D75" t="s">
        <v>2313</v>
      </c>
      <c r="E75" t="s">
        <v>2179</v>
      </c>
      <c r="F75">
        <v>202104</v>
      </c>
      <c r="G75" t="s">
        <v>223</v>
      </c>
      <c r="H75">
        <v>691249.97</v>
      </c>
      <c r="O75" t="s">
        <v>2310</v>
      </c>
      <c r="P75" t="s">
        <v>2311</v>
      </c>
      <c r="Q75" t="s">
        <v>2312</v>
      </c>
      <c r="R75" t="s">
        <v>2313</v>
      </c>
      <c r="S75" t="s">
        <v>2179</v>
      </c>
      <c r="T75">
        <v>202205</v>
      </c>
      <c r="U75" t="s">
        <v>231</v>
      </c>
      <c r="V75">
        <v>675758.84</v>
      </c>
    </row>
    <row r="76" spans="1:22">
      <c r="A76" t="s">
        <v>2310</v>
      </c>
      <c r="B76" t="s">
        <v>2311</v>
      </c>
      <c r="C76" t="s">
        <v>2312</v>
      </c>
      <c r="D76" t="s">
        <v>2313</v>
      </c>
      <c r="E76" t="s">
        <v>2179</v>
      </c>
      <c r="F76">
        <v>202104</v>
      </c>
      <c r="G76" t="s">
        <v>225</v>
      </c>
      <c r="H76">
        <v>84810</v>
      </c>
      <c r="O76" t="s">
        <v>2310</v>
      </c>
      <c r="P76" t="s">
        <v>2311</v>
      </c>
      <c r="Q76" t="s">
        <v>2312</v>
      </c>
      <c r="R76" t="s">
        <v>2313</v>
      </c>
      <c r="S76" t="s">
        <v>2179</v>
      </c>
      <c r="T76">
        <v>202205</v>
      </c>
      <c r="U76" t="s">
        <v>221</v>
      </c>
      <c r="V76">
        <v>5175250.09</v>
      </c>
    </row>
    <row r="77" spans="1:22">
      <c r="A77" t="s">
        <v>2310</v>
      </c>
      <c r="B77" t="s">
        <v>2311</v>
      </c>
      <c r="C77" t="s">
        <v>2312</v>
      </c>
      <c r="D77" t="s">
        <v>2313</v>
      </c>
      <c r="E77" t="s">
        <v>2179</v>
      </c>
      <c r="F77">
        <v>202105</v>
      </c>
      <c r="G77" t="s">
        <v>230</v>
      </c>
      <c r="H77">
        <v>4732547.74</v>
      </c>
      <c r="O77" t="s">
        <v>2310</v>
      </c>
      <c r="P77" t="s">
        <v>2311</v>
      </c>
      <c r="Q77" t="s">
        <v>2312</v>
      </c>
      <c r="R77" t="s">
        <v>2313</v>
      </c>
      <c r="S77" t="s">
        <v>2179</v>
      </c>
      <c r="T77">
        <v>202205</v>
      </c>
      <c r="U77" t="s">
        <v>223</v>
      </c>
      <c r="V77">
        <v>711926.83</v>
      </c>
    </row>
    <row r="78" spans="1:22">
      <c r="A78" t="s">
        <v>2310</v>
      </c>
      <c r="B78" t="s">
        <v>2311</v>
      </c>
      <c r="C78" t="s">
        <v>2312</v>
      </c>
      <c r="D78" t="s">
        <v>2313</v>
      </c>
      <c r="E78" t="s">
        <v>2179</v>
      </c>
      <c r="F78">
        <v>202105</v>
      </c>
      <c r="G78" t="s">
        <v>231</v>
      </c>
      <c r="H78">
        <v>650820.85</v>
      </c>
      <c r="O78" t="s">
        <v>2310</v>
      </c>
      <c r="P78" t="s">
        <v>2311</v>
      </c>
      <c r="Q78" t="s">
        <v>2312</v>
      </c>
      <c r="R78" t="s">
        <v>2313</v>
      </c>
      <c r="S78" t="s">
        <v>2179</v>
      </c>
      <c r="T78">
        <v>202205</v>
      </c>
      <c r="U78" t="s">
        <v>225</v>
      </c>
      <c r="V78">
        <v>92244.64</v>
      </c>
    </row>
    <row r="79" spans="1:22">
      <c r="A79" t="s">
        <v>2310</v>
      </c>
      <c r="B79" t="s">
        <v>2311</v>
      </c>
      <c r="C79" t="s">
        <v>2312</v>
      </c>
      <c r="D79" t="s">
        <v>2313</v>
      </c>
      <c r="E79" t="s">
        <v>2179</v>
      </c>
      <c r="F79">
        <v>202105</v>
      </c>
      <c r="G79" t="s">
        <v>221</v>
      </c>
      <c r="H79">
        <v>5031477.28</v>
      </c>
    </row>
    <row r="80" spans="1:22">
      <c r="A80" t="s">
        <v>2310</v>
      </c>
      <c r="B80" t="s">
        <v>2311</v>
      </c>
      <c r="C80" t="s">
        <v>2312</v>
      </c>
      <c r="D80" t="s">
        <v>2313</v>
      </c>
      <c r="E80" t="s">
        <v>2179</v>
      </c>
      <c r="F80">
        <v>202105</v>
      </c>
      <c r="G80" t="s">
        <v>223</v>
      </c>
      <c r="H80">
        <v>673585.36</v>
      </c>
      <c r="O80" t="s">
        <v>2310</v>
      </c>
      <c r="P80" t="s">
        <v>2311</v>
      </c>
      <c r="Q80" t="s">
        <v>2312</v>
      </c>
      <c r="R80" t="s">
        <v>2313</v>
      </c>
      <c r="S80" t="s">
        <v>2179</v>
      </c>
      <c r="T80">
        <v>202205</v>
      </c>
      <c r="U80" t="s">
        <v>217</v>
      </c>
      <c r="V80">
        <v>15611.52</v>
      </c>
    </row>
    <row r="81" spans="1:22">
      <c r="A81" t="s">
        <v>2310</v>
      </c>
      <c r="B81" t="s">
        <v>2311</v>
      </c>
      <c r="C81" t="s">
        <v>2312</v>
      </c>
      <c r="D81" t="s">
        <v>2313</v>
      </c>
      <c r="E81" t="s">
        <v>2179</v>
      </c>
      <c r="F81">
        <v>202105</v>
      </c>
      <c r="G81" t="s">
        <v>225</v>
      </c>
      <c r="H81">
        <v>95373.05</v>
      </c>
      <c r="O81" t="s">
        <v>2310</v>
      </c>
      <c r="P81" t="s">
        <v>2311</v>
      </c>
      <c r="Q81" t="s">
        <v>2312</v>
      </c>
      <c r="R81" t="s">
        <v>2313</v>
      </c>
      <c r="S81" t="s">
        <v>2179</v>
      </c>
      <c r="T81">
        <v>202205</v>
      </c>
      <c r="U81" t="s">
        <v>219</v>
      </c>
      <c r="V81">
        <v>14108.17</v>
      </c>
    </row>
    <row r="82" spans="1:22">
      <c r="A82" t="s">
        <v>2310</v>
      </c>
      <c r="B82" t="s">
        <v>2311</v>
      </c>
      <c r="C82" t="s">
        <v>2312</v>
      </c>
      <c r="D82" t="s">
        <v>2313</v>
      </c>
      <c r="E82" t="s">
        <v>2179</v>
      </c>
      <c r="F82">
        <v>202106</v>
      </c>
      <c r="G82" t="s">
        <v>230</v>
      </c>
      <c r="H82">
        <v>4777228.32</v>
      </c>
      <c r="O82" t="s">
        <v>2310</v>
      </c>
      <c r="P82" t="s">
        <v>2311</v>
      </c>
      <c r="Q82" t="s">
        <v>2312</v>
      </c>
      <c r="R82" t="s">
        <v>2313</v>
      </c>
      <c r="S82" t="s">
        <v>2179</v>
      </c>
      <c r="T82">
        <v>202205</v>
      </c>
      <c r="U82" t="s">
        <v>230</v>
      </c>
      <c r="V82">
        <v>4822291.4400000004</v>
      </c>
    </row>
    <row r="83" spans="1:22">
      <c r="A83" t="s">
        <v>2310</v>
      </c>
      <c r="B83" t="s">
        <v>2311</v>
      </c>
      <c r="C83" t="s">
        <v>2312</v>
      </c>
      <c r="D83" t="s">
        <v>2313</v>
      </c>
      <c r="E83" t="s">
        <v>2179</v>
      </c>
      <c r="F83">
        <v>202106</v>
      </c>
      <c r="G83" t="s">
        <v>231</v>
      </c>
      <c r="H83">
        <v>672886.64</v>
      </c>
      <c r="O83" t="s">
        <v>2310</v>
      </c>
      <c r="P83" t="s">
        <v>2311</v>
      </c>
      <c r="Q83" t="s">
        <v>2312</v>
      </c>
      <c r="R83" t="s">
        <v>2313</v>
      </c>
      <c r="S83" t="s">
        <v>2179</v>
      </c>
      <c r="T83">
        <v>202205</v>
      </c>
      <c r="U83" t="s">
        <v>231</v>
      </c>
      <c r="V83">
        <v>675758.84</v>
      </c>
    </row>
    <row r="84" spans="1:22">
      <c r="A84" t="s">
        <v>2310</v>
      </c>
      <c r="B84" t="s">
        <v>2311</v>
      </c>
      <c r="C84" t="s">
        <v>2312</v>
      </c>
      <c r="D84" t="s">
        <v>2313</v>
      </c>
      <c r="E84" t="s">
        <v>2179</v>
      </c>
      <c r="F84">
        <v>202106</v>
      </c>
      <c r="G84" t="s">
        <v>221</v>
      </c>
      <c r="H84">
        <v>5056454.66</v>
      </c>
      <c r="O84" t="s">
        <v>2310</v>
      </c>
      <c r="P84" t="s">
        <v>2311</v>
      </c>
      <c r="Q84" t="s">
        <v>2312</v>
      </c>
      <c r="R84" t="s">
        <v>2313</v>
      </c>
      <c r="S84" t="s">
        <v>2179</v>
      </c>
      <c r="T84">
        <v>202205</v>
      </c>
      <c r="U84" t="s">
        <v>221</v>
      </c>
      <c r="V84">
        <v>5175250.09</v>
      </c>
    </row>
    <row r="85" spans="1:22">
      <c r="A85" t="s">
        <v>2310</v>
      </c>
      <c r="B85" t="s">
        <v>2311</v>
      </c>
      <c r="C85" t="s">
        <v>2312</v>
      </c>
      <c r="D85" t="s">
        <v>2313</v>
      </c>
      <c r="E85" t="s">
        <v>2179</v>
      </c>
      <c r="F85">
        <v>202106</v>
      </c>
      <c r="G85" t="s">
        <v>223</v>
      </c>
      <c r="H85">
        <v>697247.88</v>
      </c>
      <c r="O85" t="s">
        <v>2310</v>
      </c>
      <c r="P85" t="s">
        <v>2311</v>
      </c>
      <c r="Q85" t="s">
        <v>2312</v>
      </c>
      <c r="R85" t="s">
        <v>2313</v>
      </c>
      <c r="S85" t="s">
        <v>2179</v>
      </c>
      <c r="T85">
        <v>202205</v>
      </c>
      <c r="U85" t="s">
        <v>223</v>
      </c>
      <c r="V85">
        <v>711926.83</v>
      </c>
    </row>
    <row r="86" spans="1:22">
      <c r="A86" t="s">
        <v>2310</v>
      </c>
      <c r="B86" t="s">
        <v>2311</v>
      </c>
      <c r="C86" t="s">
        <v>2312</v>
      </c>
      <c r="D86" t="s">
        <v>2313</v>
      </c>
      <c r="E86" t="s">
        <v>2179</v>
      </c>
      <c r="F86">
        <v>202106</v>
      </c>
      <c r="G86" t="s">
        <v>225</v>
      </c>
      <c r="H86">
        <v>92919.55</v>
      </c>
      <c r="O86" t="s">
        <v>2310</v>
      </c>
      <c r="P86" t="s">
        <v>2311</v>
      </c>
      <c r="Q86" t="s">
        <v>2312</v>
      </c>
      <c r="R86" t="s">
        <v>2313</v>
      </c>
      <c r="S86" t="s">
        <v>2179</v>
      </c>
      <c r="T86">
        <v>202205</v>
      </c>
      <c r="U86" t="s">
        <v>225</v>
      </c>
      <c r="V86">
        <v>92244.64</v>
      </c>
    </row>
    <row r="87" spans="1:22">
      <c r="A87" t="s">
        <v>2310</v>
      </c>
      <c r="B87" t="s">
        <v>2311</v>
      </c>
      <c r="C87" t="s">
        <v>2312</v>
      </c>
      <c r="D87" t="s">
        <v>2313</v>
      </c>
      <c r="E87" t="s">
        <v>2179</v>
      </c>
      <c r="F87">
        <v>202107</v>
      </c>
      <c r="G87" t="s">
        <v>230</v>
      </c>
      <c r="H87">
        <v>4771108.9000000004</v>
      </c>
    </row>
    <row r="88" spans="1:22">
      <c r="A88" t="s">
        <v>2310</v>
      </c>
      <c r="B88" t="s">
        <v>2311</v>
      </c>
      <c r="C88" t="s">
        <v>2312</v>
      </c>
      <c r="D88" t="s">
        <v>2313</v>
      </c>
      <c r="E88" t="s">
        <v>2179</v>
      </c>
      <c r="F88">
        <v>202107</v>
      </c>
      <c r="G88" t="s">
        <v>231</v>
      </c>
      <c r="H88">
        <v>716523.27</v>
      </c>
    </row>
    <row r="89" spans="1:22">
      <c r="A89" t="s">
        <v>2310</v>
      </c>
      <c r="B89" t="s">
        <v>2311</v>
      </c>
      <c r="C89" t="s">
        <v>2312</v>
      </c>
      <c r="D89" t="s">
        <v>2313</v>
      </c>
      <c r="E89" t="s">
        <v>2179</v>
      </c>
      <c r="F89">
        <v>202107</v>
      </c>
      <c r="G89" t="s">
        <v>221</v>
      </c>
      <c r="H89">
        <v>5065296.24</v>
      </c>
    </row>
    <row r="90" spans="1:22">
      <c r="A90" t="s">
        <v>2310</v>
      </c>
      <c r="B90" t="s">
        <v>2311</v>
      </c>
      <c r="C90" t="s">
        <v>2312</v>
      </c>
      <c r="D90" t="s">
        <v>2313</v>
      </c>
      <c r="E90" t="s">
        <v>2179</v>
      </c>
      <c r="F90">
        <v>202107</v>
      </c>
      <c r="G90" t="s">
        <v>223</v>
      </c>
      <c r="H90">
        <v>741567.01</v>
      </c>
    </row>
    <row r="91" spans="1:22">
      <c r="A91" t="s">
        <v>2310</v>
      </c>
      <c r="B91" t="s">
        <v>2311</v>
      </c>
      <c r="C91" t="s">
        <v>2312</v>
      </c>
      <c r="D91" t="s">
        <v>2313</v>
      </c>
      <c r="E91" t="s">
        <v>2179</v>
      </c>
      <c r="F91">
        <v>202107</v>
      </c>
      <c r="G91" t="s">
        <v>225</v>
      </c>
      <c r="H91">
        <v>95538.05</v>
      </c>
    </row>
    <row r="92" spans="1:22">
      <c r="A92" t="s">
        <v>2310</v>
      </c>
      <c r="B92" t="s">
        <v>2311</v>
      </c>
      <c r="C92" t="s">
        <v>2312</v>
      </c>
      <c r="D92" t="s">
        <v>2313</v>
      </c>
      <c r="E92" t="s">
        <v>2179</v>
      </c>
      <c r="F92">
        <v>202108</v>
      </c>
      <c r="G92" t="s">
        <v>230</v>
      </c>
      <c r="H92">
        <v>4718722.71</v>
      </c>
    </row>
    <row r="93" spans="1:22">
      <c r="A93" t="s">
        <v>2310</v>
      </c>
      <c r="B93" t="s">
        <v>2311</v>
      </c>
      <c r="C93" t="s">
        <v>2312</v>
      </c>
      <c r="D93" t="s">
        <v>2313</v>
      </c>
      <c r="E93" t="s">
        <v>2179</v>
      </c>
      <c r="F93">
        <v>202108</v>
      </c>
      <c r="G93" t="s">
        <v>231</v>
      </c>
      <c r="H93">
        <v>713991.54</v>
      </c>
    </row>
    <row r="94" spans="1:22">
      <c r="A94" t="s">
        <v>2310</v>
      </c>
      <c r="B94" t="s">
        <v>2311</v>
      </c>
      <c r="C94" t="s">
        <v>2312</v>
      </c>
      <c r="D94" t="s">
        <v>2313</v>
      </c>
      <c r="E94" t="s">
        <v>2179</v>
      </c>
      <c r="F94">
        <v>202108</v>
      </c>
      <c r="G94" t="s">
        <v>221</v>
      </c>
      <c r="H94">
        <v>5026298.2699999996</v>
      </c>
    </row>
    <row r="95" spans="1:22">
      <c r="A95" t="s">
        <v>2310</v>
      </c>
      <c r="B95" t="s">
        <v>2311</v>
      </c>
      <c r="C95" t="s">
        <v>2312</v>
      </c>
      <c r="D95" t="s">
        <v>2313</v>
      </c>
      <c r="E95" t="s">
        <v>2179</v>
      </c>
      <c r="F95">
        <v>202108</v>
      </c>
      <c r="G95" t="s">
        <v>223</v>
      </c>
      <c r="H95">
        <v>740416.68</v>
      </c>
    </row>
    <row r="96" spans="1:22">
      <c r="A96" t="s">
        <v>2310</v>
      </c>
      <c r="B96" t="s">
        <v>2311</v>
      </c>
      <c r="C96" t="s">
        <v>2312</v>
      </c>
      <c r="D96" t="s">
        <v>2313</v>
      </c>
      <c r="E96" t="s">
        <v>2179</v>
      </c>
      <c r="F96">
        <v>202108</v>
      </c>
      <c r="G96" t="s">
        <v>225</v>
      </c>
      <c r="H96">
        <v>99428.7</v>
      </c>
    </row>
    <row r="97" spans="1:8">
      <c r="A97" t="s">
        <v>2310</v>
      </c>
      <c r="B97" t="s">
        <v>2311</v>
      </c>
      <c r="C97" t="s">
        <v>2312</v>
      </c>
      <c r="D97" t="s">
        <v>2313</v>
      </c>
      <c r="E97" t="s">
        <v>2179</v>
      </c>
      <c r="F97">
        <v>202109</v>
      </c>
      <c r="G97" t="s">
        <v>230</v>
      </c>
      <c r="H97">
        <v>4602210.1100000003</v>
      </c>
    </row>
    <row r="98" spans="1:8">
      <c r="A98" t="s">
        <v>2310</v>
      </c>
      <c r="B98" t="s">
        <v>2311</v>
      </c>
      <c r="C98" t="s">
        <v>2312</v>
      </c>
      <c r="D98" t="s">
        <v>2313</v>
      </c>
      <c r="E98" t="s">
        <v>2179</v>
      </c>
      <c r="F98">
        <v>202109</v>
      </c>
      <c r="G98" t="s">
        <v>231</v>
      </c>
      <c r="H98">
        <v>684036.09</v>
      </c>
    </row>
    <row r="99" spans="1:8">
      <c r="A99" t="s">
        <v>2310</v>
      </c>
      <c r="B99" t="s">
        <v>2311</v>
      </c>
      <c r="C99" t="s">
        <v>2312</v>
      </c>
      <c r="D99" t="s">
        <v>2313</v>
      </c>
      <c r="E99" t="s">
        <v>2179</v>
      </c>
      <c r="F99">
        <v>202109</v>
      </c>
      <c r="G99" t="s">
        <v>221</v>
      </c>
      <c r="H99">
        <v>4904918.58</v>
      </c>
    </row>
    <row r="100" spans="1:8">
      <c r="A100" t="s">
        <v>2310</v>
      </c>
      <c r="B100" t="s">
        <v>2311</v>
      </c>
      <c r="C100" t="s">
        <v>2312</v>
      </c>
      <c r="D100" t="s">
        <v>2313</v>
      </c>
      <c r="E100" t="s">
        <v>2179</v>
      </c>
      <c r="F100">
        <v>202109</v>
      </c>
      <c r="G100" t="s">
        <v>223</v>
      </c>
      <c r="H100">
        <v>710807.27</v>
      </c>
    </row>
    <row r="101" spans="1:8">
      <c r="A101" t="s">
        <v>2310</v>
      </c>
      <c r="B101" t="s">
        <v>2311</v>
      </c>
      <c r="C101" t="s">
        <v>2312</v>
      </c>
      <c r="D101" t="s">
        <v>2313</v>
      </c>
      <c r="E101" t="s">
        <v>2179</v>
      </c>
      <c r="F101">
        <v>202109</v>
      </c>
      <c r="G101" t="s">
        <v>225</v>
      </c>
      <c r="H101">
        <v>99405.69</v>
      </c>
    </row>
    <row r="102" spans="1:8">
      <c r="A102" t="s">
        <v>2310</v>
      </c>
      <c r="B102" t="s">
        <v>2311</v>
      </c>
      <c r="C102" t="s">
        <v>2312</v>
      </c>
      <c r="D102" t="s">
        <v>2313</v>
      </c>
      <c r="E102" t="s">
        <v>2179</v>
      </c>
      <c r="F102">
        <v>202110</v>
      </c>
      <c r="G102" t="s">
        <v>230</v>
      </c>
      <c r="H102">
        <v>4735458.49</v>
      </c>
    </row>
    <row r="103" spans="1:8">
      <c r="A103" t="s">
        <v>2310</v>
      </c>
      <c r="B103" t="s">
        <v>2311</v>
      </c>
      <c r="C103" t="s">
        <v>2312</v>
      </c>
      <c r="D103" t="s">
        <v>2313</v>
      </c>
      <c r="E103" t="s">
        <v>2179</v>
      </c>
      <c r="F103">
        <v>202110</v>
      </c>
      <c r="G103" t="s">
        <v>231</v>
      </c>
      <c r="H103">
        <v>665831.06999999995</v>
      </c>
    </row>
    <row r="104" spans="1:8">
      <c r="A104" t="s">
        <v>2310</v>
      </c>
      <c r="B104" t="s">
        <v>2311</v>
      </c>
      <c r="C104" t="s">
        <v>2312</v>
      </c>
      <c r="D104" t="s">
        <v>2313</v>
      </c>
      <c r="E104" t="s">
        <v>2179</v>
      </c>
      <c r="F104">
        <v>202110</v>
      </c>
      <c r="G104" t="s">
        <v>221</v>
      </c>
      <c r="H104">
        <v>5061575.96</v>
      </c>
    </row>
    <row r="105" spans="1:8">
      <c r="A105" t="s">
        <v>2310</v>
      </c>
      <c r="B105" t="s">
        <v>2311</v>
      </c>
      <c r="C105" t="s">
        <v>2312</v>
      </c>
      <c r="D105" t="s">
        <v>2313</v>
      </c>
      <c r="E105" t="s">
        <v>2179</v>
      </c>
      <c r="F105">
        <v>202110</v>
      </c>
      <c r="G105" t="s">
        <v>223</v>
      </c>
      <c r="H105">
        <v>694175.71</v>
      </c>
    </row>
    <row r="106" spans="1:8">
      <c r="A106" t="s">
        <v>2310</v>
      </c>
      <c r="B106" t="s">
        <v>2311</v>
      </c>
      <c r="C106" t="s">
        <v>2312</v>
      </c>
      <c r="D106" t="s">
        <v>2313</v>
      </c>
      <c r="E106" t="s">
        <v>2179</v>
      </c>
      <c r="F106">
        <v>202110</v>
      </c>
      <c r="G106" t="s">
        <v>225</v>
      </c>
      <c r="H106">
        <v>105846.41</v>
      </c>
    </row>
    <row r="107" spans="1:8">
      <c r="A107" t="s">
        <v>2310</v>
      </c>
      <c r="B107" t="s">
        <v>2311</v>
      </c>
      <c r="C107" t="s">
        <v>2312</v>
      </c>
      <c r="D107" t="s">
        <v>2313</v>
      </c>
      <c r="E107" t="s">
        <v>2179</v>
      </c>
      <c r="F107">
        <v>202111</v>
      </c>
      <c r="G107" t="s">
        <v>230</v>
      </c>
      <c r="H107">
        <v>4874773.3899999997</v>
      </c>
    </row>
    <row r="108" spans="1:8">
      <c r="A108" t="s">
        <v>2310</v>
      </c>
      <c r="B108" t="s">
        <v>2311</v>
      </c>
      <c r="C108" t="s">
        <v>2312</v>
      </c>
      <c r="D108" t="s">
        <v>2313</v>
      </c>
      <c r="E108" t="s">
        <v>2179</v>
      </c>
      <c r="F108">
        <v>202111</v>
      </c>
      <c r="G108" t="s">
        <v>231</v>
      </c>
      <c r="H108">
        <v>687724.5</v>
      </c>
    </row>
    <row r="109" spans="1:8">
      <c r="A109" t="s">
        <v>2310</v>
      </c>
      <c r="B109" t="s">
        <v>2311</v>
      </c>
      <c r="C109" t="s">
        <v>2312</v>
      </c>
      <c r="D109" t="s">
        <v>2313</v>
      </c>
      <c r="E109" t="s">
        <v>2179</v>
      </c>
      <c r="F109">
        <v>202111</v>
      </c>
      <c r="G109" t="s">
        <v>221</v>
      </c>
      <c r="H109">
        <v>5199198.3499999996</v>
      </c>
    </row>
    <row r="110" spans="1:8">
      <c r="A110" t="s">
        <v>2310</v>
      </c>
      <c r="B110" t="s">
        <v>2311</v>
      </c>
      <c r="C110" t="s">
        <v>2312</v>
      </c>
      <c r="D110" t="s">
        <v>2313</v>
      </c>
      <c r="E110" t="s">
        <v>2179</v>
      </c>
      <c r="F110">
        <v>202111</v>
      </c>
      <c r="G110" t="s">
        <v>223</v>
      </c>
      <c r="H110">
        <v>719527.01</v>
      </c>
    </row>
    <row r="111" spans="1:8">
      <c r="A111" t="s">
        <v>2310</v>
      </c>
      <c r="B111" t="s">
        <v>2311</v>
      </c>
      <c r="C111" t="s">
        <v>2312</v>
      </c>
      <c r="D111" t="s">
        <v>2313</v>
      </c>
      <c r="E111" t="s">
        <v>2179</v>
      </c>
      <c r="F111">
        <v>202111</v>
      </c>
      <c r="G111" t="s">
        <v>225</v>
      </c>
      <c r="H111">
        <v>105673.48</v>
      </c>
    </row>
    <row r="112" spans="1:8">
      <c r="A112" t="s">
        <v>2310</v>
      </c>
      <c r="B112" t="s">
        <v>2311</v>
      </c>
      <c r="C112" t="s">
        <v>2312</v>
      </c>
      <c r="D112" t="s">
        <v>2313</v>
      </c>
      <c r="E112" t="s">
        <v>2179</v>
      </c>
      <c r="F112">
        <v>202112</v>
      </c>
      <c r="G112" t="s">
        <v>230</v>
      </c>
      <c r="H112">
        <v>5294731.34</v>
      </c>
    </row>
    <row r="113" spans="1:8">
      <c r="A113" t="s">
        <v>2310</v>
      </c>
      <c r="B113" t="s">
        <v>2311</v>
      </c>
      <c r="C113" t="s">
        <v>2312</v>
      </c>
      <c r="D113" t="s">
        <v>2313</v>
      </c>
      <c r="E113" t="s">
        <v>2179</v>
      </c>
      <c r="F113">
        <v>202112</v>
      </c>
      <c r="G113" t="s">
        <v>231</v>
      </c>
      <c r="H113">
        <v>839815.42</v>
      </c>
    </row>
    <row r="114" spans="1:8">
      <c r="A114" t="s">
        <v>2310</v>
      </c>
      <c r="B114" t="s">
        <v>2311</v>
      </c>
      <c r="C114" t="s">
        <v>2312</v>
      </c>
      <c r="D114" t="s">
        <v>2313</v>
      </c>
      <c r="E114" t="s">
        <v>2179</v>
      </c>
      <c r="F114">
        <v>202112</v>
      </c>
      <c r="G114" t="s">
        <v>221</v>
      </c>
      <c r="H114">
        <v>5594297.1100000003</v>
      </c>
    </row>
    <row r="115" spans="1:8">
      <c r="A115" t="s">
        <v>2310</v>
      </c>
      <c r="B115" t="s">
        <v>2311</v>
      </c>
      <c r="C115" t="s">
        <v>2312</v>
      </c>
      <c r="D115" t="s">
        <v>2313</v>
      </c>
      <c r="E115" t="s">
        <v>2179</v>
      </c>
      <c r="F115">
        <v>202112</v>
      </c>
      <c r="G115" t="s">
        <v>223</v>
      </c>
      <c r="H115">
        <v>868535.77</v>
      </c>
    </row>
    <row r="116" spans="1:8">
      <c r="A116" t="s">
        <v>2310</v>
      </c>
      <c r="B116" t="s">
        <v>2311</v>
      </c>
      <c r="C116" t="s">
        <v>2312</v>
      </c>
      <c r="D116" t="s">
        <v>2313</v>
      </c>
      <c r="E116" t="s">
        <v>2179</v>
      </c>
      <c r="F116">
        <v>202112</v>
      </c>
      <c r="G116" t="s">
        <v>225</v>
      </c>
      <c r="H116">
        <v>96357.13</v>
      </c>
    </row>
    <row r="117" spans="1:8">
      <c r="A117" t="s">
        <v>2310</v>
      </c>
      <c r="B117" t="s">
        <v>2311</v>
      </c>
      <c r="C117" t="s">
        <v>2312</v>
      </c>
      <c r="D117" t="s">
        <v>2313</v>
      </c>
      <c r="E117" t="s">
        <v>2179</v>
      </c>
      <c r="F117">
        <v>202201</v>
      </c>
      <c r="G117" t="s">
        <v>230</v>
      </c>
      <c r="H117">
        <v>6223502.9000000004</v>
      </c>
    </row>
    <row r="118" spans="1:8">
      <c r="A118" t="s">
        <v>2310</v>
      </c>
      <c r="B118" t="s">
        <v>2311</v>
      </c>
      <c r="C118" t="s">
        <v>2312</v>
      </c>
      <c r="D118" t="s">
        <v>2313</v>
      </c>
      <c r="E118" t="s">
        <v>2179</v>
      </c>
      <c r="F118">
        <v>202201</v>
      </c>
      <c r="G118" t="s">
        <v>231</v>
      </c>
      <c r="H118">
        <v>806719.36</v>
      </c>
    </row>
    <row r="119" spans="1:8">
      <c r="A119" t="s">
        <v>2310</v>
      </c>
      <c r="B119" t="s">
        <v>2311</v>
      </c>
      <c r="C119" t="s">
        <v>2312</v>
      </c>
      <c r="D119" t="s">
        <v>2313</v>
      </c>
      <c r="E119" t="s">
        <v>2179</v>
      </c>
      <c r="F119">
        <v>202201</v>
      </c>
      <c r="G119" t="s">
        <v>221</v>
      </c>
      <c r="H119">
        <v>6485608.3099999996</v>
      </c>
    </row>
    <row r="120" spans="1:8">
      <c r="A120" t="s">
        <v>2310</v>
      </c>
      <c r="B120" t="s">
        <v>2311</v>
      </c>
      <c r="C120" t="s">
        <v>2312</v>
      </c>
      <c r="D120" t="s">
        <v>2313</v>
      </c>
      <c r="E120" t="s">
        <v>2179</v>
      </c>
      <c r="F120">
        <v>202201</v>
      </c>
      <c r="G120" t="s">
        <v>223</v>
      </c>
      <c r="H120">
        <v>829616.57</v>
      </c>
    </row>
    <row r="121" spans="1:8">
      <c r="A121" t="s">
        <v>2310</v>
      </c>
      <c r="B121" t="s">
        <v>2311</v>
      </c>
      <c r="C121" t="s">
        <v>2312</v>
      </c>
      <c r="D121" t="s">
        <v>2313</v>
      </c>
      <c r="E121" t="s">
        <v>2179</v>
      </c>
      <c r="F121">
        <v>202201</v>
      </c>
      <c r="G121" t="s">
        <v>225</v>
      </c>
      <c r="H121">
        <v>87313.600000000006</v>
      </c>
    </row>
    <row r="122" spans="1:8">
      <c r="A122" t="s">
        <v>2310</v>
      </c>
      <c r="B122" t="s">
        <v>2311</v>
      </c>
      <c r="C122" t="s">
        <v>2312</v>
      </c>
      <c r="D122" t="s">
        <v>2313</v>
      </c>
      <c r="E122" t="s">
        <v>2179</v>
      </c>
      <c r="F122">
        <v>202202</v>
      </c>
      <c r="G122" t="s">
        <v>230</v>
      </c>
      <c r="H122">
        <v>5143188.63</v>
      </c>
    </row>
    <row r="123" spans="1:8">
      <c r="A123" t="s">
        <v>2310</v>
      </c>
      <c r="B123" t="s">
        <v>2311</v>
      </c>
      <c r="C123" t="s">
        <v>2312</v>
      </c>
      <c r="D123" t="s">
        <v>2313</v>
      </c>
      <c r="E123" t="s">
        <v>2179</v>
      </c>
      <c r="F123">
        <v>202202</v>
      </c>
      <c r="G123" t="s">
        <v>231</v>
      </c>
      <c r="H123">
        <v>734586.99</v>
      </c>
    </row>
    <row r="124" spans="1:8">
      <c r="A124" t="s">
        <v>2310</v>
      </c>
      <c r="B124" t="s">
        <v>2311</v>
      </c>
      <c r="C124" t="s">
        <v>2312</v>
      </c>
      <c r="D124" t="s">
        <v>2313</v>
      </c>
      <c r="E124" t="s">
        <v>2179</v>
      </c>
      <c r="F124">
        <v>202202</v>
      </c>
      <c r="G124" t="s">
        <v>221</v>
      </c>
      <c r="H124">
        <v>5409929.7400000002</v>
      </c>
    </row>
    <row r="125" spans="1:8">
      <c r="A125" t="s">
        <v>2310</v>
      </c>
      <c r="B125" t="s">
        <v>2311</v>
      </c>
      <c r="C125" t="s">
        <v>2312</v>
      </c>
      <c r="D125" t="s">
        <v>2313</v>
      </c>
      <c r="E125" t="s">
        <v>2179</v>
      </c>
      <c r="F125">
        <v>202202</v>
      </c>
      <c r="G125" t="s">
        <v>223</v>
      </c>
      <c r="H125">
        <v>760156.14</v>
      </c>
    </row>
    <row r="126" spans="1:8">
      <c r="A126" t="s">
        <v>2310</v>
      </c>
      <c r="B126" t="s">
        <v>2311</v>
      </c>
      <c r="C126" t="s">
        <v>2312</v>
      </c>
      <c r="D126" t="s">
        <v>2313</v>
      </c>
      <c r="E126" t="s">
        <v>2179</v>
      </c>
      <c r="F126">
        <v>202202</v>
      </c>
      <c r="G126" t="s">
        <v>225</v>
      </c>
      <c r="H126">
        <v>78199.25</v>
      </c>
    </row>
    <row r="127" spans="1:8">
      <c r="A127" t="s">
        <v>2310</v>
      </c>
      <c r="B127" t="s">
        <v>2311</v>
      </c>
      <c r="C127" t="s">
        <v>2312</v>
      </c>
      <c r="D127" t="s">
        <v>2313</v>
      </c>
      <c r="E127" t="s">
        <v>2179</v>
      </c>
      <c r="F127">
        <v>202203</v>
      </c>
      <c r="G127" t="s">
        <v>230</v>
      </c>
      <c r="H127">
        <v>5384793.3499999996</v>
      </c>
    </row>
    <row r="128" spans="1:8">
      <c r="A128" t="s">
        <v>2310</v>
      </c>
      <c r="B128" t="s">
        <v>2311</v>
      </c>
      <c r="C128" t="s">
        <v>2312</v>
      </c>
      <c r="D128" t="s">
        <v>2313</v>
      </c>
      <c r="E128" t="s">
        <v>2179</v>
      </c>
      <c r="F128">
        <v>202203</v>
      </c>
      <c r="G128" t="s">
        <v>231</v>
      </c>
      <c r="H128">
        <v>767590.39</v>
      </c>
    </row>
    <row r="129" spans="1:8">
      <c r="A129" t="s">
        <v>2310</v>
      </c>
      <c r="B129" t="s">
        <v>2311</v>
      </c>
      <c r="C129" t="s">
        <v>2312</v>
      </c>
      <c r="D129" t="s">
        <v>2313</v>
      </c>
      <c r="E129" t="s">
        <v>2179</v>
      </c>
      <c r="F129">
        <v>202203</v>
      </c>
      <c r="G129" t="s">
        <v>221</v>
      </c>
      <c r="H129">
        <v>5747787.1200000001</v>
      </c>
    </row>
    <row r="130" spans="1:8">
      <c r="A130" t="s">
        <v>2310</v>
      </c>
      <c r="B130" t="s">
        <v>2311</v>
      </c>
      <c r="C130" t="s">
        <v>2312</v>
      </c>
      <c r="D130" t="s">
        <v>2313</v>
      </c>
      <c r="E130" t="s">
        <v>2179</v>
      </c>
      <c r="F130">
        <v>202203</v>
      </c>
      <c r="G130" t="s">
        <v>223</v>
      </c>
      <c r="H130">
        <v>799544.36</v>
      </c>
    </row>
    <row r="131" spans="1:8">
      <c r="A131" t="s">
        <v>2310</v>
      </c>
      <c r="B131" t="s">
        <v>2311</v>
      </c>
      <c r="C131" t="s">
        <v>2312</v>
      </c>
      <c r="D131" t="s">
        <v>2313</v>
      </c>
      <c r="E131" t="s">
        <v>2179</v>
      </c>
      <c r="F131">
        <v>202203</v>
      </c>
      <c r="G131" t="s">
        <v>225</v>
      </c>
      <c r="H131">
        <v>84516.75</v>
      </c>
    </row>
    <row r="132" spans="1:8">
      <c r="A132" t="s">
        <v>2310</v>
      </c>
      <c r="B132" t="s">
        <v>2311</v>
      </c>
      <c r="C132" t="s">
        <v>2312</v>
      </c>
      <c r="D132" t="s">
        <v>2313</v>
      </c>
      <c r="E132" t="s">
        <v>2179</v>
      </c>
      <c r="F132">
        <v>202204</v>
      </c>
      <c r="G132" t="s">
        <v>230</v>
      </c>
      <c r="H132">
        <v>4539129.83</v>
      </c>
    </row>
    <row r="133" spans="1:8">
      <c r="A133" t="s">
        <v>2310</v>
      </c>
      <c r="B133" t="s">
        <v>2311</v>
      </c>
      <c r="C133" t="s">
        <v>2312</v>
      </c>
      <c r="D133" t="s">
        <v>2313</v>
      </c>
      <c r="E133" t="s">
        <v>2179</v>
      </c>
      <c r="F133">
        <v>202204</v>
      </c>
      <c r="G133" t="s">
        <v>231</v>
      </c>
      <c r="H133">
        <v>592640.74</v>
      </c>
    </row>
    <row r="134" spans="1:8">
      <c r="A134" t="s">
        <v>2310</v>
      </c>
      <c r="B134" t="s">
        <v>2311</v>
      </c>
      <c r="C134" t="s">
        <v>2312</v>
      </c>
      <c r="D134" t="s">
        <v>2313</v>
      </c>
      <c r="E134" t="s">
        <v>2179</v>
      </c>
      <c r="F134">
        <v>202204</v>
      </c>
      <c r="G134" t="s">
        <v>221</v>
      </c>
      <c r="H134">
        <v>4881071.3600000003</v>
      </c>
    </row>
    <row r="135" spans="1:8">
      <c r="A135" t="s">
        <v>2310</v>
      </c>
      <c r="B135" t="s">
        <v>2311</v>
      </c>
      <c r="C135" t="s">
        <v>2312</v>
      </c>
      <c r="D135" t="s">
        <v>2313</v>
      </c>
      <c r="E135" t="s">
        <v>2179</v>
      </c>
      <c r="F135">
        <v>202204</v>
      </c>
      <c r="G135" t="s">
        <v>223</v>
      </c>
      <c r="H135">
        <v>621668.01</v>
      </c>
    </row>
    <row r="136" spans="1:8">
      <c r="A136" t="s">
        <v>2310</v>
      </c>
      <c r="B136" t="s">
        <v>2311</v>
      </c>
      <c r="C136" t="s">
        <v>2312</v>
      </c>
      <c r="D136" t="s">
        <v>2313</v>
      </c>
      <c r="E136" t="s">
        <v>2179</v>
      </c>
      <c r="F136">
        <v>202204</v>
      </c>
      <c r="G136" t="s">
        <v>225</v>
      </c>
      <c r="H136">
        <v>81321.84</v>
      </c>
    </row>
    <row r="137" spans="1:8">
      <c r="A137" t="s">
        <v>2310</v>
      </c>
      <c r="B137" t="s">
        <v>2311</v>
      </c>
      <c r="C137" t="s">
        <v>2312</v>
      </c>
      <c r="D137" t="s">
        <v>2313</v>
      </c>
      <c r="E137" t="s">
        <v>2179</v>
      </c>
      <c r="F137">
        <v>202205</v>
      </c>
      <c r="G137" t="s">
        <v>230</v>
      </c>
      <c r="H137">
        <v>4822291.4400000004</v>
      </c>
    </row>
    <row r="138" spans="1:8">
      <c r="A138" t="s">
        <v>2310</v>
      </c>
      <c r="B138" t="s">
        <v>2311</v>
      </c>
      <c r="C138" t="s">
        <v>2312</v>
      </c>
      <c r="D138" t="s">
        <v>2313</v>
      </c>
      <c r="E138" t="s">
        <v>2179</v>
      </c>
      <c r="F138">
        <v>202205</v>
      </c>
      <c r="G138" t="s">
        <v>231</v>
      </c>
      <c r="H138">
        <v>675758.84</v>
      </c>
    </row>
    <row r="139" spans="1:8">
      <c r="A139" t="s">
        <v>2310</v>
      </c>
      <c r="B139" t="s">
        <v>2311</v>
      </c>
      <c r="C139" t="s">
        <v>2312</v>
      </c>
      <c r="D139" t="s">
        <v>2313</v>
      </c>
      <c r="E139" t="s">
        <v>2179</v>
      </c>
      <c r="F139">
        <v>202205</v>
      </c>
      <c r="G139" t="s">
        <v>221</v>
      </c>
      <c r="H139">
        <v>5175250.09</v>
      </c>
    </row>
    <row r="140" spans="1:8">
      <c r="A140" t="s">
        <v>2310</v>
      </c>
      <c r="B140" t="s">
        <v>2311</v>
      </c>
      <c r="C140" t="s">
        <v>2312</v>
      </c>
      <c r="D140" t="s">
        <v>2313</v>
      </c>
      <c r="E140" t="s">
        <v>2179</v>
      </c>
      <c r="F140">
        <v>202205</v>
      </c>
      <c r="G140" t="s">
        <v>223</v>
      </c>
      <c r="H140">
        <v>711926.83</v>
      </c>
    </row>
    <row r="141" spans="1:8">
      <c r="A141" t="s">
        <v>2310</v>
      </c>
      <c r="B141" t="s">
        <v>2311</v>
      </c>
      <c r="C141" t="s">
        <v>2312</v>
      </c>
      <c r="D141" t="s">
        <v>2313</v>
      </c>
      <c r="E141" t="s">
        <v>2179</v>
      </c>
      <c r="F141">
        <v>202205</v>
      </c>
      <c r="G141" t="s">
        <v>225</v>
      </c>
      <c r="H141">
        <v>92244.64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zoomScale="115" zoomScaleNormal="115" workbookViewId="0">
      <pane xSplit="1" topLeftCell="G1" activePane="topRight" state="frozen"/>
      <selection activeCell="A7" sqref="A7"/>
      <selection pane="topRight" activeCell="H62" sqref="H6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4" bestFit="1" customWidth="1"/>
    <col min="46" max="46" width="14.5703125" bestFit="1" customWidth="1"/>
    <col min="49" max="49" width="18.7109375" bestFit="1" customWidth="1"/>
    <col min="50" max="50" width="14" style="234" bestFit="1" customWidth="1"/>
  </cols>
  <sheetData>
    <row r="1" spans="1:50">
      <c r="A1" s="9" t="s">
        <v>233</v>
      </c>
    </row>
    <row r="2" spans="1:50">
      <c r="A2" s="63" t="s">
        <v>234</v>
      </c>
      <c r="AI2" t="s">
        <v>2163</v>
      </c>
    </row>
    <row r="3" spans="1:50">
      <c r="A3" s="63" t="s">
        <v>235</v>
      </c>
      <c r="AI3" t="s">
        <v>2164</v>
      </c>
    </row>
    <row r="4" spans="1:50">
      <c r="A4" s="63" t="s">
        <v>236</v>
      </c>
    </row>
    <row r="7" spans="1:50">
      <c r="A7" s="656" t="s">
        <v>237</v>
      </c>
      <c r="M7" t="s">
        <v>2155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14" t="s">
        <v>238</v>
      </c>
      <c r="B9" s="514" t="s">
        <v>239</v>
      </c>
      <c r="C9" s="514" t="s">
        <v>240</v>
      </c>
      <c r="D9" s="514" t="s">
        <v>241</v>
      </c>
      <c r="E9" s="514" t="s">
        <v>242</v>
      </c>
      <c r="F9" s="514" t="s">
        <v>243</v>
      </c>
      <c r="G9" s="514" t="s">
        <v>244</v>
      </c>
      <c r="H9" s="514" t="s">
        <v>245</v>
      </c>
      <c r="I9" s="514" t="s">
        <v>246</v>
      </c>
      <c r="J9" s="514" t="s">
        <v>247</v>
      </c>
      <c r="K9" s="514" t="s">
        <v>248</v>
      </c>
      <c r="L9" s="514" t="s">
        <v>249</v>
      </c>
      <c r="M9" s="514" t="s">
        <v>250</v>
      </c>
      <c r="N9" s="514" t="s">
        <v>251</v>
      </c>
      <c r="O9" s="514" t="s">
        <v>252</v>
      </c>
      <c r="P9" s="514" t="s">
        <v>253</v>
      </c>
      <c r="Q9" s="514" t="s">
        <v>254</v>
      </c>
      <c r="R9" s="514" t="s">
        <v>255</v>
      </c>
      <c r="S9" s="514" t="s">
        <v>256</v>
      </c>
      <c r="T9" s="514" t="s">
        <v>257</v>
      </c>
      <c r="U9" s="515" t="s">
        <v>258</v>
      </c>
      <c r="V9" s="514" t="s">
        <v>259</v>
      </c>
      <c r="W9" s="514" t="s">
        <v>260</v>
      </c>
      <c r="X9" s="515" t="s">
        <v>261</v>
      </c>
      <c r="Y9" s="515" t="s">
        <v>262</v>
      </c>
      <c r="Z9" s="515" t="s">
        <v>263</v>
      </c>
      <c r="AA9" s="515" t="s">
        <v>264</v>
      </c>
      <c r="AB9" s="515" t="s">
        <v>265</v>
      </c>
      <c r="AC9" s="515" t="s">
        <v>266</v>
      </c>
      <c r="AD9" s="515" t="s">
        <v>267</v>
      </c>
      <c r="AE9" s="515" t="s">
        <v>268</v>
      </c>
      <c r="AF9" s="515" t="s">
        <v>269</v>
      </c>
      <c r="AG9" s="515" t="s">
        <v>270</v>
      </c>
      <c r="AH9" s="515" t="s">
        <v>271</v>
      </c>
      <c r="AI9" s="515" t="s">
        <v>272</v>
      </c>
      <c r="AJ9" s="515" t="s">
        <v>273</v>
      </c>
      <c r="AK9" s="515" t="s">
        <v>274</v>
      </c>
      <c r="AL9" s="515" t="s">
        <v>275</v>
      </c>
      <c r="AM9" s="515" t="s">
        <v>276</v>
      </c>
      <c r="AN9" s="515" t="s">
        <v>277</v>
      </c>
      <c r="AR9" s="812" t="s">
        <v>238</v>
      </c>
      <c r="AS9" s="813" t="s">
        <v>278</v>
      </c>
    </row>
    <row r="10" spans="1:50" s="9" customFormat="1" ht="31.5" hidden="1">
      <c r="A10" s="630" t="s">
        <v>279</v>
      </c>
      <c r="B10" s="630" t="s">
        <v>280</v>
      </c>
      <c r="C10" s="630">
        <v>5381</v>
      </c>
      <c r="D10" s="630" t="s">
        <v>281</v>
      </c>
      <c r="E10" s="630" t="s">
        <v>282</v>
      </c>
      <c r="F10" s="630" t="s">
        <v>283</v>
      </c>
      <c r="G10" s="630" t="s">
        <v>284</v>
      </c>
      <c r="H10" s="630">
        <v>3.7699999999999997E-2</v>
      </c>
      <c r="I10" s="630" t="s">
        <v>285</v>
      </c>
      <c r="J10" s="630">
        <v>104</v>
      </c>
      <c r="K10" s="630" t="s">
        <v>164</v>
      </c>
      <c r="L10" s="630">
        <v>145</v>
      </c>
      <c r="M10" s="815">
        <v>0</v>
      </c>
      <c r="N10" s="1631"/>
      <c r="O10" s="1631" t="s">
        <v>2156</v>
      </c>
      <c r="P10" s="1628">
        <v>0.18360000000000001</v>
      </c>
      <c r="Q10" s="1631">
        <v>16758759.762993418</v>
      </c>
      <c r="R10" s="1639">
        <v>44531</v>
      </c>
      <c r="S10" s="1631" t="s">
        <v>2167</v>
      </c>
      <c r="T10" s="630" t="s">
        <v>286</v>
      </c>
      <c r="U10" s="741" t="s">
        <v>287</v>
      </c>
      <c r="V10" s="630">
        <v>2024</v>
      </c>
      <c r="W10" s="1626">
        <v>2974</v>
      </c>
      <c r="X10" s="1627" t="s">
        <v>2158</v>
      </c>
      <c r="Y10" s="1628">
        <v>1.15E-2</v>
      </c>
      <c r="Z10" s="1629">
        <v>0</v>
      </c>
      <c r="AA10" s="1629" t="s">
        <v>288</v>
      </c>
      <c r="AB10" s="491">
        <v>39.72</v>
      </c>
      <c r="AC10" s="491">
        <v>539.16</v>
      </c>
      <c r="AD10" s="491">
        <v>3502812.67</v>
      </c>
      <c r="AE10" s="1630">
        <v>42300</v>
      </c>
      <c r="AF10" s="1630">
        <v>42300</v>
      </c>
      <c r="AG10" s="1631">
        <v>0</v>
      </c>
      <c r="AH10" s="630"/>
      <c r="AI10" s="741">
        <v>41472</v>
      </c>
      <c r="AJ10" s="741">
        <v>42613</v>
      </c>
      <c r="AK10" s="741" t="s">
        <v>289</v>
      </c>
      <c r="AL10" s="741"/>
      <c r="AM10" s="741"/>
      <c r="AN10" s="864"/>
      <c r="AO10" s="235"/>
      <c r="AP10" s="17"/>
      <c r="AR10" s="818" t="s">
        <v>290</v>
      </c>
      <c r="AS10" s="235"/>
      <c r="AT10" s="235"/>
      <c r="AX10" s="235"/>
    </row>
    <row r="11" spans="1:50" s="9" customFormat="1" ht="31.5" hidden="1">
      <c r="A11" s="630" t="s">
        <v>187</v>
      </c>
      <c r="B11" s="630" t="s">
        <v>291</v>
      </c>
      <c r="C11" s="630">
        <v>5366</v>
      </c>
      <c r="D11" s="630" t="s">
        <v>292</v>
      </c>
      <c r="E11" s="630" t="s">
        <v>282</v>
      </c>
      <c r="F11" s="630" t="s">
        <v>293</v>
      </c>
      <c r="G11" s="630" t="s">
        <v>284</v>
      </c>
      <c r="H11" s="630">
        <v>9.9699999999999997E-2</v>
      </c>
      <c r="I11" s="630" t="s">
        <v>164</v>
      </c>
      <c r="J11" s="630">
        <v>145</v>
      </c>
      <c r="K11" s="630"/>
      <c r="L11" s="630"/>
      <c r="M11" s="815">
        <v>0</v>
      </c>
      <c r="N11" s="1631"/>
      <c r="O11" s="1631" t="str">
        <f>O10</f>
        <v>ReH 2.995/2021</v>
      </c>
      <c r="P11" s="1640">
        <v>8.7599999999999997E-2</v>
      </c>
      <c r="Q11" s="1631">
        <v>12051594.579145933</v>
      </c>
      <c r="R11" s="1639">
        <v>44531</v>
      </c>
      <c r="S11" s="1631" t="str">
        <f>S10</f>
        <v>Desp. 521/2022</v>
      </c>
      <c r="T11" s="630" t="s">
        <v>294</v>
      </c>
      <c r="U11" s="741" t="s">
        <v>295</v>
      </c>
      <c r="V11" s="630">
        <v>2024</v>
      </c>
      <c r="W11" s="1626">
        <v>2944</v>
      </c>
      <c r="X11" s="1627" t="s">
        <v>2162</v>
      </c>
      <c r="Y11" s="630"/>
      <c r="AA11" s="1629" t="s">
        <v>164</v>
      </c>
      <c r="AB11" s="1631">
        <v>39.799999999999997</v>
      </c>
      <c r="AC11" s="1632">
        <v>133.91999999999999</v>
      </c>
      <c r="AD11" s="1632">
        <v>2423958.41</v>
      </c>
      <c r="AE11" s="741">
        <v>43678</v>
      </c>
      <c r="AF11" s="741">
        <v>43678</v>
      </c>
      <c r="AG11" s="1631">
        <v>0</v>
      </c>
      <c r="AH11" s="630"/>
      <c r="AI11" s="741">
        <v>41472</v>
      </c>
      <c r="AJ11" s="741">
        <v>42613</v>
      </c>
      <c r="AK11" s="741" t="s">
        <v>289</v>
      </c>
      <c r="AL11" s="741"/>
      <c r="AM11" s="741"/>
      <c r="AN11" s="864"/>
      <c r="AO11" s="235"/>
      <c r="AP11" s="17"/>
      <c r="AR11" s="818" t="s">
        <v>279</v>
      </c>
      <c r="AS11" s="235"/>
      <c r="AT11" s="235"/>
      <c r="AX11" s="235"/>
    </row>
    <row r="12" spans="1:50" s="9" customFormat="1" ht="31.5" hidden="1">
      <c r="A12" s="630" t="s">
        <v>296</v>
      </c>
      <c r="B12" s="630" t="s">
        <v>297</v>
      </c>
      <c r="C12" s="630">
        <v>5386</v>
      </c>
      <c r="D12" s="630" t="s">
        <v>298</v>
      </c>
      <c r="E12" s="630" t="s">
        <v>282</v>
      </c>
      <c r="F12" s="630" t="s">
        <v>299</v>
      </c>
      <c r="G12" s="630" t="s">
        <v>284</v>
      </c>
      <c r="H12" s="630">
        <v>3.7699999999999997E-2</v>
      </c>
      <c r="I12" s="630" t="s">
        <v>178</v>
      </c>
      <c r="J12" s="630">
        <v>135</v>
      </c>
      <c r="K12" s="630"/>
      <c r="L12" s="630"/>
      <c r="M12" s="815">
        <v>0</v>
      </c>
      <c r="N12" s="1631"/>
      <c r="O12" s="1631" t="str">
        <f t="shared" ref="O12:O61" si="9">O11</f>
        <v>ReH 2.995/2021</v>
      </c>
      <c r="P12" s="1640">
        <v>0.1298</v>
      </c>
      <c r="Q12" s="1631">
        <v>17888427.870995689</v>
      </c>
      <c r="R12" s="1639">
        <v>44531</v>
      </c>
      <c r="S12" s="1631" t="str">
        <f t="shared" ref="S12:S61" si="10">S11</f>
        <v>Desp. 521/2022</v>
      </c>
      <c r="T12" s="630" t="s">
        <v>300</v>
      </c>
      <c r="U12" s="741" t="s">
        <v>295</v>
      </c>
      <c r="V12" s="630">
        <v>2024</v>
      </c>
      <c r="W12" s="1626">
        <v>2977</v>
      </c>
      <c r="X12" s="1627" t="s">
        <v>2158</v>
      </c>
      <c r="Y12" s="1628">
        <v>1.15E-2</v>
      </c>
      <c r="Z12" s="1629">
        <v>-0.02</v>
      </c>
      <c r="AA12" s="1629" t="s">
        <v>301</v>
      </c>
      <c r="AB12" s="1631">
        <v>45.63</v>
      </c>
      <c r="AC12" s="1632">
        <v>532.64</v>
      </c>
      <c r="AD12" s="1632">
        <v>5694629.8099999996</v>
      </c>
      <c r="AE12" s="741">
        <v>43739</v>
      </c>
      <c r="AF12" s="741">
        <v>43739</v>
      </c>
      <c r="AG12" s="1631">
        <v>0</v>
      </c>
      <c r="AH12" s="630"/>
      <c r="AI12" s="741">
        <v>41472</v>
      </c>
      <c r="AJ12" s="741">
        <v>42673</v>
      </c>
      <c r="AK12" s="741" t="s">
        <v>289</v>
      </c>
      <c r="AL12" s="741"/>
      <c r="AM12" s="741"/>
      <c r="AN12" s="864"/>
      <c r="AO12" s="235"/>
      <c r="AP12" s="17"/>
      <c r="AR12" s="818" t="s">
        <v>187</v>
      </c>
      <c r="AS12" s="235"/>
      <c r="AT12" s="235"/>
      <c r="AX12" s="235"/>
    </row>
    <row r="13" spans="1:50" s="9" customFormat="1" ht="31.5" hidden="1">
      <c r="A13" s="630" t="s">
        <v>302</v>
      </c>
      <c r="B13" s="630" t="s">
        <v>303</v>
      </c>
      <c r="C13" s="630">
        <v>5378</v>
      </c>
      <c r="D13" s="630" t="s">
        <v>304</v>
      </c>
      <c r="E13" s="630" t="s">
        <v>282</v>
      </c>
      <c r="F13" s="630" t="s">
        <v>305</v>
      </c>
      <c r="G13" s="630" t="s">
        <v>284</v>
      </c>
      <c r="H13" s="630">
        <v>9.9699999999999997E-2</v>
      </c>
      <c r="I13" s="630" t="s">
        <v>204</v>
      </c>
      <c r="J13" s="630">
        <v>166</v>
      </c>
      <c r="K13" s="630" t="s">
        <v>164</v>
      </c>
      <c r="L13" s="630">
        <v>145</v>
      </c>
      <c r="M13" s="815">
        <v>0</v>
      </c>
      <c r="N13" s="1631"/>
      <c r="O13" s="1631" t="str">
        <f t="shared" si="9"/>
        <v>ReH 2.995/2021</v>
      </c>
      <c r="P13" s="1640">
        <v>0.1832</v>
      </c>
      <c r="Q13" s="1631">
        <v>51573900.56414932</v>
      </c>
      <c r="R13" s="1639">
        <v>44531</v>
      </c>
      <c r="S13" s="1631" t="str">
        <f t="shared" si="10"/>
        <v>Desp. 521/2022</v>
      </c>
      <c r="T13" s="630" t="s">
        <v>306</v>
      </c>
      <c r="U13" s="741" t="s">
        <v>295</v>
      </c>
      <c r="V13" s="630">
        <v>2024</v>
      </c>
      <c r="W13" s="1626">
        <v>2863</v>
      </c>
      <c r="X13" s="1627" t="s">
        <v>2161</v>
      </c>
      <c r="Y13" s="630"/>
      <c r="AA13" s="1629" t="s">
        <v>307</v>
      </c>
      <c r="AB13" s="1631">
        <v>60.67</v>
      </c>
      <c r="AC13" s="1632">
        <v>128.56</v>
      </c>
      <c r="AD13" s="1632">
        <v>16751978.699999999</v>
      </c>
      <c r="AE13" s="741">
        <v>44256</v>
      </c>
      <c r="AF13" s="741">
        <v>44277</v>
      </c>
      <c r="AG13" s="1631">
        <v>0</v>
      </c>
      <c r="AH13" s="630"/>
      <c r="AI13" s="741">
        <v>41472</v>
      </c>
      <c r="AJ13" s="741">
        <v>42410</v>
      </c>
      <c r="AK13" s="741" t="s">
        <v>289</v>
      </c>
      <c r="AL13" s="741"/>
      <c r="AM13" s="741"/>
      <c r="AN13" s="864"/>
      <c r="AO13" s="235"/>
      <c r="AP13" s="17"/>
      <c r="AR13" s="818" t="s">
        <v>186</v>
      </c>
      <c r="AS13" s="235"/>
      <c r="AT13" s="235"/>
      <c r="AX13" s="235"/>
    </row>
    <row r="14" spans="1:50" s="9" customFormat="1" ht="31.5" hidden="1">
      <c r="A14" s="630" t="s">
        <v>308</v>
      </c>
      <c r="B14" s="630" t="s">
        <v>309</v>
      </c>
      <c r="C14" s="630">
        <v>5382</v>
      </c>
      <c r="D14" s="630" t="s">
        <v>310</v>
      </c>
      <c r="E14" s="630" t="s">
        <v>282</v>
      </c>
      <c r="F14" s="630" t="s">
        <v>311</v>
      </c>
      <c r="G14" s="630" t="s">
        <v>284</v>
      </c>
      <c r="H14" s="630">
        <v>3.7699999999999997E-2</v>
      </c>
      <c r="I14" s="630" t="s">
        <v>312</v>
      </c>
      <c r="J14" s="630">
        <v>148</v>
      </c>
      <c r="K14" s="630"/>
      <c r="L14" s="630"/>
      <c r="M14" s="815">
        <v>0</v>
      </c>
      <c r="N14" s="1631"/>
      <c r="O14" s="1631" t="str">
        <f t="shared" si="9"/>
        <v>ReH 2.995/2021</v>
      </c>
      <c r="P14" s="1640">
        <v>8.9499999999999996E-2</v>
      </c>
      <c r="Q14" s="1641">
        <v>8419443.0538159572</v>
      </c>
      <c r="R14" s="1639">
        <v>44531</v>
      </c>
      <c r="S14" s="1631" t="str">
        <f t="shared" si="10"/>
        <v>Desp. 521/2022</v>
      </c>
      <c r="T14" s="630" t="s">
        <v>313</v>
      </c>
      <c r="U14" s="741" t="s">
        <v>295</v>
      </c>
      <c r="V14" s="630">
        <v>2024</v>
      </c>
      <c r="W14" s="1626">
        <v>2910</v>
      </c>
      <c r="X14" s="1627" t="s">
        <v>2160</v>
      </c>
      <c r="Y14" s="1628">
        <v>1.15E-2</v>
      </c>
      <c r="Z14" s="1629">
        <v>0</v>
      </c>
      <c r="AA14" s="1629" t="s">
        <v>312</v>
      </c>
      <c r="AB14" s="1631">
        <v>33.24</v>
      </c>
      <c r="AC14" s="1632">
        <v>986.44</v>
      </c>
      <c r="AD14" s="1632">
        <v>2124774.87</v>
      </c>
      <c r="AE14" s="741">
        <v>43647</v>
      </c>
      <c r="AF14" s="741">
        <v>43647</v>
      </c>
      <c r="AG14" s="1631">
        <v>0</v>
      </c>
      <c r="AH14" s="630"/>
      <c r="AI14" s="741">
        <v>41472</v>
      </c>
      <c r="AJ14" s="741">
        <v>42562</v>
      </c>
      <c r="AK14" s="741" t="s">
        <v>289</v>
      </c>
      <c r="AL14" s="741"/>
      <c r="AM14" s="741"/>
      <c r="AN14" s="864"/>
      <c r="AO14" s="235"/>
      <c r="AP14" s="17"/>
      <c r="AR14" s="818" t="s">
        <v>314</v>
      </c>
      <c r="AS14" s="235"/>
      <c r="AT14" s="235"/>
      <c r="AX14" s="235"/>
    </row>
    <row r="15" spans="1:50" s="9" customFormat="1" ht="31.5" hidden="1">
      <c r="A15" s="630" t="s">
        <v>315</v>
      </c>
      <c r="B15" s="630" t="s">
        <v>316</v>
      </c>
      <c r="C15" s="630">
        <v>6610</v>
      </c>
      <c r="D15" s="630" t="s">
        <v>317</v>
      </c>
      <c r="E15" s="630" t="s">
        <v>282</v>
      </c>
      <c r="F15" s="630" t="s">
        <v>318</v>
      </c>
      <c r="G15" s="630" t="s">
        <v>284</v>
      </c>
      <c r="H15" s="630">
        <v>9.9699999999999997E-2</v>
      </c>
      <c r="I15" s="630" t="s">
        <v>285</v>
      </c>
      <c r="J15" s="630">
        <v>104</v>
      </c>
      <c r="K15" s="630"/>
      <c r="L15" s="630"/>
      <c r="M15" s="815">
        <v>0</v>
      </c>
      <c r="N15" s="1631"/>
      <c r="O15" s="1631" t="str">
        <f t="shared" si="9"/>
        <v>ReH 2.995/2021</v>
      </c>
      <c r="P15" s="1640">
        <v>0.14800000000000002</v>
      </c>
      <c r="Q15" s="1641">
        <v>5024282.8201926984</v>
      </c>
      <c r="R15" s="1639">
        <v>44531</v>
      </c>
      <c r="S15" s="1631" t="str">
        <f t="shared" si="10"/>
        <v>Desp. 521/2022</v>
      </c>
      <c r="T15" s="630" t="s">
        <v>319</v>
      </c>
      <c r="U15" s="741" t="s">
        <v>287</v>
      </c>
      <c r="V15" s="630">
        <v>2024</v>
      </c>
      <c r="W15" s="1626">
        <v>2978</v>
      </c>
      <c r="X15" s="1627" t="s">
        <v>2158</v>
      </c>
      <c r="Y15" s="630"/>
      <c r="AA15" s="1629" t="s">
        <v>288</v>
      </c>
      <c r="AB15" s="1631">
        <v>98.54</v>
      </c>
      <c r="AC15" s="1632">
        <v>492.16</v>
      </c>
      <c r="AD15" s="1632">
        <v>607256.85</v>
      </c>
      <c r="AE15" s="741">
        <v>43739</v>
      </c>
      <c r="AF15" s="741">
        <v>43739</v>
      </c>
      <c r="AG15" s="1631">
        <v>0</v>
      </c>
      <c r="AH15" s="630"/>
      <c r="AI15" s="741">
        <v>41472</v>
      </c>
      <c r="AJ15" s="741">
        <v>42673</v>
      </c>
      <c r="AK15" s="741" t="s">
        <v>289</v>
      </c>
      <c r="AL15" s="741"/>
      <c r="AM15" s="741"/>
      <c r="AN15" s="864"/>
      <c r="AO15" s="235"/>
      <c r="AP15" s="17"/>
      <c r="AR15" s="818" t="s">
        <v>320</v>
      </c>
      <c r="AS15" s="235"/>
      <c r="AT15" s="235"/>
      <c r="AX15" s="235"/>
    </row>
    <row r="16" spans="1:50" s="9" customFormat="1" ht="31.5" hidden="1">
      <c r="A16" s="630" t="s">
        <v>321</v>
      </c>
      <c r="B16" s="630" t="s">
        <v>322</v>
      </c>
      <c r="C16" s="630">
        <v>6609</v>
      </c>
      <c r="D16" s="630" t="s">
        <v>323</v>
      </c>
      <c r="E16" s="630" t="s">
        <v>282</v>
      </c>
      <c r="F16" s="630" t="s">
        <v>324</v>
      </c>
      <c r="G16" s="630" t="s">
        <v>284</v>
      </c>
      <c r="H16" s="630">
        <v>3.7699999999999997E-2</v>
      </c>
      <c r="I16" s="630" t="s">
        <v>125</v>
      </c>
      <c r="J16" s="630">
        <v>165</v>
      </c>
      <c r="K16" s="630"/>
      <c r="L16" s="630"/>
      <c r="M16" s="815">
        <v>0</v>
      </c>
      <c r="N16" s="1631"/>
      <c r="O16" s="1631" t="str">
        <f t="shared" si="9"/>
        <v>ReH 2.995/2021</v>
      </c>
      <c r="P16" s="1640">
        <v>0.1585</v>
      </c>
      <c r="Q16" s="1631">
        <v>13523024.849047249</v>
      </c>
      <c r="R16" s="1639">
        <v>44531</v>
      </c>
      <c r="S16" s="1631" t="str">
        <f t="shared" si="10"/>
        <v>Desp. 521/2022</v>
      </c>
      <c r="T16" s="630" t="s">
        <v>325</v>
      </c>
      <c r="U16" s="741" t="s">
        <v>326</v>
      </c>
      <c r="V16" s="630">
        <v>2024</v>
      </c>
      <c r="W16" s="1626">
        <v>2903</v>
      </c>
      <c r="X16" s="1627" t="s">
        <v>2160</v>
      </c>
      <c r="Y16" s="1628">
        <v>1.15E-2</v>
      </c>
      <c r="Z16" s="488">
        <v>0</v>
      </c>
      <c r="AA16" s="488" t="s">
        <v>125</v>
      </c>
      <c r="AB16" s="1631">
        <v>23.817216620837154</v>
      </c>
      <c r="AC16" s="1632">
        <v>102.39004092957872</v>
      </c>
      <c r="AD16" s="1632">
        <v>8424461.6320540309</v>
      </c>
      <c r="AE16" s="741">
        <v>44389</v>
      </c>
      <c r="AF16" s="741">
        <v>44389</v>
      </c>
      <c r="AG16" s="1631">
        <v>0</v>
      </c>
      <c r="AH16" s="630"/>
      <c r="AI16" s="741">
        <v>41472</v>
      </c>
      <c r="AJ16" s="741">
        <v>42507</v>
      </c>
      <c r="AK16" s="741" t="s">
        <v>289</v>
      </c>
      <c r="AL16" s="741"/>
      <c r="AM16" s="741"/>
      <c r="AN16" s="864"/>
      <c r="AO16" s="235"/>
      <c r="AP16" s="17"/>
      <c r="AR16" s="818" t="s">
        <v>327</v>
      </c>
      <c r="AS16" s="235"/>
      <c r="AT16" s="235"/>
      <c r="AX16" s="235"/>
    </row>
    <row r="17" spans="1:50" s="9" customFormat="1" ht="31.5" hidden="1">
      <c r="A17" s="630" t="s">
        <v>328</v>
      </c>
      <c r="B17" s="630" t="s">
        <v>329</v>
      </c>
      <c r="C17" s="630">
        <v>5384</v>
      </c>
      <c r="D17" s="630" t="s">
        <v>330</v>
      </c>
      <c r="E17" s="630" t="s">
        <v>282</v>
      </c>
      <c r="F17" s="630" t="s">
        <v>331</v>
      </c>
      <c r="G17" s="630" t="s">
        <v>284</v>
      </c>
      <c r="H17" s="630">
        <v>9.9699999999999997E-2</v>
      </c>
      <c r="I17" s="630" t="s">
        <v>150</v>
      </c>
      <c r="J17" s="630">
        <v>136</v>
      </c>
      <c r="K17" s="630"/>
      <c r="L17" s="630"/>
      <c r="M17" s="815">
        <v>0</v>
      </c>
      <c r="N17" s="1631"/>
      <c r="O17" s="1631" t="str">
        <f t="shared" si="9"/>
        <v>ReH 2.995/2021</v>
      </c>
      <c r="P17" s="1640">
        <v>0.36620000000000003</v>
      </c>
      <c r="Q17" s="1631">
        <v>10580562.183376934</v>
      </c>
      <c r="R17" s="1639">
        <v>44531</v>
      </c>
      <c r="S17" s="1631" t="str">
        <f t="shared" si="10"/>
        <v>Desp. 521/2022</v>
      </c>
      <c r="T17" s="630" t="s">
        <v>332</v>
      </c>
      <c r="U17" s="741" t="s">
        <v>295</v>
      </c>
      <c r="V17" s="630">
        <v>2024</v>
      </c>
      <c r="W17" s="1626">
        <v>2873</v>
      </c>
      <c r="X17" s="1627" t="s">
        <v>2159</v>
      </c>
      <c r="Y17" s="630"/>
      <c r="AA17" s="1629" t="s">
        <v>150</v>
      </c>
      <c r="AB17" s="1631">
        <v>90.43</v>
      </c>
      <c r="AC17" s="1632">
        <v>237.88</v>
      </c>
      <c r="AD17" s="1632">
        <v>1254128.21</v>
      </c>
      <c r="AE17" s="741">
        <v>43198</v>
      </c>
      <c r="AF17" s="741">
        <v>43198</v>
      </c>
      <c r="AG17" s="1631">
        <v>0</v>
      </c>
      <c r="AH17" s="630"/>
      <c r="AI17" s="741">
        <v>41472</v>
      </c>
      <c r="AJ17" s="741">
        <v>42475</v>
      </c>
      <c r="AK17" s="741" t="s">
        <v>289</v>
      </c>
      <c r="AL17" s="741"/>
      <c r="AM17" s="741"/>
      <c r="AN17" s="864"/>
      <c r="AO17" s="235"/>
      <c r="AP17" s="17"/>
      <c r="AR17" s="818" t="s">
        <v>9</v>
      </c>
      <c r="AS17" s="235"/>
      <c r="AT17" s="235"/>
      <c r="AX17" s="235"/>
    </row>
    <row r="18" spans="1:50" s="9" customFormat="1" ht="31.5" hidden="1">
      <c r="A18" s="630" t="s">
        <v>333</v>
      </c>
      <c r="B18" s="630" t="s">
        <v>334</v>
      </c>
      <c r="C18" s="630">
        <v>5385</v>
      </c>
      <c r="D18" s="630" t="s">
        <v>335</v>
      </c>
      <c r="E18" s="630" t="s">
        <v>282</v>
      </c>
      <c r="F18" s="630" t="s">
        <v>336</v>
      </c>
      <c r="G18" s="630" t="s">
        <v>284</v>
      </c>
      <c r="H18" s="630">
        <v>3.7699999999999997E-2</v>
      </c>
      <c r="I18" s="630" t="s">
        <v>150</v>
      </c>
      <c r="J18" s="630">
        <v>136</v>
      </c>
      <c r="K18" s="630" t="s">
        <v>125</v>
      </c>
      <c r="L18" s="630">
        <v>165</v>
      </c>
      <c r="M18" s="815">
        <v>0</v>
      </c>
      <c r="N18" s="1631"/>
      <c r="O18" s="1631" t="str">
        <f t="shared" si="9"/>
        <v>ReH 2.995/2021</v>
      </c>
      <c r="P18" s="1640">
        <v>0.18079999999999999</v>
      </c>
      <c r="Q18" s="1631">
        <v>19362081.83872563</v>
      </c>
      <c r="R18" s="1639">
        <v>44531</v>
      </c>
      <c r="S18" s="1631" t="str">
        <f t="shared" si="10"/>
        <v>Desp. 521/2022</v>
      </c>
      <c r="T18" s="630" t="s">
        <v>337</v>
      </c>
      <c r="U18" s="741" t="s">
        <v>326</v>
      </c>
      <c r="V18" s="630">
        <v>2024</v>
      </c>
      <c r="W18" s="1626">
        <v>2874</v>
      </c>
      <c r="X18" s="1627" t="s">
        <v>2159</v>
      </c>
      <c r="Y18" s="1628">
        <v>1.15E-2</v>
      </c>
      <c r="Z18" s="488">
        <v>-7.9000000000000008E-3</v>
      </c>
      <c r="AA18" s="488" t="s">
        <v>150</v>
      </c>
      <c r="AB18" s="1631">
        <v>70.27</v>
      </c>
      <c r="AC18" s="1632">
        <v>237.88</v>
      </c>
      <c r="AD18" s="1632">
        <v>3687472.37</v>
      </c>
      <c r="AE18" s="741">
        <v>43198</v>
      </c>
      <c r="AF18" s="741">
        <v>43198</v>
      </c>
      <c r="AG18" s="1631">
        <v>0</v>
      </c>
      <c r="AH18" s="630"/>
      <c r="AI18" s="741">
        <v>41472</v>
      </c>
      <c r="AJ18" s="741">
        <v>42475</v>
      </c>
      <c r="AK18" s="741" t="s">
        <v>289</v>
      </c>
      <c r="AL18" s="741"/>
      <c r="AM18" s="741"/>
      <c r="AN18" s="864"/>
      <c r="AO18" s="235"/>
      <c r="AP18" s="17"/>
      <c r="AR18" s="818" t="s">
        <v>338</v>
      </c>
      <c r="AS18" s="235"/>
      <c r="AT18" s="235"/>
      <c r="AX18" s="235"/>
    </row>
    <row r="19" spans="1:50" s="9" customFormat="1" ht="31.5" hidden="1">
      <c r="A19" s="630" t="s">
        <v>339</v>
      </c>
      <c r="B19" s="630" t="s">
        <v>340</v>
      </c>
      <c r="C19" s="630">
        <v>5379</v>
      </c>
      <c r="D19" s="630" t="s">
        <v>341</v>
      </c>
      <c r="E19" s="630" t="s">
        <v>282</v>
      </c>
      <c r="F19" s="630" t="s">
        <v>342</v>
      </c>
      <c r="G19" s="630" t="s">
        <v>284</v>
      </c>
      <c r="H19" s="630">
        <v>3.7699999999999997E-2</v>
      </c>
      <c r="I19" s="630" t="s">
        <v>178</v>
      </c>
      <c r="J19" s="630">
        <v>135</v>
      </c>
      <c r="K19" s="630" t="s">
        <v>164</v>
      </c>
      <c r="L19" s="630">
        <v>145</v>
      </c>
      <c r="M19" s="815">
        <v>0</v>
      </c>
      <c r="N19" s="1631"/>
      <c r="O19" s="1631" t="str">
        <f t="shared" si="9"/>
        <v>ReH 2.995/2021</v>
      </c>
      <c r="P19" s="1640">
        <v>0.1321</v>
      </c>
      <c r="Q19" s="1631">
        <v>39394175.109390005</v>
      </c>
      <c r="R19" s="1639">
        <v>44531</v>
      </c>
      <c r="S19" s="1631" t="str">
        <f t="shared" si="10"/>
        <v>Desp. 521/2022</v>
      </c>
      <c r="T19" s="630" t="s">
        <v>343</v>
      </c>
      <c r="U19" s="741" t="s">
        <v>295</v>
      </c>
      <c r="V19" s="630">
        <v>2024</v>
      </c>
      <c r="W19" s="1626">
        <v>2975</v>
      </c>
      <c r="X19" s="1627" t="s">
        <v>2158</v>
      </c>
      <c r="Y19" s="1628">
        <v>1.15E-2</v>
      </c>
      <c r="Z19" s="488">
        <v>0</v>
      </c>
      <c r="AA19" s="1629" t="s">
        <v>301</v>
      </c>
      <c r="AB19" s="1633">
        <v>39.53</v>
      </c>
      <c r="AC19" s="1632">
        <v>532.64</v>
      </c>
      <c r="AD19" s="1632">
        <v>12412486.630000001</v>
      </c>
      <c r="AE19" s="741">
        <v>43739</v>
      </c>
      <c r="AF19" s="741">
        <v>43739</v>
      </c>
      <c r="AG19" s="1631">
        <v>0</v>
      </c>
      <c r="AH19" s="630"/>
      <c r="AI19" s="741">
        <v>41472</v>
      </c>
      <c r="AJ19" s="741">
        <v>42673</v>
      </c>
      <c r="AK19" s="741" t="s">
        <v>289</v>
      </c>
      <c r="AL19" s="741"/>
      <c r="AM19" s="741"/>
      <c r="AN19" s="864"/>
      <c r="AO19" s="235"/>
      <c r="AP19" s="17"/>
      <c r="AR19" s="818" t="s">
        <v>184</v>
      </c>
      <c r="AS19" s="235"/>
      <c r="AT19" s="235"/>
      <c r="AX19" s="235"/>
    </row>
    <row r="20" spans="1:50" s="9" customFormat="1" ht="31.5" hidden="1">
      <c r="A20" s="630" t="s">
        <v>314</v>
      </c>
      <c r="B20" s="630" t="s">
        <v>344</v>
      </c>
      <c r="C20" s="630">
        <v>5372</v>
      </c>
      <c r="D20" s="630" t="s">
        <v>345</v>
      </c>
      <c r="E20" s="630" t="s">
        <v>282</v>
      </c>
      <c r="F20" s="630" t="s">
        <v>346</v>
      </c>
      <c r="G20" s="630" t="s">
        <v>347</v>
      </c>
      <c r="H20" s="630">
        <v>9.9699999999999997E-2</v>
      </c>
      <c r="I20" s="630" t="s">
        <v>189</v>
      </c>
      <c r="J20" s="630">
        <v>111</v>
      </c>
      <c r="K20" s="630"/>
      <c r="L20" s="630"/>
      <c r="M20" s="815">
        <v>0</v>
      </c>
      <c r="N20" s="1631"/>
      <c r="O20" s="1631" t="str">
        <f t="shared" si="9"/>
        <v>ReH 2.995/2021</v>
      </c>
      <c r="P20" s="1640">
        <v>0.1079</v>
      </c>
      <c r="Q20" s="1641">
        <v>9742223.1963606756</v>
      </c>
      <c r="R20" s="1639">
        <v>44531</v>
      </c>
      <c r="S20" s="1631" t="str">
        <f t="shared" si="10"/>
        <v>Desp. 521/2022</v>
      </c>
      <c r="T20" s="630" t="s">
        <v>348</v>
      </c>
      <c r="U20" s="741" t="s">
        <v>349</v>
      </c>
      <c r="V20" s="630">
        <v>2024</v>
      </c>
      <c r="W20" s="1626">
        <v>2946</v>
      </c>
      <c r="X20" s="1627" t="s">
        <v>2162</v>
      </c>
      <c r="Y20" s="630"/>
      <c r="AA20" s="1629" t="s">
        <v>189</v>
      </c>
      <c r="AB20" s="1631">
        <v>59.846956156846908</v>
      </c>
      <c r="AC20" s="1632">
        <v>180.36</v>
      </c>
      <c r="AD20" s="1632">
        <v>3290792.2979728933</v>
      </c>
      <c r="AE20" s="741">
        <v>44430</v>
      </c>
      <c r="AF20" s="741">
        <v>44430</v>
      </c>
      <c r="AG20" s="1631">
        <v>0</v>
      </c>
      <c r="AH20" s="630"/>
      <c r="AI20" s="741">
        <v>41472</v>
      </c>
      <c r="AJ20" s="741">
        <v>42641</v>
      </c>
      <c r="AK20" s="741" t="s">
        <v>289</v>
      </c>
      <c r="AL20" s="741"/>
      <c r="AM20" s="741"/>
      <c r="AN20" s="864"/>
      <c r="AO20" s="235"/>
      <c r="AP20" s="17"/>
      <c r="AR20" s="818" t="s">
        <v>196</v>
      </c>
      <c r="AS20" s="235"/>
      <c r="AT20" s="235"/>
      <c r="AX20" s="235"/>
    </row>
    <row r="21" spans="1:50" s="9" customFormat="1" ht="31.5" hidden="1">
      <c r="A21" s="630" t="s">
        <v>9</v>
      </c>
      <c r="B21" s="630" t="s">
        <v>350</v>
      </c>
      <c r="C21" s="630">
        <v>5367</v>
      </c>
      <c r="D21" s="630" t="s">
        <v>351</v>
      </c>
      <c r="E21" s="630" t="s">
        <v>282</v>
      </c>
      <c r="F21" s="630" t="s">
        <v>352</v>
      </c>
      <c r="G21" s="630" t="s">
        <v>347</v>
      </c>
      <c r="H21" s="630">
        <v>9.9699999999999997E-2</v>
      </c>
      <c r="I21" s="630" t="s">
        <v>189</v>
      </c>
      <c r="J21" s="630">
        <v>111</v>
      </c>
      <c r="K21" s="630" t="s">
        <v>353</v>
      </c>
      <c r="L21" s="630">
        <v>110</v>
      </c>
      <c r="M21" s="815">
        <v>0</v>
      </c>
      <c r="N21" s="1631"/>
      <c r="O21" s="1631" t="str">
        <f t="shared" si="9"/>
        <v>ReH 2.995/2021</v>
      </c>
      <c r="P21" s="1640">
        <v>8.7999999999999995E-2</v>
      </c>
      <c r="Q21" s="1631">
        <v>28257854.842311971</v>
      </c>
      <c r="R21" s="1639">
        <v>44531</v>
      </c>
      <c r="S21" s="1631" t="str">
        <f t="shared" si="10"/>
        <v>Desp. 521/2022</v>
      </c>
      <c r="T21" s="630" t="s">
        <v>354</v>
      </c>
      <c r="U21" s="741" t="s">
        <v>355</v>
      </c>
      <c r="V21" s="630">
        <v>2025</v>
      </c>
      <c r="W21" s="1626">
        <v>3000</v>
      </c>
      <c r="X21" s="1627" t="s">
        <v>2157</v>
      </c>
      <c r="Y21" s="630"/>
      <c r="AA21" s="1629" t="s">
        <v>189</v>
      </c>
      <c r="AB21" s="1631">
        <v>46.284812313198138</v>
      </c>
      <c r="AC21" s="1632">
        <v>180.36</v>
      </c>
      <c r="AD21" s="1632">
        <v>11703468.880194727</v>
      </c>
      <c r="AE21" s="741">
        <v>44430</v>
      </c>
      <c r="AF21" s="741">
        <v>44430</v>
      </c>
      <c r="AG21" s="1631">
        <v>0</v>
      </c>
      <c r="AH21" s="630"/>
      <c r="AI21" s="741">
        <v>41365</v>
      </c>
      <c r="AJ21" s="741">
        <v>42641</v>
      </c>
      <c r="AK21" s="741" t="s">
        <v>289</v>
      </c>
      <c r="AL21" s="741"/>
      <c r="AM21" s="741"/>
      <c r="AN21" s="864"/>
      <c r="AO21" s="235"/>
      <c r="AP21" s="17"/>
      <c r="AR21" s="818" t="s">
        <v>356</v>
      </c>
      <c r="AS21" s="235"/>
      <c r="AT21" s="235"/>
      <c r="AX21" s="235"/>
    </row>
    <row r="22" spans="1:50" s="9" customFormat="1" ht="31.5" hidden="1">
      <c r="A22" s="630" t="s">
        <v>338</v>
      </c>
      <c r="B22" s="630" t="s">
        <v>357</v>
      </c>
      <c r="C22" s="630">
        <v>6897</v>
      </c>
      <c r="D22" s="630" t="s">
        <v>358</v>
      </c>
      <c r="E22" s="630" t="s">
        <v>282</v>
      </c>
      <c r="F22" s="630" t="s">
        <v>359</v>
      </c>
      <c r="G22" s="630" t="s">
        <v>347</v>
      </c>
      <c r="H22" s="630">
        <v>9.9699999999999997E-2</v>
      </c>
      <c r="I22" s="630" t="s">
        <v>189</v>
      </c>
      <c r="J22" s="630">
        <v>111</v>
      </c>
      <c r="K22" s="630"/>
      <c r="L22" s="630"/>
      <c r="M22" s="815">
        <v>0</v>
      </c>
      <c r="N22" s="1631"/>
      <c r="O22" s="1631" t="str">
        <f t="shared" si="9"/>
        <v>ReH 2.995/2021</v>
      </c>
      <c r="P22" s="1640">
        <v>0.11210000000000001</v>
      </c>
      <c r="Q22" s="1631">
        <v>25814070.878469311</v>
      </c>
      <c r="R22" s="1639">
        <v>44531</v>
      </c>
      <c r="S22" s="1631" t="str">
        <f t="shared" si="10"/>
        <v>Desp. 521/2022</v>
      </c>
      <c r="T22" s="630" t="s">
        <v>360</v>
      </c>
      <c r="U22" s="741" t="s">
        <v>349</v>
      </c>
      <c r="V22" s="630">
        <v>2024</v>
      </c>
      <c r="W22" s="1626">
        <v>2939</v>
      </c>
      <c r="X22" s="1627" t="s">
        <v>2162</v>
      </c>
      <c r="Y22" s="630"/>
      <c r="AA22" s="1629" t="s">
        <v>189</v>
      </c>
      <c r="AB22" s="1631">
        <v>48.427014093503388</v>
      </c>
      <c r="AC22" s="1632">
        <v>180.36</v>
      </c>
      <c r="AD22" s="1632">
        <v>10692706.342225492</v>
      </c>
      <c r="AE22" s="741">
        <v>44430</v>
      </c>
      <c r="AF22" s="741">
        <v>44430</v>
      </c>
      <c r="AG22" s="1631">
        <v>0</v>
      </c>
      <c r="AH22" s="630"/>
      <c r="AI22" s="741">
        <v>41472</v>
      </c>
      <c r="AJ22" s="741">
        <v>42641</v>
      </c>
      <c r="AK22" s="741" t="s">
        <v>289</v>
      </c>
      <c r="AL22" s="741"/>
      <c r="AM22" s="741"/>
      <c r="AN22" s="864"/>
      <c r="AO22" s="235"/>
      <c r="AP22" s="17"/>
      <c r="AR22" s="818" t="s">
        <v>361</v>
      </c>
      <c r="AS22" s="235"/>
      <c r="AT22" s="235"/>
      <c r="AX22" s="235"/>
    </row>
    <row r="23" spans="1:50" s="9" customFormat="1" ht="31.5" hidden="1">
      <c r="A23" s="630" t="s">
        <v>184</v>
      </c>
      <c r="B23" s="630" t="s">
        <v>362</v>
      </c>
      <c r="C23" s="630">
        <v>5351</v>
      </c>
      <c r="D23" s="630" t="s">
        <v>363</v>
      </c>
      <c r="E23" s="630" t="s">
        <v>282</v>
      </c>
      <c r="F23" s="630" t="s">
        <v>364</v>
      </c>
      <c r="G23" s="630" t="s">
        <v>347</v>
      </c>
      <c r="H23" s="630">
        <v>9.9699999999999997E-2</v>
      </c>
      <c r="I23" s="630" t="s">
        <v>361</v>
      </c>
      <c r="J23" s="630">
        <v>220</v>
      </c>
      <c r="K23" s="630"/>
      <c r="L23" s="630"/>
      <c r="M23" s="815">
        <v>0</v>
      </c>
      <c r="N23" s="1631"/>
      <c r="O23" s="1631" t="str">
        <f t="shared" si="9"/>
        <v>ReH 2.995/2021</v>
      </c>
      <c r="P23" s="1640">
        <v>5.1200000000000002E-2</v>
      </c>
      <c r="Q23" s="1631">
        <v>6592780.5451776758</v>
      </c>
      <c r="R23" s="1639">
        <v>44531</v>
      </c>
      <c r="S23" s="1631" t="str">
        <f t="shared" si="10"/>
        <v>Desp. 521/2022</v>
      </c>
      <c r="T23" s="630" t="s">
        <v>365</v>
      </c>
      <c r="U23" s="741" t="s">
        <v>349</v>
      </c>
      <c r="V23" s="630">
        <v>2024</v>
      </c>
      <c r="W23" s="1626">
        <v>2976</v>
      </c>
      <c r="X23" s="1627" t="s">
        <v>2158</v>
      </c>
      <c r="Y23" s="630"/>
      <c r="AA23" s="1629" t="s">
        <v>189</v>
      </c>
      <c r="AB23" s="1631">
        <v>16.172212694965044</v>
      </c>
      <c r="AC23" s="1632">
        <v>180.36</v>
      </c>
      <c r="AD23" s="1632">
        <v>3766690.3356666476</v>
      </c>
      <c r="AE23" s="741">
        <v>44430</v>
      </c>
      <c r="AF23" s="741">
        <v>44430</v>
      </c>
      <c r="AG23" s="1631">
        <v>0</v>
      </c>
      <c r="AH23" s="630"/>
      <c r="AI23" s="741">
        <v>41472</v>
      </c>
      <c r="AJ23" s="741">
        <v>42641</v>
      </c>
      <c r="AK23" s="741" t="s">
        <v>289</v>
      </c>
      <c r="AL23" s="741"/>
      <c r="AM23" s="741"/>
      <c r="AN23" s="864">
        <v>415113.21</v>
      </c>
      <c r="AO23" s="235"/>
      <c r="AP23" s="17"/>
      <c r="AR23" s="818" t="s">
        <v>366</v>
      </c>
      <c r="AS23" s="235"/>
      <c r="AT23" s="235"/>
      <c r="AX23" s="235"/>
    </row>
    <row r="24" spans="1:50" s="9" customFormat="1" ht="31.5" hidden="1">
      <c r="A24" s="630" t="s">
        <v>361</v>
      </c>
      <c r="B24" s="630" t="s">
        <v>367</v>
      </c>
      <c r="C24" s="630">
        <v>6898</v>
      </c>
      <c r="D24" s="630" t="s">
        <v>368</v>
      </c>
      <c r="E24" s="630" t="s">
        <v>282</v>
      </c>
      <c r="F24" s="630" t="s">
        <v>369</v>
      </c>
      <c r="G24" s="630" t="s">
        <v>347</v>
      </c>
      <c r="H24" s="630">
        <v>9.9699999999999997E-2</v>
      </c>
      <c r="I24" s="630" t="s">
        <v>189</v>
      </c>
      <c r="J24" s="630">
        <v>111</v>
      </c>
      <c r="K24" s="630"/>
      <c r="L24" s="630"/>
      <c r="M24" s="815">
        <v>0</v>
      </c>
      <c r="N24" s="1631"/>
      <c r="O24" s="1631" t="str">
        <f t="shared" si="9"/>
        <v>ReH 2.995/2021</v>
      </c>
      <c r="P24" s="1640">
        <v>7.1800000000000003E-2</v>
      </c>
      <c r="Q24" s="1631">
        <v>32515799.777980469</v>
      </c>
      <c r="R24" s="1639">
        <v>44531</v>
      </c>
      <c r="S24" s="1631" t="str">
        <f t="shared" si="10"/>
        <v>Desp. 521/2022</v>
      </c>
      <c r="T24" s="630" t="s">
        <v>370</v>
      </c>
      <c r="U24" s="741" t="s">
        <v>349</v>
      </c>
      <c r="V24" s="630">
        <v>2024</v>
      </c>
      <c r="W24" s="1626">
        <v>2949</v>
      </c>
      <c r="X24" s="1627" t="s">
        <v>2162</v>
      </c>
      <c r="Y24" s="630"/>
      <c r="AA24" s="1629" t="s">
        <v>189</v>
      </c>
      <c r="AB24" s="1631">
        <v>77.349128723029523</v>
      </c>
      <c r="AC24" s="1632">
        <v>180.36</v>
      </c>
      <c r="AD24" s="1632">
        <v>9354913.9292200413</v>
      </c>
      <c r="AE24" s="741">
        <v>44430</v>
      </c>
      <c r="AF24" s="741">
        <v>44430</v>
      </c>
      <c r="AG24" s="1631">
        <v>0</v>
      </c>
      <c r="AH24" s="630"/>
      <c r="AI24" s="741">
        <v>41472</v>
      </c>
      <c r="AJ24" s="741">
        <v>42641</v>
      </c>
      <c r="AK24" s="741" t="s">
        <v>289</v>
      </c>
      <c r="AL24" s="741"/>
      <c r="AM24" s="741"/>
      <c r="AN24" s="864"/>
      <c r="AO24" s="235"/>
      <c r="AP24" s="17"/>
      <c r="AR24" s="818" t="s">
        <v>371</v>
      </c>
      <c r="AS24" s="235"/>
      <c r="AT24" s="235"/>
      <c r="AX24" s="235"/>
    </row>
    <row r="25" spans="1:50" s="9" customFormat="1" ht="31.5" hidden="1">
      <c r="A25" s="630" t="s">
        <v>372</v>
      </c>
      <c r="B25" s="630" t="s">
        <v>373</v>
      </c>
      <c r="C25" s="630">
        <v>5352</v>
      </c>
      <c r="D25" s="630" t="s">
        <v>374</v>
      </c>
      <c r="E25" s="630" t="s">
        <v>282</v>
      </c>
      <c r="F25" s="630" t="s">
        <v>375</v>
      </c>
      <c r="G25" s="630" t="s">
        <v>347</v>
      </c>
      <c r="H25" s="630">
        <v>9.9699999999999997E-2</v>
      </c>
      <c r="I25" s="630" t="s">
        <v>189</v>
      </c>
      <c r="J25" s="630">
        <v>111</v>
      </c>
      <c r="K25" s="630"/>
      <c r="L25" s="630"/>
      <c r="M25" s="815">
        <v>0</v>
      </c>
      <c r="N25" s="1631"/>
      <c r="O25" s="1631" t="str">
        <f t="shared" si="9"/>
        <v>ReH 2.995/2021</v>
      </c>
      <c r="P25" s="1640">
        <v>8.72E-2</v>
      </c>
      <c r="Q25" s="1631">
        <v>27692113.474028908</v>
      </c>
      <c r="R25" s="1639">
        <v>44531</v>
      </c>
      <c r="S25" s="1631" t="str">
        <f t="shared" si="10"/>
        <v>Desp. 521/2022</v>
      </c>
      <c r="T25" s="630" t="s">
        <v>376</v>
      </c>
      <c r="U25" s="741" t="s">
        <v>377</v>
      </c>
      <c r="V25" s="630">
        <v>2024</v>
      </c>
      <c r="W25" s="1626">
        <v>2940</v>
      </c>
      <c r="X25" s="1627" t="s">
        <v>2162</v>
      </c>
      <c r="Y25" s="630"/>
      <c r="AA25" s="1629" t="s">
        <v>189</v>
      </c>
      <c r="AB25" s="1631">
        <v>22.580552842543515</v>
      </c>
      <c r="AC25" s="1632">
        <v>180.36</v>
      </c>
      <c r="AD25" s="1632">
        <v>16232843.86472071</v>
      </c>
      <c r="AE25" s="741">
        <v>44430</v>
      </c>
      <c r="AF25" s="741">
        <v>44430</v>
      </c>
      <c r="AG25" s="1631">
        <v>0</v>
      </c>
      <c r="AH25" s="630"/>
      <c r="AI25" s="741">
        <v>41472</v>
      </c>
      <c r="AJ25" s="741">
        <v>42641</v>
      </c>
      <c r="AK25" s="741" t="s">
        <v>289</v>
      </c>
      <c r="AL25" s="741"/>
      <c r="AM25" s="741"/>
      <c r="AN25" s="864"/>
      <c r="AO25" s="235"/>
      <c r="AP25" s="17"/>
      <c r="AR25" s="818" t="s">
        <v>372</v>
      </c>
      <c r="AS25" s="235"/>
      <c r="AT25" s="235"/>
      <c r="AX25" s="235"/>
    </row>
    <row r="26" spans="1:50" s="9" customFormat="1" ht="31.5" hidden="1">
      <c r="A26" s="630" t="s">
        <v>185</v>
      </c>
      <c r="B26" s="630" t="s">
        <v>378</v>
      </c>
      <c r="C26" s="630">
        <v>5353</v>
      </c>
      <c r="D26" s="630" t="s">
        <v>379</v>
      </c>
      <c r="E26" s="630" t="s">
        <v>282</v>
      </c>
      <c r="F26" s="630" t="s">
        <v>380</v>
      </c>
      <c r="G26" s="630" t="s">
        <v>347</v>
      </c>
      <c r="H26" s="630">
        <v>9.9699999999999997E-2</v>
      </c>
      <c r="I26" s="630" t="s">
        <v>189</v>
      </c>
      <c r="J26" s="630">
        <v>111</v>
      </c>
      <c r="K26" s="630"/>
      <c r="L26" s="630"/>
      <c r="M26" s="815">
        <v>0</v>
      </c>
      <c r="N26" s="1631"/>
      <c r="O26" s="1631" t="str">
        <f t="shared" si="9"/>
        <v>ReH 2.995/2021</v>
      </c>
      <c r="P26" s="1640">
        <v>5.5899999999999998E-2</v>
      </c>
      <c r="Q26" s="1641">
        <v>21470201.670165978</v>
      </c>
      <c r="R26" s="1639">
        <v>44531</v>
      </c>
      <c r="S26" s="1631" t="str">
        <f t="shared" si="10"/>
        <v>Desp. 521/2022</v>
      </c>
      <c r="T26" s="630" t="s">
        <v>381</v>
      </c>
      <c r="U26" s="741" t="s">
        <v>382</v>
      </c>
      <c r="V26" s="630">
        <v>2024</v>
      </c>
      <c r="W26" s="1626">
        <v>2950</v>
      </c>
      <c r="X26" s="1627" t="s">
        <v>2162</v>
      </c>
      <c r="Y26" s="630"/>
      <c r="AA26" s="1629" t="s">
        <v>189</v>
      </c>
      <c r="AB26" s="1631">
        <v>133.2436333697292</v>
      </c>
      <c r="AC26" s="1632">
        <v>180.36</v>
      </c>
      <c r="AD26" s="1632">
        <v>755772.02907041553</v>
      </c>
      <c r="AE26" s="741">
        <v>44430</v>
      </c>
      <c r="AF26" s="741">
        <v>44430</v>
      </c>
      <c r="AG26" s="1631">
        <v>0</v>
      </c>
      <c r="AH26" s="630"/>
      <c r="AI26" s="741">
        <v>41472</v>
      </c>
      <c r="AJ26" s="741">
        <v>42641</v>
      </c>
      <c r="AK26" s="741" t="s">
        <v>289</v>
      </c>
      <c r="AL26" s="741"/>
      <c r="AM26" s="741"/>
      <c r="AN26" s="864">
        <v>1175911.3899999999</v>
      </c>
      <c r="AO26" s="235"/>
      <c r="AP26" s="17"/>
      <c r="AR26" s="818" t="s">
        <v>182</v>
      </c>
      <c r="AS26" s="235"/>
      <c r="AT26" s="235"/>
      <c r="AX26" s="235"/>
    </row>
    <row r="27" spans="1:50" s="9" customFormat="1" ht="31.5" hidden="1">
      <c r="A27" s="630" t="s">
        <v>383</v>
      </c>
      <c r="B27" s="630" t="s">
        <v>384</v>
      </c>
      <c r="C27" s="630">
        <v>5355</v>
      </c>
      <c r="D27" s="630" t="s">
        <v>385</v>
      </c>
      <c r="E27" s="630" t="s">
        <v>282</v>
      </c>
      <c r="F27" s="630" t="s">
        <v>386</v>
      </c>
      <c r="G27" s="630" t="s">
        <v>347</v>
      </c>
      <c r="H27" s="630">
        <v>9.9699999999999997E-2</v>
      </c>
      <c r="I27" s="630" t="s">
        <v>189</v>
      </c>
      <c r="J27" s="630">
        <v>111</v>
      </c>
      <c r="K27" s="630"/>
      <c r="L27" s="630"/>
      <c r="M27" s="815">
        <v>0</v>
      </c>
      <c r="N27" s="1631"/>
      <c r="O27" s="1631" t="str">
        <f t="shared" si="9"/>
        <v>ReH 2.995/2021</v>
      </c>
      <c r="P27" s="1640">
        <v>9.4600000000000004E-2</v>
      </c>
      <c r="Q27" s="1631">
        <v>8199512.497046981</v>
      </c>
      <c r="R27" s="1639">
        <v>44531</v>
      </c>
      <c r="S27" s="1631" t="str">
        <f t="shared" si="10"/>
        <v>Desp. 521/2022</v>
      </c>
      <c r="T27" s="630" t="s">
        <v>387</v>
      </c>
      <c r="U27" s="741" t="s">
        <v>388</v>
      </c>
      <c r="V27" s="630">
        <v>2025</v>
      </c>
      <c r="W27" s="1626">
        <v>2957</v>
      </c>
      <c r="X27" s="1627" t="s">
        <v>2162</v>
      </c>
      <c r="Y27" s="630"/>
      <c r="AA27" s="1629" t="s">
        <v>189</v>
      </c>
      <c r="AB27" s="1631">
        <v>52.855625463016914</v>
      </c>
      <c r="AC27" s="1632">
        <v>180.36</v>
      </c>
      <c r="AD27" s="1632">
        <v>3264076.527192608</v>
      </c>
      <c r="AE27" s="741">
        <v>44430</v>
      </c>
      <c r="AF27" s="741">
        <v>44430</v>
      </c>
      <c r="AG27" s="1631">
        <v>0</v>
      </c>
      <c r="AH27" s="630"/>
      <c r="AI27" s="741">
        <v>41365</v>
      </c>
      <c r="AJ27" s="741">
        <v>42641</v>
      </c>
      <c r="AK27" s="741" t="s">
        <v>289</v>
      </c>
      <c r="AL27" s="741"/>
      <c r="AM27" s="741"/>
      <c r="AN27" s="864"/>
      <c r="AO27" s="235"/>
      <c r="AP27" s="17"/>
      <c r="AR27" s="818" t="s">
        <v>389</v>
      </c>
      <c r="AS27" s="235"/>
      <c r="AT27" s="235"/>
      <c r="AX27" s="235"/>
    </row>
    <row r="28" spans="1:50" s="9" customFormat="1" ht="31.5" hidden="1">
      <c r="A28" s="630" t="s">
        <v>390</v>
      </c>
      <c r="B28" s="630" t="s">
        <v>391</v>
      </c>
      <c r="C28" s="630">
        <v>5363</v>
      </c>
      <c r="D28" s="630" t="s">
        <v>392</v>
      </c>
      <c r="E28" s="630" t="s">
        <v>282</v>
      </c>
      <c r="F28" s="630" t="s">
        <v>393</v>
      </c>
      <c r="G28" s="630" t="s">
        <v>347</v>
      </c>
      <c r="H28" s="630">
        <v>9.9699999999999997E-2</v>
      </c>
      <c r="I28" s="630" t="s">
        <v>189</v>
      </c>
      <c r="J28" s="630">
        <v>111</v>
      </c>
      <c r="K28" s="630"/>
      <c r="L28" s="630"/>
      <c r="M28" s="815">
        <v>0</v>
      </c>
      <c r="N28" s="1631"/>
      <c r="O28" s="1631" t="str">
        <f t="shared" si="9"/>
        <v>ReH 2.995/2021</v>
      </c>
      <c r="P28" s="1640">
        <v>8.7799999999999989E-2</v>
      </c>
      <c r="Q28" s="1631">
        <v>9453809.4927214365</v>
      </c>
      <c r="R28" s="1639">
        <v>44531</v>
      </c>
      <c r="S28" s="1631" t="str">
        <f t="shared" si="10"/>
        <v>Desp. 521/2022</v>
      </c>
      <c r="T28" s="630" t="s">
        <v>394</v>
      </c>
      <c r="U28" s="741" t="s">
        <v>349</v>
      </c>
      <c r="V28" s="630">
        <v>2024</v>
      </c>
      <c r="W28" s="1626">
        <v>2947</v>
      </c>
      <c r="X28" s="1627" t="s">
        <v>2162</v>
      </c>
      <c r="Y28" s="630"/>
      <c r="AA28" s="1629" t="s">
        <v>189</v>
      </c>
      <c r="AB28" s="1631">
        <v>58.247314361695402</v>
      </c>
      <c r="AC28" s="1632">
        <v>180.36</v>
      </c>
      <c r="AD28" s="1632">
        <v>2499952.1881573107</v>
      </c>
      <c r="AE28" s="741">
        <v>44430</v>
      </c>
      <c r="AF28" s="741">
        <v>44430</v>
      </c>
      <c r="AG28" s="1631">
        <v>0</v>
      </c>
      <c r="AH28" s="630"/>
      <c r="AI28" s="741">
        <v>41472</v>
      </c>
      <c r="AJ28" s="741">
        <v>42641</v>
      </c>
      <c r="AK28" s="741" t="s">
        <v>289</v>
      </c>
      <c r="AL28" s="741"/>
      <c r="AM28" s="741"/>
      <c r="AN28" s="864"/>
      <c r="AO28" s="235"/>
      <c r="AP28" s="17"/>
      <c r="AR28" s="818" t="s">
        <v>185</v>
      </c>
      <c r="AS28" s="235"/>
      <c r="AT28" s="235"/>
      <c r="AX28" s="235"/>
    </row>
    <row r="29" spans="1:50" s="9" customFormat="1" ht="31.5" hidden="1">
      <c r="A29" s="630" t="s">
        <v>395</v>
      </c>
      <c r="B29" s="630" t="s">
        <v>396</v>
      </c>
      <c r="C29" s="630">
        <v>5364</v>
      </c>
      <c r="D29" s="630" t="s">
        <v>397</v>
      </c>
      <c r="E29" s="630" t="s">
        <v>282</v>
      </c>
      <c r="F29" s="630" t="s">
        <v>398</v>
      </c>
      <c r="G29" s="630" t="s">
        <v>347</v>
      </c>
      <c r="H29" s="630">
        <v>9.9699999999999997E-2</v>
      </c>
      <c r="I29" s="630" t="s">
        <v>189</v>
      </c>
      <c r="J29" s="630">
        <v>111</v>
      </c>
      <c r="K29" s="630"/>
      <c r="L29" s="630"/>
      <c r="M29" s="815">
        <v>0</v>
      </c>
      <c r="N29" s="1631"/>
      <c r="O29" s="1631" t="str">
        <f t="shared" si="9"/>
        <v>ReH 2.995/2021</v>
      </c>
      <c r="P29" s="1640">
        <v>8.8100000000000012E-2</v>
      </c>
      <c r="Q29" s="1631">
        <v>28651980.425397582</v>
      </c>
      <c r="R29" s="1639">
        <v>44531</v>
      </c>
      <c r="S29" s="1631" t="str">
        <f t="shared" si="10"/>
        <v>Desp. 521/2022</v>
      </c>
      <c r="T29" s="630" t="s">
        <v>399</v>
      </c>
      <c r="U29" s="741" t="s">
        <v>400</v>
      </c>
      <c r="V29" s="630">
        <v>2022</v>
      </c>
      <c r="W29" s="1626">
        <v>2951</v>
      </c>
      <c r="X29" s="1627" t="s">
        <v>2162</v>
      </c>
      <c r="Y29" s="630"/>
      <c r="AA29" s="1629" t="s">
        <v>189</v>
      </c>
      <c r="AB29" s="1631">
        <v>179.67819908532709</v>
      </c>
      <c r="AC29" s="1632">
        <v>180.36</v>
      </c>
      <c r="AD29" s="1632">
        <v>1205667.8282342954</v>
      </c>
      <c r="AE29" s="741">
        <v>44430</v>
      </c>
      <c r="AF29" s="741">
        <v>44430</v>
      </c>
      <c r="AG29" s="1631">
        <v>0</v>
      </c>
      <c r="AH29" s="630"/>
      <c r="AI29" s="741">
        <v>41365</v>
      </c>
      <c r="AJ29" s="741">
        <v>42641</v>
      </c>
      <c r="AK29" s="741" t="s">
        <v>289</v>
      </c>
      <c r="AL29" s="741"/>
      <c r="AM29" s="741"/>
      <c r="AN29" s="864"/>
      <c r="AO29" s="235"/>
      <c r="AP29" s="17"/>
      <c r="AR29" s="818" t="s">
        <v>383</v>
      </c>
      <c r="AS29" s="235"/>
      <c r="AT29" s="235"/>
      <c r="AX29" s="235"/>
    </row>
    <row r="30" spans="1:50" s="9" customFormat="1" ht="31.5" hidden="1">
      <c r="A30" s="630" t="s">
        <v>401</v>
      </c>
      <c r="B30" s="630" t="s">
        <v>402</v>
      </c>
      <c r="C30" s="630">
        <v>5365</v>
      </c>
      <c r="D30" s="630" t="s">
        <v>403</v>
      </c>
      <c r="E30" s="630" t="s">
        <v>282</v>
      </c>
      <c r="F30" s="630" t="s">
        <v>404</v>
      </c>
      <c r="G30" s="630" t="s">
        <v>347</v>
      </c>
      <c r="H30" s="630">
        <v>9.9699999999999997E-2</v>
      </c>
      <c r="I30" s="630" t="s">
        <v>189</v>
      </c>
      <c r="J30" s="630">
        <v>111</v>
      </c>
      <c r="K30" s="630"/>
      <c r="L30" s="630"/>
      <c r="M30" s="815">
        <v>0</v>
      </c>
      <c r="N30" s="1631"/>
      <c r="O30" s="1631" t="str">
        <f t="shared" si="9"/>
        <v>ReH 2.995/2021</v>
      </c>
      <c r="P30" s="1640">
        <v>8.5999999999999993E-2</v>
      </c>
      <c r="Q30" s="1631">
        <v>22196667.859687008</v>
      </c>
      <c r="R30" s="1639">
        <v>44531</v>
      </c>
      <c r="S30" s="1631" t="str">
        <f t="shared" si="10"/>
        <v>Desp. 521/2022</v>
      </c>
      <c r="T30" s="630" t="s">
        <v>405</v>
      </c>
      <c r="U30" s="741" t="s">
        <v>349</v>
      </c>
      <c r="V30" s="630">
        <v>2024</v>
      </c>
      <c r="W30" s="1626">
        <v>2941</v>
      </c>
      <c r="X30" s="1627" t="s">
        <v>2162</v>
      </c>
      <c r="Y30" s="630"/>
      <c r="AA30" s="1629" t="s">
        <v>189</v>
      </c>
      <c r="AB30" s="1631">
        <v>91.699587599428298</v>
      </c>
      <c r="AC30" s="1632">
        <v>180.36</v>
      </c>
      <c r="AD30" s="1632">
        <v>3495955.8527844017</v>
      </c>
      <c r="AE30" s="741">
        <v>44430</v>
      </c>
      <c r="AF30" s="741">
        <v>44430</v>
      </c>
      <c r="AG30" s="1631">
        <v>0</v>
      </c>
      <c r="AH30" s="630"/>
      <c r="AI30" s="741">
        <v>41472</v>
      </c>
      <c r="AJ30" s="741">
        <v>42641</v>
      </c>
      <c r="AK30" s="741" t="s">
        <v>289</v>
      </c>
      <c r="AL30" s="741"/>
      <c r="AM30" s="741"/>
      <c r="AN30" s="864"/>
      <c r="AO30" s="235"/>
      <c r="AP30" s="17"/>
      <c r="AR30" s="818" t="s">
        <v>390</v>
      </c>
      <c r="AS30" s="235"/>
      <c r="AT30" s="235"/>
      <c r="AX30" s="235"/>
    </row>
    <row r="31" spans="1:50" s="9" customFormat="1" ht="31.5" hidden="1">
      <c r="A31" s="630" t="s">
        <v>406</v>
      </c>
      <c r="B31" s="630" t="s">
        <v>407</v>
      </c>
      <c r="C31" s="630">
        <v>5368</v>
      </c>
      <c r="D31" s="630" t="s">
        <v>408</v>
      </c>
      <c r="E31" s="630" t="s">
        <v>282</v>
      </c>
      <c r="F31" s="630" t="s">
        <v>409</v>
      </c>
      <c r="G31" s="630" t="s">
        <v>347</v>
      </c>
      <c r="H31" s="630">
        <v>9.9699999999999997E-2</v>
      </c>
      <c r="I31" s="630" t="s">
        <v>189</v>
      </c>
      <c r="J31" s="630">
        <v>111</v>
      </c>
      <c r="K31" s="630"/>
      <c r="L31" s="630"/>
      <c r="M31" s="815">
        <v>0</v>
      </c>
      <c r="N31" s="1631"/>
      <c r="O31" s="1631" t="str">
        <f t="shared" si="9"/>
        <v>ReH 2.995/2021</v>
      </c>
      <c r="P31" s="1640">
        <v>0.15049999999999999</v>
      </c>
      <c r="Q31" s="1641">
        <v>35954089.405949146</v>
      </c>
      <c r="R31" s="1639">
        <v>44531</v>
      </c>
      <c r="S31" s="1631" t="str">
        <f t="shared" si="10"/>
        <v>Desp. 521/2022</v>
      </c>
      <c r="T31" s="630" t="s">
        <v>410</v>
      </c>
      <c r="U31" s="741" t="s">
        <v>349</v>
      </c>
      <c r="V31" s="630">
        <v>2024</v>
      </c>
      <c r="W31" s="1626">
        <v>2953</v>
      </c>
      <c r="X31" s="1627" t="s">
        <v>2162</v>
      </c>
      <c r="Y31" s="630"/>
      <c r="AA31" s="1629" t="s">
        <v>189</v>
      </c>
      <c r="AB31" s="1631">
        <v>61.746716264073157</v>
      </c>
      <c r="AC31" s="1632">
        <v>180.36</v>
      </c>
      <c r="AD31" s="1632">
        <v>18151717.219335504</v>
      </c>
      <c r="AE31" s="741">
        <v>44430</v>
      </c>
      <c r="AF31" s="741">
        <v>44430</v>
      </c>
      <c r="AG31" s="1631">
        <v>0</v>
      </c>
      <c r="AH31" s="630"/>
      <c r="AI31" s="741">
        <v>41472</v>
      </c>
      <c r="AJ31" s="741">
        <v>42641</v>
      </c>
      <c r="AK31" s="741" t="s">
        <v>289</v>
      </c>
      <c r="AL31" s="741"/>
      <c r="AM31" s="741"/>
      <c r="AN31" s="864"/>
      <c r="AO31" s="235"/>
      <c r="AP31" s="17"/>
      <c r="AR31" s="818" t="s">
        <v>175</v>
      </c>
      <c r="AS31" s="235"/>
      <c r="AT31" s="235"/>
      <c r="AX31" s="235"/>
    </row>
    <row r="32" spans="1:50" s="9" customFormat="1" ht="31.5" hidden="1">
      <c r="A32" s="630" t="s">
        <v>411</v>
      </c>
      <c r="B32" s="630" t="s">
        <v>412</v>
      </c>
      <c r="C32" s="630">
        <v>5369</v>
      </c>
      <c r="D32" s="630" t="s">
        <v>413</v>
      </c>
      <c r="E32" s="630" t="s">
        <v>282</v>
      </c>
      <c r="F32" s="630" t="s">
        <v>414</v>
      </c>
      <c r="G32" s="630" t="s">
        <v>347</v>
      </c>
      <c r="H32" s="630">
        <v>9.9699999999999997E-2</v>
      </c>
      <c r="I32" s="630" t="s">
        <v>189</v>
      </c>
      <c r="J32" s="630">
        <v>111</v>
      </c>
      <c r="K32" s="630"/>
      <c r="L32" s="630"/>
      <c r="M32" s="815">
        <v>0</v>
      </c>
      <c r="N32" s="1631"/>
      <c r="O32" s="1631" t="str">
        <f t="shared" si="9"/>
        <v>ReH 2.995/2021</v>
      </c>
      <c r="P32" s="1640">
        <v>8.4100000000000008E-2</v>
      </c>
      <c r="Q32" s="1641">
        <v>13590865.443045003</v>
      </c>
      <c r="R32" s="1639">
        <v>44531</v>
      </c>
      <c r="S32" s="1631" t="str">
        <f t="shared" si="10"/>
        <v>Desp. 521/2022</v>
      </c>
      <c r="T32" s="630" t="s">
        <v>415</v>
      </c>
      <c r="U32" s="741" t="s">
        <v>388</v>
      </c>
      <c r="V32" s="630">
        <v>2025</v>
      </c>
      <c r="W32" s="1626">
        <v>2943</v>
      </c>
      <c r="X32" s="1627" t="s">
        <v>2162</v>
      </c>
      <c r="Y32" s="630"/>
      <c r="AA32" s="1629" t="s">
        <v>189</v>
      </c>
      <c r="AB32" s="1631">
        <v>81.509152888329083</v>
      </c>
      <c r="AC32" s="1632">
        <v>180.36</v>
      </c>
      <c r="AD32" s="1632">
        <v>2315515.5721165724</v>
      </c>
      <c r="AE32" s="741">
        <v>44430</v>
      </c>
      <c r="AF32" s="741">
        <v>44430</v>
      </c>
      <c r="AG32" s="1631">
        <v>0</v>
      </c>
      <c r="AH32" s="630"/>
      <c r="AI32" s="741">
        <v>41365</v>
      </c>
      <c r="AJ32" s="741">
        <v>42641</v>
      </c>
      <c r="AK32" s="741" t="s">
        <v>289</v>
      </c>
      <c r="AL32" s="741"/>
      <c r="AM32" s="741"/>
      <c r="AN32" s="864"/>
      <c r="AO32" s="235"/>
      <c r="AP32" s="17"/>
      <c r="AR32" s="818" t="s">
        <v>296</v>
      </c>
      <c r="AS32" s="235"/>
      <c r="AT32" s="235"/>
      <c r="AX32" s="235"/>
    </row>
    <row r="33" spans="1:50" s="9" customFormat="1" ht="31.5" hidden="1">
      <c r="A33" s="630" t="s">
        <v>188</v>
      </c>
      <c r="B33" s="630" t="s">
        <v>416</v>
      </c>
      <c r="C33" s="630">
        <v>5370</v>
      </c>
      <c r="D33" s="630" t="s">
        <v>417</v>
      </c>
      <c r="E33" s="630" t="s">
        <v>282</v>
      </c>
      <c r="F33" s="630" t="s">
        <v>418</v>
      </c>
      <c r="G33" s="630" t="s">
        <v>347</v>
      </c>
      <c r="H33" s="630">
        <v>9.9699999999999997E-2</v>
      </c>
      <c r="I33" s="630" t="s">
        <v>189</v>
      </c>
      <c r="J33" s="630">
        <v>111</v>
      </c>
      <c r="K33" s="630"/>
      <c r="L33" s="630"/>
      <c r="M33" s="815">
        <v>0</v>
      </c>
      <c r="N33" s="1631"/>
      <c r="O33" s="1631" t="str">
        <f t="shared" si="9"/>
        <v>ReH 2.995/2021</v>
      </c>
      <c r="P33" s="1640">
        <v>0.1076</v>
      </c>
      <c r="Q33" s="1641">
        <v>60899756.095931061</v>
      </c>
      <c r="R33" s="1639">
        <v>44531</v>
      </c>
      <c r="S33" s="1631" t="str">
        <f t="shared" si="10"/>
        <v>Desp. 521/2022</v>
      </c>
      <c r="T33" s="630" t="s">
        <v>419</v>
      </c>
      <c r="U33" s="741" t="s">
        <v>349</v>
      </c>
      <c r="V33" s="630">
        <v>2024</v>
      </c>
      <c r="W33" s="1626">
        <v>2937</v>
      </c>
      <c r="X33" s="1627" t="s">
        <v>2162</v>
      </c>
      <c r="Y33" s="630"/>
      <c r="AA33" s="1629" t="s">
        <v>189</v>
      </c>
      <c r="AB33" s="1631">
        <v>214.41662426644362</v>
      </c>
      <c r="AC33" s="1632">
        <v>180.36</v>
      </c>
      <c r="AD33" s="1632">
        <v>0</v>
      </c>
      <c r="AE33" s="741">
        <v>44430</v>
      </c>
      <c r="AF33" s="741">
        <v>44430</v>
      </c>
      <c r="AG33" s="1631">
        <v>0</v>
      </c>
      <c r="AH33" s="630"/>
      <c r="AI33" s="741">
        <v>41472</v>
      </c>
      <c r="AJ33" s="741">
        <v>42641</v>
      </c>
      <c r="AK33" s="741" t="s">
        <v>289</v>
      </c>
      <c r="AL33" s="741"/>
      <c r="AM33" s="741"/>
      <c r="AN33" s="864">
        <v>9419991.3800000008</v>
      </c>
      <c r="AO33" s="235"/>
      <c r="AP33" s="17"/>
      <c r="AR33" s="818" t="s">
        <v>302</v>
      </c>
      <c r="AS33" s="235"/>
      <c r="AT33" s="235"/>
      <c r="AX33" s="235"/>
    </row>
    <row r="34" spans="1:50" s="9" customFormat="1" ht="31.5" hidden="1">
      <c r="A34" s="630" t="s">
        <v>420</v>
      </c>
      <c r="B34" s="630" t="s">
        <v>421</v>
      </c>
      <c r="C34" s="630">
        <v>5371</v>
      </c>
      <c r="D34" s="630" t="s">
        <v>422</v>
      </c>
      <c r="E34" s="630" t="s">
        <v>282</v>
      </c>
      <c r="F34" s="630" t="s">
        <v>423</v>
      </c>
      <c r="G34" s="630" t="s">
        <v>347</v>
      </c>
      <c r="H34" s="630">
        <v>9.9699999999999997E-2</v>
      </c>
      <c r="I34" s="630" t="s">
        <v>189</v>
      </c>
      <c r="J34" s="630">
        <v>111</v>
      </c>
      <c r="K34" s="630" t="s">
        <v>424</v>
      </c>
      <c r="L34" s="630">
        <v>144</v>
      </c>
      <c r="M34" s="815">
        <v>0</v>
      </c>
      <c r="N34" s="1631"/>
      <c r="O34" s="1631" t="str">
        <f t="shared" si="9"/>
        <v>ReH 2.995/2021</v>
      </c>
      <c r="P34" s="1640">
        <v>9.5000000000000001E-2</v>
      </c>
      <c r="Q34" s="1631">
        <v>19126030.720523704</v>
      </c>
      <c r="R34" s="1639">
        <v>44531</v>
      </c>
      <c r="S34" s="1631" t="str">
        <f t="shared" si="10"/>
        <v>Desp. 521/2022</v>
      </c>
      <c r="T34" s="630" t="s">
        <v>425</v>
      </c>
      <c r="U34" s="741" t="s">
        <v>426</v>
      </c>
      <c r="V34" s="630">
        <v>2022</v>
      </c>
      <c r="W34" s="1626">
        <v>2948</v>
      </c>
      <c r="X34" s="1627" t="s">
        <v>2162</v>
      </c>
      <c r="Y34" s="630"/>
      <c r="AA34" s="1629" t="s">
        <v>189</v>
      </c>
      <c r="AB34" s="1631">
        <v>144.17854635765113</v>
      </c>
      <c r="AC34" s="1632">
        <v>180.36</v>
      </c>
      <c r="AD34" s="1632">
        <v>3162343.6648914311</v>
      </c>
      <c r="AE34" s="741">
        <v>44430</v>
      </c>
      <c r="AF34" s="741">
        <v>44430</v>
      </c>
      <c r="AG34" s="1631">
        <v>0</v>
      </c>
      <c r="AH34" s="630"/>
      <c r="AI34" s="741">
        <v>41365</v>
      </c>
      <c r="AJ34" s="741">
        <v>42641</v>
      </c>
      <c r="AK34" s="741" t="s">
        <v>289</v>
      </c>
      <c r="AL34" s="741"/>
      <c r="AM34" s="741"/>
      <c r="AN34" s="864"/>
      <c r="AO34" s="235"/>
      <c r="AP34" s="17"/>
      <c r="AR34" s="818" t="s">
        <v>308</v>
      </c>
      <c r="AS34" s="235"/>
      <c r="AT34" s="235"/>
      <c r="AX34" s="235"/>
    </row>
    <row r="35" spans="1:50" s="9" customFormat="1" ht="31.5" hidden="1">
      <c r="A35" s="630" t="s">
        <v>427</v>
      </c>
      <c r="B35" s="630" t="s">
        <v>428</v>
      </c>
      <c r="C35" s="630">
        <v>5373</v>
      </c>
      <c r="D35" s="630" t="s">
        <v>429</v>
      </c>
      <c r="E35" s="630" t="s">
        <v>282</v>
      </c>
      <c r="F35" s="630" t="s">
        <v>430</v>
      </c>
      <c r="G35" s="630" t="s">
        <v>347</v>
      </c>
      <c r="H35" s="630">
        <v>9.9699999999999997E-2</v>
      </c>
      <c r="I35" s="630" t="s">
        <v>189</v>
      </c>
      <c r="J35" s="630">
        <v>111</v>
      </c>
      <c r="K35" s="630"/>
      <c r="L35" s="630"/>
      <c r="M35" s="815">
        <v>0</v>
      </c>
      <c r="N35" s="1631"/>
      <c r="O35" s="1631" t="str">
        <f t="shared" si="9"/>
        <v>ReH 2.995/2021</v>
      </c>
      <c r="P35" s="1640">
        <v>0.1487</v>
      </c>
      <c r="Q35" s="1631">
        <v>2738505.6826723199</v>
      </c>
      <c r="R35" s="1639">
        <v>44531</v>
      </c>
      <c r="S35" s="1631" t="str">
        <f t="shared" si="10"/>
        <v>Desp. 521/2022</v>
      </c>
      <c r="T35" s="630" t="s">
        <v>431</v>
      </c>
      <c r="U35" s="741" t="s">
        <v>382</v>
      </c>
      <c r="V35" s="630">
        <v>2024</v>
      </c>
      <c r="W35" s="1626">
        <v>2942</v>
      </c>
      <c r="X35" s="1627" t="s">
        <v>2162</v>
      </c>
      <c r="Y35" s="630"/>
      <c r="AA35" s="1629" t="s">
        <v>189</v>
      </c>
      <c r="AB35" s="1631">
        <v>63.276120153090822</v>
      </c>
      <c r="AC35" s="1632">
        <v>180.36</v>
      </c>
      <c r="AD35" s="1632">
        <v>1357439.1316492993</v>
      </c>
      <c r="AE35" s="741">
        <v>44430</v>
      </c>
      <c r="AF35" s="741">
        <v>44430</v>
      </c>
      <c r="AG35" s="1631">
        <v>0</v>
      </c>
      <c r="AH35" s="630"/>
      <c r="AI35" s="741">
        <v>41472</v>
      </c>
      <c r="AJ35" s="741">
        <v>42641</v>
      </c>
      <c r="AK35" s="741" t="s">
        <v>289</v>
      </c>
      <c r="AL35" s="741"/>
      <c r="AM35" s="741"/>
      <c r="AN35" s="864"/>
      <c r="AO35" s="235"/>
      <c r="AP35" s="17"/>
      <c r="AR35" s="818" t="s">
        <v>315</v>
      </c>
      <c r="AS35" s="235"/>
      <c r="AT35" s="235"/>
      <c r="AX35" s="235"/>
    </row>
    <row r="36" spans="1:50" s="9" customFormat="1" ht="31.5" hidden="1">
      <c r="A36" s="630" t="s">
        <v>432</v>
      </c>
      <c r="B36" s="630" t="s">
        <v>433</v>
      </c>
      <c r="C36" s="630">
        <v>7016</v>
      </c>
      <c r="D36" s="630" t="s">
        <v>434</v>
      </c>
      <c r="E36" s="630" t="s">
        <v>282</v>
      </c>
      <c r="F36" s="630" t="s">
        <v>435</v>
      </c>
      <c r="G36" s="630" t="s">
        <v>347</v>
      </c>
      <c r="H36" s="630">
        <v>9.9699999999999997E-2</v>
      </c>
      <c r="I36" s="630" t="s">
        <v>189</v>
      </c>
      <c r="J36" s="630">
        <v>111</v>
      </c>
      <c r="K36" s="630"/>
      <c r="L36" s="630"/>
      <c r="M36" s="815">
        <v>0</v>
      </c>
      <c r="N36" s="1631"/>
      <c r="O36" s="1631" t="str">
        <f t="shared" si="9"/>
        <v>ReH 2.995/2021</v>
      </c>
      <c r="P36" s="1640">
        <v>0.14050000000000001</v>
      </c>
      <c r="Q36" s="1641">
        <v>17300202.805932775</v>
      </c>
      <c r="R36" s="1639">
        <v>44531</v>
      </c>
      <c r="S36" s="1631" t="str">
        <f t="shared" si="10"/>
        <v>Desp. 521/2022</v>
      </c>
      <c r="T36" s="630" t="s">
        <v>436</v>
      </c>
      <c r="U36" s="741" t="s">
        <v>349</v>
      </c>
      <c r="V36" s="630">
        <v>2024</v>
      </c>
      <c r="W36" s="1626">
        <v>2956</v>
      </c>
      <c r="X36" s="1627" t="s">
        <v>2162</v>
      </c>
      <c r="Y36" s="630"/>
      <c r="AA36" s="1629" t="s">
        <v>189</v>
      </c>
      <c r="AB36" s="1631">
        <v>49.410527393388534</v>
      </c>
      <c r="AC36" s="1632">
        <v>180.36</v>
      </c>
      <c r="AD36" s="1632">
        <v>6872759.7273220662</v>
      </c>
      <c r="AE36" s="741">
        <v>44430</v>
      </c>
      <c r="AF36" s="741">
        <v>44430</v>
      </c>
      <c r="AG36" s="1631">
        <v>0</v>
      </c>
      <c r="AH36" s="630"/>
      <c r="AI36" s="741">
        <v>41472</v>
      </c>
      <c r="AJ36" s="741">
        <v>42641</v>
      </c>
      <c r="AK36" s="741" t="s">
        <v>289</v>
      </c>
      <c r="AL36" s="741"/>
      <c r="AM36" s="741"/>
      <c r="AN36" s="864"/>
      <c r="AO36" s="235"/>
      <c r="AP36" s="17"/>
      <c r="AR36" s="818" t="s">
        <v>437</v>
      </c>
      <c r="AS36" s="235"/>
      <c r="AT36" s="235"/>
      <c r="AX36" s="235"/>
    </row>
    <row r="37" spans="1:50" s="9" customFormat="1" ht="31.5" hidden="1">
      <c r="A37" s="630" t="s">
        <v>175</v>
      </c>
      <c r="B37" s="630" t="s">
        <v>438</v>
      </c>
      <c r="C37" s="630">
        <v>2763</v>
      </c>
      <c r="D37" s="630" t="s">
        <v>439</v>
      </c>
      <c r="E37" s="630" t="s">
        <v>282</v>
      </c>
      <c r="F37" s="630" t="s">
        <v>440</v>
      </c>
      <c r="G37" s="630" t="s">
        <v>441</v>
      </c>
      <c r="H37" s="630">
        <v>9.9699999999999997E-2</v>
      </c>
      <c r="I37" s="630" t="s">
        <v>206</v>
      </c>
      <c r="J37" s="630">
        <v>167</v>
      </c>
      <c r="K37" s="630"/>
      <c r="L37" s="630"/>
      <c r="M37" s="815">
        <v>0</v>
      </c>
      <c r="N37" s="1631"/>
      <c r="O37" s="1631" t="str">
        <f t="shared" si="9"/>
        <v>ReH 2.995/2021</v>
      </c>
      <c r="P37" s="1640">
        <v>0.21060000000000001</v>
      </c>
      <c r="Q37" s="1631">
        <v>40296212.128956385</v>
      </c>
      <c r="R37" s="1639">
        <v>44531</v>
      </c>
      <c r="S37" s="1631" t="str">
        <f t="shared" si="10"/>
        <v>Desp. 521/2022</v>
      </c>
      <c r="T37" s="630" t="s">
        <v>442</v>
      </c>
      <c r="U37" s="741" t="s">
        <v>443</v>
      </c>
      <c r="V37" s="630">
        <v>2022</v>
      </c>
      <c r="W37" s="1626">
        <v>2917</v>
      </c>
      <c r="X37" s="1627" t="s">
        <v>2160</v>
      </c>
      <c r="Y37" s="630"/>
      <c r="AA37" s="1629" t="s">
        <v>206</v>
      </c>
      <c r="AB37" s="1631">
        <v>29.55</v>
      </c>
      <c r="AC37" s="1632">
        <v>108.15</v>
      </c>
      <c r="AD37" s="1632">
        <v>14515437.369999999</v>
      </c>
      <c r="AE37" s="741">
        <v>43270</v>
      </c>
      <c r="AF37" s="741">
        <v>43270</v>
      </c>
      <c r="AG37" s="1631">
        <v>0</v>
      </c>
      <c r="AH37" s="630"/>
      <c r="AI37" s="741">
        <v>41365</v>
      </c>
      <c r="AJ37" s="741">
        <v>42551</v>
      </c>
      <c r="AK37" s="741" t="s">
        <v>289</v>
      </c>
      <c r="AL37" s="741"/>
      <c r="AM37" s="741"/>
      <c r="AN37" s="864">
        <v>2202975.46</v>
      </c>
      <c r="AO37" s="235"/>
      <c r="AP37" s="17"/>
      <c r="AR37" s="818" t="s">
        <v>395</v>
      </c>
      <c r="AS37" s="235"/>
      <c r="AT37" s="235"/>
      <c r="AX37" s="235"/>
    </row>
    <row r="38" spans="1:50" s="9" customFormat="1" ht="31.5" hidden="1">
      <c r="A38" s="630" t="s">
        <v>437</v>
      </c>
      <c r="B38" s="630" t="s">
        <v>444</v>
      </c>
      <c r="C38" s="630">
        <v>2381</v>
      </c>
      <c r="D38" s="630" t="s">
        <v>445</v>
      </c>
      <c r="E38" s="630" t="s">
        <v>282</v>
      </c>
      <c r="F38" s="630" t="s">
        <v>446</v>
      </c>
      <c r="G38" s="630" t="s">
        <v>441</v>
      </c>
      <c r="H38" s="630">
        <v>9.9699999999999997E-2</v>
      </c>
      <c r="I38" s="630" t="s">
        <v>206</v>
      </c>
      <c r="J38" s="630">
        <v>167</v>
      </c>
      <c r="K38" s="630"/>
      <c r="L38" s="630"/>
      <c r="M38" s="815">
        <v>0</v>
      </c>
      <c r="N38" s="1631"/>
      <c r="O38" s="1631" t="str">
        <f t="shared" si="9"/>
        <v>ReH 2.995/2021</v>
      </c>
      <c r="P38" s="1640">
        <v>0.1535</v>
      </c>
      <c r="Q38" s="1631">
        <v>57163108.857696883</v>
      </c>
      <c r="R38" s="1639">
        <v>44531</v>
      </c>
      <c r="S38" s="1631" t="str">
        <f t="shared" si="10"/>
        <v>Desp. 521/2022</v>
      </c>
      <c r="T38" s="630" t="s">
        <v>447</v>
      </c>
      <c r="U38" s="741" t="s">
        <v>448</v>
      </c>
      <c r="V38" s="630">
        <v>2025</v>
      </c>
      <c r="W38" s="1626">
        <v>2904</v>
      </c>
      <c r="X38" s="1627" t="s">
        <v>2160</v>
      </c>
      <c r="Y38" s="630"/>
      <c r="AA38" s="1629" t="s">
        <v>206</v>
      </c>
      <c r="AB38" s="1631">
        <v>18.75</v>
      </c>
      <c r="AC38" s="1632">
        <v>108.15</v>
      </c>
      <c r="AD38" s="1632">
        <v>22607799.66</v>
      </c>
      <c r="AE38" s="741">
        <v>43270</v>
      </c>
      <c r="AF38" s="741">
        <v>43270</v>
      </c>
      <c r="AG38" s="1631">
        <v>69.23</v>
      </c>
      <c r="AH38" s="741">
        <v>42917</v>
      </c>
      <c r="AI38" s="741">
        <v>41365</v>
      </c>
      <c r="AJ38" s="741">
        <v>42551</v>
      </c>
      <c r="AK38" s="741" t="s">
        <v>289</v>
      </c>
      <c r="AL38" s="741"/>
      <c r="AM38" s="741"/>
      <c r="AN38" s="864"/>
      <c r="AO38" s="235"/>
      <c r="AP38" s="17"/>
      <c r="AR38" s="818" t="s">
        <v>321</v>
      </c>
      <c r="AS38" s="235"/>
      <c r="AT38" s="235"/>
      <c r="AX38" s="235"/>
    </row>
    <row r="39" spans="1:50" s="9" customFormat="1" ht="31.5" hidden="1">
      <c r="A39" s="630" t="s">
        <v>449</v>
      </c>
      <c r="B39" s="630" t="s">
        <v>450</v>
      </c>
      <c r="C39" s="630">
        <v>3223</v>
      </c>
      <c r="D39" s="630" t="s">
        <v>451</v>
      </c>
      <c r="E39" s="630" t="s">
        <v>282</v>
      </c>
      <c r="F39" s="630" t="s">
        <v>452</v>
      </c>
      <c r="G39" s="630" t="s">
        <v>441</v>
      </c>
      <c r="H39" s="630">
        <v>9.9699999999999997E-2</v>
      </c>
      <c r="I39" s="630" t="s">
        <v>206</v>
      </c>
      <c r="J39" s="630">
        <v>167</v>
      </c>
      <c r="K39" s="630" t="s">
        <v>353</v>
      </c>
      <c r="L39" s="630">
        <v>110</v>
      </c>
      <c r="M39" s="815">
        <v>0</v>
      </c>
      <c r="N39" s="1631"/>
      <c r="O39" s="1631" t="str">
        <f t="shared" si="9"/>
        <v>ReH 2.995/2021</v>
      </c>
      <c r="P39" s="1640">
        <v>0.1507</v>
      </c>
      <c r="Q39" s="1631">
        <v>44907656.56835518</v>
      </c>
      <c r="R39" s="1639">
        <v>44531</v>
      </c>
      <c r="S39" s="1631" t="str">
        <f t="shared" si="10"/>
        <v>Desp. 521/2022</v>
      </c>
      <c r="T39" s="630" t="s">
        <v>453</v>
      </c>
      <c r="U39" s="741" t="s">
        <v>454</v>
      </c>
      <c r="V39" s="630">
        <v>2025</v>
      </c>
      <c r="W39" s="1626">
        <v>2914</v>
      </c>
      <c r="X39" s="1627" t="s">
        <v>2160</v>
      </c>
      <c r="Y39" s="630"/>
      <c r="AA39" s="1629" t="s">
        <v>206</v>
      </c>
      <c r="AB39" s="1631">
        <v>23.94</v>
      </c>
      <c r="AC39" s="1632">
        <v>131.34</v>
      </c>
      <c r="AD39" s="1632">
        <v>17583006.989999998</v>
      </c>
      <c r="AE39" s="741">
        <v>43209</v>
      </c>
      <c r="AF39" s="741">
        <v>43270</v>
      </c>
      <c r="AG39" s="1631">
        <v>0</v>
      </c>
      <c r="AH39" s="630"/>
      <c r="AI39" s="741">
        <v>41472</v>
      </c>
      <c r="AJ39" s="741">
        <v>42486</v>
      </c>
      <c r="AK39" s="741" t="s">
        <v>289</v>
      </c>
      <c r="AL39" s="741"/>
      <c r="AM39" s="741"/>
      <c r="AN39" s="864"/>
      <c r="AO39" s="235"/>
      <c r="AP39" s="17"/>
      <c r="AR39" s="818" t="s">
        <v>401</v>
      </c>
      <c r="AS39" s="235"/>
      <c r="AT39" s="235"/>
      <c r="AX39" s="235"/>
    </row>
    <row r="40" spans="1:50" s="9" customFormat="1" ht="31.5" hidden="1">
      <c r="A40" s="630" t="s">
        <v>201</v>
      </c>
      <c r="B40" s="630" t="s">
        <v>455</v>
      </c>
      <c r="C40" s="630">
        <v>7371</v>
      </c>
      <c r="D40" s="630" t="s">
        <v>456</v>
      </c>
      <c r="E40" s="630" t="s">
        <v>282</v>
      </c>
      <c r="F40" s="630" t="s">
        <v>457</v>
      </c>
      <c r="G40" s="630" t="s">
        <v>441</v>
      </c>
      <c r="H40" s="630">
        <v>9.9699999999999997E-2</v>
      </c>
      <c r="I40" s="630" t="s">
        <v>206</v>
      </c>
      <c r="J40" s="630">
        <v>167</v>
      </c>
      <c r="K40" s="630"/>
      <c r="L40" s="630"/>
      <c r="M40" s="815">
        <v>0</v>
      </c>
      <c r="N40" s="1631"/>
      <c r="O40" s="1631" t="str">
        <f t="shared" si="9"/>
        <v>ReH 2.995/2021</v>
      </c>
      <c r="P40" s="1640">
        <v>0.15609999999999999</v>
      </c>
      <c r="Q40" s="1631">
        <v>93567555.592848957</v>
      </c>
      <c r="R40" s="1639">
        <v>44531</v>
      </c>
      <c r="S40" s="1631" t="str">
        <f t="shared" si="10"/>
        <v>Desp. 521/2022</v>
      </c>
      <c r="T40" s="630" t="s">
        <v>458</v>
      </c>
      <c r="U40" s="741" t="s">
        <v>459</v>
      </c>
      <c r="V40" s="630">
        <v>2022</v>
      </c>
      <c r="W40" s="1626">
        <v>2916</v>
      </c>
      <c r="X40" s="1627" t="s">
        <v>2160</v>
      </c>
      <c r="Y40" s="630"/>
      <c r="AA40" s="1629" t="s">
        <v>206</v>
      </c>
      <c r="AB40" s="1631">
        <v>68.319999999999993</v>
      </c>
      <c r="AC40" s="1632">
        <v>131.34</v>
      </c>
      <c r="AD40" s="1632">
        <v>13728441.029999999</v>
      </c>
      <c r="AE40" s="741">
        <v>43209</v>
      </c>
      <c r="AF40" s="741">
        <v>43270</v>
      </c>
      <c r="AG40" s="1631">
        <v>0</v>
      </c>
      <c r="AH40" s="630"/>
      <c r="AI40" s="741">
        <v>41365</v>
      </c>
      <c r="AJ40" s="741">
        <v>42547</v>
      </c>
      <c r="AK40" s="741" t="s">
        <v>289</v>
      </c>
      <c r="AL40" s="741"/>
      <c r="AM40" s="741"/>
      <c r="AN40" s="864">
        <v>6350526.4100000001</v>
      </c>
      <c r="AO40" s="235"/>
      <c r="AP40" s="17"/>
      <c r="AR40" s="818" t="s">
        <v>328</v>
      </c>
      <c r="AS40" s="235"/>
      <c r="AT40" s="235"/>
      <c r="AX40" s="235"/>
    </row>
    <row r="41" spans="1:50" s="9" customFormat="1" ht="31.5" hidden="1">
      <c r="A41" s="630" t="s">
        <v>460</v>
      </c>
      <c r="B41" s="630" t="s">
        <v>461</v>
      </c>
      <c r="C41" s="630">
        <v>3627</v>
      </c>
      <c r="D41" s="630" t="s">
        <v>462</v>
      </c>
      <c r="E41" s="630" t="s">
        <v>282</v>
      </c>
      <c r="F41" s="630" t="s">
        <v>463</v>
      </c>
      <c r="G41" s="630" t="s">
        <v>441</v>
      </c>
      <c r="H41" s="630">
        <v>9.9699999999999997E-2</v>
      </c>
      <c r="I41" s="630" t="s">
        <v>206</v>
      </c>
      <c r="J41" s="630">
        <v>167</v>
      </c>
      <c r="K41" s="630"/>
      <c r="L41" s="630"/>
      <c r="M41" s="815">
        <v>0</v>
      </c>
      <c r="N41" s="1631"/>
      <c r="O41" s="1631" t="str">
        <f t="shared" si="9"/>
        <v>ReH 2.995/2021</v>
      </c>
      <c r="P41" s="1640">
        <v>0.1338</v>
      </c>
      <c r="Q41" s="1631">
        <v>35123897.452622667</v>
      </c>
      <c r="R41" s="1639">
        <v>44531</v>
      </c>
      <c r="S41" s="1631" t="str">
        <f t="shared" si="10"/>
        <v>Desp. 521/2022</v>
      </c>
      <c r="T41" s="630" t="s">
        <v>464</v>
      </c>
      <c r="U41" s="741" t="s">
        <v>459</v>
      </c>
      <c r="V41" s="630">
        <v>2025</v>
      </c>
      <c r="W41" s="1626">
        <v>2909</v>
      </c>
      <c r="X41" s="1627" t="s">
        <v>2160</v>
      </c>
      <c r="Y41" s="630"/>
      <c r="AA41" s="1629" t="s">
        <v>206</v>
      </c>
      <c r="AB41" s="1631">
        <v>13.93</v>
      </c>
      <c r="AC41" s="1632">
        <v>108.15</v>
      </c>
      <c r="AD41" s="1632">
        <v>18556964.23</v>
      </c>
      <c r="AE41" s="741">
        <v>43270</v>
      </c>
      <c r="AF41" s="741">
        <v>43270</v>
      </c>
      <c r="AG41" s="1631">
        <v>0</v>
      </c>
      <c r="AH41" s="630"/>
      <c r="AI41" s="741">
        <v>41365</v>
      </c>
      <c r="AJ41" s="741">
        <v>42551</v>
      </c>
      <c r="AK41" s="741" t="s">
        <v>289</v>
      </c>
      <c r="AL41" s="741"/>
      <c r="AM41" s="741"/>
      <c r="AN41" s="864"/>
      <c r="AO41" s="235"/>
      <c r="AP41" s="17"/>
      <c r="AR41" s="818" t="s">
        <v>333</v>
      </c>
      <c r="AS41" s="235"/>
      <c r="AT41" s="235"/>
      <c r="AX41" s="235"/>
    </row>
    <row r="42" spans="1:50" s="9" customFormat="1" ht="31.5" hidden="1">
      <c r="A42" s="630" t="s">
        <v>465</v>
      </c>
      <c r="B42" s="630" t="s">
        <v>466</v>
      </c>
      <c r="C42" s="630">
        <v>2351</v>
      </c>
      <c r="D42" s="630" t="s">
        <v>467</v>
      </c>
      <c r="E42" s="630" t="s">
        <v>282</v>
      </c>
      <c r="F42" s="630" t="s">
        <v>468</v>
      </c>
      <c r="G42" s="630" t="s">
        <v>441</v>
      </c>
      <c r="H42" s="630">
        <v>9.9699999999999997E-2</v>
      </c>
      <c r="I42" s="630" t="s">
        <v>206</v>
      </c>
      <c r="J42" s="630">
        <v>167</v>
      </c>
      <c r="K42" s="630"/>
      <c r="L42" s="630"/>
      <c r="M42" s="815">
        <v>0</v>
      </c>
      <c r="N42" s="1631"/>
      <c r="O42" s="1631" t="str">
        <f t="shared" si="9"/>
        <v>ReH 2.995/2021</v>
      </c>
      <c r="P42" s="1640">
        <v>0.1832</v>
      </c>
      <c r="Q42" s="1631">
        <v>118984269.89510354</v>
      </c>
      <c r="R42" s="1639">
        <v>44531</v>
      </c>
      <c r="S42" s="1631" t="str">
        <f t="shared" si="10"/>
        <v>Desp. 521/2022</v>
      </c>
      <c r="T42" s="630" t="s">
        <v>469</v>
      </c>
      <c r="U42" s="741" t="s">
        <v>470</v>
      </c>
      <c r="V42" s="630">
        <v>2025</v>
      </c>
      <c r="W42" s="1626">
        <v>2912</v>
      </c>
      <c r="X42" s="1627" t="s">
        <v>2160</v>
      </c>
      <c r="Y42" s="630"/>
      <c r="AA42" s="1629" t="s">
        <v>206</v>
      </c>
      <c r="AB42" s="1631">
        <v>22.64</v>
      </c>
      <c r="AC42" s="1632">
        <v>108.15</v>
      </c>
      <c r="AD42" s="1632">
        <v>55770868.960000001</v>
      </c>
      <c r="AE42" s="741">
        <v>43270</v>
      </c>
      <c r="AF42" s="741">
        <v>43270</v>
      </c>
      <c r="AG42" s="1631">
        <v>0</v>
      </c>
      <c r="AH42" s="630"/>
      <c r="AI42" s="741">
        <v>41365</v>
      </c>
      <c r="AJ42" s="741">
        <v>42551</v>
      </c>
      <c r="AK42" s="741" t="s">
        <v>289</v>
      </c>
      <c r="AL42" s="741"/>
      <c r="AM42" s="741"/>
      <c r="AN42" s="864"/>
      <c r="AO42" s="235"/>
      <c r="AP42" s="17"/>
      <c r="AR42" s="818" t="s">
        <v>471</v>
      </c>
      <c r="AS42" s="235"/>
      <c r="AT42" s="235"/>
      <c r="AX42" s="235"/>
    </row>
    <row r="43" spans="1:50" s="9" customFormat="1" ht="31.5" hidden="1">
      <c r="A43" s="630" t="s">
        <v>174</v>
      </c>
      <c r="B43" s="630" t="s">
        <v>472</v>
      </c>
      <c r="C43" s="630">
        <v>598</v>
      </c>
      <c r="D43" s="630" t="s">
        <v>473</v>
      </c>
      <c r="E43" s="630" t="s">
        <v>282</v>
      </c>
      <c r="F43" s="630" t="s">
        <v>474</v>
      </c>
      <c r="G43" s="630" t="s">
        <v>441</v>
      </c>
      <c r="H43" s="630">
        <v>9.9699999999999997E-2</v>
      </c>
      <c r="I43" s="630" t="s">
        <v>206</v>
      </c>
      <c r="J43" s="630">
        <v>167</v>
      </c>
      <c r="K43" s="630"/>
      <c r="L43" s="630"/>
      <c r="M43" s="815">
        <v>0</v>
      </c>
      <c r="N43" s="1631"/>
      <c r="O43" s="1631" t="str">
        <f t="shared" si="9"/>
        <v>ReH 2.995/2021</v>
      </c>
      <c r="P43" s="1640">
        <v>0.4078</v>
      </c>
      <c r="Q43" s="1631">
        <v>48668444.767228298</v>
      </c>
      <c r="R43" s="1639">
        <v>44531</v>
      </c>
      <c r="S43" s="1631" t="str">
        <f t="shared" si="10"/>
        <v>Desp. 521/2022</v>
      </c>
      <c r="T43" s="630" t="s">
        <v>475</v>
      </c>
      <c r="U43" s="741" t="s">
        <v>459</v>
      </c>
      <c r="V43" s="630">
        <v>2022</v>
      </c>
      <c r="W43" s="1626">
        <v>2917</v>
      </c>
      <c r="X43" s="1627" t="s">
        <v>2160</v>
      </c>
      <c r="Y43" s="630"/>
      <c r="AA43" s="1629" t="s">
        <v>206</v>
      </c>
      <c r="AB43" s="1631">
        <v>20.55</v>
      </c>
      <c r="AC43" s="1632">
        <v>108.15</v>
      </c>
      <c r="AD43" s="1632">
        <v>16127887.460000001</v>
      </c>
      <c r="AE43" s="741">
        <v>43270</v>
      </c>
      <c r="AF43" s="741">
        <v>43270</v>
      </c>
      <c r="AG43" s="1631">
        <v>0</v>
      </c>
      <c r="AH43" s="630"/>
      <c r="AI43" s="741">
        <v>41365</v>
      </c>
      <c r="AJ43" s="741">
        <v>42551</v>
      </c>
      <c r="AK43" s="741" t="s">
        <v>289</v>
      </c>
      <c r="AL43" s="741"/>
      <c r="AM43" s="741"/>
      <c r="AN43" s="864">
        <v>3110206.14</v>
      </c>
      <c r="AO43" s="235"/>
      <c r="AP43" s="17"/>
      <c r="AR43" s="818" t="s">
        <v>406</v>
      </c>
      <c r="AS43" s="235"/>
      <c r="AT43" s="235"/>
      <c r="AX43" s="235"/>
    </row>
    <row r="44" spans="1:50" s="9" customFormat="1" ht="31.5" hidden="1">
      <c r="A44" s="630" t="s">
        <v>476</v>
      </c>
      <c r="B44" s="630" t="s">
        <v>477</v>
      </c>
      <c r="C44" s="630">
        <v>2783</v>
      </c>
      <c r="D44" s="630" t="s">
        <v>478</v>
      </c>
      <c r="E44" s="630" t="s">
        <v>282</v>
      </c>
      <c r="F44" s="630" t="s">
        <v>479</v>
      </c>
      <c r="G44" s="630" t="s">
        <v>441</v>
      </c>
      <c r="H44" s="630">
        <v>9.9699999999999997E-2</v>
      </c>
      <c r="I44" s="630" t="s">
        <v>206</v>
      </c>
      <c r="J44" s="630">
        <v>167</v>
      </c>
      <c r="K44" s="630"/>
      <c r="L44" s="630"/>
      <c r="M44" s="815">
        <v>0</v>
      </c>
      <c r="N44" s="1631"/>
      <c r="O44" s="1631" t="str">
        <f t="shared" si="9"/>
        <v>ReH 2.995/2021</v>
      </c>
      <c r="P44" s="1640">
        <v>0.17430000000000001</v>
      </c>
      <c r="Q44" s="1631">
        <v>23632870.756335247</v>
      </c>
      <c r="R44" s="1639">
        <v>44531</v>
      </c>
      <c r="S44" s="1631" t="str">
        <f t="shared" si="10"/>
        <v>Desp. 521/2022</v>
      </c>
      <c r="T44" s="630" t="s">
        <v>480</v>
      </c>
      <c r="U44" s="741" t="s">
        <v>459</v>
      </c>
      <c r="V44" s="630">
        <v>2022</v>
      </c>
      <c r="W44" s="1626">
        <v>2911</v>
      </c>
      <c r="X44" s="1627" t="s">
        <v>2160</v>
      </c>
      <c r="Y44" s="630"/>
      <c r="AA44" s="1629" t="s">
        <v>206</v>
      </c>
      <c r="AB44" s="1631">
        <v>26.42</v>
      </c>
      <c r="AC44" s="1632">
        <v>108.15</v>
      </c>
      <c r="AD44" s="1632">
        <v>7627285.8200000003</v>
      </c>
      <c r="AE44" s="741">
        <v>43270</v>
      </c>
      <c r="AF44" s="741">
        <v>43270</v>
      </c>
      <c r="AG44" s="1631">
        <v>0</v>
      </c>
      <c r="AH44" s="630"/>
      <c r="AI44" s="741">
        <v>41365</v>
      </c>
      <c r="AJ44" s="741">
        <v>42551</v>
      </c>
      <c r="AK44" s="741" t="s">
        <v>289</v>
      </c>
      <c r="AL44" s="741"/>
      <c r="AM44" s="741"/>
      <c r="AN44" s="864"/>
      <c r="AO44" s="235"/>
      <c r="AP44" s="17"/>
      <c r="AR44" s="818" t="s">
        <v>449</v>
      </c>
      <c r="AS44" s="235"/>
      <c r="AT44" s="235"/>
      <c r="AX44" s="235"/>
    </row>
    <row r="45" spans="1:50" s="9" customFormat="1" ht="31.5" hidden="1">
      <c r="A45" s="630" t="s">
        <v>356</v>
      </c>
      <c r="B45" s="630" t="s">
        <v>481</v>
      </c>
      <c r="C45" s="630">
        <v>4248</v>
      </c>
      <c r="D45" s="630" t="s">
        <v>482</v>
      </c>
      <c r="E45" s="630" t="s">
        <v>282</v>
      </c>
      <c r="F45" s="630" t="s">
        <v>483</v>
      </c>
      <c r="G45" s="630" t="s">
        <v>484</v>
      </c>
      <c r="H45" s="630">
        <v>9.9699999999999997E-2</v>
      </c>
      <c r="I45" s="630" t="s">
        <v>485</v>
      </c>
      <c r="J45" s="630">
        <v>132</v>
      </c>
      <c r="K45" s="630"/>
      <c r="L45" s="630"/>
      <c r="M45" s="815">
        <v>0</v>
      </c>
      <c r="N45" s="1631"/>
      <c r="O45" s="1631" t="str">
        <f t="shared" si="9"/>
        <v>ReH 2.995/2021</v>
      </c>
      <c r="P45" s="1640">
        <v>0.2072</v>
      </c>
      <c r="Q45" s="1631">
        <v>5741724.6974191396</v>
      </c>
      <c r="R45" s="1639">
        <v>44531</v>
      </c>
      <c r="S45" s="1631" t="str">
        <f t="shared" si="10"/>
        <v>Desp. 521/2022</v>
      </c>
      <c r="T45" s="630" t="s">
        <v>486</v>
      </c>
      <c r="U45" s="741" t="s">
        <v>349</v>
      </c>
      <c r="V45" s="630">
        <v>2024</v>
      </c>
      <c r="W45" s="1626">
        <v>2908</v>
      </c>
      <c r="X45" s="1627" t="s">
        <v>2160</v>
      </c>
      <c r="Y45" s="630"/>
      <c r="AA45" s="1629" t="s">
        <v>485</v>
      </c>
      <c r="AB45" s="1631">
        <v>58.392923981821539</v>
      </c>
      <c r="AC45" s="1632">
        <v>117.43916412021785</v>
      </c>
      <c r="AD45" s="1632">
        <v>1371216.9263933776</v>
      </c>
      <c r="AE45" s="741">
        <v>44371</v>
      </c>
      <c r="AF45" s="741">
        <v>44371</v>
      </c>
      <c r="AG45" s="1631">
        <v>0</v>
      </c>
      <c r="AH45" s="630"/>
      <c r="AI45" s="741">
        <v>41472</v>
      </c>
      <c r="AJ45" s="741">
        <v>42551</v>
      </c>
      <c r="AK45" s="741" t="s">
        <v>289</v>
      </c>
      <c r="AL45" s="741"/>
      <c r="AM45" s="741"/>
      <c r="AN45" s="864"/>
      <c r="AO45" s="235"/>
      <c r="AP45" s="17"/>
      <c r="AR45" s="818" t="s">
        <v>201</v>
      </c>
      <c r="AS45" s="235"/>
      <c r="AT45" s="235"/>
      <c r="AX45" s="235"/>
    </row>
    <row r="46" spans="1:50" s="9" customFormat="1" ht="31.5" hidden="1">
      <c r="A46" s="630" t="s">
        <v>182</v>
      </c>
      <c r="B46" s="630" t="s">
        <v>487</v>
      </c>
      <c r="C46" s="630">
        <v>5274</v>
      </c>
      <c r="D46" s="630" t="s">
        <v>488</v>
      </c>
      <c r="E46" s="630" t="s">
        <v>282</v>
      </c>
      <c r="F46" s="630" t="s">
        <v>489</v>
      </c>
      <c r="G46" s="630" t="s">
        <v>490</v>
      </c>
      <c r="H46" s="630">
        <v>9.9699999999999997E-2</v>
      </c>
      <c r="I46" s="630" t="s">
        <v>163</v>
      </c>
      <c r="J46" s="630">
        <v>103</v>
      </c>
      <c r="K46" s="630"/>
      <c r="L46" s="630"/>
      <c r="M46" s="815">
        <v>0.128</v>
      </c>
      <c r="N46" s="1631"/>
      <c r="O46" s="1631" t="str">
        <f t="shared" si="9"/>
        <v>ReH 2.995/2021</v>
      </c>
      <c r="P46" s="1640">
        <v>7.9699999999999993E-2</v>
      </c>
      <c r="Q46" s="1641">
        <v>9559924.0871568415</v>
      </c>
      <c r="R46" s="1639">
        <v>44531</v>
      </c>
      <c r="S46" s="1631" t="str">
        <f t="shared" si="10"/>
        <v>Desp. 521/2022</v>
      </c>
      <c r="T46" s="630" t="s">
        <v>492</v>
      </c>
      <c r="U46" s="741" t="s">
        <v>287</v>
      </c>
      <c r="V46" s="630">
        <v>2024</v>
      </c>
      <c r="W46" s="1626">
        <v>2865</v>
      </c>
      <c r="X46" s="1627" t="s">
        <v>2161</v>
      </c>
      <c r="Y46" s="630"/>
      <c r="AA46" s="1629" t="s">
        <v>506</v>
      </c>
      <c r="AB46" s="1631">
        <v>49.06</v>
      </c>
      <c r="AC46" s="1632">
        <v>187.05</v>
      </c>
      <c r="AD46" s="1632">
        <v>95315.39</v>
      </c>
      <c r="AE46" s="741">
        <v>43174</v>
      </c>
      <c r="AF46" s="741">
        <v>43174</v>
      </c>
      <c r="AG46" s="1631">
        <v>0</v>
      </c>
      <c r="AH46" s="630"/>
      <c r="AI46" s="741">
        <v>41472</v>
      </c>
      <c r="AJ46" s="741">
        <v>42451</v>
      </c>
      <c r="AK46" s="741" t="s">
        <v>289</v>
      </c>
      <c r="AL46" s="741"/>
      <c r="AM46" s="741"/>
      <c r="AN46" s="864">
        <v>940401.96</v>
      </c>
      <c r="AO46" s="235"/>
      <c r="AP46" s="17"/>
      <c r="AR46" s="818" t="s">
        <v>493</v>
      </c>
      <c r="AS46" s="235"/>
      <c r="AT46" s="235"/>
      <c r="AX46" s="235"/>
    </row>
    <row r="47" spans="1:50" s="9" customFormat="1" ht="31.5" hidden="1">
      <c r="A47" s="630" t="s">
        <v>371</v>
      </c>
      <c r="B47" s="630" t="s">
        <v>494</v>
      </c>
      <c r="C47" s="630">
        <v>5377</v>
      </c>
      <c r="D47" s="630" t="s">
        <v>495</v>
      </c>
      <c r="E47" s="630" t="s">
        <v>282</v>
      </c>
      <c r="F47" s="630" t="s">
        <v>496</v>
      </c>
      <c r="G47" s="630" t="s">
        <v>497</v>
      </c>
      <c r="H47" s="630">
        <v>3.7699999999999997E-2</v>
      </c>
      <c r="I47" s="630" t="s">
        <v>498</v>
      </c>
      <c r="J47" s="630">
        <v>155</v>
      </c>
      <c r="K47" s="630"/>
      <c r="L47" s="630"/>
      <c r="M47" s="815">
        <v>0</v>
      </c>
      <c r="N47" s="1631"/>
      <c r="O47" s="1631" t="str">
        <f t="shared" si="9"/>
        <v>ReH 2.995/2021</v>
      </c>
      <c r="P47" s="1640">
        <v>6.2799999999999995E-2</v>
      </c>
      <c r="Q47" s="1631">
        <v>5170019.3743311316</v>
      </c>
      <c r="R47" s="1639">
        <v>44531</v>
      </c>
      <c r="S47" s="1631" t="str">
        <f t="shared" si="10"/>
        <v>Desp. 521/2022</v>
      </c>
      <c r="T47" s="630" t="s">
        <v>499</v>
      </c>
      <c r="U47" s="741" t="s">
        <v>500</v>
      </c>
      <c r="V47" s="630">
        <v>2024</v>
      </c>
      <c r="W47" s="1626">
        <v>2872</v>
      </c>
      <c r="X47" s="1627" t="s">
        <v>2159</v>
      </c>
      <c r="Y47" s="1628">
        <v>1.15E-2</v>
      </c>
      <c r="Z47" s="1629">
        <v>-0.02</v>
      </c>
      <c r="AA47" s="1629" t="s">
        <v>194</v>
      </c>
      <c r="AB47" s="1631">
        <v>43</v>
      </c>
      <c r="AC47" s="1632">
        <v>122.01</v>
      </c>
      <c r="AD47" s="1632">
        <v>807332.96</v>
      </c>
      <c r="AE47" s="741">
        <v>43212</v>
      </c>
      <c r="AF47" s="741">
        <v>43212</v>
      </c>
      <c r="AG47" s="1631">
        <v>0</v>
      </c>
      <c r="AH47" s="630"/>
      <c r="AI47" s="741">
        <v>41472</v>
      </c>
      <c r="AJ47" s="741">
        <v>42489</v>
      </c>
      <c r="AK47" s="741" t="s">
        <v>289</v>
      </c>
      <c r="AL47" s="741"/>
      <c r="AM47" s="741"/>
      <c r="AN47" s="864"/>
      <c r="AO47" s="235"/>
      <c r="AP47" s="17"/>
      <c r="AR47" s="818" t="s">
        <v>411</v>
      </c>
      <c r="AS47" s="235"/>
      <c r="AT47" s="235"/>
      <c r="AX47" s="235"/>
    </row>
    <row r="48" spans="1:50" s="9" customFormat="1" ht="31.5" hidden="1">
      <c r="A48" s="630" t="s">
        <v>366</v>
      </c>
      <c r="B48" s="630" t="s">
        <v>501</v>
      </c>
      <c r="C48" s="630">
        <v>5279</v>
      </c>
      <c r="D48" s="630" t="s">
        <v>502</v>
      </c>
      <c r="E48" s="630" t="s">
        <v>282</v>
      </c>
      <c r="F48" s="630" t="s">
        <v>503</v>
      </c>
      <c r="G48" s="630" t="s">
        <v>490</v>
      </c>
      <c r="H48" s="630">
        <v>9.9699999999999997E-2</v>
      </c>
      <c r="I48" s="630" t="s">
        <v>163</v>
      </c>
      <c r="J48" s="630">
        <v>103</v>
      </c>
      <c r="K48" s="630"/>
      <c r="L48" s="630"/>
      <c r="M48" s="815">
        <v>0.1166</v>
      </c>
      <c r="N48" s="1631"/>
      <c r="O48" s="1631" t="str">
        <f t="shared" si="9"/>
        <v>ReH 2.995/2021</v>
      </c>
      <c r="P48" s="1628">
        <v>0.4052</v>
      </c>
      <c r="Q48" s="1631">
        <v>25601019.68723011</v>
      </c>
      <c r="R48" s="1639">
        <v>44531</v>
      </c>
      <c r="S48" s="1631" t="str">
        <f t="shared" si="10"/>
        <v>Desp. 521/2022</v>
      </c>
      <c r="T48" s="1642" t="s">
        <v>504</v>
      </c>
      <c r="U48" s="741" t="s">
        <v>505</v>
      </c>
      <c r="V48" s="630">
        <v>2022</v>
      </c>
      <c r="W48" s="1626">
        <v>2866</v>
      </c>
      <c r="X48" s="1627" t="s">
        <v>2161</v>
      </c>
      <c r="Y48" s="1628"/>
      <c r="AA48" s="1629" t="s">
        <v>506</v>
      </c>
      <c r="AB48" s="1633">
        <v>29.23</v>
      </c>
      <c r="AC48" s="1632">
        <v>183.67</v>
      </c>
      <c r="AD48" s="1632">
        <v>3906806.73</v>
      </c>
      <c r="AE48" s="741">
        <v>42809</v>
      </c>
      <c r="AF48" s="741">
        <v>42809</v>
      </c>
      <c r="AG48" s="741" t="s">
        <v>507</v>
      </c>
      <c r="AH48" s="630"/>
      <c r="AI48" s="741"/>
      <c r="AJ48" s="741"/>
      <c r="AK48" s="741" t="s">
        <v>508</v>
      </c>
      <c r="AL48" s="741">
        <v>43374</v>
      </c>
      <c r="AM48" s="1628">
        <v>0.2465</v>
      </c>
      <c r="AN48" s="864">
        <v>939575.3</v>
      </c>
      <c r="AO48" s="235"/>
      <c r="AP48" s="17"/>
      <c r="AR48" s="818" t="s">
        <v>509</v>
      </c>
      <c r="AS48" s="235"/>
      <c r="AT48" s="235"/>
      <c r="AX48" s="235"/>
    </row>
    <row r="49" spans="1:50" s="9" customFormat="1" ht="31.5" hidden="1">
      <c r="A49" s="630" t="s">
        <v>196</v>
      </c>
      <c r="B49" s="630" t="s">
        <v>510</v>
      </c>
      <c r="C49" s="630">
        <v>6603</v>
      </c>
      <c r="D49" s="630" t="s">
        <v>511</v>
      </c>
      <c r="E49" s="630" t="s">
        <v>282</v>
      </c>
      <c r="F49" s="630" t="s">
        <v>512</v>
      </c>
      <c r="G49" s="630" t="s">
        <v>490</v>
      </c>
      <c r="H49" s="630">
        <v>9.9699999999999997E-2</v>
      </c>
      <c r="I49" s="630" t="s">
        <v>163</v>
      </c>
      <c r="J49" s="630">
        <v>103</v>
      </c>
      <c r="K49" s="630"/>
      <c r="L49" s="630"/>
      <c r="M49" s="815">
        <v>0</v>
      </c>
      <c r="N49" s="1631"/>
      <c r="O49" s="1631" t="str">
        <f t="shared" si="9"/>
        <v>ReH 2.995/2021</v>
      </c>
      <c r="P49" s="1628">
        <v>0.4052</v>
      </c>
      <c r="Q49" s="1631">
        <v>10809195.059114244</v>
      </c>
      <c r="R49" s="1639">
        <v>44531</v>
      </c>
      <c r="S49" s="1631" t="str">
        <f t="shared" si="10"/>
        <v>Desp. 521/2022</v>
      </c>
      <c r="T49" s="1642" t="s">
        <v>513</v>
      </c>
      <c r="U49" s="741" t="s">
        <v>514</v>
      </c>
      <c r="V49" s="630">
        <v>2022</v>
      </c>
      <c r="W49" s="1626">
        <v>2867</v>
      </c>
      <c r="X49" s="1627" t="s">
        <v>2161</v>
      </c>
      <c r="Y49" s="1628"/>
      <c r="AA49" s="1629" t="s">
        <v>506</v>
      </c>
      <c r="AB49" s="1633">
        <v>30.78</v>
      </c>
      <c r="AC49" s="1632">
        <v>183.67</v>
      </c>
      <c r="AD49" s="1632">
        <v>1224360.38437886</v>
      </c>
      <c r="AE49" s="741">
        <v>42809</v>
      </c>
      <c r="AF49" s="741">
        <v>42809</v>
      </c>
      <c r="AG49" s="741" t="s">
        <v>507</v>
      </c>
      <c r="AH49" s="630"/>
      <c r="AI49" s="741"/>
      <c r="AJ49" s="741"/>
      <c r="AK49" s="741" t="s">
        <v>508</v>
      </c>
      <c r="AL49" s="741">
        <v>43405</v>
      </c>
      <c r="AM49" s="1634">
        <v>0</v>
      </c>
      <c r="AN49" s="864">
        <v>234949.9</v>
      </c>
      <c r="AO49" s="235"/>
      <c r="AP49" s="17"/>
      <c r="AR49" s="818" t="s">
        <v>339</v>
      </c>
      <c r="AS49" s="235"/>
      <c r="AT49" s="235"/>
      <c r="AX49" s="235"/>
    </row>
    <row r="50" spans="1:50" s="9" customFormat="1" ht="31.5">
      <c r="A50" s="630" t="s">
        <v>389</v>
      </c>
      <c r="B50" s="630" t="s">
        <v>515</v>
      </c>
      <c r="C50" s="630">
        <v>504</v>
      </c>
      <c r="D50" s="630" t="s">
        <v>516</v>
      </c>
      <c r="E50" s="630" t="s">
        <v>282</v>
      </c>
      <c r="F50" s="630" t="s">
        <v>517</v>
      </c>
      <c r="G50" s="630" t="s">
        <v>441</v>
      </c>
      <c r="H50" s="630">
        <v>8.1942000000000001E-2</v>
      </c>
      <c r="I50" s="630" t="s">
        <v>206</v>
      </c>
      <c r="J50" s="630">
        <v>167</v>
      </c>
      <c r="K50" s="630"/>
      <c r="L50" s="630"/>
      <c r="M50" s="815">
        <v>0</v>
      </c>
      <c r="N50" s="1631"/>
      <c r="O50" s="1631" t="str">
        <f t="shared" si="9"/>
        <v>ReH 2.995/2021</v>
      </c>
      <c r="P50" s="1628">
        <v>0.36820000000000003</v>
      </c>
      <c r="Q50" s="1631">
        <v>34114621.739632338</v>
      </c>
      <c r="R50" s="1639">
        <v>44531</v>
      </c>
      <c r="S50" s="1631" t="str">
        <f t="shared" si="10"/>
        <v>Desp. 521/2022</v>
      </c>
      <c r="T50" s="1642" t="s">
        <v>518</v>
      </c>
      <c r="U50" s="741" t="s">
        <v>519</v>
      </c>
      <c r="V50" s="630">
        <v>2022</v>
      </c>
      <c r="W50" s="1626">
        <v>2906</v>
      </c>
      <c r="X50" s="1627" t="s">
        <v>2160</v>
      </c>
      <c r="Y50" s="1628"/>
      <c r="AA50" s="1629" t="s">
        <v>206</v>
      </c>
      <c r="AB50" s="1633">
        <v>13.9</v>
      </c>
      <c r="AC50" s="1632">
        <v>108.15</v>
      </c>
      <c r="AD50" s="1632">
        <v>16697250.359999999</v>
      </c>
      <c r="AE50" s="741">
        <v>43270</v>
      </c>
      <c r="AF50" s="741">
        <v>43270</v>
      </c>
      <c r="AG50" s="741" t="s">
        <v>507</v>
      </c>
      <c r="AH50" s="630"/>
      <c r="AI50" s="741"/>
      <c r="AJ50" s="741"/>
      <c r="AK50" s="741" t="s">
        <v>508</v>
      </c>
      <c r="AL50" s="741">
        <v>43405</v>
      </c>
      <c r="AM50" s="741"/>
      <c r="AN50" s="864"/>
      <c r="AO50" s="235"/>
      <c r="AP50" s="17"/>
      <c r="AR50" s="818" t="s">
        <v>520</v>
      </c>
      <c r="AS50" s="235"/>
      <c r="AT50" s="235"/>
      <c r="AX50" s="235"/>
    </row>
    <row r="51" spans="1:50" s="9" customFormat="1" ht="31.5" hidden="1">
      <c r="A51" s="630" t="s">
        <v>493</v>
      </c>
      <c r="B51" s="630" t="s">
        <v>521</v>
      </c>
      <c r="C51" s="630">
        <v>527</v>
      </c>
      <c r="D51" s="630" t="s">
        <v>522</v>
      </c>
      <c r="E51" s="630" t="s">
        <v>282</v>
      </c>
      <c r="F51" s="630" t="s">
        <v>523</v>
      </c>
      <c r="G51" s="630" t="s">
        <v>441</v>
      </c>
      <c r="H51" s="630">
        <v>3.7699999999999997E-2</v>
      </c>
      <c r="I51" s="630" t="s">
        <v>206</v>
      </c>
      <c r="J51" s="630">
        <v>167</v>
      </c>
      <c r="K51" s="630"/>
      <c r="L51" s="630"/>
      <c r="M51" s="815">
        <v>0</v>
      </c>
      <c r="N51" s="1631"/>
      <c r="O51" s="1631" t="str">
        <f t="shared" si="9"/>
        <v>ReH 2.995/2021</v>
      </c>
      <c r="P51" s="1628">
        <v>0.36820000000000003</v>
      </c>
      <c r="Q51" s="1631">
        <v>19676334.273381419</v>
      </c>
      <c r="R51" s="1639">
        <v>44531</v>
      </c>
      <c r="S51" s="1631" t="str">
        <f t="shared" si="10"/>
        <v>Desp. 521/2022</v>
      </c>
      <c r="T51" s="1642" t="s">
        <v>524</v>
      </c>
      <c r="U51" s="741" t="s">
        <v>525</v>
      </c>
      <c r="V51" s="630">
        <v>2022</v>
      </c>
      <c r="W51" s="1626">
        <v>2907</v>
      </c>
      <c r="X51" s="1627" t="s">
        <v>2160</v>
      </c>
      <c r="Y51" s="1628"/>
      <c r="AA51" s="1629" t="s">
        <v>206</v>
      </c>
      <c r="AB51" s="1633">
        <v>17.5</v>
      </c>
      <c r="AC51" s="1632">
        <v>108.15</v>
      </c>
      <c r="AD51" s="1632">
        <v>8473358.1899999995</v>
      </c>
      <c r="AE51" s="741">
        <v>43270</v>
      </c>
      <c r="AF51" s="741">
        <v>43270</v>
      </c>
      <c r="AG51" s="741" t="s">
        <v>507</v>
      </c>
      <c r="AH51" s="630"/>
      <c r="AI51" s="741"/>
      <c r="AJ51" s="741"/>
      <c r="AK51" s="741" t="s">
        <v>508</v>
      </c>
      <c r="AL51" s="741">
        <v>43405</v>
      </c>
      <c r="AM51" s="741"/>
      <c r="AN51" s="864"/>
      <c r="AO51" s="235"/>
      <c r="AP51" s="17"/>
      <c r="AR51" s="818" t="s">
        <v>188</v>
      </c>
      <c r="AS51" s="235"/>
      <c r="AT51" s="235"/>
      <c r="AX51" s="235"/>
    </row>
    <row r="52" spans="1:50" s="9" customFormat="1" ht="31.5" hidden="1">
      <c r="A52" s="630" t="s">
        <v>290</v>
      </c>
      <c r="B52" s="630" t="s">
        <v>526</v>
      </c>
      <c r="C52" s="630">
        <v>11825</v>
      </c>
      <c r="D52" s="630" t="s">
        <v>527</v>
      </c>
      <c r="E52" s="630" t="s">
        <v>282</v>
      </c>
      <c r="F52" s="630" t="s">
        <v>528</v>
      </c>
      <c r="G52" s="630" t="s">
        <v>484</v>
      </c>
      <c r="H52" s="630">
        <v>9.9699999999999997E-2</v>
      </c>
      <c r="I52" s="630" t="s">
        <v>529</v>
      </c>
      <c r="J52" s="630">
        <v>132</v>
      </c>
      <c r="K52" s="630"/>
      <c r="L52" s="630"/>
      <c r="M52" s="817">
        <v>0</v>
      </c>
      <c r="N52" s="1631"/>
      <c r="O52" s="1631" t="str">
        <f t="shared" si="9"/>
        <v>ReH 2.995/2021</v>
      </c>
      <c r="P52" s="1628">
        <v>0.30030000000000001</v>
      </c>
      <c r="Q52" s="1631">
        <v>3990174.7268110593</v>
      </c>
      <c r="R52" s="1639">
        <v>44531</v>
      </c>
      <c r="S52" s="1631" t="str">
        <f t="shared" si="10"/>
        <v>Desp. 521/2022</v>
      </c>
      <c r="T52" s="1642" t="s">
        <v>530</v>
      </c>
      <c r="U52" s="741" t="s">
        <v>531</v>
      </c>
      <c r="V52" s="630">
        <v>2022</v>
      </c>
      <c r="W52" s="1626">
        <v>2905</v>
      </c>
      <c r="X52" s="1627" t="s">
        <v>2160</v>
      </c>
      <c r="Y52" s="1628"/>
      <c r="AA52" s="1629" t="s">
        <v>485</v>
      </c>
      <c r="AB52" s="1633">
        <v>108.32837360722637</v>
      </c>
      <c r="AC52" s="1632">
        <v>117.43916412021785</v>
      </c>
      <c r="AD52" s="1632">
        <v>0</v>
      </c>
      <c r="AE52" s="741">
        <v>44371</v>
      </c>
      <c r="AF52" s="741">
        <v>44371</v>
      </c>
      <c r="AG52" s="741" t="s">
        <v>507</v>
      </c>
      <c r="AH52" s="630"/>
      <c r="AI52" s="741"/>
      <c r="AJ52" s="741"/>
      <c r="AK52" s="741" t="s">
        <v>508</v>
      </c>
      <c r="AL52" s="741">
        <v>43405</v>
      </c>
      <c r="AM52" s="741"/>
      <c r="AN52" s="864"/>
      <c r="AO52" s="235"/>
      <c r="AP52" s="17"/>
      <c r="AR52" s="818" t="s">
        <v>420</v>
      </c>
      <c r="AS52" s="235"/>
      <c r="AT52" s="235"/>
      <c r="AX52" s="235"/>
    </row>
    <row r="53" spans="1:50" s="9" customFormat="1" ht="31.5" hidden="1">
      <c r="A53" s="630" t="s">
        <v>509</v>
      </c>
      <c r="B53" s="630" t="s">
        <v>532</v>
      </c>
      <c r="C53" s="630">
        <v>5375</v>
      </c>
      <c r="D53" s="630" t="s">
        <v>533</v>
      </c>
      <c r="E53" s="630" t="s">
        <v>282</v>
      </c>
      <c r="F53" s="630" t="s">
        <v>534</v>
      </c>
      <c r="G53" s="630" t="s">
        <v>284</v>
      </c>
      <c r="H53" s="630">
        <v>9.9699999999999997E-2</v>
      </c>
      <c r="I53" s="630" t="s">
        <v>535</v>
      </c>
      <c r="J53" s="630">
        <v>145</v>
      </c>
      <c r="K53" s="630" t="s">
        <v>536</v>
      </c>
      <c r="L53" s="630">
        <v>136</v>
      </c>
      <c r="M53" s="817">
        <v>0</v>
      </c>
      <c r="N53" s="1631"/>
      <c r="O53" s="1631" t="str">
        <f t="shared" si="9"/>
        <v>ReH 2.995/2021</v>
      </c>
      <c r="P53" s="1628">
        <v>0.26960000000000001</v>
      </c>
      <c r="Q53" s="1631">
        <v>9179104.7891964447</v>
      </c>
      <c r="R53" s="1639">
        <v>44531</v>
      </c>
      <c r="S53" s="1631" t="str">
        <f t="shared" si="10"/>
        <v>Desp. 521/2022</v>
      </c>
      <c r="T53" s="1642" t="s">
        <v>537</v>
      </c>
      <c r="U53" s="741" t="s">
        <v>538</v>
      </c>
      <c r="V53" s="630">
        <v>2022</v>
      </c>
      <c r="W53" s="1626">
        <v>2945</v>
      </c>
      <c r="X53" s="1627" t="s">
        <v>2162</v>
      </c>
      <c r="Y53" s="1628"/>
      <c r="AA53" s="1629" t="s">
        <v>535</v>
      </c>
      <c r="AB53" s="1633">
        <v>56.75</v>
      </c>
      <c r="AC53" s="1632">
        <v>133.91999999999999</v>
      </c>
      <c r="AD53" s="1632">
        <v>1818143.6</v>
      </c>
      <c r="AE53" s="741">
        <v>43678</v>
      </c>
      <c r="AF53" s="741">
        <v>43678</v>
      </c>
      <c r="AG53" s="741" t="s">
        <v>507</v>
      </c>
      <c r="AH53" s="630"/>
      <c r="AI53" s="741"/>
      <c r="AJ53" s="741"/>
      <c r="AK53" s="741" t="s">
        <v>508</v>
      </c>
      <c r="AL53" s="741">
        <v>43466</v>
      </c>
      <c r="AM53" s="741"/>
      <c r="AN53" s="864"/>
      <c r="AO53" s="235"/>
      <c r="AP53" s="17"/>
      <c r="AR53" s="818" t="s">
        <v>460</v>
      </c>
      <c r="AS53" s="235"/>
      <c r="AT53" s="235"/>
      <c r="AX53" s="235"/>
    </row>
    <row r="54" spans="1:50" s="9" customFormat="1" ht="31.5" hidden="1">
      <c r="A54" s="630" t="s">
        <v>186</v>
      </c>
      <c r="B54" s="630" t="s">
        <v>539</v>
      </c>
      <c r="C54" s="630">
        <v>5356</v>
      </c>
      <c r="D54" s="630" t="s">
        <v>540</v>
      </c>
      <c r="E54" s="630" t="s">
        <v>282</v>
      </c>
      <c r="F54" s="630" t="s">
        <v>541</v>
      </c>
      <c r="G54" s="630" t="s">
        <v>347</v>
      </c>
      <c r="H54" s="630">
        <v>9.9699999999999997E-2</v>
      </c>
      <c r="I54" s="630" t="s">
        <v>542</v>
      </c>
      <c r="J54" s="630">
        <v>111</v>
      </c>
      <c r="K54" s="630"/>
      <c r="L54" s="630"/>
      <c r="M54" s="817">
        <v>0</v>
      </c>
      <c r="N54" s="1631"/>
      <c r="O54" s="1631" t="str">
        <f t="shared" si="9"/>
        <v>ReH 2.995/2021</v>
      </c>
      <c r="P54" s="1628">
        <v>0.26719999999999999</v>
      </c>
      <c r="Q54" s="1631">
        <v>12311896.529185077</v>
      </c>
      <c r="R54" s="1639">
        <v>44531</v>
      </c>
      <c r="S54" s="1631" t="str">
        <f t="shared" si="10"/>
        <v>Desp. 521/2022</v>
      </c>
      <c r="T54" s="1642" t="s">
        <v>543</v>
      </c>
      <c r="U54" s="741" t="s">
        <v>544</v>
      </c>
      <c r="V54" s="630">
        <v>2022</v>
      </c>
      <c r="W54" s="1626">
        <v>2938</v>
      </c>
      <c r="X54" s="1627" t="s">
        <v>2162</v>
      </c>
      <c r="Y54" s="1628"/>
      <c r="AA54" s="1629" t="s">
        <v>542</v>
      </c>
      <c r="AB54" s="1633">
        <v>349.3569320960537</v>
      </c>
      <c r="AC54" s="1632">
        <v>180.36</v>
      </c>
      <c r="AD54" s="1632">
        <v>0</v>
      </c>
      <c r="AE54" s="741">
        <v>44430</v>
      </c>
      <c r="AF54" s="741">
        <v>44430</v>
      </c>
      <c r="AG54" s="741" t="s">
        <v>507</v>
      </c>
      <c r="AH54" s="630"/>
      <c r="AI54" s="741"/>
      <c r="AJ54" s="741"/>
      <c r="AK54" s="741" t="s">
        <v>508</v>
      </c>
      <c r="AL54" s="741">
        <v>43435</v>
      </c>
      <c r="AM54" s="741"/>
      <c r="AN54" s="864"/>
      <c r="AO54" s="235"/>
      <c r="AP54" s="17"/>
      <c r="AR54" s="818" t="s">
        <v>427</v>
      </c>
      <c r="AS54" s="235"/>
      <c r="AT54" s="235"/>
      <c r="AX54" s="235"/>
    </row>
    <row r="55" spans="1:50" s="9" customFormat="1" ht="31.5" hidden="1">
      <c r="A55" s="630" t="s">
        <v>471</v>
      </c>
      <c r="B55" s="630" t="s">
        <v>545</v>
      </c>
      <c r="C55" s="630">
        <v>7883</v>
      </c>
      <c r="D55" s="630" t="s">
        <v>546</v>
      </c>
      <c r="E55" s="630" t="s">
        <v>282</v>
      </c>
      <c r="F55" s="630" t="s">
        <v>547</v>
      </c>
      <c r="G55" s="630" t="s">
        <v>347</v>
      </c>
      <c r="H55" s="630">
        <v>9.9699999999999997E-2</v>
      </c>
      <c r="I55" s="630" t="s">
        <v>542</v>
      </c>
      <c r="J55" s="630">
        <v>111</v>
      </c>
      <c r="K55" s="630"/>
      <c r="L55" s="630"/>
      <c r="M55" s="817">
        <v>0</v>
      </c>
      <c r="N55" s="1631"/>
      <c r="O55" s="1631" t="str">
        <f t="shared" si="9"/>
        <v>ReH 2.995/2021</v>
      </c>
      <c r="P55" s="1628">
        <v>0.26719999999999999</v>
      </c>
      <c r="Q55" s="1631">
        <v>2747645.1312338929</v>
      </c>
      <c r="R55" s="1639">
        <v>44531</v>
      </c>
      <c r="S55" s="1631" t="str">
        <f t="shared" si="10"/>
        <v>Desp. 521/2022</v>
      </c>
      <c r="T55" s="1642" t="s">
        <v>548</v>
      </c>
      <c r="U55" s="741" t="s">
        <v>549</v>
      </c>
      <c r="V55" s="630">
        <v>2022</v>
      </c>
      <c r="W55" s="1626">
        <v>2952</v>
      </c>
      <c r="X55" s="1627" t="s">
        <v>2162</v>
      </c>
      <c r="Y55" s="1628"/>
      <c r="AA55" s="1629" t="s">
        <v>542</v>
      </c>
      <c r="AB55" s="1633">
        <v>66.75041888804266</v>
      </c>
      <c r="AC55" s="1632">
        <v>180.36</v>
      </c>
      <c r="AD55" s="1632">
        <v>1128622.9917918474</v>
      </c>
      <c r="AE55" s="741">
        <v>44430</v>
      </c>
      <c r="AF55" s="741">
        <v>44430</v>
      </c>
      <c r="AG55" s="741" t="s">
        <v>507</v>
      </c>
      <c r="AH55" s="630"/>
      <c r="AI55" s="741"/>
      <c r="AJ55" s="741"/>
      <c r="AK55" s="741" t="s">
        <v>508</v>
      </c>
      <c r="AL55" s="741">
        <v>43435</v>
      </c>
      <c r="AM55" s="741"/>
      <c r="AN55" s="864"/>
      <c r="AO55" s="235"/>
      <c r="AP55" s="17"/>
      <c r="AR55" s="818" t="s">
        <v>11</v>
      </c>
      <c r="AS55" s="235"/>
      <c r="AT55" s="235"/>
      <c r="AX55" s="235"/>
    </row>
    <row r="56" spans="1:50" s="9" customFormat="1" ht="31.5" hidden="1">
      <c r="A56" s="630" t="s">
        <v>520</v>
      </c>
      <c r="B56" s="630" t="s">
        <v>550</v>
      </c>
      <c r="C56" s="630">
        <v>11763</v>
      </c>
      <c r="D56" s="630" t="s">
        <v>551</v>
      </c>
      <c r="E56" s="630" t="s">
        <v>282</v>
      </c>
      <c r="F56" s="630" t="s">
        <v>552</v>
      </c>
      <c r="G56" s="630" t="s">
        <v>347</v>
      </c>
      <c r="H56" s="630">
        <v>9.9699999999999997E-2</v>
      </c>
      <c r="I56" s="630" t="s">
        <v>542</v>
      </c>
      <c r="J56" s="630">
        <v>111</v>
      </c>
      <c r="K56" s="630"/>
      <c r="L56" s="630"/>
      <c r="M56" s="817">
        <v>0</v>
      </c>
      <c r="N56" s="1631"/>
      <c r="O56" s="1631" t="str">
        <f t="shared" si="9"/>
        <v>ReH 2.995/2021</v>
      </c>
      <c r="P56" s="1628">
        <v>0.26719999999999999</v>
      </c>
      <c r="Q56" s="1631">
        <v>4273903.2129018996</v>
      </c>
      <c r="R56" s="1639">
        <v>44531</v>
      </c>
      <c r="S56" s="1631" t="str">
        <f t="shared" si="10"/>
        <v>Desp. 521/2022</v>
      </c>
      <c r="T56" s="1642" t="s">
        <v>553</v>
      </c>
      <c r="U56" s="741" t="s">
        <v>554</v>
      </c>
      <c r="V56" s="630">
        <v>2022</v>
      </c>
      <c r="W56" s="1626">
        <v>2954</v>
      </c>
      <c r="X56" s="1627" t="s">
        <v>2162</v>
      </c>
      <c r="Y56" s="1628"/>
      <c r="AA56" s="1629" t="s">
        <v>542</v>
      </c>
      <c r="AB56" s="1633">
        <v>340.16724180581309</v>
      </c>
      <c r="AC56" s="1632">
        <v>180.36</v>
      </c>
      <c r="AD56" s="1632">
        <v>0</v>
      </c>
      <c r="AE56" s="741">
        <v>44430</v>
      </c>
      <c r="AF56" s="741">
        <v>44430</v>
      </c>
      <c r="AG56" s="741" t="s">
        <v>507</v>
      </c>
      <c r="AH56" s="630"/>
      <c r="AI56" s="741"/>
      <c r="AJ56" s="741"/>
      <c r="AK56" s="741" t="s">
        <v>508</v>
      </c>
      <c r="AL56" s="741">
        <v>43466</v>
      </c>
      <c r="AM56" s="741"/>
      <c r="AN56" s="864"/>
      <c r="AO56" s="235"/>
      <c r="AP56" s="17"/>
      <c r="AR56" s="630" t="s">
        <v>10</v>
      </c>
      <c r="AS56" s="235"/>
      <c r="AT56" s="235"/>
      <c r="AX56" s="235"/>
    </row>
    <row r="57" spans="1:50" s="9" customFormat="1" ht="31.5" hidden="1">
      <c r="A57" s="630" t="s">
        <v>555</v>
      </c>
      <c r="B57" s="630" t="s">
        <v>556</v>
      </c>
      <c r="C57" s="630">
        <v>5374</v>
      </c>
      <c r="D57" s="630" t="s">
        <v>557</v>
      </c>
      <c r="E57" s="630" t="s">
        <v>282</v>
      </c>
      <c r="F57" s="630" t="s">
        <v>558</v>
      </c>
      <c r="G57" s="630" t="s">
        <v>347</v>
      </c>
      <c r="H57" s="630">
        <v>9.9699999999999997E-2</v>
      </c>
      <c r="I57" s="630" t="s">
        <v>542</v>
      </c>
      <c r="J57" s="630">
        <v>111</v>
      </c>
      <c r="K57" s="630"/>
      <c r="L57" s="630"/>
      <c r="M57" s="817">
        <v>0</v>
      </c>
      <c r="N57" s="1631"/>
      <c r="O57" s="1631" t="str">
        <f t="shared" si="9"/>
        <v>ReH 2.995/2021</v>
      </c>
      <c r="P57" s="1628">
        <v>0.26719999999999999</v>
      </c>
      <c r="Q57" s="1631">
        <v>14887159.462181535</v>
      </c>
      <c r="R57" s="1639">
        <v>44531</v>
      </c>
      <c r="S57" s="1631" t="str">
        <f t="shared" si="10"/>
        <v>Desp. 521/2022</v>
      </c>
      <c r="T57" s="1642" t="s">
        <v>559</v>
      </c>
      <c r="U57" s="741" t="s">
        <v>560</v>
      </c>
      <c r="V57" s="630">
        <v>2022</v>
      </c>
      <c r="W57" s="1626">
        <v>2955</v>
      </c>
      <c r="X57" s="1627" t="s">
        <v>2162</v>
      </c>
      <c r="Y57" s="1628"/>
      <c r="AA57" s="1629" t="s">
        <v>542</v>
      </c>
      <c r="AB57" s="1633">
        <v>42.479589945809131</v>
      </c>
      <c r="AC57" s="1632">
        <v>180.36</v>
      </c>
      <c r="AD57" s="1632">
        <v>4958818.1676888634</v>
      </c>
      <c r="AE57" s="741">
        <v>44430</v>
      </c>
      <c r="AF57" s="741">
        <v>44430</v>
      </c>
      <c r="AG57" s="741" t="s">
        <v>507</v>
      </c>
      <c r="AH57" s="630"/>
      <c r="AI57" s="741"/>
      <c r="AJ57" s="741"/>
      <c r="AK57" s="741" t="s">
        <v>508</v>
      </c>
      <c r="AL57" s="741">
        <v>43435</v>
      </c>
      <c r="AM57" s="741"/>
      <c r="AN57" s="864"/>
      <c r="AO57" s="235"/>
      <c r="AP57" s="17"/>
      <c r="AR57" s="892" t="s">
        <v>561</v>
      </c>
      <c r="AS57" s="235"/>
      <c r="AT57" s="235"/>
      <c r="AX57" s="235"/>
    </row>
    <row r="58" spans="1:50" s="9" customFormat="1" ht="31.5" hidden="1">
      <c r="A58" s="630" t="s">
        <v>10</v>
      </c>
      <c r="B58" s="630" t="s">
        <v>562</v>
      </c>
      <c r="C58" s="630">
        <v>5346</v>
      </c>
      <c r="D58" s="630" t="s">
        <v>563</v>
      </c>
      <c r="E58" s="630" t="s">
        <v>282</v>
      </c>
      <c r="F58" s="630" t="s">
        <v>564</v>
      </c>
      <c r="G58" s="630" t="s">
        <v>441</v>
      </c>
      <c r="H58" s="630">
        <v>9.9699999999999997E-2</v>
      </c>
      <c r="I58" s="630" t="s">
        <v>353</v>
      </c>
      <c r="J58" s="630">
        <v>110</v>
      </c>
      <c r="K58" s="630"/>
      <c r="L58" s="630"/>
      <c r="M58" s="817">
        <v>0</v>
      </c>
      <c r="N58" s="1631"/>
      <c r="O58" s="1631" t="str">
        <f t="shared" si="9"/>
        <v>ReH 2.995/2021</v>
      </c>
      <c r="P58" s="1628">
        <v>0.29220000000000002</v>
      </c>
      <c r="Q58" s="1631">
        <v>12150493.896013878</v>
      </c>
      <c r="R58" s="1639">
        <v>44531</v>
      </c>
      <c r="S58" s="1631" t="str">
        <f t="shared" si="10"/>
        <v>Desp. 521/2022</v>
      </c>
      <c r="T58" s="630" t="s">
        <v>565</v>
      </c>
      <c r="U58" s="741" t="s">
        <v>566</v>
      </c>
      <c r="V58" s="630">
        <v>2022</v>
      </c>
      <c r="W58" s="1626">
        <v>2993</v>
      </c>
      <c r="X58" s="1627" t="s">
        <v>2157</v>
      </c>
      <c r="Y58" s="630"/>
      <c r="AA58" s="1629" t="s">
        <v>353</v>
      </c>
      <c r="AB58" s="1631">
        <v>12.14</v>
      </c>
      <c r="AC58" s="1632">
        <v>127.47</v>
      </c>
      <c r="AD58" s="1632">
        <v>10002090.66</v>
      </c>
      <c r="AE58" s="741">
        <v>44501</v>
      </c>
      <c r="AF58" s="741">
        <v>44522</v>
      </c>
      <c r="AG58" s="741"/>
      <c r="AH58" s="630"/>
      <c r="AI58" s="741"/>
      <c r="AJ58" s="741"/>
      <c r="AK58" s="741" t="s">
        <v>508</v>
      </c>
      <c r="AL58" s="741">
        <v>43525</v>
      </c>
      <c r="AM58" s="741"/>
      <c r="AN58" s="864"/>
      <c r="AO58" s="235"/>
      <c r="AP58" s="17"/>
      <c r="AR58" s="818" t="s">
        <v>432</v>
      </c>
      <c r="AS58" s="235"/>
      <c r="AT58" s="235"/>
      <c r="AX58" s="235"/>
    </row>
    <row r="59" spans="1:50" s="9" customFormat="1" ht="31.5" hidden="1">
      <c r="A59" s="630" t="s">
        <v>11</v>
      </c>
      <c r="B59" s="630" t="s">
        <v>567</v>
      </c>
      <c r="C59" s="630">
        <v>5345</v>
      </c>
      <c r="D59" s="630" t="s">
        <v>568</v>
      </c>
      <c r="E59" s="630" t="s">
        <v>282</v>
      </c>
      <c r="F59" s="630" t="s">
        <v>569</v>
      </c>
      <c r="G59" s="630" t="s">
        <v>441</v>
      </c>
      <c r="H59" s="630">
        <v>9.9699999999999997E-2</v>
      </c>
      <c r="I59" s="630" t="s">
        <v>353</v>
      </c>
      <c r="J59" s="630">
        <v>110</v>
      </c>
      <c r="K59" s="630"/>
      <c r="L59" s="630"/>
      <c r="M59" s="817">
        <v>0</v>
      </c>
      <c r="N59" s="1631"/>
      <c r="O59" s="1631" t="str">
        <f t="shared" si="9"/>
        <v>ReH 2.995/2021</v>
      </c>
      <c r="P59" s="1628">
        <v>0.29220000000000002</v>
      </c>
      <c r="Q59" s="1631">
        <v>12126674.039789611</v>
      </c>
      <c r="R59" s="1639">
        <v>44531</v>
      </c>
      <c r="S59" s="1631" t="str">
        <f t="shared" si="10"/>
        <v>Desp. 521/2022</v>
      </c>
      <c r="T59" s="630" t="s">
        <v>570</v>
      </c>
      <c r="U59" s="741" t="s">
        <v>571</v>
      </c>
      <c r="V59" s="630">
        <v>2022</v>
      </c>
      <c r="W59" s="1626">
        <v>2999</v>
      </c>
      <c r="X59" s="1627" t="s">
        <v>2157</v>
      </c>
      <c r="Y59" s="630"/>
      <c r="AA59" s="1629" t="s">
        <v>353</v>
      </c>
      <c r="AB59" s="1631">
        <v>24.63</v>
      </c>
      <c r="AC59" s="1632">
        <v>127.47</v>
      </c>
      <c r="AD59" s="1632">
        <v>5510422.0099999998</v>
      </c>
      <c r="AE59" s="741">
        <v>44197</v>
      </c>
      <c r="AF59" s="741">
        <v>44522</v>
      </c>
      <c r="AG59" s="741"/>
      <c r="AH59" s="630"/>
      <c r="AI59" s="741"/>
      <c r="AJ59" s="741"/>
      <c r="AK59" s="741" t="s">
        <v>508</v>
      </c>
      <c r="AL59" s="741">
        <v>43525</v>
      </c>
      <c r="AM59" s="741"/>
      <c r="AN59" s="864"/>
      <c r="AO59" s="235"/>
      <c r="AP59" s="17"/>
      <c r="AR59" s="818" t="s">
        <v>465</v>
      </c>
      <c r="AS59" s="235"/>
      <c r="AT59" s="235"/>
      <c r="AX59" s="235"/>
    </row>
    <row r="60" spans="1:50" s="9" customFormat="1" ht="31.5" hidden="1">
      <c r="A60" s="630" t="s">
        <v>327</v>
      </c>
      <c r="B60" s="630" t="s">
        <v>572</v>
      </c>
      <c r="C60" s="630">
        <v>7467</v>
      </c>
      <c r="D60" s="630" t="s">
        <v>573</v>
      </c>
      <c r="E60" s="630" t="s">
        <v>282</v>
      </c>
      <c r="F60" s="630" t="s">
        <v>574</v>
      </c>
      <c r="G60" s="630" t="s">
        <v>284</v>
      </c>
      <c r="H60" s="630">
        <v>9.9699999999999997E-2</v>
      </c>
      <c r="I60" s="630" t="s">
        <v>150</v>
      </c>
      <c r="J60" s="630">
        <v>136</v>
      </c>
      <c r="K60" s="630" t="s">
        <v>164</v>
      </c>
      <c r="L60" s="630">
        <v>145</v>
      </c>
      <c r="M60" s="817">
        <v>0</v>
      </c>
      <c r="N60" s="1631"/>
      <c r="O60" s="1631" t="str">
        <f t="shared" si="9"/>
        <v>ReH 2.995/2021</v>
      </c>
      <c r="P60" s="1628">
        <v>0.31130000000000002</v>
      </c>
      <c r="Q60" s="1631">
        <v>26138615.684229702</v>
      </c>
      <c r="R60" s="1639">
        <v>44531</v>
      </c>
      <c r="S60" s="1631" t="str">
        <f t="shared" si="10"/>
        <v>Desp. 521/2022</v>
      </c>
      <c r="T60" s="630" t="s">
        <v>575</v>
      </c>
      <c r="U60" s="741" t="s">
        <v>576</v>
      </c>
      <c r="V60" s="630">
        <v>2023</v>
      </c>
      <c r="W60" s="1626">
        <v>2871</v>
      </c>
      <c r="X60" s="1627" t="s">
        <v>2159</v>
      </c>
      <c r="Y60" s="630"/>
      <c r="AA60" s="1629" t="s">
        <v>150</v>
      </c>
      <c r="AB60" s="1631">
        <v>109.7</v>
      </c>
      <c r="AC60" s="1632">
        <v>237.88</v>
      </c>
      <c r="AD60" s="1632">
        <v>7537395.7800000003</v>
      </c>
      <c r="AE60" s="741">
        <v>43198</v>
      </c>
      <c r="AF60" s="741">
        <v>43198</v>
      </c>
      <c r="AG60" s="741"/>
      <c r="AH60" s="630"/>
      <c r="AI60" s="741"/>
      <c r="AJ60" s="741"/>
      <c r="AK60" s="741" t="s">
        <v>508</v>
      </c>
      <c r="AL60" s="741">
        <v>43614</v>
      </c>
      <c r="AM60" s="1635">
        <v>0</v>
      </c>
      <c r="AN60" s="864"/>
      <c r="AR60" s="818" t="s">
        <v>174</v>
      </c>
      <c r="AS60" s="235"/>
      <c r="AT60" s="235"/>
      <c r="AX60" s="235"/>
    </row>
    <row r="61" spans="1:50" ht="31.5" hidden="1">
      <c r="A61" s="509" t="s">
        <v>320</v>
      </c>
      <c r="B61" s="509" t="s">
        <v>577</v>
      </c>
      <c r="C61" s="509">
        <v>5343</v>
      </c>
      <c r="D61" s="630" t="s">
        <v>578</v>
      </c>
      <c r="E61" s="509" t="s">
        <v>282</v>
      </c>
      <c r="F61" s="509" t="s">
        <v>579</v>
      </c>
      <c r="G61" s="509" t="s">
        <v>441</v>
      </c>
      <c r="H61" s="509">
        <v>9.9699999999999997E-2</v>
      </c>
      <c r="I61" s="509" t="s">
        <v>206</v>
      </c>
      <c r="J61" s="509">
        <v>167</v>
      </c>
      <c r="K61" s="509" t="s">
        <v>580</v>
      </c>
      <c r="L61" s="509">
        <v>164</v>
      </c>
      <c r="M61" s="865">
        <v>0</v>
      </c>
      <c r="N61" s="864"/>
      <c r="O61" s="1631" t="str">
        <f t="shared" si="9"/>
        <v>ReH 2.995/2021</v>
      </c>
      <c r="P61" s="1643">
        <v>0.3589</v>
      </c>
      <c r="Q61" s="864">
        <v>45272621.042895459</v>
      </c>
      <c r="R61" s="1639">
        <v>44531</v>
      </c>
      <c r="S61" s="1631" t="str">
        <f t="shared" si="10"/>
        <v>Desp. 521/2022</v>
      </c>
      <c r="T61" s="741">
        <v>43831</v>
      </c>
      <c r="U61" s="866" t="s">
        <v>581</v>
      </c>
      <c r="V61" s="509">
        <v>2022</v>
      </c>
      <c r="W61" s="1636">
        <v>2913</v>
      </c>
      <c r="X61" s="509" t="s">
        <v>2160</v>
      </c>
      <c r="Y61" s="509"/>
      <c r="AA61" s="1637" t="s">
        <v>206</v>
      </c>
      <c r="AB61" s="864">
        <v>16.32</v>
      </c>
      <c r="AC61" s="1638">
        <v>131.34</v>
      </c>
      <c r="AD61" s="1638">
        <v>22619960.88284716</v>
      </c>
      <c r="AE61" s="866">
        <v>43209</v>
      </c>
      <c r="AF61" s="866">
        <v>43270</v>
      </c>
      <c r="AG61" s="509"/>
      <c r="AH61" s="866"/>
      <c r="AI61" s="866"/>
      <c r="AJ61" s="866"/>
      <c r="AK61" s="741" t="s">
        <v>582</v>
      </c>
      <c r="AL61" s="866">
        <v>44105</v>
      </c>
      <c r="AM61" s="866"/>
      <c r="AN61" s="864"/>
      <c r="AR61" s="630" t="s">
        <v>476</v>
      </c>
      <c r="AS61" s="859"/>
      <c r="AX61" s="859"/>
    </row>
    <row r="62" spans="1:50">
      <c r="AD62" s="784"/>
    </row>
    <row r="64" spans="1:50">
      <c r="B64">
        <v>6896</v>
      </c>
    </row>
    <row r="66" spans="1:14">
      <c r="A66" s="656" t="s">
        <v>583</v>
      </c>
    </row>
    <row r="68" spans="1:14">
      <c r="A68" s="510" t="s">
        <v>584</v>
      </c>
      <c r="B68" s="510" t="s">
        <v>27</v>
      </c>
      <c r="C68" s="510" t="s">
        <v>585</v>
      </c>
      <c r="D68" s="510" t="s">
        <v>586</v>
      </c>
      <c r="E68" s="510" t="s">
        <v>587</v>
      </c>
      <c r="F68" s="510" t="s">
        <v>588</v>
      </c>
      <c r="G68" s="510" t="s">
        <v>589</v>
      </c>
      <c r="H68" s="510" t="s">
        <v>590</v>
      </c>
      <c r="I68" s="510" t="s">
        <v>591</v>
      </c>
      <c r="J68" s="510" t="s">
        <v>592</v>
      </c>
      <c r="K68" s="516" t="s">
        <v>593</v>
      </c>
      <c r="L68" s="510" t="s">
        <v>594</v>
      </c>
      <c r="M68" s="516" t="s">
        <v>595</v>
      </c>
      <c r="N68" s="516" t="s">
        <v>2168</v>
      </c>
    </row>
    <row r="69" spans="1:14">
      <c r="A69" s="481" t="s">
        <v>279</v>
      </c>
      <c r="B69" s="630" t="s">
        <v>285</v>
      </c>
      <c r="C69" s="481">
        <v>104</v>
      </c>
      <c r="D69" s="481">
        <v>391</v>
      </c>
      <c r="E69" s="481" t="s">
        <v>596</v>
      </c>
      <c r="F69" s="481" t="str">
        <f>CONCATENATE(DescontosTE[[#This Row],[Permissionária]],DescontosTE[[#This Row],[codsariSUP]],DescontosTE[[#This Row],[Classe]])</f>
        <v>Cedrap391A4</v>
      </c>
      <c r="G69" s="511">
        <v>0.85740000000000005</v>
      </c>
      <c r="H69" s="511">
        <v>0.64305000000000001</v>
      </c>
      <c r="I69" s="511">
        <v>0.33069999999999999</v>
      </c>
      <c r="J69" s="513">
        <v>0.33069999999999999</v>
      </c>
      <c r="K69" s="683">
        <v>0.26350000000000001</v>
      </c>
      <c r="L69" s="867">
        <v>0</v>
      </c>
      <c r="M69" s="867">
        <v>0</v>
      </c>
    </row>
    <row r="70" spans="1:14">
      <c r="A70" s="481" t="s">
        <v>279</v>
      </c>
      <c r="B70" s="481" t="s">
        <v>164</v>
      </c>
      <c r="C70" s="481">
        <v>145</v>
      </c>
      <c r="D70" s="481">
        <v>385</v>
      </c>
      <c r="E70" s="481" t="s">
        <v>596</v>
      </c>
      <c r="F70" s="481" t="str">
        <f>CONCATENATE(DescontosTE[[#This Row],[Permissionária]],DescontosTE[[#This Row],[codsariSUP]],DescontosTE[[#This Row],[Classe]])</f>
        <v>Cedrap385A4</v>
      </c>
      <c r="G70" s="511">
        <v>0.81920000000000004</v>
      </c>
      <c r="H70" s="511">
        <v>0.61440000000000006</v>
      </c>
      <c r="I70" s="511">
        <v>0.33069999999999999</v>
      </c>
      <c r="J70" s="513">
        <v>0.33069999999999999</v>
      </c>
      <c r="K70" s="683">
        <v>0.26350000000000001</v>
      </c>
      <c r="L70" s="867">
        <v>0</v>
      </c>
      <c r="M70" s="867">
        <v>0</v>
      </c>
    </row>
    <row r="71" spans="1:14">
      <c r="A71" s="481" t="s">
        <v>187</v>
      </c>
      <c r="B71" s="481" t="s">
        <v>164</v>
      </c>
      <c r="C71" s="481">
        <v>145</v>
      </c>
      <c r="D71" s="481">
        <v>385</v>
      </c>
      <c r="E71" s="481" t="s">
        <v>596</v>
      </c>
      <c r="F71" s="481" t="str">
        <f>CONCATENATE(DescontosTE[[#This Row],[Permissionária]],DescontosTE[[#This Row],[codsariSUP]],DescontosTE[[#This Row],[Classe]])</f>
        <v>Cedri385A4</v>
      </c>
      <c r="G71" s="511">
        <v>0.62490000000000001</v>
      </c>
      <c r="H71" s="511">
        <v>0.46867500000000001</v>
      </c>
      <c r="I71" s="511">
        <v>0.45379999999999998</v>
      </c>
      <c r="J71" s="513">
        <v>0.45379999999999998</v>
      </c>
      <c r="K71" s="683">
        <v>0</v>
      </c>
      <c r="L71" s="867">
        <v>0</v>
      </c>
      <c r="M71" s="867">
        <v>0</v>
      </c>
    </row>
    <row r="72" spans="1:14">
      <c r="A72" s="481" t="s">
        <v>314</v>
      </c>
      <c r="B72" s="481" t="s">
        <v>189</v>
      </c>
      <c r="C72" s="481">
        <v>111</v>
      </c>
      <c r="D72" s="481">
        <v>5697</v>
      </c>
      <c r="E72" s="481" t="s">
        <v>596</v>
      </c>
      <c r="F72" s="481" t="str">
        <f>CONCATENATE(DescontosTE[[#This Row],[Permissionária]],DescontosTE[[#This Row],[codsariSUP]],DescontosTE[[#This Row],[Classe]])</f>
        <v>Cejama5697A4</v>
      </c>
      <c r="G72" s="511">
        <v>0.53426551936078681</v>
      </c>
      <c r="H72" s="511">
        <v>0.40069913952059011</v>
      </c>
      <c r="I72" s="511">
        <v>0.40069913952059011</v>
      </c>
      <c r="J72" s="513">
        <v>0.4007</v>
      </c>
      <c r="K72" s="683">
        <v>0.22989999999999999</v>
      </c>
      <c r="L72" s="867">
        <v>0</v>
      </c>
      <c r="M72" s="867">
        <v>0</v>
      </c>
    </row>
    <row r="73" spans="1:14">
      <c r="A73" s="481" t="s">
        <v>314</v>
      </c>
      <c r="B73" s="487" t="s">
        <v>406</v>
      </c>
      <c r="C73" s="481">
        <v>228</v>
      </c>
      <c r="D73" s="481">
        <v>5368</v>
      </c>
      <c r="E73" s="481" t="s">
        <v>596</v>
      </c>
      <c r="F73" s="481" t="str">
        <f>CONCATENATE(DescontosTE[[#This Row],[Permissionária]],DescontosTE[[#This Row],[codsariSUP]],DescontosTE[[#This Row],[Classe]])</f>
        <v>Cejama5368A4</v>
      </c>
      <c r="G73" s="683">
        <v>0</v>
      </c>
      <c r="H73" s="683">
        <v>0</v>
      </c>
      <c r="I73" s="683">
        <v>0</v>
      </c>
      <c r="J73" s="512">
        <v>0</v>
      </c>
      <c r="K73" s="683">
        <v>0</v>
      </c>
      <c r="L73" s="867">
        <v>0</v>
      </c>
      <c r="M73" s="867">
        <v>0</v>
      </c>
    </row>
    <row r="74" spans="1:14">
      <c r="A74" s="481" t="s">
        <v>9</v>
      </c>
      <c r="B74" s="481" t="s">
        <v>597</v>
      </c>
      <c r="C74" s="481">
        <v>110</v>
      </c>
      <c r="D74" s="481">
        <v>5707</v>
      </c>
      <c r="E74" s="481" t="s">
        <v>596</v>
      </c>
      <c r="F74" s="481" t="str">
        <f>CONCATENATE(DescontosTE[[#This Row],[Permissionária]],DescontosTE[[#This Row],[codsariSUP]],DescontosTE[[#This Row],[Classe]])</f>
        <v>Ceprag5707A4</v>
      </c>
      <c r="G74" s="511">
        <v>0.57969814099024475</v>
      </c>
      <c r="H74" s="511">
        <v>0.57969814099024475</v>
      </c>
      <c r="I74" s="511">
        <v>0.57969814099024475</v>
      </c>
      <c r="J74" s="511">
        <v>0.57969814099024475</v>
      </c>
      <c r="K74" s="683">
        <v>0.30859999999999999</v>
      </c>
      <c r="L74" s="867">
        <v>0</v>
      </c>
      <c r="M74" s="1602">
        <v>0</v>
      </c>
    </row>
    <row r="75" spans="1:14">
      <c r="A75" s="481" t="s">
        <v>9</v>
      </c>
      <c r="B75" s="481" t="s">
        <v>189</v>
      </c>
      <c r="C75" s="481">
        <v>111</v>
      </c>
      <c r="D75" s="481">
        <v>5697</v>
      </c>
      <c r="E75" s="481" t="s">
        <v>598</v>
      </c>
      <c r="F75" s="481" t="str">
        <f>CONCATENATE(DescontosTE[[#This Row],[Permissionária]],DescontosTE[[#This Row],[codsariSUP]],DescontosTE[[#This Row],[Classe]])</f>
        <v>Ceprag5697A3</v>
      </c>
      <c r="G75" s="511">
        <v>0.54564975934838955</v>
      </c>
      <c r="H75" s="511">
        <v>0.54564975934838955</v>
      </c>
      <c r="I75" s="511">
        <v>0.54564975934838955</v>
      </c>
      <c r="J75" s="511">
        <v>0.54564975934838955</v>
      </c>
      <c r="K75" s="683">
        <v>0.30859999999999999</v>
      </c>
      <c r="L75" s="867">
        <v>0.29099999999999998</v>
      </c>
      <c r="M75" s="1603">
        <v>0</v>
      </c>
    </row>
    <row r="76" spans="1:14">
      <c r="A76" s="481" t="s">
        <v>338</v>
      </c>
      <c r="B76" s="481" t="s">
        <v>189</v>
      </c>
      <c r="C76" s="481">
        <v>111</v>
      </c>
      <c r="D76" s="481">
        <v>5697</v>
      </c>
      <c r="E76" s="481" t="s">
        <v>596</v>
      </c>
      <c r="F76" s="481" t="str">
        <f>CONCATENATE(DescontosTE[[#This Row],[Permissionária]],DescontosTE[[#This Row],[codsariSUP]],DescontosTE[[#This Row],[Classe]])</f>
        <v>Ceraçá5697A4</v>
      </c>
      <c r="G76" s="511">
        <v>0.89512907191149349</v>
      </c>
      <c r="H76" s="511">
        <v>0.67134680393362012</v>
      </c>
      <c r="I76" s="511">
        <v>0.67134680393362012</v>
      </c>
      <c r="J76" s="513">
        <v>0.65039999999999998</v>
      </c>
      <c r="K76" s="683">
        <v>0.57469999999999999</v>
      </c>
      <c r="L76" s="867">
        <v>0.56379999999999997</v>
      </c>
      <c r="M76" s="1603">
        <v>0.54410000000000003</v>
      </c>
    </row>
    <row r="77" spans="1:14">
      <c r="A77" s="481" t="s">
        <v>184</v>
      </c>
      <c r="B77" s="481" t="s">
        <v>361</v>
      </c>
      <c r="C77" s="481">
        <v>220</v>
      </c>
      <c r="D77" s="481">
        <v>6898</v>
      </c>
      <c r="E77" s="481" t="s">
        <v>596</v>
      </c>
      <c r="F77" s="481" t="str">
        <f>CONCATENATE(DescontosTE[[#This Row],[Permissionária]],DescontosTE[[#This Row],[codsariSUP]],DescontosTE[[#This Row],[Classe]])</f>
        <v>Ceral Anitápolis6898A4</v>
      </c>
      <c r="G77" s="511">
        <v>0.90610167159661548</v>
      </c>
      <c r="H77" s="511">
        <v>0.67957625369746166</v>
      </c>
      <c r="I77" s="511">
        <v>0.222</v>
      </c>
      <c r="J77" s="513">
        <v>0.1933</v>
      </c>
      <c r="K77" s="683">
        <v>0.1933</v>
      </c>
      <c r="L77" s="867">
        <v>0</v>
      </c>
      <c r="M77" s="867">
        <v>0</v>
      </c>
    </row>
    <row r="78" spans="1:14">
      <c r="A78" s="481" t="s">
        <v>356</v>
      </c>
      <c r="B78" s="481" t="s">
        <v>599</v>
      </c>
      <c r="C78" s="481">
        <v>132</v>
      </c>
      <c r="D78" s="481">
        <v>2866</v>
      </c>
      <c r="E78" s="481" t="s">
        <v>596</v>
      </c>
      <c r="F78" s="481" t="str">
        <f>CONCATENATE(DescontosTE[[#This Row],[Permissionária]],DescontosTE[[#This Row],[codsariSUP]],DescontosTE[[#This Row],[Classe]])</f>
        <v>Ceral Dis2866A4</v>
      </c>
      <c r="G78" s="511">
        <v>0.73094654242275625</v>
      </c>
      <c r="H78" s="511">
        <v>0.54820990681706716</v>
      </c>
      <c r="I78" s="511">
        <v>0.40820000000000001</v>
      </c>
      <c r="J78" s="513">
        <v>0.40816629218792566</v>
      </c>
      <c r="K78" s="683">
        <v>0.38150000000000001</v>
      </c>
      <c r="L78" s="867">
        <v>0.2326</v>
      </c>
      <c r="M78" s="1603">
        <v>0.2326</v>
      </c>
    </row>
    <row r="79" spans="1:14">
      <c r="A79" s="481" t="s">
        <v>356</v>
      </c>
      <c r="B79" s="481" t="s">
        <v>599</v>
      </c>
      <c r="C79" s="481">
        <v>132</v>
      </c>
      <c r="D79" s="481">
        <v>2866</v>
      </c>
      <c r="E79" s="481" t="s">
        <v>600</v>
      </c>
      <c r="F79" s="481" t="str">
        <f>CONCATENATE(DescontosTE[[#This Row],[Permissionária]],DescontosTE[[#This Row],[codsariSUP]],DescontosTE[[#This Row],[Classe]])</f>
        <v>Ceral Dis2866A3a</v>
      </c>
      <c r="G79" s="511">
        <v>0.73094654242275625</v>
      </c>
      <c r="H79" s="511">
        <v>0.54820990681706716</v>
      </c>
      <c r="I79" s="511">
        <v>0.40820000000000001</v>
      </c>
      <c r="J79" s="513">
        <v>0.40816629218792566</v>
      </c>
      <c r="K79" s="683">
        <v>0.38150000000000001</v>
      </c>
      <c r="L79" s="867">
        <v>0.2326</v>
      </c>
      <c r="M79" s="1603">
        <v>0.2326</v>
      </c>
    </row>
    <row r="80" spans="1:14">
      <c r="A80" s="481" t="s">
        <v>361</v>
      </c>
      <c r="B80" s="481" t="s">
        <v>189</v>
      </c>
      <c r="C80" s="481">
        <v>111</v>
      </c>
      <c r="D80" s="481">
        <v>5697</v>
      </c>
      <c r="E80" s="481" t="s">
        <v>601</v>
      </c>
      <c r="F80" s="481" t="str">
        <f>CONCATENATE(DescontosTE[[#This Row],[Permissionária]],DescontosTE[[#This Row],[codsariSUP]],DescontosTE[[#This Row],[Classe]])</f>
        <v>Cerbranorte5697A2</v>
      </c>
      <c r="G80" s="511">
        <v>0.47579901659496004</v>
      </c>
      <c r="H80" s="511">
        <v>0.35684926244622006</v>
      </c>
      <c r="I80" s="511">
        <v>0.35684926244622006</v>
      </c>
      <c r="J80" s="513">
        <v>0.34470000000000001</v>
      </c>
      <c r="K80" s="683">
        <v>0.1027</v>
      </c>
      <c r="L80" s="867">
        <v>9.9400000000000002E-2</v>
      </c>
      <c r="M80" s="1603">
        <v>0</v>
      </c>
    </row>
    <row r="81" spans="1:14">
      <c r="A81" s="481" t="s">
        <v>361</v>
      </c>
      <c r="B81" s="481" t="s">
        <v>189</v>
      </c>
      <c r="C81" s="481">
        <v>111</v>
      </c>
      <c r="D81" s="481">
        <v>5697</v>
      </c>
      <c r="E81" s="481" t="s">
        <v>596</v>
      </c>
      <c r="F81" s="481" t="str">
        <f>CONCATENATE(DescontosTE[[#This Row],[Permissionária]],DescontosTE[[#This Row],[codsariSUP]],DescontosTE[[#This Row],[Classe]])</f>
        <v>Cerbranorte5697A4</v>
      </c>
      <c r="G81" s="511">
        <v>0.47579901659496004</v>
      </c>
      <c r="H81" s="511">
        <v>0.35684926244622006</v>
      </c>
      <c r="I81" s="511">
        <v>0.35684926244622006</v>
      </c>
      <c r="J81" s="513">
        <v>0.34470000000000001</v>
      </c>
      <c r="K81" s="683">
        <v>0.1027</v>
      </c>
      <c r="L81" s="867">
        <v>9.9400000000000002E-2</v>
      </c>
      <c r="M81" s="1603">
        <v>0</v>
      </c>
    </row>
    <row r="82" spans="1:14">
      <c r="A82" s="481" t="s">
        <v>371</v>
      </c>
      <c r="B82" s="481" t="s">
        <v>602</v>
      </c>
      <c r="C82" s="481">
        <v>155</v>
      </c>
      <c r="D82" s="481">
        <v>6587</v>
      </c>
      <c r="E82" s="481" t="s">
        <v>596</v>
      </c>
      <c r="F82" s="481" t="str">
        <f>CONCATENATE(DescontosTE[[#This Row],[Permissionária]],DescontosTE[[#This Row],[codsariSUP]],DescontosTE[[#This Row],[Classe]])</f>
        <v>Cercos6587A4</v>
      </c>
      <c r="G82" s="511">
        <v>0.71649852236828693</v>
      </c>
      <c r="H82" s="511">
        <v>0.5373738917762152</v>
      </c>
      <c r="I82" s="511">
        <v>0.35820000000000002</v>
      </c>
      <c r="J82" s="513">
        <v>0</v>
      </c>
      <c r="K82" s="683">
        <v>0</v>
      </c>
      <c r="L82" s="867">
        <v>0</v>
      </c>
      <c r="M82" s="867">
        <v>0</v>
      </c>
    </row>
    <row r="83" spans="1:14">
      <c r="A83" s="481" t="s">
        <v>372</v>
      </c>
      <c r="B83" s="481" t="s">
        <v>189</v>
      </c>
      <c r="C83" s="481">
        <v>111</v>
      </c>
      <c r="D83" s="481">
        <v>5697</v>
      </c>
      <c r="E83" s="481" t="s">
        <v>596</v>
      </c>
      <c r="F83" s="481" t="str">
        <f>CONCATENATE(DescontosTE[[#This Row],[Permissionária]],DescontosTE[[#This Row],[codsariSUP]],DescontosTE[[#This Row],[Classe]])</f>
        <v>Cerej5697A4</v>
      </c>
      <c r="G83" s="511">
        <v>0.89474492931776273</v>
      </c>
      <c r="H83" s="511">
        <v>0.6710586969883221</v>
      </c>
      <c r="I83" s="511">
        <v>0.6710586969883221</v>
      </c>
      <c r="J83" s="513">
        <v>0.67110000000000003</v>
      </c>
      <c r="K83" s="683">
        <v>0.67110000000000003</v>
      </c>
      <c r="L83" s="867">
        <v>0.63749999999999996</v>
      </c>
      <c r="M83" s="1603">
        <v>0.41699999999999998</v>
      </c>
    </row>
    <row r="84" spans="1:14">
      <c r="A84" s="481" t="s">
        <v>182</v>
      </c>
      <c r="B84" s="487" t="s">
        <v>163</v>
      </c>
      <c r="C84" s="481">
        <v>103</v>
      </c>
      <c r="D84" s="481">
        <v>383</v>
      </c>
      <c r="E84" s="481" t="s">
        <v>596</v>
      </c>
      <c r="F84" s="481" t="str">
        <f>CONCATENATE(DescontosTE[[#This Row],[Permissionária]],DescontosTE[[#This Row],[codsariSUP]],DescontosTE[[#This Row],[Classe]])</f>
        <v>Ceres383A4</v>
      </c>
      <c r="G84" s="511">
        <v>0.87464280342908707</v>
      </c>
      <c r="H84" s="511">
        <v>0.65598210257181533</v>
      </c>
      <c r="I84" s="511">
        <v>0.43730000000000002</v>
      </c>
      <c r="J84" s="511">
        <v>0.43730000000000002</v>
      </c>
      <c r="K84" s="683">
        <v>0.43730000000000002</v>
      </c>
      <c r="L84" s="867">
        <f>DescontosTE[[#This Row],[2019]]</f>
        <v>0.43730000000000002</v>
      </c>
      <c r="M84" s="1604">
        <f>DescontosTE[[#This Row],[2020]]</f>
        <v>0.43730000000000002</v>
      </c>
      <c r="N84" s="1604">
        <f>DescontosTE[[#This Row],[2020]]</f>
        <v>0.43730000000000002</v>
      </c>
    </row>
    <row r="85" spans="1:14">
      <c r="A85" s="481" t="s">
        <v>185</v>
      </c>
      <c r="B85" s="481" t="s">
        <v>189</v>
      </c>
      <c r="C85" s="481">
        <v>111</v>
      </c>
      <c r="D85" s="481">
        <v>5697</v>
      </c>
      <c r="E85" s="481" t="s">
        <v>596</v>
      </c>
      <c r="F85" s="481" t="str">
        <f>CONCATENATE(DescontosTE[[#This Row],[Permissionária]],DescontosTE[[#This Row],[codsariSUP]],DescontosTE[[#This Row],[Classe]])</f>
        <v>Cergal5697A4</v>
      </c>
      <c r="G85" s="511">
        <v>0.72464658881376764</v>
      </c>
      <c r="H85" s="511">
        <v>0.54348494161032579</v>
      </c>
      <c r="I85" s="511">
        <v>0.54348494161032579</v>
      </c>
      <c r="J85" s="513">
        <v>0.54349999999999998</v>
      </c>
      <c r="K85" s="683">
        <v>0.33379999999999999</v>
      </c>
      <c r="L85" s="867">
        <v>0.25619999999999998</v>
      </c>
      <c r="M85" s="1603">
        <v>0.25619999999999998</v>
      </c>
    </row>
    <row r="86" spans="1:14">
      <c r="A86" s="481" t="s">
        <v>383</v>
      </c>
      <c r="B86" s="481" t="s">
        <v>189</v>
      </c>
      <c r="C86" s="481">
        <v>111</v>
      </c>
      <c r="D86" s="481">
        <v>5697</v>
      </c>
      <c r="E86" s="481" t="s">
        <v>596</v>
      </c>
      <c r="F86" s="481" t="str">
        <f>CONCATENATE(DescontosTE[[#This Row],[Permissionária]],DescontosTE[[#This Row],[codsariSUP]],DescontosTE[[#This Row],[Classe]])</f>
        <v>Cergapa5697A4</v>
      </c>
      <c r="G86" s="511">
        <v>0.69825990373935576</v>
      </c>
      <c r="H86" s="511">
        <v>0.69825990373935576</v>
      </c>
      <c r="I86" s="511">
        <v>0.54749999999999999</v>
      </c>
      <c r="J86" s="513">
        <v>0.48209999999999997</v>
      </c>
      <c r="K86" s="683">
        <v>0.42549999999999999</v>
      </c>
      <c r="L86" s="867">
        <v>0.37969999999999998</v>
      </c>
      <c r="M86" s="1603">
        <v>0.36749999999999999</v>
      </c>
    </row>
    <row r="87" spans="1:14">
      <c r="A87" s="481" t="s">
        <v>390</v>
      </c>
      <c r="B87" s="481" t="s">
        <v>189</v>
      </c>
      <c r="C87" s="481">
        <v>111</v>
      </c>
      <c r="D87" s="481">
        <v>5697</v>
      </c>
      <c r="E87" s="481" t="s">
        <v>596</v>
      </c>
      <c r="F87" s="481" t="str">
        <f>CONCATENATE(DescontosTE[[#This Row],[Permissionária]],DescontosTE[[#This Row],[codsariSUP]],DescontosTE[[#This Row],[Classe]])</f>
        <v>Cergral5697A4</v>
      </c>
      <c r="G87" s="511">
        <v>0.7833435771358328</v>
      </c>
      <c r="H87" s="511">
        <v>0.5875076828518746</v>
      </c>
      <c r="I87" s="511">
        <v>0.5875076828518746</v>
      </c>
      <c r="J87" s="513">
        <v>0.58750000000000002</v>
      </c>
      <c r="K87" s="683">
        <v>0.56830000000000003</v>
      </c>
      <c r="L87" s="867">
        <v>0.55110000000000003</v>
      </c>
      <c r="M87" s="1603">
        <v>0.48010000000000003</v>
      </c>
    </row>
    <row r="88" spans="1:14">
      <c r="A88" s="481" t="s">
        <v>175</v>
      </c>
      <c r="B88" s="481" t="s">
        <v>206</v>
      </c>
      <c r="C88" s="608">
        <v>167</v>
      </c>
      <c r="D88" s="608">
        <v>396</v>
      </c>
      <c r="E88" s="481" t="s">
        <v>598</v>
      </c>
      <c r="F88" s="481" t="str">
        <f>CONCATENATE(DescontosTE[[#This Row],[Permissionária]],DescontosTE[[#This Row],[codsariSUP]],DescontosTE[[#This Row],[Classe]])</f>
        <v>Ceriluz396A3</v>
      </c>
      <c r="G88" s="511">
        <v>0.82731282784930849</v>
      </c>
      <c r="H88" s="511">
        <v>0.82731282784930849</v>
      </c>
      <c r="I88" s="511">
        <v>0.82731282784930849</v>
      </c>
      <c r="J88" s="513">
        <v>0.2782</v>
      </c>
      <c r="K88" s="683">
        <v>0.2782</v>
      </c>
      <c r="L88" s="867">
        <v>0.2132</v>
      </c>
      <c r="M88" s="1603">
        <v>0.2132</v>
      </c>
    </row>
    <row r="89" spans="1:14">
      <c r="A89" s="481" t="s">
        <v>175</v>
      </c>
      <c r="B89" s="481" t="s">
        <v>206</v>
      </c>
      <c r="C89" s="608">
        <v>167</v>
      </c>
      <c r="D89" s="608">
        <v>396</v>
      </c>
      <c r="E89" s="481" t="s">
        <v>596</v>
      </c>
      <c r="F89" s="481" t="str">
        <f>CONCATENATE(DescontosTE[[#This Row],[Permissionária]],DescontosTE[[#This Row],[codsariSUP]],DescontosTE[[#This Row],[Classe]])</f>
        <v>Ceriluz396A4</v>
      </c>
      <c r="G89" s="511">
        <v>0.73575345731998087</v>
      </c>
      <c r="H89" s="511">
        <v>0.73575345731998087</v>
      </c>
      <c r="I89" s="511">
        <v>0.73575345731998087</v>
      </c>
      <c r="J89" s="513">
        <v>0.2782</v>
      </c>
      <c r="K89" s="683">
        <v>0.2782</v>
      </c>
      <c r="L89" s="867">
        <v>0.2132</v>
      </c>
      <c r="M89" s="1603">
        <v>0.2132</v>
      </c>
    </row>
    <row r="90" spans="1:14">
      <c r="A90" s="481" t="s">
        <v>175</v>
      </c>
      <c r="B90" s="481" t="s">
        <v>206</v>
      </c>
      <c r="C90" s="608">
        <v>167</v>
      </c>
      <c r="D90" s="608">
        <v>396</v>
      </c>
      <c r="E90" s="481" t="s">
        <v>603</v>
      </c>
      <c r="F90" s="481" t="str">
        <f>CONCATENATE(DescontosTE[[#This Row],[Permissionária]],DescontosTE[[#This Row],[codsariSUP]],DescontosTE[[#This Row],[Classe]])</f>
        <v>Ceriluz396B</v>
      </c>
      <c r="G90" s="511">
        <v>0.73033677201026148</v>
      </c>
      <c r="H90" s="511">
        <v>0.73033677201026148</v>
      </c>
      <c r="I90" s="511">
        <v>0.73033677201026148</v>
      </c>
      <c r="J90" s="513">
        <v>0.2782</v>
      </c>
      <c r="K90" s="683">
        <v>0.2782</v>
      </c>
      <c r="L90" s="867">
        <v>0.2132</v>
      </c>
      <c r="M90" s="1603">
        <v>0.2132</v>
      </c>
    </row>
    <row r="91" spans="1:14">
      <c r="A91" s="481" t="s">
        <v>296</v>
      </c>
      <c r="B91" s="481" t="s">
        <v>178</v>
      </c>
      <c r="C91" s="481">
        <v>135</v>
      </c>
      <c r="D91" s="481">
        <v>2937</v>
      </c>
      <c r="E91" s="481" t="s">
        <v>596</v>
      </c>
      <c r="F91" s="481" t="str">
        <f>CONCATENATE(DescontosTE[[#This Row],[Permissionária]],DescontosTE[[#This Row],[codsariSUP]],DescontosTE[[#This Row],[Classe]])</f>
        <v>Cerim2937A4</v>
      </c>
      <c r="G91" s="511">
        <v>0.63275249814187795</v>
      </c>
      <c r="H91" s="511">
        <v>0.47456437360640846</v>
      </c>
      <c r="I91" s="511">
        <v>0.3463</v>
      </c>
      <c r="J91" s="513">
        <v>0.33600000000000002</v>
      </c>
      <c r="K91" s="811">
        <v>5.0599999999999999E-2</v>
      </c>
      <c r="L91" s="867">
        <v>0</v>
      </c>
      <c r="M91" s="867">
        <v>0</v>
      </c>
    </row>
    <row r="92" spans="1:14">
      <c r="A92" s="481" t="s">
        <v>302</v>
      </c>
      <c r="B92" s="481" t="s">
        <v>164</v>
      </c>
      <c r="C92" s="481">
        <v>145</v>
      </c>
      <c r="D92" s="481">
        <v>385</v>
      </c>
      <c r="E92" s="481" t="s">
        <v>600</v>
      </c>
      <c r="F92" s="481" t="str">
        <f>CONCATENATE(DescontosTE[[#This Row],[Permissionária]],DescontosTE[[#This Row],[codsariSUP]],DescontosTE[[#This Row],[Classe]])</f>
        <v>Ceripa385A3a</v>
      </c>
      <c r="G92" s="511">
        <v>0.76371671876684266</v>
      </c>
      <c r="H92" s="511">
        <v>0.57278753907513202</v>
      </c>
      <c r="I92" s="511">
        <v>0.38190000000000002</v>
      </c>
      <c r="J92" s="513">
        <v>1.2E-2</v>
      </c>
      <c r="K92" s="816">
        <v>1.2E-2</v>
      </c>
      <c r="L92" s="867">
        <f>DescontosTE[[#This Row],[2019]]</f>
        <v>1.2E-2</v>
      </c>
      <c r="M92" s="513">
        <f>DescontosTE[[#This Row],[2020]]</f>
        <v>1.2E-2</v>
      </c>
      <c r="N92" s="249">
        <v>1.2E-2</v>
      </c>
    </row>
    <row r="93" spans="1:14">
      <c r="A93" s="481" t="s">
        <v>302</v>
      </c>
      <c r="B93" s="481" t="s">
        <v>164</v>
      </c>
      <c r="C93" s="481">
        <v>145</v>
      </c>
      <c r="D93" s="481">
        <v>385</v>
      </c>
      <c r="E93" s="481" t="s">
        <v>596</v>
      </c>
      <c r="F93" s="481" t="str">
        <f>CONCATENATE(DescontosTE[[#This Row],[Permissionária]],DescontosTE[[#This Row],[codsariSUP]],DescontosTE[[#This Row],[Classe]])</f>
        <v>Ceripa385A4</v>
      </c>
      <c r="G93" s="511">
        <v>0.76627856834842611</v>
      </c>
      <c r="H93" s="511">
        <v>0.57470892626131964</v>
      </c>
      <c r="I93" s="511">
        <v>0.3831</v>
      </c>
      <c r="J93" s="513">
        <v>1.2E-2</v>
      </c>
      <c r="K93" s="816">
        <v>1.2E-2</v>
      </c>
      <c r="L93" s="867">
        <f>DescontosTE[[#This Row],[2019]]</f>
        <v>1.2E-2</v>
      </c>
      <c r="M93" s="513">
        <f>DescontosTE[[#This Row],[2020]]</f>
        <v>1.2E-2</v>
      </c>
      <c r="N93" s="249">
        <v>1.2E-2</v>
      </c>
    </row>
    <row r="94" spans="1:14">
      <c r="A94" s="481" t="s">
        <v>302</v>
      </c>
      <c r="B94" s="481" t="s">
        <v>204</v>
      </c>
      <c r="C94" s="481">
        <v>166</v>
      </c>
      <c r="D94" s="481">
        <v>72</v>
      </c>
      <c r="E94" s="481" t="s">
        <v>598</v>
      </c>
      <c r="F94" s="481" t="str">
        <f>CONCATENATE(DescontosTE[[#This Row],[Permissionária]],DescontosTE[[#This Row],[codsariSUP]],DescontosTE[[#This Row],[Classe]])</f>
        <v>Ceripa72A3</v>
      </c>
      <c r="G94" s="511">
        <v>0.85982875805455028</v>
      </c>
      <c r="H94" s="511">
        <v>0.64487156854091277</v>
      </c>
      <c r="I94" s="511">
        <v>0.4299</v>
      </c>
      <c r="J94" s="513">
        <v>1.2E-2</v>
      </c>
      <c r="K94" s="816">
        <v>1.2E-2</v>
      </c>
      <c r="L94" s="867">
        <f>DescontosTE[[#This Row],[2019]]</f>
        <v>1.2E-2</v>
      </c>
      <c r="M94" s="513">
        <f>DescontosTE[[#This Row],[2020]]</f>
        <v>1.2E-2</v>
      </c>
      <c r="N94" s="249">
        <v>1.2E-2</v>
      </c>
    </row>
    <row r="95" spans="1:14">
      <c r="A95" s="481" t="s">
        <v>302</v>
      </c>
      <c r="B95" s="481" t="s">
        <v>204</v>
      </c>
      <c r="C95" s="481">
        <v>166</v>
      </c>
      <c r="D95" s="481">
        <v>72</v>
      </c>
      <c r="E95" s="481" t="s">
        <v>600</v>
      </c>
      <c r="F95" s="481" t="str">
        <f>CONCATENATE(DescontosTE[[#This Row],[Permissionária]],DescontosTE[[#This Row],[codsariSUP]],DescontosTE[[#This Row],[Classe]])</f>
        <v>Ceripa72A3a</v>
      </c>
      <c r="G95" s="511">
        <v>0.72071674463765556</v>
      </c>
      <c r="H95" s="511">
        <v>0.5405375584782417</v>
      </c>
      <c r="I95" s="511">
        <v>0.3604</v>
      </c>
      <c r="J95" s="513">
        <v>1.2E-2</v>
      </c>
      <c r="K95" s="816">
        <v>1.2E-2</v>
      </c>
      <c r="L95" s="867">
        <f>DescontosTE[[#This Row],[2019]]</f>
        <v>1.2E-2</v>
      </c>
      <c r="M95" s="513">
        <f>DescontosTE[[#This Row],[2020]]</f>
        <v>1.2E-2</v>
      </c>
      <c r="N95" s="249">
        <v>1.2E-2</v>
      </c>
    </row>
    <row r="96" spans="1:14">
      <c r="A96" s="481" t="s">
        <v>302</v>
      </c>
      <c r="B96" s="481" t="s">
        <v>204</v>
      </c>
      <c r="C96" s="481">
        <v>166</v>
      </c>
      <c r="D96" s="481">
        <v>72</v>
      </c>
      <c r="E96" s="481" t="s">
        <v>596</v>
      </c>
      <c r="F96" s="481" t="str">
        <f>CONCATENATE(DescontosTE[[#This Row],[Permissionária]],DescontosTE[[#This Row],[codsariSUP]],DescontosTE[[#This Row],[Classe]])</f>
        <v>Ceripa72A4</v>
      </c>
      <c r="G96" s="511">
        <v>0.69352987907140973</v>
      </c>
      <c r="H96" s="511">
        <v>0.5201474093035573</v>
      </c>
      <c r="I96" s="511">
        <v>0.3468</v>
      </c>
      <c r="J96" s="513">
        <v>1.2E-2</v>
      </c>
      <c r="K96" s="816">
        <v>1.2E-2</v>
      </c>
      <c r="L96" s="867">
        <f>DescontosTE[[#This Row],[2019]]</f>
        <v>1.2E-2</v>
      </c>
      <c r="M96" s="513">
        <f>DescontosTE[[#This Row],[2020]]</f>
        <v>1.2E-2</v>
      </c>
      <c r="N96" s="249">
        <v>1.2E-2</v>
      </c>
    </row>
    <row r="97" spans="1:13">
      <c r="A97" s="481" t="s">
        <v>308</v>
      </c>
      <c r="B97" s="481" t="s">
        <v>312</v>
      </c>
      <c r="C97" s="481">
        <v>148</v>
      </c>
      <c r="D97" s="481">
        <v>390</v>
      </c>
      <c r="E97" s="481" t="s">
        <v>596</v>
      </c>
      <c r="F97" s="481" t="str">
        <f>CONCATENATE(DescontosTE[[#This Row],[Permissionária]],DescontosTE[[#This Row],[codsariSUP]],DescontosTE[[#This Row],[Classe]])</f>
        <v>Ceris390A4</v>
      </c>
      <c r="G97" s="511">
        <v>0.88419999999999999</v>
      </c>
      <c r="H97" s="511">
        <v>0.66315000000000002</v>
      </c>
      <c r="I97" s="511">
        <v>0.61850000000000005</v>
      </c>
      <c r="J97" s="513">
        <v>0.59560000000000002</v>
      </c>
      <c r="K97" s="683">
        <v>0.58150000000000002</v>
      </c>
      <c r="L97" s="867">
        <v>0.58150000000000002</v>
      </c>
      <c r="M97" s="1603">
        <v>0.58150000000000002</v>
      </c>
    </row>
    <row r="98" spans="1:13">
      <c r="A98" s="481" t="s">
        <v>604</v>
      </c>
      <c r="B98" s="630" t="s">
        <v>285</v>
      </c>
      <c r="C98" s="481">
        <v>104</v>
      </c>
      <c r="D98" s="481">
        <v>391</v>
      </c>
      <c r="E98" s="481" t="s">
        <v>596</v>
      </c>
      <c r="F98" s="481" t="str">
        <f>CONCATENATE(DescontosTE[[#This Row],[Permissionária]],DescontosTE[[#This Row],[codsariSUP]],DescontosTE[[#This Row],[Classe]])</f>
        <v>Cermc391A4</v>
      </c>
      <c r="G98" s="511">
        <v>0.36708496982469596</v>
      </c>
      <c r="H98" s="511">
        <v>0.275313727368522</v>
      </c>
      <c r="I98" s="511">
        <v>0.275313727368522</v>
      </c>
      <c r="J98" s="513">
        <v>0.22059999999999999</v>
      </c>
      <c r="K98" s="683">
        <v>0</v>
      </c>
      <c r="L98" s="867">
        <v>0</v>
      </c>
      <c r="M98" s="867">
        <v>0</v>
      </c>
    </row>
    <row r="99" spans="1:13">
      <c r="A99" s="481" t="s">
        <v>437</v>
      </c>
      <c r="B99" s="481" t="s">
        <v>206</v>
      </c>
      <c r="C99" s="608">
        <v>167</v>
      </c>
      <c r="D99" s="608">
        <v>396</v>
      </c>
      <c r="E99" s="481" t="s">
        <v>598</v>
      </c>
      <c r="F99" s="481" t="str">
        <f>CONCATENATE(DescontosTE[[#This Row],[Permissionária]],DescontosTE[[#This Row],[codsariSUP]],DescontosTE[[#This Row],[Classe]])</f>
        <v>Cermissões396A3</v>
      </c>
      <c r="G99" s="511">
        <v>0.5923752369117381</v>
      </c>
      <c r="H99" s="511">
        <v>0.5923752369117381</v>
      </c>
      <c r="I99" s="511">
        <v>0.44429999999999997</v>
      </c>
      <c r="J99" s="513">
        <v>0</v>
      </c>
      <c r="K99" s="683">
        <v>0</v>
      </c>
      <c r="L99" s="867">
        <v>0</v>
      </c>
      <c r="M99" s="867">
        <v>0</v>
      </c>
    </row>
    <row r="100" spans="1:13">
      <c r="A100" s="481" t="s">
        <v>437</v>
      </c>
      <c r="B100" s="481" t="s">
        <v>206</v>
      </c>
      <c r="C100" s="608">
        <v>167</v>
      </c>
      <c r="D100" s="608">
        <v>396</v>
      </c>
      <c r="E100" s="481" t="s">
        <v>596</v>
      </c>
      <c r="F100" s="481" t="str">
        <f>CONCATENATE(DescontosTE[[#This Row],[Permissionária]],DescontosTE[[#This Row],[codsariSUP]],DescontosTE[[#This Row],[Classe]])</f>
        <v>Cermissões396A4</v>
      </c>
      <c r="G100" s="511">
        <v>0.5923752369117381</v>
      </c>
      <c r="H100" s="511">
        <v>0.5923752369117381</v>
      </c>
      <c r="I100" s="511">
        <v>0.44429999999999997</v>
      </c>
      <c r="J100" s="513">
        <v>0</v>
      </c>
      <c r="K100" s="683">
        <v>0</v>
      </c>
      <c r="L100" s="867">
        <v>0</v>
      </c>
      <c r="M100" s="867">
        <v>0</v>
      </c>
    </row>
    <row r="101" spans="1:13">
      <c r="A101" s="481" t="s">
        <v>437</v>
      </c>
      <c r="B101" s="481" t="s">
        <v>206</v>
      </c>
      <c r="C101" s="608">
        <v>167</v>
      </c>
      <c r="D101" s="608">
        <v>396</v>
      </c>
      <c r="E101" s="481" t="s">
        <v>603</v>
      </c>
      <c r="F101" s="481" t="str">
        <f>CONCATENATE(DescontosTE[[#This Row],[Permissionária]],DescontosTE[[#This Row],[codsariSUP]],DescontosTE[[#This Row],[Classe]])</f>
        <v>Cermissões396B</v>
      </c>
      <c r="G101" s="511">
        <v>8.6300000000000002E-2</v>
      </c>
      <c r="H101" s="511">
        <v>8.6300000000000002E-2</v>
      </c>
      <c r="I101" s="511">
        <v>6.4699999999999994E-2</v>
      </c>
      <c r="J101" s="513">
        <v>0</v>
      </c>
      <c r="K101" s="683">
        <v>0</v>
      </c>
      <c r="L101" s="867">
        <v>0</v>
      </c>
      <c r="M101" s="867">
        <v>0</v>
      </c>
    </row>
    <row r="102" spans="1:13">
      <c r="A102" s="481" t="s">
        <v>395</v>
      </c>
      <c r="B102" s="481" t="s">
        <v>189</v>
      </c>
      <c r="C102" s="481">
        <v>111</v>
      </c>
      <c r="D102" s="481">
        <v>5697</v>
      </c>
      <c r="E102" s="481" t="s">
        <v>598</v>
      </c>
      <c r="F102" s="481" t="str">
        <f>CONCATENATE(DescontosTE[[#This Row],[Permissionária]],DescontosTE[[#This Row],[codsariSUP]],DescontosTE[[#This Row],[Classe]])</f>
        <v>Cermoful5697A3</v>
      </c>
      <c r="G102" s="511">
        <v>0.71025546094039238</v>
      </c>
      <c r="H102" s="511">
        <v>0.71025546094039238</v>
      </c>
      <c r="I102" s="511">
        <v>0.71025546094039238</v>
      </c>
      <c r="J102" s="513">
        <v>0.67859999999999998</v>
      </c>
      <c r="K102" s="683">
        <v>0.61480000000000001</v>
      </c>
      <c r="L102" s="867">
        <v>0.55579999999999996</v>
      </c>
      <c r="M102" s="1603">
        <v>0.53969999999999996</v>
      </c>
    </row>
    <row r="103" spans="1:13">
      <c r="A103" s="481" t="s">
        <v>395</v>
      </c>
      <c r="B103" s="481" t="s">
        <v>189</v>
      </c>
      <c r="C103" s="481">
        <v>111</v>
      </c>
      <c r="D103" s="481">
        <v>5697</v>
      </c>
      <c r="E103" s="481" t="s">
        <v>596</v>
      </c>
      <c r="F103" s="481" t="str">
        <f>CONCATENATE(DescontosTE[[#This Row],[Permissionária]],DescontosTE[[#This Row],[codsariSUP]],DescontosTE[[#This Row],[Classe]])</f>
        <v>Cermoful5697A4</v>
      </c>
      <c r="G103" s="511">
        <v>0.71025546094039238</v>
      </c>
      <c r="H103" s="511">
        <v>0.71025546094039238</v>
      </c>
      <c r="I103" s="511">
        <v>0.71025546094039238</v>
      </c>
      <c r="J103" s="513">
        <v>0.67859999999999998</v>
      </c>
      <c r="K103" s="683">
        <v>0.61480000000000001</v>
      </c>
      <c r="L103" s="867">
        <v>0.55579999999999996</v>
      </c>
      <c r="M103" s="1603">
        <v>0.53969999999999996</v>
      </c>
    </row>
    <row r="104" spans="1:13">
      <c r="A104" s="481" t="s">
        <v>321</v>
      </c>
      <c r="B104" s="487" t="s">
        <v>125</v>
      </c>
      <c r="C104" s="481">
        <v>165</v>
      </c>
      <c r="D104" s="481">
        <v>5216</v>
      </c>
      <c r="E104" s="481" t="s">
        <v>596</v>
      </c>
      <c r="F104" s="481" t="str">
        <f>CONCATENATE(DescontosTE[[#This Row],[Permissionária]],DescontosTE[[#This Row],[codsariSUP]],DescontosTE[[#This Row],[Classe]])</f>
        <v>Cernhe5216A4</v>
      </c>
      <c r="G104" s="511">
        <v>0.90173092774063557</v>
      </c>
      <c r="H104" s="511">
        <v>0.67629819580547668</v>
      </c>
      <c r="I104" s="511">
        <v>0.45090000000000002</v>
      </c>
      <c r="J104" s="513">
        <v>0</v>
      </c>
      <c r="K104" s="683">
        <v>0</v>
      </c>
      <c r="L104" s="867">
        <v>0</v>
      </c>
      <c r="M104" s="867">
        <v>0</v>
      </c>
    </row>
    <row r="105" spans="1:13">
      <c r="A105" s="481" t="s">
        <v>401</v>
      </c>
      <c r="B105" s="481" t="s">
        <v>189</v>
      </c>
      <c r="C105" s="481">
        <v>111</v>
      </c>
      <c r="D105" s="481">
        <v>5697</v>
      </c>
      <c r="E105" s="481" t="s">
        <v>600</v>
      </c>
      <c r="F105" s="481" t="str">
        <f>CONCATENATE(DescontosTE[[#This Row],[Permissionária]],DescontosTE[[#This Row],[codsariSUP]],DescontosTE[[#This Row],[Classe]])</f>
        <v>Cerpalo5697A3a</v>
      </c>
      <c r="G105" s="511">
        <v>0.89981561155500922</v>
      </c>
      <c r="H105" s="511">
        <v>0.67486170866625694</v>
      </c>
      <c r="I105" s="511">
        <v>0.59530000000000005</v>
      </c>
      <c r="J105" s="513">
        <v>0.59530000000000005</v>
      </c>
      <c r="K105" s="683">
        <v>0.44540000000000002</v>
      </c>
      <c r="L105" s="867">
        <v>0.44540000000000002</v>
      </c>
      <c r="M105" s="1603">
        <v>0.31740000000000002</v>
      </c>
    </row>
    <row r="106" spans="1:13">
      <c r="A106" s="481" t="s">
        <v>328</v>
      </c>
      <c r="B106" s="481" t="s">
        <v>150</v>
      </c>
      <c r="C106" s="481">
        <v>136</v>
      </c>
      <c r="D106" s="481">
        <v>63</v>
      </c>
      <c r="E106" s="481" t="s">
        <v>596</v>
      </c>
      <c r="F106" s="481" t="str">
        <f>CONCATENATE(DescontosTE[[#This Row],[Permissionária]],DescontosTE[[#This Row],[codsariSUP]],DescontosTE[[#This Row],[Classe]])</f>
        <v>Cerpro63A4</v>
      </c>
      <c r="G106" s="511">
        <v>0.90147665925690701</v>
      </c>
      <c r="H106" s="511">
        <v>0.67610749444268026</v>
      </c>
      <c r="I106" s="511">
        <v>0.45069999999999999</v>
      </c>
      <c r="J106" s="740">
        <v>0</v>
      </c>
      <c r="K106" s="683">
        <v>0</v>
      </c>
      <c r="L106" s="867">
        <v>0</v>
      </c>
      <c r="M106" s="867">
        <v>0</v>
      </c>
    </row>
    <row r="107" spans="1:13">
      <c r="A107" s="481" t="s">
        <v>605</v>
      </c>
      <c r="B107" s="487" t="s">
        <v>125</v>
      </c>
      <c r="C107" s="481">
        <v>165</v>
      </c>
      <c r="D107" s="481">
        <v>5216</v>
      </c>
      <c r="E107" s="487" t="s">
        <v>596</v>
      </c>
      <c r="F107" s="481" t="str">
        <f>CONCATENATE(DescontosTE[[#This Row],[Permissionária]],DescontosTE[[#This Row],[codsariSUP]],DescontosTE[[#This Row],[Classe]])</f>
        <v>Cerrp5216A4</v>
      </c>
      <c r="G107" s="511">
        <v>0.74668009891015652</v>
      </c>
      <c r="H107" s="511">
        <v>0.56001007418261739</v>
      </c>
      <c r="I107" s="511">
        <v>0.37330000000000002</v>
      </c>
      <c r="J107" s="740">
        <v>0.31390000000000001</v>
      </c>
      <c r="K107" s="683">
        <v>0.31390000000000001</v>
      </c>
      <c r="L107" s="867">
        <v>7.5600000000000001E-2</v>
      </c>
      <c r="M107" s="1603">
        <v>6.0199999999999997E-2</v>
      </c>
    </row>
    <row r="108" spans="1:13">
      <c r="A108" s="481" t="s">
        <v>605</v>
      </c>
      <c r="B108" s="481" t="s">
        <v>150</v>
      </c>
      <c r="C108" s="481">
        <v>136</v>
      </c>
      <c r="D108" s="481">
        <v>63</v>
      </c>
      <c r="E108" s="481" t="s">
        <v>596</v>
      </c>
      <c r="F108" s="481" t="str">
        <f>CONCATENATE(DescontosTE[[#This Row],[Permissionária]],DescontosTE[[#This Row],[codsariSUP]],DescontosTE[[#This Row],[Classe]])</f>
        <v>Cerrp63A4</v>
      </c>
      <c r="G108" s="511">
        <v>0.7457129247380121</v>
      </c>
      <c r="H108" s="511">
        <v>0.55928469355350907</v>
      </c>
      <c r="I108" s="511">
        <v>0.37290000000000001</v>
      </c>
      <c r="J108" s="740">
        <v>0.31390000000000001</v>
      </c>
      <c r="K108" s="683">
        <v>0.31390000000000001</v>
      </c>
      <c r="L108" s="867">
        <v>7.5600000000000001E-2</v>
      </c>
      <c r="M108" s="1603">
        <v>6.0199999999999997E-2</v>
      </c>
    </row>
    <row r="109" spans="1:13">
      <c r="A109" s="481" t="s">
        <v>406</v>
      </c>
      <c r="B109" s="481" t="s">
        <v>189</v>
      </c>
      <c r="C109" s="481">
        <v>111</v>
      </c>
      <c r="D109" s="481">
        <v>5697</v>
      </c>
      <c r="E109" s="481" t="s">
        <v>596</v>
      </c>
      <c r="F109" s="481" t="str">
        <f>CONCATENATE(DescontosTE[[#This Row],[Permissionária]],DescontosTE[[#This Row],[codsariSUP]],DescontosTE[[#This Row],[Classe]])</f>
        <v>Cersul5697A4</v>
      </c>
      <c r="G109" s="511">
        <v>0.6419022741241549</v>
      </c>
      <c r="H109" s="511">
        <v>0.48142670559311618</v>
      </c>
      <c r="I109" s="511">
        <v>0.48139999999999999</v>
      </c>
      <c r="J109" s="513">
        <v>0.48139999999999999</v>
      </c>
      <c r="K109" s="683">
        <v>0.48139999999999999</v>
      </c>
      <c r="L109" s="867">
        <v>0.48139999999999999</v>
      </c>
      <c r="M109" s="1603">
        <v>0.48139999999999999</v>
      </c>
    </row>
    <row r="110" spans="1:13">
      <c r="A110" s="481" t="s">
        <v>406</v>
      </c>
      <c r="B110" s="481" t="s">
        <v>189</v>
      </c>
      <c r="C110" s="481">
        <v>111</v>
      </c>
      <c r="D110" s="481">
        <v>5697</v>
      </c>
      <c r="E110" s="481" t="s">
        <v>598</v>
      </c>
      <c r="F110" s="481" t="str">
        <f>CONCATENATE(DescontosTE[[#This Row],[Permissionária]],DescontosTE[[#This Row],[codsariSUP]],DescontosTE[[#This Row],[Classe]])</f>
        <v>Cersul5697A3</v>
      </c>
      <c r="G110" s="511">
        <v>0.83597111247695144</v>
      </c>
      <c r="H110" s="511">
        <v>0.62697833435771355</v>
      </c>
      <c r="I110" s="511">
        <v>0.59899999999999998</v>
      </c>
      <c r="J110" s="513">
        <v>0.59009999999999996</v>
      </c>
      <c r="K110" s="683">
        <v>0.59009999999999996</v>
      </c>
      <c r="L110" s="867">
        <v>0.55869999999999997</v>
      </c>
      <c r="M110" s="1603">
        <v>0.55869999999999997</v>
      </c>
    </row>
    <row r="111" spans="1:13">
      <c r="A111" s="481" t="s">
        <v>449</v>
      </c>
      <c r="B111" s="481" t="s">
        <v>206</v>
      </c>
      <c r="C111" s="608">
        <v>167</v>
      </c>
      <c r="D111" s="481">
        <v>396</v>
      </c>
      <c r="E111" s="481" t="s">
        <v>598</v>
      </c>
      <c r="F111" s="481" t="str">
        <f>CONCATENATE(DescontosTE[[#This Row],[Permissionária]],DescontosTE[[#This Row],[codsariSUP]],DescontosTE[[#This Row],[Classe]])</f>
        <v>Certaja396A3</v>
      </c>
      <c r="G111" s="511">
        <v>0.8415330252786084</v>
      </c>
      <c r="H111" s="511">
        <v>0.63114976895895625</v>
      </c>
      <c r="I111" s="511">
        <v>0.42080000000000001</v>
      </c>
      <c r="J111" s="513">
        <v>0.21149999999999999</v>
      </c>
      <c r="K111" s="683">
        <v>0</v>
      </c>
      <c r="L111" s="867">
        <v>0</v>
      </c>
      <c r="M111" s="867">
        <v>0</v>
      </c>
    </row>
    <row r="112" spans="1:13">
      <c r="A112" s="481" t="s">
        <v>449</v>
      </c>
      <c r="B112" s="481" t="s">
        <v>206</v>
      </c>
      <c r="C112" s="608">
        <v>167</v>
      </c>
      <c r="D112" s="481">
        <v>396</v>
      </c>
      <c r="E112" s="481" t="s">
        <v>596</v>
      </c>
      <c r="F112" s="481" t="str">
        <f>CONCATENATE(DescontosTE[[#This Row],[Permissionária]],DescontosTE[[#This Row],[codsariSUP]],DescontosTE[[#This Row],[Classe]])</f>
        <v>Certaja396A4</v>
      </c>
      <c r="G112" s="511">
        <v>0.8415330252786084</v>
      </c>
      <c r="H112" s="511">
        <v>0.63114976895895625</v>
      </c>
      <c r="I112" s="511">
        <v>0.42080000000000001</v>
      </c>
      <c r="J112" s="513">
        <v>0.21149999999999999</v>
      </c>
      <c r="K112" s="683">
        <v>0</v>
      </c>
      <c r="L112" s="867">
        <v>0</v>
      </c>
      <c r="M112" s="867">
        <v>0</v>
      </c>
    </row>
    <row r="113" spans="1:13">
      <c r="A113" s="481" t="s">
        <v>449</v>
      </c>
      <c r="B113" s="481" t="s">
        <v>353</v>
      </c>
      <c r="C113" s="481">
        <v>110</v>
      </c>
      <c r="D113" s="481">
        <v>5707</v>
      </c>
      <c r="E113" s="481" t="s">
        <v>596</v>
      </c>
      <c r="F113" s="481" t="str">
        <f>CONCATENATE(DescontosTE[[#This Row],[Permissionária]],DescontosTE[[#This Row],[codsariSUP]],DescontosTE[[#This Row],[Classe]])</f>
        <v>Certaja5707A4</v>
      </c>
      <c r="G113" s="511">
        <v>0.8239405071230177</v>
      </c>
      <c r="H113" s="511">
        <v>0.61795538034226327</v>
      </c>
      <c r="I113" s="511">
        <v>0.41199999999999998</v>
      </c>
      <c r="J113" s="513">
        <v>0.21149999999999999</v>
      </c>
      <c r="K113" s="683">
        <v>0</v>
      </c>
      <c r="L113" s="867">
        <v>0</v>
      </c>
      <c r="M113" s="867">
        <v>0</v>
      </c>
    </row>
    <row r="114" spans="1:13">
      <c r="A114" s="481" t="s">
        <v>201</v>
      </c>
      <c r="B114" s="481" t="s">
        <v>206</v>
      </c>
      <c r="C114" s="608">
        <v>167</v>
      </c>
      <c r="D114" s="481">
        <v>396</v>
      </c>
      <c r="E114" s="481" t="s">
        <v>598</v>
      </c>
      <c r="F114" s="481" t="str">
        <f>CONCATENATE(DescontosTE[[#This Row],[Permissionária]],DescontosTE[[#This Row],[codsariSUP]],DescontosTE[[#This Row],[Classe]])</f>
        <v>Certel396A3</v>
      </c>
      <c r="G114" s="511">
        <v>0.60488390712570062</v>
      </c>
      <c r="H114" s="511">
        <v>0.60488390712570062</v>
      </c>
      <c r="I114" s="511">
        <v>0.60488390712570062</v>
      </c>
      <c r="J114" s="513">
        <v>0.58309999999999995</v>
      </c>
      <c r="K114" s="683">
        <v>0.48330000000000001</v>
      </c>
      <c r="L114" s="867">
        <v>0.35730000000000001</v>
      </c>
      <c r="M114" s="1603">
        <v>0.32969999999999999</v>
      </c>
    </row>
    <row r="115" spans="1:13">
      <c r="A115" s="481" t="s">
        <v>201</v>
      </c>
      <c r="B115" s="481" t="s">
        <v>206</v>
      </c>
      <c r="C115" s="608">
        <v>167</v>
      </c>
      <c r="D115" s="608">
        <v>396</v>
      </c>
      <c r="E115" s="481" t="s">
        <v>596</v>
      </c>
      <c r="F115" s="481" t="str">
        <f>CONCATENATE(DescontosTE[[#This Row],[Permissionária]],DescontosTE[[#This Row],[codsariSUP]],DescontosTE[[#This Row],[Classe]])</f>
        <v>Certel396A4</v>
      </c>
      <c r="G115" s="511">
        <v>0.54613733905579398</v>
      </c>
      <c r="H115" s="511">
        <v>0.54613733905579398</v>
      </c>
      <c r="I115" s="511">
        <v>0.54613733905579398</v>
      </c>
      <c r="J115" s="513">
        <v>0.54610000000000003</v>
      </c>
      <c r="K115" s="683">
        <v>0.48330000000000001</v>
      </c>
      <c r="L115" s="867">
        <v>0.35730000000000001</v>
      </c>
      <c r="M115" s="1603">
        <v>0.32969999999999999</v>
      </c>
    </row>
    <row r="116" spans="1:13">
      <c r="A116" s="481" t="s">
        <v>411</v>
      </c>
      <c r="B116" s="481" t="s">
        <v>189</v>
      </c>
      <c r="C116" s="481">
        <v>111</v>
      </c>
      <c r="D116" s="481">
        <v>5697</v>
      </c>
      <c r="E116" s="481" t="s">
        <v>596</v>
      </c>
      <c r="F116" s="481" t="str">
        <f>CONCATENATE(DescontosTE[[#This Row],[Permissionária]],DescontosTE[[#This Row],[codsariSUP]],DescontosTE[[#This Row],[Classe]])</f>
        <v>Certrel5697A4</v>
      </c>
      <c r="G116" s="511">
        <v>0.88707885968159939</v>
      </c>
      <c r="H116" s="511">
        <v>0.88707885968159939</v>
      </c>
      <c r="I116" s="511">
        <v>0.88707885968159939</v>
      </c>
      <c r="J116" s="513">
        <v>0.81359999999999999</v>
      </c>
      <c r="K116" s="683">
        <v>0.81359999999999999</v>
      </c>
      <c r="L116" s="867">
        <v>0.81359999999999999</v>
      </c>
      <c r="M116" s="1603">
        <v>0.61460000000000004</v>
      </c>
    </row>
    <row r="117" spans="1:13">
      <c r="A117" s="481" t="s">
        <v>339</v>
      </c>
      <c r="B117" s="481" t="s">
        <v>178</v>
      </c>
      <c r="C117" s="481">
        <v>135</v>
      </c>
      <c r="D117" s="481">
        <v>2937</v>
      </c>
      <c r="E117" s="481" t="s">
        <v>596</v>
      </c>
      <c r="F117" s="481" t="str">
        <f>CONCATENATE(DescontosTE[[#This Row],[Permissionária]],DescontosTE[[#This Row],[codsariSUP]],DescontosTE[[#This Row],[Classe]])</f>
        <v>Cetril2937A4</v>
      </c>
      <c r="G117" s="511">
        <v>0.50648278140226277</v>
      </c>
      <c r="H117" s="511">
        <v>0.37986208605169708</v>
      </c>
      <c r="I117" s="511">
        <v>0.1396</v>
      </c>
      <c r="J117" s="513">
        <v>0.1396</v>
      </c>
      <c r="K117" s="683">
        <v>0</v>
      </c>
      <c r="L117" s="867">
        <v>0</v>
      </c>
      <c r="M117" s="867">
        <v>0</v>
      </c>
    </row>
    <row r="118" spans="1:13">
      <c r="A118" s="481" t="s">
        <v>339</v>
      </c>
      <c r="B118" s="481" t="s">
        <v>164</v>
      </c>
      <c r="C118" s="481">
        <v>145</v>
      </c>
      <c r="D118" s="481">
        <v>385</v>
      </c>
      <c r="E118" s="481" t="s">
        <v>596</v>
      </c>
      <c r="F118" s="481" t="str">
        <f>CONCATENATE(DescontosTE[[#This Row],[Permissionária]],DescontosTE[[#This Row],[codsariSUP]],DescontosTE[[#This Row],[Classe]])</f>
        <v>Cetril385A4</v>
      </c>
      <c r="G118" s="511">
        <v>0.66580422595946531</v>
      </c>
      <c r="H118" s="511">
        <v>0.49935316946959896</v>
      </c>
      <c r="I118" s="511">
        <v>0.1396</v>
      </c>
      <c r="J118" s="513">
        <v>0.1396</v>
      </c>
      <c r="K118" s="683">
        <v>0</v>
      </c>
      <c r="L118" s="867">
        <v>0</v>
      </c>
      <c r="M118" s="867">
        <v>0</v>
      </c>
    </row>
    <row r="119" spans="1:13">
      <c r="A119" s="481" t="s">
        <v>188</v>
      </c>
      <c r="B119" s="481" t="s">
        <v>189</v>
      </c>
      <c r="C119" s="481">
        <v>111</v>
      </c>
      <c r="D119" s="481">
        <v>5697</v>
      </c>
      <c r="E119" s="481" t="s">
        <v>598</v>
      </c>
      <c r="F119" s="481" t="str">
        <f>CONCATENATE(DescontosTE[[#This Row],[Permissionária]],DescontosTE[[#This Row],[codsariSUP]],DescontosTE[[#This Row],[Classe]])</f>
        <v>Coopera5697A3</v>
      </c>
      <c r="G119" s="511">
        <v>0.78664720344191763</v>
      </c>
      <c r="H119" s="511">
        <v>0.58998540258143817</v>
      </c>
      <c r="I119" s="511">
        <v>0.58998540258143817</v>
      </c>
      <c r="J119" s="513">
        <v>0.59</v>
      </c>
      <c r="K119" s="683">
        <v>0.59</v>
      </c>
      <c r="L119" s="867">
        <v>0.59</v>
      </c>
      <c r="M119" s="1603">
        <v>0.59</v>
      </c>
    </row>
    <row r="120" spans="1:13">
      <c r="A120" s="481" t="s">
        <v>420</v>
      </c>
      <c r="B120" s="481" t="s">
        <v>189</v>
      </c>
      <c r="C120" s="481">
        <v>111</v>
      </c>
      <c r="D120" s="481">
        <v>5697</v>
      </c>
      <c r="E120" s="481" t="s">
        <v>596</v>
      </c>
      <c r="F120" s="481" t="str">
        <f>CONCATENATE(DescontosTE[[#This Row],[Permissionária]],DescontosTE[[#This Row],[codsariSUP]],DescontosTE[[#This Row],[Classe]])</f>
        <v>Coopercocal5697A4</v>
      </c>
      <c r="G120" s="511">
        <v>0.43784572833435764</v>
      </c>
      <c r="H120" s="511">
        <v>0.43784572833435764</v>
      </c>
      <c r="I120" s="511">
        <v>0.43780000000000002</v>
      </c>
      <c r="J120" s="513">
        <v>0.43780000000000002</v>
      </c>
      <c r="K120" s="683">
        <v>0.43780000000000002</v>
      </c>
      <c r="L120" s="867">
        <v>0.42730000000000001</v>
      </c>
      <c r="M120" s="1603">
        <v>0.42730000000000001</v>
      </c>
    </row>
    <row r="121" spans="1:13">
      <c r="A121" s="481" t="s">
        <v>420</v>
      </c>
      <c r="B121" s="481" t="s">
        <v>189</v>
      </c>
      <c r="C121" s="481">
        <v>111</v>
      </c>
      <c r="D121" s="481">
        <v>5697</v>
      </c>
      <c r="E121" s="481" t="s">
        <v>598</v>
      </c>
      <c r="F121" s="481" t="str">
        <f>CONCATENATE(DescontosTE[[#This Row],[Permissionária]],DescontosTE[[#This Row],[codsariSUP]],DescontosTE[[#This Row],[Classe]])</f>
        <v>Coopercocal5697A3</v>
      </c>
      <c r="G121" s="511">
        <v>0.74423786109403811</v>
      </c>
      <c r="H121" s="511">
        <v>0.74423786109403811</v>
      </c>
      <c r="I121" s="511">
        <v>0.66139999999999999</v>
      </c>
      <c r="J121" s="513">
        <v>0.6452</v>
      </c>
      <c r="K121" s="683">
        <v>0.4995</v>
      </c>
      <c r="L121" s="867">
        <v>0.42730000000000001</v>
      </c>
      <c r="M121" s="1603">
        <v>0.42730000000000001</v>
      </c>
    </row>
    <row r="122" spans="1:13">
      <c r="A122" s="481" t="s">
        <v>420</v>
      </c>
      <c r="B122" s="509" t="s">
        <v>424</v>
      </c>
      <c r="C122" s="509">
        <v>144</v>
      </c>
      <c r="D122" s="509">
        <v>86</v>
      </c>
      <c r="E122" s="481" t="s">
        <v>596</v>
      </c>
      <c r="F122" s="481" t="str">
        <f>CONCATENATE(DescontosTE[[#This Row],[Permissionária]],DescontosTE[[#This Row],[codsariSUP]],DescontosTE[[#This Row],[Classe]])</f>
        <v>Coopercocal86A4</v>
      </c>
      <c r="G122" s="511">
        <v>0.75887474882786332</v>
      </c>
      <c r="H122" s="511">
        <v>0.75887474882786332</v>
      </c>
      <c r="I122" s="511">
        <v>0.66139999999999999</v>
      </c>
      <c r="J122" s="513">
        <v>0.6452</v>
      </c>
      <c r="K122" s="683">
        <v>0.4995</v>
      </c>
      <c r="L122" s="867">
        <v>0.42730000000000001</v>
      </c>
      <c r="M122" s="1603">
        <v>0.42730000000000001</v>
      </c>
    </row>
    <row r="123" spans="1:13">
      <c r="A123" s="481" t="s">
        <v>460</v>
      </c>
      <c r="B123" s="481" t="s">
        <v>206</v>
      </c>
      <c r="C123" s="608">
        <v>167</v>
      </c>
      <c r="D123" s="608">
        <v>396</v>
      </c>
      <c r="E123" s="481" t="s">
        <v>596</v>
      </c>
      <c r="F123" s="481" t="str">
        <f>CONCATENATE(DescontosTE[[#This Row],[Permissionária]],DescontosTE[[#This Row],[codsariSUP]],DescontosTE[[#This Row],[Classe]])</f>
        <v>Cooperluz396A4</v>
      </c>
      <c r="G123" s="511">
        <v>0.81789999999999996</v>
      </c>
      <c r="H123" s="511">
        <v>0.81789999999999996</v>
      </c>
      <c r="I123" s="511">
        <v>0.65900000000000003</v>
      </c>
      <c r="J123" s="513">
        <v>0</v>
      </c>
      <c r="K123" s="683">
        <v>0</v>
      </c>
      <c r="L123" s="867">
        <v>0</v>
      </c>
      <c r="M123" s="867">
        <v>0</v>
      </c>
    </row>
    <row r="124" spans="1:13">
      <c r="A124" s="481" t="s">
        <v>460</v>
      </c>
      <c r="B124" s="481" t="s">
        <v>206</v>
      </c>
      <c r="C124" s="608">
        <v>167</v>
      </c>
      <c r="D124" s="608">
        <v>396</v>
      </c>
      <c r="E124" s="481" t="s">
        <v>598</v>
      </c>
      <c r="F124" s="481" t="str">
        <f>CONCATENATE(DescontosTE[[#This Row],[Permissionária]],DescontosTE[[#This Row],[codsariSUP]],DescontosTE[[#This Row],[Classe]])</f>
        <v>Cooperluz396A3</v>
      </c>
      <c r="G124" s="511">
        <v>0.81789999999999996</v>
      </c>
      <c r="H124" s="511">
        <v>0.81789999999999996</v>
      </c>
      <c r="I124" s="511">
        <v>0.65900000000000003</v>
      </c>
      <c r="J124" s="513">
        <v>0</v>
      </c>
      <c r="K124" s="683">
        <v>0</v>
      </c>
      <c r="L124" s="867">
        <v>0</v>
      </c>
      <c r="M124" s="867">
        <v>0</v>
      </c>
    </row>
    <row r="125" spans="1:13">
      <c r="A125" s="481" t="s">
        <v>427</v>
      </c>
      <c r="B125" s="481" t="s">
        <v>189</v>
      </c>
      <c r="C125" s="481">
        <v>111</v>
      </c>
      <c r="D125" s="481">
        <v>5697</v>
      </c>
      <c r="E125" s="481" t="s">
        <v>596</v>
      </c>
      <c r="F125" s="481" t="str">
        <f>CONCATENATE(DescontosTE[[#This Row],[Permissionária]],DescontosTE[[#This Row],[codsariSUP]],DescontosTE[[#This Row],[Classe]])</f>
        <v>Coopermila5697A4</v>
      </c>
      <c r="G125" s="511">
        <v>0.53672403196066387</v>
      </c>
      <c r="H125" s="511">
        <v>0.4025430239704979</v>
      </c>
      <c r="I125" s="511">
        <v>0.38200000000000001</v>
      </c>
      <c r="J125" s="513">
        <v>0.35849999999999999</v>
      </c>
      <c r="K125" s="683">
        <v>4.9599999999999998E-2</v>
      </c>
      <c r="L125" s="867">
        <v>3.3399999999999999E-2</v>
      </c>
      <c r="M125" s="1603">
        <v>3.3399999999999999E-2</v>
      </c>
    </row>
    <row r="126" spans="1:13">
      <c r="A126" s="481" t="s">
        <v>432</v>
      </c>
      <c r="B126" s="481" t="s">
        <v>189</v>
      </c>
      <c r="C126" s="481">
        <v>111</v>
      </c>
      <c r="D126" s="481">
        <v>5697</v>
      </c>
      <c r="E126" s="481" t="s">
        <v>596</v>
      </c>
      <c r="F126" s="481" t="str">
        <f>CONCATENATE(DescontosTE[[#This Row],[Permissionária]],DescontosTE[[#This Row],[codsariSUP]],DescontosTE[[#This Row],[Classe]])</f>
        <v>Coorsel5697A4</v>
      </c>
      <c r="G126" s="511">
        <v>0.88667793484941604</v>
      </c>
      <c r="H126" s="511">
        <v>0.66500845113706197</v>
      </c>
      <c r="I126" s="511">
        <v>0.36559999999999998</v>
      </c>
      <c r="J126" s="513">
        <v>0.29060000000000002</v>
      </c>
      <c r="K126" s="683">
        <v>2.6599999999999999E-2</v>
      </c>
      <c r="L126" s="867">
        <v>0</v>
      </c>
      <c r="M126" s="867">
        <v>0</v>
      </c>
    </row>
    <row r="127" spans="1:13">
      <c r="A127" s="481" t="s">
        <v>465</v>
      </c>
      <c r="B127" s="481" t="s">
        <v>206</v>
      </c>
      <c r="C127" s="608">
        <v>167</v>
      </c>
      <c r="D127" s="608">
        <v>396</v>
      </c>
      <c r="E127" s="481" t="s">
        <v>601</v>
      </c>
      <c r="F127" s="481" t="str">
        <f>CONCATENATE(DescontosTE[[#This Row],[Permissionária]],DescontosTE[[#This Row],[codsariSUP]],DescontosTE[[#This Row],[Classe]])</f>
        <v>Coprel396A2</v>
      </c>
      <c r="G127" s="511">
        <v>0.63819999999999999</v>
      </c>
      <c r="H127" s="511">
        <v>0.63819999999999999</v>
      </c>
      <c r="I127" s="511">
        <v>0.44450000000000001</v>
      </c>
      <c r="J127" s="513">
        <v>0</v>
      </c>
      <c r="K127" s="683">
        <v>0</v>
      </c>
      <c r="L127" s="867">
        <v>0</v>
      </c>
      <c r="M127" s="867">
        <v>0</v>
      </c>
    </row>
    <row r="128" spans="1:13">
      <c r="A128" s="481" t="s">
        <v>465</v>
      </c>
      <c r="B128" s="481" t="s">
        <v>206</v>
      </c>
      <c r="C128" s="608">
        <v>167</v>
      </c>
      <c r="D128" s="608">
        <v>396</v>
      </c>
      <c r="E128" s="481" t="s">
        <v>598</v>
      </c>
      <c r="F128" s="481" t="str">
        <f>CONCATENATE(DescontosTE[[#This Row],[Permissionária]],DescontosTE[[#This Row],[codsariSUP]],DescontosTE[[#This Row],[Classe]])</f>
        <v>Coprel396A3</v>
      </c>
      <c r="G128" s="511">
        <v>0.63819999999999999</v>
      </c>
      <c r="H128" s="511">
        <v>0.63819999999999999</v>
      </c>
      <c r="I128" s="511">
        <v>0.47870000000000001</v>
      </c>
      <c r="J128" s="513">
        <v>0</v>
      </c>
      <c r="K128" s="683">
        <v>0</v>
      </c>
      <c r="L128" s="867">
        <v>0</v>
      </c>
      <c r="M128" s="867">
        <v>0</v>
      </c>
    </row>
    <row r="129" spans="1:14">
      <c r="A129" s="481" t="s">
        <v>465</v>
      </c>
      <c r="B129" s="481" t="s">
        <v>206</v>
      </c>
      <c r="C129" s="608">
        <v>167</v>
      </c>
      <c r="D129" s="608">
        <v>396</v>
      </c>
      <c r="E129" s="481" t="s">
        <v>596</v>
      </c>
      <c r="F129" s="481" t="str">
        <f>CONCATENATE(DescontosTE[[#This Row],[Permissionária]],DescontosTE[[#This Row],[codsariSUP]],DescontosTE[[#This Row],[Classe]])</f>
        <v>Coprel396A4</v>
      </c>
      <c r="G129" s="511">
        <v>0.53600000000000003</v>
      </c>
      <c r="H129" s="511">
        <v>0.53600000000000003</v>
      </c>
      <c r="I129" s="511">
        <v>0.40200000000000002</v>
      </c>
      <c r="J129" s="513">
        <v>0</v>
      </c>
      <c r="K129" s="683">
        <v>0</v>
      </c>
      <c r="L129" s="867">
        <v>0</v>
      </c>
      <c r="M129" s="867">
        <v>0</v>
      </c>
    </row>
    <row r="130" spans="1:14">
      <c r="A130" s="481" t="s">
        <v>174</v>
      </c>
      <c r="B130" s="481" t="s">
        <v>206</v>
      </c>
      <c r="C130" s="608">
        <v>167</v>
      </c>
      <c r="D130" s="608">
        <v>396</v>
      </c>
      <c r="E130" s="481" t="s">
        <v>596</v>
      </c>
      <c r="F130" s="481" t="str">
        <f>CONCATENATE(DescontosTE[[#This Row],[Permissionária]],DescontosTE[[#This Row],[codsariSUP]],DescontosTE[[#This Row],[Classe]])</f>
        <v>Creluz396A4</v>
      </c>
      <c r="G130" s="511">
        <v>0.83053171196948017</v>
      </c>
      <c r="H130" s="511">
        <v>0.83053171196948017</v>
      </c>
      <c r="I130" s="511">
        <v>0.83053171196948017</v>
      </c>
      <c r="J130" s="513">
        <v>0.34849999999999998</v>
      </c>
      <c r="K130" s="683">
        <v>0.34849999999999998</v>
      </c>
      <c r="L130" s="867">
        <v>0.28499999999999998</v>
      </c>
      <c r="M130" s="1603">
        <v>0.28499999999999998</v>
      </c>
    </row>
    <row r="131" spans="1:14">
      <c r="A131" s="481" t="s">
        <v>476</v>
      </c>
      <c r="B131" s="481" t="s">
        <v>206</v>
      </c>
      <c r="C131" s="608">
        <v>167</v>
      </c>
      <c r="D131" s="608">
        <v>396</v>
      </c>
      <c r="E131" s="481" t="s">
        <v>596</v>
      </c>
      <c r="F131" s="481" t="str">
        <f>CONCATENATE(DescontosTE[[#This Row],[Permissionária]],DescontosTE[[#This Row],[codsariSUP]],DescontosTE[[#This Row],[Classe]])</f>
        <v>Creral396A4</v>
      </c>
      <c r="G131" s="511">
        <v>0.76871721506914636</v>
      </c>
      <c r="H131" s="511">
        <v>0.76871721506914636</v>
      </c>
      <c r="I131" s="511">
        <v>0.76871721506914636</v>
      </c>
      <c r="J131" s="513">
        <v>0.46889999999999998</v>
      </c>
      <c r="K131" s="683">
        <v>0.46889999999999998</v>
      </c>
      <c r="L131" s="867">
        <v>0.214</v>
      </c>
      <c r="M131" s="1603">
        <v>0.214</v>
      </c>
    </row>
    <row r="132" spans="1:14">
      <c r="A132" s="481" t="s">
        <v>476</v>
      </c>
      <c r="B132" s="481" t="s">
        <v>206</v>
      </c>
      <c r="C132" s="608">
        <v>167</v>
      </c>
      <c r="D132" s="608">
        <v>396</v>
      </c>
      <c r="E132" s="481" t="s">
        <v>603</v>
      </c>
      <c r="F132" s="481" t="str">
        <f>CONCATENATE(DescontosTE[[#This Row],[Permissionária]],DescontosTE[[#This Row],[codsariSUP]],DescontosTE[[#This Row],[Classe]])</f>
        <v>Creral396B</v>
      </c>
      <c r="G132" s="511">
        <v>2.0743919885550688E-2</v>
      </c>
      <c r="H132" s="511">
        <v>2.0743919885550688E-2</v>
      </c>
      <c r="I132" s="511">
        <v>2.0743919885550688E-2</v>
      </c>
      <c r="J132" s="513">
        <v>2.07E-2</v>
      </c>
      <c r="K132" s="683">
        <v>2.07E-2</v>
      </c>
      <c r="L132" s="867">
        <v>2.07E-2</v>
      </c>
      <c r="M132" s="1603">
        <v>2.07E-2</v>
      </c>
    </row>
    <row r="133" spans="1:14">
      <c r="A133" s="481" t="s">
        <v>366</v>
      </c>
      <c r="B133" s="487" t="s">
        <v>163</v>
      </c>
      <c r="C133" s="481">
        <v>103</v>
      </c>
      <c r="D133" s="481">
        <v>383</v>
      </c>
      <c r="E133" s="481" t="s">
        <v>596</v>
      </c>
      <c r="F133" s="481" t="str">
        <f>CONCATENATE(DescontosTE[[#This Row],[Permissionária]],DescontosTE[[#This Row],[codsariSUP]],DescontosTE[[#This Row],[Classe]])</f>
        <v>Cerci383A4</v>
      </c>
      <c r="G133" s="511"/>
      <c r="H133" s="511"/>
      <c r="I133" s="511"/>
      <c r="J133" s="513">
        <v>0.38529999999999998</v>
      </c>
      <c r="K133" s="816">
        <v>0.38529999999999998</v>
      </c>
      <c r="L133" s="867">
        <f>DescontosTE[[#This Row],[2019]]</f>
        <v>0.38529999999999998</v>
      </c>
      <c r="M133" s="513">
        <f>DescontosTE[[#This Row],[2020]]</f>
        <v>0.38529999999999998</v>
      </c>
      <c r="N133" s="513">
        <f>DescontosTE[[#This Row],[2020]]</f>
        <v>0.38529999999999998</v>
      </c>
    </row>
    <row r="134" spans="1:14">
      <c r="A134" s="481" t="s">
        <v>196</v>
      </c>
      <c r="B134" s="487" t="s">
        <v>163</v>
      </c>
      <c r="C134" s="481">
        <v>103</v>
      </c>
      <c r="D134" s="481">
        <v>383</v>
      </c>
      <c r="E134" s="481" t="s">
        <v>596</v>
      </c>
      <c r="F134" s="481" t="str">
        <f>CONCATENATE(DescontosTE[[#This Row],[Permissionária]],DescontosTE[[#This Row],[codsariSUP]],DescontosTE[[#This Row],[Classe]])</f>
        <v>Ceral Araruama383A4</v>
      </c>
      <c r="G134" s="511"/>
      <c r="H134" s="511"/>
      <c r="I134" s="511"/>
      <c r="J134" s="513">
        <v>0.38529999999999998</v>
      </c>
      <c r="K134" s="816">
        <v>0.38030000000000003</v>
      </c>
      <c r="L134" s="867">
        <f>DescontosTE[[#This Row],[2019]]</f>
        <v>0.38030000000000003</v>
      </c>
      <c r="M134" s="511">
        <v>0.26430999999999999</v>
      </c>
      <c r="N134" s="511">
        <v>0.26430999999999999</v>
      </c>
    </row>
    <row r="135" spans="1:14">
      <c r="A135" s="481" t="s">
        <v>389</v>
      </c>
      <c r="B135" s="481" t="s">
        <v>206</v>
      </c>
      <c r="C135" s="608">
        <v>167</v>
      </c>
      <c r="D135" s="608">
        <v>396</v>
      </c>
      <c r="E135" s="481" t="s">
        <v>596</v>
      </c>
      <c r="F135" s="481" t="str">
        <f>CONCATENATE(DescontosTE[[#This Row],[Permissionária]],DescontosTE[[#This Row],[codsariSUP]],DescontosTE[[#This Row],[Classe]])</f>
        <v>Cerfox396A4</v>
      </c>
      <c r="G135" s="511"/>
      <c r="H135" s="511"/>
      <c r="I135" s="511"/>
      <c r="J135" s="513">
        <v>0.1401</v>
      </c>
      <c r="K135" s="816">
        <v>0.1401</v>
      </c>
      <c r="L135" s="867">
        <v>0.1401</v>
      </c>
      <c r="M135" s="1603">
        <v>0.1401</v>
      </c>
    </row>
    <row r="136" spans="1:14">
      <c r="A136" s="481" t="s">
        <v>493</v>
      </c>
      <c r="B136" s="481" t="s">
        <v>206</v>
      </c>
      <c r="C136" s="608">
        <v>167</v>
      </c>
      <c r="D136" s="608">
        <v>396</v>
      </c>
      <c r="E136" s="481" t="s">
        <v>596</v>
      </c>
      <c r="F136" s="481" t="str">
        <f>CONCATENATE(DescontosTE[[#This Row],[Permissionária]],DescontosTE[[#This Row],[codsariSUP]],DescontosTE[[#This Row],[Classe]])</f>
        <v>Certhil396A4</v>
      </c>
      <c r="G136" s="511"/>
      <c r="H136" s="511"/>
      <c r="I136" s="511"/>
      <c r="J136" s="513">
        <v>0.25359999999999999</v>
      </c>
      <c r="K136" s="816">
        <v>0.22370000000000001</v>
      </c>
      <c r="L136" s="867">
        <v>0.1273</v>
      </c>
      <c r="M136" s="1603">
        <v>0</v>
      </c>
    </row>
    <row r="137" spans="1:14">
      <c r="A137" s="481" t="s">
        <v>290</v>
      </c>
      <c r="B137" s="481" t="s">
        <v>606</v>
      </c>
      <c r="C137" s="481">
        <v>132</v>
      </c>
      <c r="D137" s="481">
        <v>2866</v>
      </c>
      <c r="E137" s="481" t="s">
        <v>600</v>
      </c>
      <c r="F137" s="481" t="str">
        <f>CONCATENATE(DescontosTE[[#This Row],[Permissionária]],DescontosTE[[#This Row],[codsariSUP]],DescontosTE[[#This Row],[Classe]])</f>
        <v>Castro Dis2866A3a</v>
      </c>
      <c r="G137" s="511"/>
      <c r="H137" s="511"/>
      <c r="I137" s="511"/>
      <c r="J137" s="513">
        <v>0.42030000000000001</v>
      </c>
      <c r="K137" s="816">
        <v>0.42030000000000001</v>
      </c>
      <c r="L137" s="867">
        <v>0.33839999999999998</v>
      </c>
      <c r="M137" s="1603">
        <v>0.33839999999999998</v>
      </c>
    </row>
    <row r="138" spans="1:14">
      <c r="A138" s="481" t="s">
        <v>290</v>
      </c>
      <c r="B138" s="481" t="s">
        <v>606</v>
      </c>
      <c r="C138" s="481">
        <v>132</v>
      </c>
      <c r="D138" s="481">
        <v>2866</v>
      </c>
      <c r="E138" s="481" t="s">
        <v>596</v>
      </c>
      <c r="F138" s="481" t="str">
        <f>CONCATENATE(DescontosTE[[#This Row],[Permissionária]],DescontosTE[[#This Row],[codsariSUP]],DescontosTE[[#This Row],[Classe]])</f>
        <v>Castro Dis2866A4</v>
      </c>
      <c r="G138" s="511"/>
      <c r="H138" s="511"/>
      <c r="I138" s="511"/>
      <c r="J138" s="513">
        <v>0.4153</v>
      </c>
      <c r="K138" s="816">
        <v>0.4153</v>
      </c>
      <c r="L138" s="867">
        <v>0.33839999999999998</v>
      </c>
      <c r="M138" s="1603">
        <v>0.33839999999999998</v>
      </c>
    </row>
    <row r="139" spans="1:14">
      <c r="A139" s="481" t="s">
        <v>509</v>
      </c>
      <c r="B139" s="481" t="s">
        <v>607</v>
      </c>
      <c r="C139" s="481">
        <v>145</v>
      </c>
      <c r="D139" s="481">
        <v>385</v>
      </c>
      <c r="E139" s="481" t="s">
        <v>596</v>
      </c>
      <c r="F139" s="481" t="str">
        <f>CONCATENATE(DescontosTE[[#This Row],[Permissionária]],DescontosTE[[#This Row],[codsariSUP]],DescontosTE[[#This Row],[Classe]])</f>
        <v>Cervam385A4</v>
      </c>
      <c r="G139" s="511"/>
      <c r="H139" s="511"/>
      <c r="I139" s="511"/>
      <c r="J139" s="513">
        <v>0.40989999999999999</v>
      </c>
      <c r="K139" s="816">
        <v>4.3299999999999998E-2</v>
      </c>
      <c r="L139" s="867">
        <v>0</v>
      </c>
      <c r="M139" s="867">
        <v>0</v>
      </c>
    </row>
    <row r="140" spans="1:14">
      <c r="A140" s="481" t="s">
        <v>509</v>
      </c>
      <c r="B140" s="481" t="s">
        <v>150</v>
      </c>
      <c r="C140" s="481">
        <v>136</v>
      </c>
      <c r="D140" s="481">
        <v>63</v>
      </c>
      <c r="E140" s="481" t="s">
        <v>596</v>
      </c>
      <c r="F140" s="481" t="str">
        <f>CONCATENATE(DescontosTE[[#This Row],[Permissionária]],DescontosTE[[#This Row],[codsariSUP]],DescontosTE[[#This Row],[Classe]])</f>
        <v>Cervam63A4</v>
      </c>
      <c r="G140" s="511"/>
      <c r="H140" s="511"/>
      <c r="I140" s="511"/>
      <c r="J140" s="513">
        <v>0.4103</v>
      </c>
      <c r="K140" s="816">
        <v>4.3299999999999998E-2</v>
      </c>
      <c r="L140" s="867">
        <v>0</v>
      </c>
      <c r="M140" s="867">
        <v>0</v>
      </c>
    </row>
    <row r="141" spans="1:14">
      <c r="A141" s="481" t="s">
        <v>186</v>
      </c>
      <c r="B141" s="481" t="s">
        <v>189</v>
      </c>
      <c r="C141" s="481">
        <v>111</v>
      </c>
      <c r="D141" s="481">
        <v>5697</v>
      </c>
      <c r="E141" s="481" t="s">
        <v>601</v>
      </c>
      <c r="F141" s="481" t="str">
        <f>CONCATENATE(DescontosTE[[#This Row],[Permissionária]],DescontosTE[[#This Row],[codsariSUP]],DescontosTE[[#This Row],[Classe]])</f>
        <v>Cegero5697A2</v>
      </c>
      <c r="G141" s="511"/>
      <c r="H141" s="511"/>
      <c r="I141" s="511"/>
      <c r="J141" s="513">
        <v>0.44009999999999999</v>
      </c>
      <c r="K141" s="816">
        <v>0.3735</v>
      </c>
      <c r="L141" s="867">
        <v>0.29289999999999999</v>
      </c>
      <c r="M141" s="1603">
        <v>0.29289999999999999</v>
      </c>
    </row>
    <row r="142" spans="1:14">
      <c r="A142" s="481" t="s">
        <v>471</v>
      </c>
      <c r="B142" s="481" t="s">
        <v>189</v>
      </c>
      <c r="C142" s="481">
        <v>111</v>
      </c>
      <c r="D142" s="481">
        <v>5697</v>
      </c>
      <c r="E142" s="481" t="s">
        <v>596</v>
      </c>
      <c r="F142" s="481" t="str">
        <f>CONCATENATE(DescontosTE[[#This Row],[Permissionária]],DescontosTE[[#This Row],[codsariSUP]],DescontosTE[[#This Row],[Classe]])</f>
        <v>Cersad5697A4</v>
      </c>
      <c r="G142" s="511"/>
      <c r="H142" s="511"/>
      <c r="I142" s="511"/>
      <c r="J142" s="513">
        <v>0.41320000000000001</v>
      </c>
      <c r="K142" s="816">
        <v>0.34079999999999999</v>
      </c>
      <c r="L142" s="867">
        <v>0.25679999999999997</v>
      </c>
      <c r="M142" s="1603">
        <v>0</v>
      </c>
    </row>
    <row r="143" spans="1:14">
      <c r="A143" s="481" t="s">
        <v>520</v>
      </c>
      <c r="B143" s="481" t="s">
        <v>189</v>
      </c>
      <c r="C143" s="481">
        <v>111</v>
      </c>
      <c r="D143" s="481">
        <v>5697</v>
      </c>
      <c r="E143" s="481" t="s">
        <v>601</v>
      </c>
      <c r="F143" s="481" t="str">
        <f>CONCATENATE(DescontosTE[[#This Row],[Permissionária]],DescontosTE[[#This Row],[codsariSUP]],DescontosTE[[#This Row],[Classe]])</f>
        <v>Codesam5697A2</v>
      </c>
      <c r="G143" s="511"/>
      <c r="H143" s="511"/>
      <c r="I143" s="511"/>
      <c r="J143" s="513">
        <v>0.44009999999999999</v>
      </c>
      <c r="K143" s="816">
        <v>0.28170000000000001</v>
      </c>
      <c r="L143" s="867">
        <v>0.25019999999999998</v>
      </c>
      <c r="M143" s="1603">
        <v>0.25019999999999998</v>
      </c>
    </row>
    <row r="144" spans="1:14">
      <c r="A144" s="481" t="s">
        <v>555</v>
      </c>
      <c r="B144" s="481" t="s">
        <v>189</v>
      </c>
      <c r="C144" s="481">
        <v>111</v>
      </c>
      <c r="D144" s="481">
        <v>5697</v>
      </c>
      <c r="E144" s="481" t="s">
        <v>596</v>
      </c>
      <c r="F144" s="481" t="str">
        <f>CONCATENATE(DescontosTE[[#This Row],[Permissionária]],DescontosTE[[#This Row],[codsariSUP]],DescontosTE[[#This Row],[Classe]])</f>
        <v>Cooperzem5697A4</v>
      </c>
      <c r="G144" s="511"/>
      <c r="H144" s="511"/>
      <c r="I144" s="511"/>
      <c r="J144" s="513">
        <v>0.41320000000000001</v>
      </c>
      <c r="K144" s="816">
        <v>0.16650000000000001</v>
      </c>
      <c r="L144" s="867">
        <v>0.1057</v>
      </c>
      <c r="M144" s="1603">
        <v>0.1057</v>
      </c>
    </row>
    <row r="145" spans="1:50">
      <c r="A145" s="481" t="s">
        <v>10</v>
      </c>
      <c r="B145" s="481" t="s">
        <v>353</v>
      </c>
      <c r="C145" s="481">
        <v>110</v>
      </c>
      <c r="D145" s="481">
        <v>5707</v>
      </c>
      <c r="E145" s="481" t="s">
        <v>596</v>
      </c>
      <c r="F145" s="481" t="str">
        <f>CONCATENATE(DescontosTE[[#This Row],[Permissionária]],DescontosTE[[#This Row],[codsariSUP]],DescontosTE[[#This Row],[Classe]])</f>
        <v>Coopersul5707A4</v>
      </c>
      <c r="G145" s="511"/>
      <c r="H145" s="511"/>
      <c r="I145" s="511"/>
      <c r="J145" s="513">
        <v>0.33779999999999999</v>
      </c>
      <c r="K145" s="816">
        <v>0.33779999999999999</v>
      </c>
      <c r="L145" s="867">
        <v>0.20419999999999999</v>
      </c>
      <c r="M145" s="1603">
        <v>9.0499999999999997E-2</v>
      </c>
    </row>
    <row r="146" spans="1:50">
      <c r="A146" s="481" t="s">
        <v>11</v>
      </c>
      <c r="B146" s="481" t="s">
        <v>353</v>
      </c>
      <c r="C146" s="481">
        <v>110</v>
      </c>
      <c r="D146" s="481">
        <v>5707</v>
      </c>
      <c r="E146" s="481" t="s">
        <v>596</v>
      </c>
      <c r="F146" s="481" t="str">
        <f>CONCATENATE(DescontosTE[[#This Row],[Permissionária]],DescontosTE[[#This Row],[codsariSUP]],DescontosTE[[#This Row],[Classe]])</f>
        <v>Coopernorte5707A4</v>
      </c>
      <c r="G146" s="511"/>
      <c r="H146" s="511"/>
      <c r="I146" s="511"/>
      <c r="J146" s="513">
        <v>0.49409999999999998</v>
      </c>
      <c r="K146" s="816">
        <v>0.48630000000000001</v>
      </c>
      <c r="L146" s="867">
        <v>0.37609999999999999</v>
      </c>
      <c r="M146" s="1603">
        <v>0.37609999999999999</v>
      </c>
    </row>
    <row r="147" spans="1:50">
      <c r="A147" s="481" t="s">
        <v>327</v>
      </c>
      <c r="B147" s="481" t="s">
        <v>150</v>
      </c>
      <c r="C147" s="481">
        <v>136</v>
      </c>
      <c r="D147" s="481">
        <v>63</v>
      </c>
      <c r="E147" s="481" t="s">
        <v>601</v>
      </c>
      <c r="F147" s="481" t="str">
        <f>CONCATENATE(DescontosTE[[#This Row],[Permissionária]],DescontosTE[[#This Row],[codsariSUP]],DescontosTE[[#This Row],[Classe]])</f>
        <v>Cemirim63A2</v>
      </c>
      <c r="G147" s="511"/>
      <c r="H147" s="511"/>
      <c r="I147" s="511"/>
      <c r="J147" s="513"/>
      <c r="K147" s="816">
        <v>0.18690000000000001</v>
      </c>
      <c r="L147" s="867">
        <v>0.1603</v>
      </c>
      <c r="M147" s="511">
        <v>0</v>
      </c>
    </row>
    <row r="148" spans="1:50">
      <c r="A148" s="481" t="s">
        <v>327</v>
      </c>
      <c r="B148" s="481" t="s">
        <v>164</v>
      </c>
      <c r="C148" s="481">
        <v>145</v>
      </c>
      <c r="D148" s="481">
        <v>385</v>
      </c>
      <c r="E148" s="481" t="s">
        <v>596</v>
      </c>
      <c r="F148" s="481" t="str">
        <f>CONCATENATE(DescontosTE[[#This Row],[Permissionária]],DescontosTE[[#This Row],[codsariSUP]],DescontosTE[[#This Row],[Classe]])</f>
        <v>Cemirim385A4</v>
      </c>
      <c r="G148" s="511"/>
      <c r="H148" s="511"/>
      <c r="I148" s="511"/>
      <c r="J148" s="513"/>
      <c r="K148" s="816">
        <v>0.18690000000000001</v>
      </c>
      <c r="L148" s="867">
        <v>0.1603</v>
      </c>
      <c r="M148" s="511">
        <v>0</v>
      </c>
    </row>
    <row r="149" spans="1:50">
      <c r="A149" s="481" t="s">
        <v>320</v>
      </c>
      <c r="B149" s="481" t="s">
        <v>206</v>
      </c>
      <c r="C149" s="481">
        <v>167</v>
      </c>
      <c r="D149" s="481">
        <v>396</v>
      </c>
      <c r="E149" s="481" t="s">
        <v>596</v>
      </c>
      <c r="F149" s="481" t="str">
        <f>CONCATENATE(DescontosTE[[#This Row],[Permissionária]],DescontosTE[[#This Row],[codsariSUP]],DescontosTE[[#This Row],[Classe]])</f>
        <v>Celetro396A4</v>
      </c>
      <c r="G149" s="868"/>
      <c r="H149" s="868"/>
      <c r="I149" s="868"/>
      <c r="J149" s="513"/>
      <c r="K149" s="816"/>
      <c r="L149" s="867">
        <v>0.1426</v>
      </c>
      <c r="M149" s="1603">
        <v>0.1426</v>
      </c>
      <c r="AS149" s="859"/>
      <c r="AX149" s="859"/>
    </row>
    <row r="150" spans="1:50">
      <c r="A150" s="481" t="s">
        <v>320</v>
      </c>
      <c r="B150" s="481" t="s">
        <v>608</v>
      </c>
      <c r="C150" s="481">
        <v>164</v>
      </c>
      <c r="D150" s="481">
        <v>400</v>
      </c>
      <c r="E150" s="481" t="s">
        <v>596</v>
      </c>
      <c r="F150" s="481" t="str">
        <f>CONCATENATE(DescontosTE[[#This Row],[Permissionária]],DescontosTE[[#This Row],[codsariSUP]],DescontosTE[[#This Row],[Classe]])</f>
        <v>Celetro400A4</v>
      </c>
      <c r="L150" s="513">
        <v>0.1426</v>
      </c>
      <c r="M150" s="1603">
        <v>0.1426</v>
      </c>
      <c r="AS150" s="859"/>
      <c r="AX150" s="859"/>
    </row>
    <row r="154" spans="1:50">
      <c r="A154" s="656" t="s">
        <v>609</v>
      </c>
    </row>
    <row r="156" spans="1:50">
      <c r="A156" s="9" t="s">
        <v>22</v>
      </c>
      <c r="B156" s="657" t="s">
        <v>238</v>
      </c>
      <c r="C156" t="s">
        <v>610</v>
      </c>
      <c r="D156" s="9" t="s">
        <v>611</v>
      </c>
      <c r="E156" s="9" t="s">
        <v>612</v>
      </c>
      <c r="F156" t="s">
        <v>613</v>
      </c>
      <c r="G156" t="s">
        <v>589</v>
      </c>
      <c r="H156" t="s">
        <v>590</v>
      </c>
      <c r="I156" t="s">
        <v>591</v>
      </c>
      <c r="J156" t="s">
        <v>592</v>
      </c>
      <c r="K156" t="s">
        <v>593</v>
      </c>
      <c r="L156" t="s">
        <v>594</v>
      </c>
      <c r="M156" t="s">
        <v>595</v>
      </c>
      <c r="N156" t="s">
        <v>2168</v>
      </c>
    </row>
    <row r="157" spans="1:50">
      <c r="A157" s="9" t="s">
        <v>584</v>
      </c>
      <c r="B157" s="658" t="s">
        <v>279</v>
      </c>
      <c r="C157" s="234">
        <v>477.54</v>
      </c>
      <c r="D157" s="234">
        <v>293.51</v>
      </c>
      <c r="E157" s="234">
        <v>285.53000000000003</v>
      </c>
      <c r="F157" s="234">
        <v>316.42</v>
      </c>
      <c r="G157" s="234">
        <v>400.42</v>
      </c>
      <c r="H157" s="234">
        <v>439.05</v>
      </c>
      <c r="I157">
        <v>464.07</v>
      </c>
      <c r="J157">
        <v>529.15</v>
      </c>
      <c r="K157" s="814">
        <v>585.49</v>
      </c>
      <c r="L157">
        <v>716.79000000000008</v>
      </c>
      <c r="M157" s="417">
        <v>802.08</v>
      </c>
    </row>
    <row r="158" spans="1:50">
      <c r="A158" s="9" t="s">
        <v>584</v>
      </c>
      <c r="B158" s="659" t="s">
        <v>187</v>
      </c>
      <c r="C158" s="234">
        <v>454.01</v>
      </c>
      <c r="D158" s="234">
        <v>372.29</v>
      </c>
      <c r="E158" s="234">
        <v>429.11</v>
      </c>
      <c r="F158" s="234">
        <v>488.63</v>
      </c>
      <c r="G158" s="234">
        <v>603.84</v>
      </c>
      <c r="H158" s="234">
        <v>662.82</v>
      </c>
      <c r="I158">
        <v>695.1</v>
      </c>
      <c r="J158">
        <v>784.40000000000009</v>
      </c>
      <c r="K158" s="814">
        <v>750.67</v>
      </c>
      <c r="L158">
        <v>694.52</v>
      </c>
      <c r="M158" s="417">
        <v>683.87</v>
      </c>
    </row>
    <row r="159" spans="1:50">
      <c r="A159" s="9" t="s">
        <v>584</v>
      </c>
      <c r="B159" s="658" t="s">
        <v>296</v>
      </c>
      <c r="C159" s="234">
        <v>422.89</v>
      </c>
      <c r="D159" s="234">
        <v>324.93</v>
      </c>
      <c r="E159" s="234">
        <v>330.32</v>
      </c>
      <c r="F159" s="234">
        <v>350.22</v>
      </c>
      <c r="G159" s="234">
        <v>461.39</v>
      </c>
      <c r="H159" s="234">
        <v>538.26</v>
      </c>
      <c r="I159">
        <v>573.74</v>
      </c>
      <c r="J159" s="234">
        <v>627.88</v>
      </c>
      <c r="K159" s="814">
        <v>687.25</v>
      </c>
      <c r="L159">
        <v>653.32000000000005</v>
      </c>
      <c r="M159" s="417">
        <v>636.51</v>
      </c>
    </row>
    <row r="160" spans="1:50">
      <c r="A160" s="9" t="s">
        <v>584</v>
      </c>
      <c r="B160" s="659" t="s">
        <v>302</v>
      </c>
      <c r="C160" s="234">
        <v>358.18</v>
      </c>
      <c r="D160" s="234">
        <v>201.09</v>
      </c>
      <c r="E160" s="234">
        <v>358.18</v>
      </c>
      <c r="F160" s="234">
        <v>285.40778770524361</v>
      </c>
      <c r="G160" s="234">
        <v>393.80621010002614</v>
      </c>
      <c r="H160" s="234">
        <v>393.80621010002614</v>
      </c>
      <c r="I160">
        <v>524.92999999999995</v>
      </c>
      <c r="J160" s="234">
        <v>473.15</v>
      </c>
      <c r="K160" s="814">
        <v>521.09</v>
      </c>
      <c r="L160">
        <v>586.86</v>
      </c>
      <c r="M160">
        <v>663.81999999999994</v>
      </c>
    </row>
    <row r="161" spans="1:13">
      <c r="A161" s="9" t="s">
        <v>584</v>
      </c>
      <c r="B161" s="658" t="s">
        <v>308</v>
      </c>
      <c r="C161" s="234">
        <v>364.27</v>
      </c>
      <c r="D161" s="234">
        <v>264.33</v>
      </c>
      <c r="E161" s="234">
        <v>322.36</v>
      </c>
      <c r="F161" s="234">
        <v>278.05753790328487</v>
      </c>
      <c r="G161" s="234">
        <v>365.46000000000004</v>
      </c>
      <c r="H161" s="234">
        <v>365.46000000000004</v>
      </c>
      <c r="I161">
        <v>441.3</v>
      </c>
      <c r="J161" s="234">
        <v>484.86</v>
      </c>
      <c r="K161" s="814">
        <v>531.81000000000006</v>
      </c>
      <c r="L161">
        <v>604.55999999999995</v>
      </c>
      <c r="M161" s="417">
        <v>688.71</v>
      </c>
    </row>
    <row r="162" spans="1:13">
      <c r="A162" s="9" t="s">
        <v>584</v>
      </c>
      <c r="B162" s="659" t="s">
        <v>315</v>
      </c>
      <c r="C162" s="234">
        <v>346.04</v>
      </c>
      <c r="D162" s="234">
        <v>244.04023455404769</v>
      </c>
      <c r="E162" s="234">
        <v>311.33999999999997</v>
      </c>
      <c r="F162" s="234">
        <v>357.41293987313691</v>
      </c>
      <c r="G162" s="234">
        <v>463.95000000000005</v>
      </c>
      <c r="H162" s="234">
        <v>461.19</v>
      </c>
      <c r="I162">
        <v>555.5</v>
      </c>
      <c r="J162" s="234">
        <v>607.63</v>
      </c>
      <c r="K162" s="814">
        <v>627.79</v>
      </c>
      <c r="L162">
        <f>419.13+242.86</f>
        <v>661.99</v>
      </c>
      <c r="M162" s="417">
        <v>820.92</v>
      </c>
    </row>
    <row r="163" spans="1:13">
      <c r="A163" s="9" t="s">
        <v>584</v>
      </c>
      <c r="B163" s="658" t="s">
        <v>321</v>
      </c>
      <c r="C163" s="234">
        <v>432.22</v>
      </c>
      <c r="D163" s="234">
        <v>334.28</v>
      </c>
      <c r="E163" s="234">
        <v>432.22</v>
      </c>
      <c r="F163" s="234">
        <v>406.19</v>
      </c>
      <c r="G163" s="234">
        <v>489.04</v>
      </c>
      <c r="H163" s="234">
        <v>489.04</v>
      </c>
      <c r="I163" s="234">
        <v>712.47</v>
      </c>
      <c r="J163" s="234">
        <v>461.91882050087406</v>
      </c>
      <c r="K163" s="814">
        <v>550.73</v>
      </c>
      <c r="L163">
        <f>343.12+245.73</f>
        <v>588.85</v>
      </c>
      <c r="M163" s="417">
        <v>603.04999999999995</v>
      </c>
    </row>
    <row r="164" spans="1:13">
      <c r="A164" s="9" t="s">
        <v>584</v>
      </c>
      <c r="B164" s="659" t="s">
        <v>328</v>
      </c>
      <c r="C164" s="234">
        <v>404.93</v>
      </c>
      <c r="D164" s="234">
        <v>237.94</v>
      </c>
      <c r="E164" s="234">
        <v>404.93</v>
      </c>
      <c r="F164" s="234">
        <v>263.02999999999997</v>
      </c>
      <c r="G164" s="234">
        <v>371.49669002205025</v>
      </c>
      <c r="H164" s="234">
        <v>371.5</v>
      </c>
      <c r="I164">
        <v>467.95</v>
      </c>
      <c r="J164" s="234">
        <v>504.95621166549836</v>
      </c>
      <c r="K164" s="814">
        <v>601.67000000000007</v>
      </c>
      <c r="L164">
        <f>319.9+262.18</f>
        <v>582.07999999999993</v>
      </c>
      <c r="M164" s="417">
        <v>613.14</v>
      </c>
    </row>
    <row r="165" spans="1:13">
      <c r="A165" s="9" t="s">
        <v>584</v>
      </c>
      <c r="B165" s="658" t="s">
        <v>333</v>
      </c>
      <c r="C165" s="234">
        <v>362.71</v>
      </c>
      <c r="D165" s="234">
        <v>216.37</v>
      </c>
      <c r="E165" s="234">
        <v>362.71</v>
      </c>
      <c r="F165" s="234">
        <v>259.14999999999998</v>
      </c>
      <c r="G165" s="234">
        <v>330.57</v>
      </c>
      <c r="H165" s="234">
        <v>330.57</v>
      </c>
      <c r="I165">
        <v>511.56</v>
      </c>
      <c r="J165" s="234">
        <v>538.42999999999995</v>
      </c>
      <c r="K165" s="814">
        <v>589.30000000000007</v>
      </c>
      <c r="L165">
        <v>631.75</v>
      </c>
      <c r="M165" s="417">
        <v>678.01</v>
      </c>
    </row>
    <row r="166" spans="1:13">
      <c r="A166" s="9" t="s">
        <v>584</v>
      </c>
      <c r="B166" s="659" t="s">
        <v>339</v>
      </c>
      <c r="C166" s="234">
        <v>435.97</v>
      </c>
      <c r="D166" s="234">
        <v>357.5</v>
      </c>
      <c r="E166" s="234">
        <v>388.25</v>
      </c>
      <c r="F166" s="234">
        <v>431.16</v>
      </c>
      <c r="G166" s="234">
        <v>543.15</v>
      </c>
      <c r="H166" s="234">
        <v>583.96</v>
      </c>
      <c r="I166">
        <v>636.54</v>
      </c>
      <c r="J166" s="234">
        <v>716.04</v>
      </c>
      <c r="K166" s="814">
        <v>697.1</v>
      </c>
      <c r="L166">
        <f>452.4+266.08</f>
        <v>718.48</v>
      </c>
      <c r="M166" s="417">
        <v>711.11</v>
      </c>
    </row>
    <row r="167" spans="1:13">
      <c r="A167" s="9" t="s">
        <v>584</v>
      </c>
      <c r="B167" s="658" t="s">
        <v>314</v>
      </c>
      <c r="C167" s="234">
        <v>388.16</v>
      </c>
      <c r="D167" s="234">
        <v>279.68</v>
      </c>
      <c r="E167" s="234">
        <v>301.51</v>
      </c>
      <c r="F167" s="234">
        <v>350.89</v>
      </c>
      <c r="G167" s="234">
        <v>436.4</v>
      </c>
      <c r="H167" s="234">
        <v>495.02000000000004</v>
      </c>
      <c r="I167">
        <v>556.74</v>
      </c>
      <c r="J167" s="234">
        <v>563.41</v>
      </c>
      <c r="K167" s="814">
        <v>616.29</v>
      </c>
      <c r="L167">
        <v>657.39</v>
      </c>
      <c r="M167" s="417">
        <v>548.54000000000008</v>
      </c>
    </row>
    <row r="168" spans="1:13">
      <c r="A168" s="9" t="s">
        <v>584</v>
      </c>
      <c r="B168" s="659" t="s">
        <v>9</v>
      </c>
      <c r="C168" s="234">
        <v>369.49</v>
      </c>
      <c r="D168" s="234">
        <v>306.07</v>
      </c>
      <c r="E168" s="234">
        <v>384.09999999999997</v>
      </c>
      <c r="F168" s="234">
        <v>430.41999999999996</v>
      </c>
      <c r="G168" s="234">
        <v>531.1</v>
      </c>
      <c r="H168" s="234">
        <v>507.00753569285177</v>
      </c>
      <c r="I168" s="234">
        <v>564.46713725793518</v>
      </c>
      <c r="J168" s="234">
        <v>626.71</v>
      </c>
      <c r="K168" s="814">
        <v>682.83</v>
      </c>
      <c r="L168">
        <v>725.14</v>
      </c>
      <c r="M168" s="417">
        <v>632.80000000000007</v>
      </c>
    </row>
    <row r="169" spans="1:13">
      <c r="A169" s="9" t="s">
        <v>584</v>
      </c>
      <c r="B169" s="658" t="s">
        <v>338</v>
      </c>
      <c r="C169" s="234">
        <v>366.87</v>
      </c>
      <c r="D169" s="234">
        <v>206.18</v>
      </c>
      <c r="E169" s="234">
        <v>252.23999999999998</v>
      </c>
      <c r="F169" s="234">
        <v>284.88</v>
      </c>
      <c r="G169" s="234">
        <v>353.59</v>
      </c>
      <c r="H169" s="234">
        <v>386.15</v>
      </c>
      <c r="I169">
        <v>430.76</v>
      </c>
      <c r="J169" s="234">
        <v>470.37</v>
      </c>
      <c r="K169" s="814">
        <v>496.86</v>
      </c>
      <c r="L169">
        <v>511.66</v>
      </c>
      <c r="M169" s="417">
        <v>518.32999999999993</v>
      </c>
    </row>
    <row r="170" spans="1:13">
      <c r="A170" s="9" t="s">
        <v>584</v>
      </c>
      <c r="B170" s="659" t="s">
        <v>184</v>
      </c>
      <c r="C170" s="234">
        <v>356.62</v>
      </c>
      <c r="D170" s="234">
        <v>292.43</v>
      </c>
      <c r="E170" s="234">
        <v>336.71</v>
      </c>
      <c r="F170" s="234">
        <v>369</v>
      </c>
      <c r="G170" s="234">
        <v>465.46000000000004</v>
      </c>
      <c r="H170" s="234">
        <v>512.65</v>
      </c>
      <c r="I170">
        <v>555.32000000000005</v>
      </c>
      <c r="J170" s="234">
        <v>609.02</v>
      </c>
      <c r="K170" s="814">
        <v>663.57999999999993</v>
      </c>
      <c r="L170">
        <v>677.53</v>
      </c>
      <c r="M170" s="417">
        <v>632.93999999999994</v>
      </c>
    </row>
    <row r="171" spans="1:13">
      <c r="A171" s="9" t="s">
        <v>584</v>
      </c>
      <c r="B171" s="658" t="s">
        <v>361</v>
      </c>
      <c r="C171" s="234">
        <v>319.74</v>
      </c>
      <c r="D171" s="234">
        <v>262.19</v>
      </c>
      <c r="E171" s="234">
        <v>308.73</v>
      </c>
      <c r="F171" s="234">
        <v>340.03</v>
      </c>
      <c r="G171" s="234">
        <v>401.97</v>
      </c>
      <c r="H171" s="234">
        <v>412.9</v>
      </c>
      <c r="I171">
        <v>460.64</v>
      </c>
      <c r="J171" s="234">
        <v>501.31</v>
      </c>
      <c r="K171" s="814">
        <v>544.1</v>
      </c>
      <c r="L171">
        <v>589.07999999999993</v>
      </c>
      <c r="M171" s="661">
        <v>561.9</v>
      </c>
    </row>
    <row r="172" spans="1:13">
      <c r="A172" s="9" t="s">
        <v>584</v>
      </c>
      <c r="B172" s="659" t="s">
        <v>372</v>
      </c>
      <c r="C172" s="234">
        <v>368.63</v>
      </c>
      <c r="D172" s="234">
        <v>302.27999999999997</v>
      </c>
      <c r="E172" s="234">
        <v>324.70000000000005</v>
      </c>
      <c r="F172" s="234">
        <v>370.55</v>
      </c>
      <c r="G172" s="234">
        <v>458.99</v>
      </c>
      <c r="H172" s="234">
        <v>456.67</v>
      </c>
      <c r="I172">
        <v>541.30999999999995</v>
      </c>
      <c r="J172" s="234">
        <v>543.35</v>
      </c>
      <c r="K172" s="814">
        <v>580.39</v>
      </c>
      <c r="L172">
        <v>610.34</v>
      </c>
      <c r="M172" s="417">
        <v>628.70000000000005</v>
      </c>
    </row>
    <row r="173" spans="1:13">
      <c r="A173" s="9" t="s">
        <v>584</v>
      </c>
      <c r="B173" s="658" t="s">
        <v>185</v>
      </c>
      <c r="C173" s="234">
        <v>346.91</v>
      </c>
      <c r="D173" s="234">
        <v>242</v>
      </c>
      <c r="E173" s="234">
        <v>289.56</v>
      </c>
      <c r="F173" s="234">
        <v>330.23</v>
      </c>
      <c r="G173" s="234">
        <v>413.18</v>
      </c>
      <c r="H173" s="234">
        <v>428.98</v>
      </c>
      <c r="I173">
        <v>522</v>
      </c>
      <c r="J173" s="234">
        <v>599.08000000000004</v>
      </c>
      <c r="K173" s="814">
        <v>655.47</v>
      </c>
      <c r="L173">
        <v>654.13</v>
      </c>
      <c r="M173" s="417">
        <v>721.68</v>
      </c>
    </row>
    <row r="174" spans="1:13">
      <c r="A174" s="9" t="s">
        <v>584</v>
      </c>
      <c r="B174" s="659" t="s">
        <v>383</v>
      </c>
      <c r="C174" s="234">
        <v>366.98</v>
      </c>
      <c r="D174" s="234">
        <v>251.82</v>
      </c>
      <c r="E174" s="234">
        <v>312.01</v>
      </c>
      <c r="F174" s="234">
        <v>335.83</v>
      </c>
      <c r="G174" s="234">
        <v>413.43</v>
      </c>
      <c r="H174" s="234">
        <v>401.35</v>
      </c>
      <c r="I174">
        <v>449.65</v>
      </c>
      <c r="J174" s="234">
        <v>491.34</v>
      </c>
      <c r="K174" s="814">
        <v>523.83000000000004</v>
      </c>
      <c r="L174">
        <v>545.07000000000005</v>
      </c>
      <c r="M174" s="417">
        <v>563.88</v>
      </c>
    </row>
    <row r="175" spans="1:13">
      <c r="A175" s="9" t="s">
        <v>584</v>
      </c>
      <c r="B175" s="658" t="s">
        <v>390</v>
      </c>
      <c r="C175" s="234">
        <v>344.09</v>
      </c>
      <c r="D175" s="234">
        <v>252.56</v>
      </c>
      <c r="E175" s="234">
        <v>299.25</v>
      </c>
      <c r="F175" s="234">
        <v>336.02</v>
      </c>
      <c r="G175" s="234">
        <v>412.58</v>
      </c>
      <c r="H175" s="234">
        <v>430.32</v>
      </c>
      <c r="I175">
        <v>464.97</v>
      </c>
      <c r="J175" s="234">
        <v>510.26</v>
      </c>
      <c r="K175" s="814">
        <v>559.04</v>
      </c>
      <c r="L175">
        <v>605.22</v>
      </c>
      <c r="M175" s="417">
        <v>641.27</v>
      </c>
    </row>
    <row r="176" spans="1:13">
      <c r="A176" s="9" t="s">
        <v>584</v>
      </c>
      <c r="B176" s="659" t="s">
        <v>395</v>
      </c>
      <c r="C176" s="234">
        <v>352.15</v>
      </c>
      <c r="D176" s="234">
        <v>313.41000000000003</v>
      </c>
      <c r="E176" s="234">
        <v>340.76</v>
      </c>
      <c r="F176" s="234">
        <v>300.83000000000004</v>
      </c>
      <c r="G176" s="234">
        <v>367.03999999999996</v>
      </c>
      <c r="H176" s="234">
        <v>352.81</v>
      </c>
      <c r="I176" s="234">
        <v>417.12369966554775</v>
      </c>
      <c r="J176" s="234">
        <v>507.4</v>
      </c>
      <c r="K176" s="814">
        <v>562.51</v>
      </c>
      <c r="L176">
        <v>608.16999999999996</v>
      </c>
      <c r="M176" s="417">
        <v>651.74</v>
      </c>
    </row>
    <row r="177" spans="1:13">
      <c r="A177" s="9" t="s">
        <v>584</v>
      </c>
      <c r="B177" s="658" t="s">
        <v>401</v>
      </c>
      <c r="C177" s="234">
        <v>363.15</v>
      </c>
      <c r="D177" s="234">
        <v>238.56</v>
      </c>
      <c r="E177" s="234">
        <v>279.66000000000003</v>
      </c>
      <c r="F177" s="234">
        <v>327.79999999999995</v>
      </c>
      <c r="G177" s="234">
        <v>404.02</v>
      </c>
      <c r="H177" s="234">
        <v>482.26</v>
      </c>
      <c r="I177">
        <v>521.36</v>
      </c>
      <c r="J177" s="234">
        <v>577.79</v>
      </c>
      <c r="K177" s="814">
        <v>633.44000000000005</v>
      </c>
      <c r="L177">
        <v>707.06999999999994</v>
      </c>
      <c r="M177" s="417">
        <v>705.72</v>
      </c>
    </row>
    <row r="178" spans="1:13">
      <c r="A178" s="9" t="s">
        <v>584</v>
      </c>
      <c r="B178" s="659" t="s">
        <v>406</v>
      </c>
      <c r="C178" s="234">
        <v>313.55</v>
      </c>
      <c r="D178" s="234">
        <v>208.01</v>
      </c>
      <c r="E178" s="234">
        <v>199.54</v>
      </c>
      <c r="F178" s="234">
        <v>227.81</v>
      </c>
      <c r="G178" s="234">
        <v>293.36</v>
      </c>
      <c r="H178" s="234">
        <v>330.82</v>
      </c>
      <c r="I178">
        <v>345.93</v>
      </c>
      <c r="J178" s="234">
        <v>375.68</v>
      </c>
      <c r="K178" s="814">
        <v>419.84</v>
      </c>
      <c r="L178">
        <v>440.52000000000004</v>
      </c>
      <c r="M178" s="417">
        <v>466</v>
      </c>
    </row>
    <row r="179" spans="1:13">
      <c r="A179" s="9" t="s">
        <v>584</v>
      </c>
      <c r="B179" s="658" t="s">
        <v>411</v>
      </c>
      <c r="C179" s="234">
        <v>368.84</v>
      </c>
      <c r="D179" s="234">
        <v>321.41000000000003</v>
      </c>
      <c r="E179" s="234">
        <v>293.41000000000003</v>
      </c>
      <c r="F179" s="234">
        <v>293.20000000000005</v>
      </c>
      <c r="G179" s="234">
        <v>369.56</v>
      </c>
      <c r="H179" s="234">
        <v>364.44</v>
      </c>
      <c r="I179">
        <v>507.27</v>
      </c>
      <c r="J179" s="234">
        <v>552.46</v>
      </c>
      <c r="K179" s="814">
        <v>620.12</v>
      </c>
      <c r="L179">
        <v>691.03000000000009</v>
      </c>
      <c r="M179" s="417">
        <v>729.03</v>
      </c>
    </row>
    <row r="180" spans="1:13">
      <c r="A180" s="9" t="s">
        <v>584</v>
      </c>
      <c r="B180" s="659" t="s">
        <v>188</v>
      </c>
      <c r="C180" s="234">
        <v>318.97000000000003</v>
      </c>
      <c r="D180" s="234">
        <v>222.08</v>
      </c>
      <c r="E180" s="234">
        <v>208.08</v>
      </c>
      <c r="F180" s="234">
        <v>214.45</v>
      </c>
      <c r="G180" s="234">
        <v>249.71</v>
      </c>
      <c r="H180" s="234">
        <v>296.18</v>
      </c>
      <c r="I180">
        <v>309.25</v>
      </c>
      <c r="J180" s="234">
        <v>338.07</v>
      </c>
      <c r="K180" s="814">
        <v>387.09</v>
      </c>
      <c r="L180">
        <v>395.17</v>
      </c>
      <c r="M180" s="417">
        <v>403.03</v>
      </c>
    </row>
    <row r="181" spans="1:13">
      <c r="A181" s="9" t="s">
        <v>584</v>
      </c>
      <c r="B181" s="658" t="s">
        <v>420</v>
      </c>
      <c r="C181" s="234">
        <v>310.13</v>
      </c>
      <c r="D181" s="234">
        <v>259.92</v>
      </c>
      <c r="E181" s="234">
        <v>296.12</v>
      </c>
      <c r="F181" s="234">
        <v>275.63</v>
      </c>
      <c r="G181" s="234">
        <v>347.7</v>
      </c>
      <c r="H181" s="234">
        <v>314.48</v>
      </c>
      <c r="I181">
        <v>356.72</v>
      </c>
      <c r="J181" s="234">
        <v>429.12</v>
      </c>
      <c r="K181" s="814">
        <v>468.2</v>
      </c>
      <c r="L181">
        <v>502.33000000000004</v>
      </c>
      <c r="M181" s="417">
        <v>550.72</v>
      </c>
    </row>
    <row r="182" spans="1:13">
      <c r="A182" s="9" t="s">
        <v>584</v>
      </c>
      <c r="B182" s="659" t="s">
        <v>427</v>
      </c>
      <c r="C182" s="234">
        <v>369.8</v>
      </c>
      <c r="D182" s="234">
        <v>231.9</v>
      </c>
      <c r="E182" s="234">
        <v>286.64999999999998</v>
      </c>
      <c r="F182" s="234">
        <v>323.81</v>
      </c>
      <c r="G182" s="234">
        <v>401.27</v>
      </c>
      <c r="H182" s="234">
        <v>420.08</v>
      </c>
      <c r="I182">
        <v>440.25</v>
      </c>
      <c r="J182" s="234">
        <v>475.41</v>
      </c>
      <c r="K182" s="814">
        <v>506.32999999999993</v>
      </c>
      <c r="L182">
        <v>538.1</v>
      </c>
      <c r="M182" s="417">
        <v>614.15</v>
      </c>
    </row>
    <row r="183" spans="1:13">
      <c r="A183" s="9" t="s">
        <v>584</v>
      </c>
      <c r="B183" s="658" t="s">
        <v>432</v>
      </c>
      <c r="C183" s="234">
        <v>364.86</v>
      </c>
      <c r="D183" s="234">
        <v>226.34</v>
      </c>
      <c r="E183" s="234">
        <v>282.91999999999996</v>
      </c>
      <c r="F183" s="234">
        <v>312.21999999999997</v>
      </c>
      <c r="G183" s="234">
        <v>384.17</v>
      </c>
      <c r="H183" s="234">
        <v>475.53</v>
      </c>
      <c r="I183">
        <v>505.03</v>
      </c>
      <c r="J183" s="234">
        <v>557.01</v>
      </c>
      <c r="K183" s="814">
        <v>592.26</v>
      </c>
      <c r="L183">
        <v>622.27</v>
      </c>
      <c r="M183" s="417">
        <v>648.42999999999995</v>
      </c>
    </row>
    <row r="184" spans="1:13">
      <c r="A184" s="9" t="s">
        <v>584</v>
      </c>
      <c r="B184" s="659" t="s">
        <v>175</v>
      </c>
      <c r="C184" s="234">
        <v>458.59</v>
      </c>
      <c r="D184" s="234">
        <v>323.39</v>
      </c>
      <c r="E184" s="234">
        <v>339.78</v>
      </c>
      <c r="F184" s="234">
        <v>301.13</v>
      </c>
      <c r="G184" s="234">
        <v>344.61</v>
      </c>
      <c r="H184" s="234">
        <v>363.7</v>
      </c>
      <c r="I184">
        <v>415.73</v>
      </c>
      <c r="J184" s="234">
        <v>454.61</v>
      </c>
      <c r="K184" s="814">
        <v>514.23</v>
      </c>
      <c r="L184">
        <v>496.95</v>
      </c>
      <c r="M184" s="417">
        <v>539.69000000000005</v>
      </c>
    </row>
    <row r="185" spans="1:13">
      <c r="A185" s="9" t="s">
        <v>584</v>
      </c>
      <c r="B185" s="658" t="s">
        <v>437</v>
      </c>
      <c r="C185" s="234">
        <v>482.42</v>
      </c>
      <c r="D185" s="234">
        <v>334.28</v>
      </c>
      <c r="E185" s="234">
        <v>369.17</v>
      </c>
      <c r="F185" s="234">
        <v>405.12</v>
      </c>
      <c r="G185" s="234">
        <v>495.76</v>
      </c>
      <c r="H185" s="234">
        <v>469.76</v>
      </c>
      <c r="I185" s="234">
        <v>537.92999999999995</v>
      </c>
      <c r="J185" s="234">
        <v>568.73030731554422</v>
      </c>
      <c r="K185" s="814">
        <v>666.96</v>
      </c>
      <c r="L185">
        <v>631.15</v>
      </c>
      <c r="M185" s="417">
        <v>604.07000000000005</v>
      </c>
    </row>
    <row r="186" spans="1:13">
      <c r="A186" s="9" t="s">
        <v>584</v>
      </c>
      <c r="B186" s="659" t="s">
        <v>449</v>
      </c>
      <c r="C186" s="234">
        <v>404.46</v>
      </c>
      <c r="D186" s="234">
        <v>265.99</v>
      </c>
      <c r="E186" s="234">
        <v>404.46</v>
      </c>
      <c r="F186" s="234">
        <v>305.14</v>
      </c>
      <c r="G186" s="234">
        <v>393.10271432926857</v>
      </c>
      <c r="H186" s="234">
        <v>393.1</v>
      </c>
      <c r="I186">
        <v>551.04</v>
      </c>
      <c r="J186" s="234">
        <v>595.99</v>
      </c>
      <c r="K186" s="814">
        <v>616.19999999999993</v>
      </c>
      <c r="L186">
        <f>357.43+226.05</f>
        <v>583.48</v>
      </c>
      <c r="M186" s="417">
        <v>521.44999999999993</v>
      </c>
    </row>
    <row r="187" spans="1:13">
      <c r="A187" s="9" t="s">
        <v>584</v>
      </c>
      <c r="B187" s="658" t="s">
        <v>201</v>
      </c>
      <c r="C187" s="234">
        <v>369.38</v>
      </c>
      <c r="D187" s="234">
        <v>287.44</v>
      </c>
      <c r="E187" s="234">
        <v>297.12</v>
      </c>
      <c r="F187" s="234">
        <v>269.27</v>
      </c>
      <c r="G187" s="234">
        <v>373.22999999999996</v>
      </c>
      <c r="H187" s="234">
        <v>358.46</v>
      </c>
      <c r="I187">
        <v>384</v>
      </c>
      <c r="J187">
        <v>422.87</v>
      </c>
      <c r="K187" s="814">
        <v>458.66</v>
      </c>
      <c r="L187">
        <v>484.06</v>
      </c>
      <c r="M187" s="417">
        <v>508.88999999999993</v>
      </c>
    </row>
    <row r="188" spans="1:13">
      <c r="A188" s="9" t="s">
        <v>584</v>
      </c>
      <c r="B188" s="659" t="s">
        <v>460</v>
      </c>
      <c r="C188" s="234">
        <v>449.12</v>
      </c>
      <c r="D188" s="234">
        <v>302.11</v>
      </c>
      <c r="E188" s="234">
        <v>344.88</v>
      </c>
      <c r="F188" s="234">
        <v>366.2</v>
      </c>
      <c r="G188" s="234">
        <v>450.46000000000004</v>
      </c>
      <c r="H188" s="234">
        <v>424.82695202870184</v>
      </c>
      <c r="I188">
        <v>507.06</v>
      </c>
      <c r="J188">
        <v>452.06</v>
      </c>
      <c r="K188" s="814">
        <v>503.84</v>
      </c>
      <c r="L188">
        <v>506.04</v>
      </c>
      <c r="M188" s="417">
        <v>514.01</v>
      </c>
    </row>
    <row r="189" spans="1:13">
      <c r="A189" s="9" t="s">
        <v>584</v>
      </c>
      <c r="B189" s="658" t="s">
        <v>465</v>
      </c>
      <c r="C189" s="234">
        <v>405.06</v>
      </c>
      <c r="D189" s="234">
        <v>283</v>
      </c>
      <c r="E189" s="234">
        <v>323.12</v>
      </c>
      <c r="F189" s="234">
        <v>325.23</v>
      </c>
      <c r="G189" s="234">
        <v>414.44</v>
      </c>
      <c r="H189" s="234">
        <v>402.86</v>
      </c>
      <c r="I189">
        <v>497.26</v>
      </c>
      <c r="J189">
        <v>525.89</v>
      </c>
      <c r="K189" s="814">
        <v>571.18000000000006</v>
      </c>
      <c r="L189">
        <f>279.82+218.08</f>
        <v>497.9</v>
      </c>
      <c r="M189" s="417">
        <v>458.09</v>
      </c>
    </row>
    <row r="190" spans="1:13">
      <c r="A190" s="9" t="s">
        <v>584</v>
      </c>
      <c r="B190" s="659" t="s">
        <v>174</v>
      </c>
      <c r="C190" s="234">
        <v>449.12</v>
      </c>
      <c r="D190" s="234">
        <v>302.11</v>
      </c>
      <c r="E190" s="234">
        <v>344.88</v>
      </c>
      <c r="F190" s="234">
        <v>366.2</v>
      </c>
      <c r="G190" s="234">
        <v>471.76</v>
      </c>
      <c r="H190" s="234">
        <v>434.78</v>
      </c>
      <c r="I190">
        <v>498.87</v>
      </c>
      <c r="J190">
        <v>538.66999999999996</v>
      </c>
      <c r="K190" s="814">
        <v>592.31999999999994</v>
      </c>
      <c r="L190">
        <v>573.04999999999995</v>
      </c>
      <c r="M190" s="417">
        <v>611.82000000000005</v>
      </c>
    </row>
    <row r="191" spans="1:13">
      <c r="A191" s="9" t="s">
        <v>584</v>
      </c>
      <c r="B191" s="658" t="s">
        <v>476</v>
      </c>
      <c r="C191" s="234">
        <v>421.37</v>
      </c>
      <c r="D191" s="234">
        <v>303.04000000000002</v>
      </c>
      <c r="E191" s="234">
        <v>315.06</v>
      </c>
      <c r="F191" s="234">
        <v>383.55</v>
      </c>
      <c r="G191" s="234">
        <v>462.38</v>
      </c>
      <c r="H191" s="234">
        <v>421.46</v>
      </c>
      <c r="I191">
        <v>466.23</v>
      </c>
      <c r="J191">
        <v>550.96</v>
      </c>
      <c r="K191" s="814">
        <v>607.33000000000004</v>
      </c>
      <c r="L191">
        <v>642.19000000000005</v>
      </c>
      <c r="M191" s="417">
        <v>700.57</v>
      </c>
    </row>
    <row r="192" spans="1:13">
      <c r="A192" s="9" t="s">
        <v>584</v>
      </c>
      <c r="B192" s="659" t="s">
        <v>356</v>
      </c>
      <c r="C192" s="234">
        <v>334.38</v>
      </c>
      <c r="D192" s="234">
        <v>229.56</v>
      </c>
      <c r="E192" s="234">
        <v>280.39</v>
      </c>
      <c r="F192" s="234">
        <v>226.26999999999998</v>
      </c>
      <c r="G192" s="234">
        <v>319.52999999999997</v>
      </c>
      <c r="H192" s="234">
        <v>347.1</v>
      </c>
      <c r="I192">
        <v>389.73</v>
      </c>
      <c r="J192">
        <v>444.4</v>
      </c>
      <c r="K192" s="814">
        <v>469.96</v>
      </c>
      <c r="L192">
        <v>496.82</v>
      </c>
      <c r="M192" s="417">
        <v>587.54</v>
      </c>
    </row>
    <row r="193" spans="1:16">
      <c r="A193" s="9" t="s">
        <v>584</v>
      </c>
      <c r="B193" s="658" t="s">
        <v>182</v>
      </c>
      <c r="C193" s="234">
        <v>535.47</v>
      </c>
      <c r="D193" s="234">
        <v>338.98</v>
      </c>
      <c r="E193" s="234">
        <v>535.47</v>
      </c>
      <c r="F193" s="234">
        <v>372.87</v>
      </c>
      <c r="G193" s="234">
        <v>533.08000000000004</v>
      </c>
      <c r="H193" s="234">
        <v>533.08000000000004</v>
      </c>
      <c r="I193">
        <v>692.29</v>
      </c>
      <c r="J193">
        <v>764.98</v>
      </c>
      <c r="K193" s="814">
        <v>884.76</v>
      </c>
      <c r="L193">
        <f>763.76+204.91</f>
        <v>968.67</v>
      </c>
      <c r="M193">
        <v>1025.47</v>
      </c>
    </row>
    <row r="194" spans="1:16">
      <c r="A194" s="9" t="s">
        <v>584</v>
      </c>
      <c r="B194" s="660" t="s">
        <v>371</v>
      </c>
      <c r="C194" s="234">
        <v>363.71</v>
      </c>
      <c r="D194" s="234">
        <v>298.24</v>
      </c>
      <c r="E194" s="234">
        <v>363.71</v>
      </c>
      <c r="F194" s="234">
        <v>396.87</v>
      </c>
      <c r="G194" s="234">
        <v>454.81272598997919</v>
      </c>
      <c r="H194" s="234">
        <v>546.46</v>
      </c>
      <c r="I194">
        <v>681.93</v>
      </c>
      <c r="J194">
        <v>744.47</v>
      </c>
      <c r="K194" s="814">
        <v>782.78000000000009</v>
      </c>
      <c r="L194">
        <f>513.49+240.36</f>
        <v>753.85</v>
      </c>
      <c r="M194" s="417">
        <v>761.28</v>
      </c>
    </row>
    <row r="195" spans="1:16">
      <c r="A195" s="9" t="s">
        <v>584</v>
      </c>
      <c r="B195" s="509" t="s">
        <v>366</v>
      </c>
      <c r="C195" s="234"/>
      <c r="D195" s="234"/>
      <c r="E195" s="234"/>
      <c r="F195" s="234"/>
      <c r="G195" s="234"/>
      <c r="H195" s="234"/>
      <c r="J195">
        <f>615+203.54</f>
        <v>818.54</v>
      </c>
      <c r="K195" s="814">
        <v>894.62</v>
      </c>
      <c r="L195">
        <f>765.89+213.34</f>
        <v>979.23</v>
      </c>
      <c r="M195">
        <v>1023.74</v>
      </c>
    </row>
    <row r="196" spans="1:16">
      <c r="A196" s="9" t="s">
        <v>584</v>
      </c>
      <c r="B196" s="509" t="s">
        <v>196</v>
      </c>
      <c r="C196" s="234"/>
      <c r="D196" s="234"/>
      <c r="E196" s="234"/>
      <c r="F196" s="234"/>
      <c r="G196" s="234"/>
      <c r="H196" s="234"/>
      <c r="J196">
        <f>664.33+206.1</f>
        <v>870.43000000000006</v>
      </c>
      <c r="K196" s="814">
        <v>950.33</v>
      </c>
      <c r="L196">
        <v>1054.05</v>
      </c>
      <c r="M196">
        <v>1107.67</v>
      </c>
      <c r="N196" s="234"/>
    </row>
    <row r="197" spans="1:16">
      <c r="A197" s="9" t="s">
        <v>584</v>
      </c>
      <c r="B197" s="509" t="s">
        <v>389</v>
      </c>
      <c r="C197" s="234"/>
      <c r="D197" s="234"/>
      <c r="E197" s="234"/>
      <c r="F197" s="234"/>
      <c r="G197" s="234"/>
      <c r="H197" s="234"/>
      <c r="J197">
        <f>301.06+226.53</f>
        <v>527.59</v>
      </c>
      <c r="K197" s="814">
        <v>562.08000000000004</v>
      </c>
      <c r="L197">
        <v>611.43999999999994</v>
      </c>
      <c r="M197" s="417">
        <v>660.43</v>
      </c>
      <c r="N197" s="8"/>
    </row>
    <row r="198" spans="1:16">
      <c r="A198" s="9" t="s">
        <v>584</v>
      </c>
      <c r="B198" s="509" t="s">
        <v>493</v>
      </c>
      <c r="C198" s="234"/>
      <c r="D198" s="234"/>
      <c r="E198" s="234"/>
      <c r="F198" s="234"/>
      <c r="G198" s="234"/>
      <c r="H198" s="234"/>
      <c r="J198">
        <f>307.78+191.1</f>
        <v>498.88</v>
      </c>
      <c r="K198" s="814">
        <v>528.30999999999995</v>
      </c>
      <c r="L198">
        <v>564.45999999999992</v>
      </c>
      <c r="M198" s="417">
        <v>597.03</v>
      </c>
      <c r="N198" s="8"/>
    </row>
    <row r="199" spans="1:16">
      <c r="A199" s="9" t="s">
        <v>584</v>
      </c>
      <c r="B199" s="509" t="s">
        <v>290</v>
      </c>
      <c r="C199" s="234"/>
      <c r="D199" s="234"/>
      <c r="E199" s="234"/>
      <c r="F199" s="234"/>
      <c r="G199" s="234"/>
      <c r="H199" s="234"/>
      <c r="J199">
        <f>168.45+162.56</f>
        <v>331.01</v>
      </c>
      <c r="K199" s="814">
        <v>350.78999999999996</v>
      </c>
      <c r="L199">
        <v>369.5</v>
      </c>
      <c r="M199" s="417">
        <v>424.29</v>
      </c>
      <c r="N199" s="8"/>
    </row>
    <row r="200" spans="1:16">
      <c r="A200" s="9" t="s">
        <v>584</v>
      </c>
      <c r="B200" s="509" t="s">
        <v>509</v>
      </c>
      <c r="C200" s="234"/>
      <c r="D200" s="234"/>
      <c r="E200" s="234"/>
      <c r="F200" s="234"/>
      <c r="G200" s="234"/>
      <c r="H200" s="234"/>
      <c r="J200">
        <f>439.25+192.21</f>
        <v>631.46</v>
      </c>
      <c r="K200" s="814">
        <v>667.26</v>
      </c>
      <c r="L200">
        <v>648.54999999999995</v>
      </c>
      <c r="M200" s="417">
        <v>635.66</v>
      </c>
      <c r="N200" s="8"/>
    </row>
    <row r="201" spans="1:16">
      <c r="A201" s="9" t="s">
        <v>584</v>
      </c>
      <c r="B201" s="509" t="s">
        <v>186</v>
      </c>
      <c r="C201" s="234"/>
      <c r="D201" s="234"/>
      <c r="E201" s="234"/>
      <c r="F201" s="234"/>
      <c r="G201" s="234"/>
      <c r="H201" s="234"/>
      <c r="J201">
        <f>171.47+169.46</f>
        <v>340.93</v>
      </c>
      <c r="K201" s="814">
        <v>374.59</v>
      </c>
      <c r="L201">
        <v>366.5</v>
      </c>
      <c r="M201" s="417">
        <v>409.78999999999996</v>
      </c>
      <c r="N201" s="8"/>
    </row>
    <row r="202" spans="1:16">
      <c r="A202" s="9" t="s">
        <v>584</v>
      </c>
      <c r="B202" s="509" t="s">
        <v>471</v>
      </c>
      <c r="C202" s="234"/>
      <c r="D202" s="234"/>
      <c r="E202" s="234"/>
      <c r="F202" s="234"/>
      <c r="G202" s="234"/>
      <c r="H202" s="234"/>
      <c r="J202">
        <f>340.97+179.98</f>
        <v>520.95000000000005</v>
      </c>
      <c r="K202" s="814">
        <v>564.18000000000006</v>
      </c>
      <c r="L202">
        <v>604.55000000000007</v>
      </c>
      <c r="M202" s="417">
        <v>472.58</v>
      </c>
      <c r="N202" s="8"/>
    </row>
    <row r="203" spans="1:16">
      <c r="A203" s="9" t="s">
        <v>584</v>
      </c>
      <c r="B203" s="509" t="s">
        <v>520</v>
      </c>
      <c r="C203" s="234"/>
      <c r="D203" s="234"/>
      <c r="E203" s="234"/>
      <c r="F203" s="234"/>
      <c r="G203" s="234"/>
      <c r="H203" s="234"/>
      <c r="J203">
        <f>190.47+169.91</f>
        <v>360.38</v>
      </c>
      <c r="K203" s="814">
        <v>386.85</v>
      </c>
      <c r="L203">
        <v>418.26000000000005</v>
      </c>
      <c r="M203" s="417">
        <v>463.75</v>
      </c>
      <c r="N203" s="8"/>
    </row>
    <row r="204" spans="1:16">
      <c r="A204" s="9" t="s">
        <v>584</v>
      </c>
      <c r="B204" s="509" t="s">
        <v>555</v>
      </c>
      <c r="C204" s="234"/>
      <c r="D204" s="234"/>
      <c r="E204" s="234"/>
      <c r="F204" s="234"/>
      <c r="G204" s="234"/>
      <c r="H204" s="234"/>
      <c r="J204">
        <f>342.7+181.1</f>
        <v>523.79999999999995</v>
      </c>
      <c r="K204" s="814">
        <v>559.9</v>
      </c>
      <c r="L204">
        <f>357.17+229.26</f>
        <v>586.43000000000006</v>
      </c>
      <c r="M204" s="417">
        <v>662.51</v>
      </c>
      <c r="N204" s="8"/>
    </row>
    <row r="205" spans="1:16">
      <c r="A205" s="9" t="s">
        <v>584</v>
      </c>
      <c r="B205" s="509" t="s">
        <v>614</v>
      </c>
      <c r="C205" s="234"/>
      <c r="D205" s="234"/>
      <c r="E205" s="234"/>
      <c r="F205" s="234"/>
      <c r="G205" s="234"/>
      <c r="H205" s="234"/>
      <c r="J205">
        <f>339.3+208.3</f>
        <v>547.6</v>
      </c>
      <c r="K205" s="814">
        <v>595.43999999999994</v>
      </c>
      <c r="L205">
        <f>413.48+197.81</f>
        <v>611.29</v>
      </c>
      <c r="M205" s="417">
        <v>640.98</v>
      </c>
    </row>
    <row r="206" spans="1:16">
      <c r="A206" s="9" t="s">
        <v>584</v>
      </c>
      <c r="B206" s="509" t="s">
        <v>11</v>
      </c>
      <c r="C206" s="234"/>
      <c r="D206" s="234"/>
      <c r="E206" s="234"/>
      <c r="F206" s="234"/>
      <c r="G206" s="234"/>
      <c r="H206" s="234"/>
      <c r="J206">
        <f>515.49+163.34</f>
        <v>678.83</v>
      </c>
      <c r="K206" s="814">
        <v>735.09</v>
      </c>
      <c r="L206">
        <f>616.69+148.58</f>
        <v>765.2700000000001</v>
      </c>
      <c r="M206" s="417">
        <v>815.69</v>
      </c>
    </row>
    <row r="207" spans="1:16">
      <c r="A207" s="266" t="s">
        <v>584</v>
      </c>
      <c r="B207" s="810" t="s">
        <v>327</v>
      </c>
      <c r="C207" s="234"/>
      <c r="D207" s="234"/>
      <c r="E207" s="234"/>
      <c r="F207" s="234"/>
      <c r="G207" s="234"/>
      <c r="H207" s="234"/>
      <c r="K207" s="814">
        <v>470.82</v>
      </c>
      <c r="L207">
        <f>281.75+226.45</f>
        <v>508.2</v>
      </c>
      <c r="M207" s="417">
        <v>536.98</v>
      </c>
    </row>
    <row r="208" spans="1:16">
      <c r="A208" s="266" t="s">
        <v>584</v>
      </c>
      <c r="B208" s="810" t="s">
        <v>320</v>
      </c>
      <c r="C208" s="234"/>
      <c r="D208" s="234"/>
      <c r="E208" s="234"/>
      <c r="F208" s="234"/>
      <c r="G208" s="234"/>
      <c r="H208" s="234"/>
      <c r="K208" s="814"/>
      <c r="L208">
        <f>357.76+231.81</f>
        <v>589.56999999999994</v>
      </c>
      <c r="M208" s="417">
        <v>677.96999999999991</v>
      </c>
      <c r="O208" s="854" t="s">
        <v>615</v>
      </c>
      <c r="P208" s="855">
        <v>968.67</v>
      </c>
    </row>
    <row r="209" spans="1:50">
      <c r="A209" s="9" t="s">
        <v>27</v>
      </c>
      <c r="B209" s="487" t="s">
        <v>163</v>
      </c>
      <c r="C209" s="234">
        <v>427.01</v>
      </c>
      <c r="D209" s="234">
        <v>350.15</v>
      </c>
      <c r="E209" s="234">
        <v>391.91</v>
      </c>
      <c r="F209" s="234">
        <v>389.30999999999995</v>
      </c>
      <c r="G209" s="234">
        <v>506.91999999999996</v>
      </c>
      <c r="H209" s="234">
        <v>541.95000000000005</v>
      </c>
      <c r="I209">
        <v>507.61</v>
      </c>
      <c r="J209">
        <v>622.61</v>
      </c>
      <c r="K209" s="814">
        <f>397.32+270.9</f>
        <v>668.22</v>
      </c>
      <c r="L209">
        <v>683.67</v>
      </c>
      <c r="M209" s="520">
        <v>714.43999999999994</v>
      </c>
      <c r="N209">
        <v>838.02</v>
      </c>
      <c r="O209" s="854" t="s">
        <v>616</v>
      </c>
      <c r="P209" s="855" t="e">
        <v>#N/A</v>
      </c>
    </row>
    <row r="210" spans="1:50">
      <c r="A210" s="9" t="s">
        <v>27</v>
      </c>
      <c r="B210" s="487" t="s">
        <v>189</v>
      </c>
      <c r="C210" s="234">
        <v>313.8</v>
      </c>
      <c r="D210" s="234">
        <v>255.8</v>
      </c>
      <c r="E210" s="234">
        <v>288.68</v>
      </c>
      <c r="F210" s="234">
        <v>353.49</v>
      </c>
      <c r="G210" s="234">
        <v>444.36</v>
      </c>
      <c r="H210" s="234">
        <v>431.42</v>
      </c>
      <c r="I210">
        <v>459.85</v>
      </c>
      <c r="J210">
        <f>208.72+311.77</f>
        <v>520.49</v>
      </c>
      <c r="K210" s="814">
        <v>469.78</v>
      </c>
      <c r="L210">
        <v>505.99000000000007</v>
      </c>
      <c r="M210" s="417">
        <v>532.24</v>
      </c>
      <c r="O210" s="854" t="s">
        <v>617</v>
      </c>
      <c r="P210" s="855" t="e">
        <v>#N/A</v>
      </c>
    </row>
    <row r="211" spans="1:50">
      <c r="A211" s="9" t="s">
        <v>27</v>
      </c>
      <c r="B211" s="487" t="s">
        <v>125</v>
      </c>
      <c r="C211" s="234">
        <v>338.46</v>
      </c>
      <c r="D211" s="234">
        <v>271.8</v>
      </c>
      <c r="E211" s="234">
        <v>282.32</v>
      </c>
      <c r="F211" s="234">
        <v>328.86</v>
      </c>
      <c r="G211" s="234">
        <v>424.02</v>
      </c>
      <c r="H211" s="234">
        <v>418.87</v>
      </c>
      <c r="I211" s="234">
        <v>432.96262292463598</v>
      </c>
      <c r="J211">
        <v>432.96</v>
      </c>
      <c r="K211" s="487">
        <f>252.99+244.36</f>
        <v>497.35</v>
      </c>
      <c r="L211">
        <v>513.89</v>
      </c>
      <c r="M211" s="417">
        <v>572.45999999999992</v>
      </c>
      <c r="O211" s="854" t="s">
        <v>618</v>
      </c>
      <c r="P211" s="855" t="e">
        <v>#N/A</v>
      </c>
    </row>
    <row r="212" spans="1:50">
      <c r="A212" s="9" t="s">
        <v>27</v>
      </c>
      <c r="B212" s="487" t="s">
        <v>599</v>
      </c>
      <c r="C212" s="234">
        <v>296.26</v>
      </c>
      <c r="D212" s="234">
        <v>242.58</v>
      </c>
      <c r="E212" s="234">
        <v>263.55</v>
      </c>
      <c r="F212" s="234">
        <v>326.37</v>
      </c>
      <c r="G212" s="234">
        <v>492.31</v>
      </c>
      <c r="H212" s="234">
        <v>421.47</v>
      </c>
      <c r="I212">
        <v>440.56</v>
      </c>
      <c r="J212">
        <v>507.52</v>
      </c>
      <c r="K212" s="814">
        <v>517.61</v>
      </c>
      <c r="L212">
        <v>512.77</v>
      </c>
      <c r="M212" s="417">
        <v>558.81000000000006</v>
      </c>
      <c r="O212" s="854" t="s">
        <v>619</v>
      </c>
      <c r="P212" s="855" t="e">
        <v>#N/A</v>
      </c>
    </row>
    <row r="213" spans="1:50">
      <c r="A213" s="9" t="s">
        <v>27</v>
      </c>
      <c r="B213" s="487" t="s">
        <v>150</v>
      </c>
      <c r="C213" s="234">
        <v>276.20999999999998</v>
      </c>
      <c r="D213" s="234">
        <v>272.12</v>
      </c>
      <c r="E213" s="234">
        <v>316.86</v>
      </c>
      <c r="F213" s="234">
        <v>316.86</v>
      </c>
      <c r="G213" s="234">
        <v>419.64</v>
      </c>
      <c r="H213" s="234">
        <v>447.18999999999994</v>
      </c>
      <c r="I213">
        <v>404.17</v>
      </c>
      <c r="J213">
        <v>484.63</v>
      </c>
      <c r="K213" s="814">
        <v>523.02</v>
      </c>
      <c r="L213">
        <v>550.20000000000005</v>
      </c>
      <c r="M213">
        <v>595.66</v>
      </c>
      <c r="N213">
        <v>678.65</v>
      </c>
      <c r="O213" s="854" t="s">
        <v>620</v>
      </c>
      <c r="P213" s="855" t="e">
        <v>#N/A</v>
      </c>
    </row>
    <row r="214" spans="1:50">
      <c r="A214" s="9" t="s">
        <v>27</v>
      </c>
      <c r="B214" s="487" t="s">
        <v>178</v>
      </c>
      <c r="C214" s="234">
        <v>314.83999999999997</v>
      </c>
      <c r="D214" s="234">
        <v>256.94</v>
      </c>
      <c r="E214" s="234">
        <v>278.24</v>
      </c>
      <c r="F214" s="234">
        <v>336.65</v>
      </c>
      <c r="G214" s="234">
        <v>510.81000000000006</v>
      </c>
      <c r="H214" s="234">
        <v>411.1</v>
      </c>
      <c r="I214">
        <v>465.66</v>
      </c>
      <c r="J214">
        <v>552.91999999999996</v>
      </c>
      <c r="K214" s="814">
        <v>490.18</v>
      </c>
      <c r="L214">
        <v>533.54999999999995</v>
      </c>
      <c r="M214" s="417">
        <v>619.94000000000005</v>
      </c>
      <c r="O214" s="854" t="s">
        <v>621</v>
      </c>
      <c r="P214" s="855">
        <v>586.86</v>
      </c>
    </row>
    <row r="215" spans="1:50">
      <c r="A215" s="9" t="s">
        <v>27</v>
      </c>
      <c r="B215" s="487" t="s">
        <v>204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14">
        <f>303.99+243.7</f>
        <v>547.69000000000005</v>
      </c>
      <c r="L215">
        <v>541.15</v>
      </c>
      <c r="M215" s="860">
        <v>564.97</v>
      </c>
      <c r="N215">
        <v>606.77</v>
      </c>
      <c r="O215" s="854" t="s">
        <v>622</v>
      </c>
      <c r="P215" s="855" t="e">
        <v>#N/A</v>
      </c>
    </row>
    <row r="216" spans="1:50">
      <c r="A216" s="9" t="s">
        <v>27</v>
      </c>
      <c r="B216" s="487" t="s">
        <v>285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61">
        <v>487.3</v>
      </c>
      <c r="J216">
        <f>241.74+319.79</f>
        <v>561.53</v>
      </c>
      <c r="K216" s="814">
        <v>525.73</v>
      </c>
      <c r="L216" s="661">
        <v>546.10945347732809</v>
      </c>
      <c r="M216" s="417">
        <v>635.92000000000007</v>
      </c>
      <c r="N216" s="852"/>
      <c r="O216" s="854" t="s">
        <v>623</v>
      </c>
      <c r="P216" s="855" t="e">
        <v>#N/A</v>
      </c>
    </row>
    <row r="217" spans="1:50">
      <c r="A217" s="9" t="s">
        <v>27</v>
      </c>
      <c r="B217" s="487" t="s">
        <v>164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14">
        <v>531.87</v>
      </c>
      <c r="L217" s="661">
        <v>555.04999999999995</v>
      </c>
      <c r="M217" s="417">
        <v>622.58000000000004</v>
      </c>
      <c r="O217" s="854" t="s">
        <v>624</v>
      </c>
      <c r="P217" s="855" t="e">
        <v>#N/A</v>
      </c>
    </row>
    <row r="218" spans="1:50">
      <c r="A218" s="9" t="s">
        <v>27</v>
      </c>
      <c r="B218" s="487" t="s">
        <v>312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14">
        <v>515.59</v>
      </c>
      <c r="L218" s="661">
        <v>534.19000000000005</v>
      </c>
      <c r="M218" s="417">
        <v>594.49</v>
      </c>
      <c r="O218" s="854" t="s">
        <v>625</v>
      </c>
      <c r="P218" s="855" t="e">
        <v>#N/A</v>
      </c>
    </row>
    <row r="219" spans="1:50">
      <c r="A219" s="9" t="s">
        <v>27</v>
      </c>
      <c r="B219" s="487" t="s">
        <v>602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14">
        <v>530.72</v>
      </c>
      <c r="L219" s="661">
        <v>535.51</v>
      </c>
      <c r="M219" s="234">
        <v>580.43681504518099</v>
      </c>
      <c r="N219">
        <v>677.99</v>
      </c>
      <c r="O219" s="854" t="s">
        <v>626</v>
      </c>
      <c r="P219" s="855" t="e">
        <v>#N/A</v>
      </c>
    </row>
    <row r="220" spans="1:50">
      <c r="A220" s="9" t="s">
        <v>27</v>
      </c>
      <c r="B220" s="487" t="s">
        <v>206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14">
        <v>560.27</v>
      </c>
      <c r="L220" s="661">
        <v>589.57000000000005</v>
      </c>
      <c r="M220" s="417">
        <v>643.09</v>
      </c>
      <c r="O220" s="854" t="s">
        <v>627</v>
      </c>
      <c r="P220" s="855" t="e">
        <v>#N/A</v>
      </c>
    </row>
    <row r="221" spans="1:50">
      <c r="A221" t="s">
        <v>27</v>
      </c>
      <c r="B221" s="481" t="s">
        <v>353</v>
      </c>
      <c r="J221">
        <v>547.6</v>
      </c>
      <c r="K221" s="814">
        <v>515.07000000000005</v>
      </c>
      <c r="L221">
        <v>548.96999999999991</v>
      </c>
      <c r="M221" s="417">
        <v>629.70000000000005</v>
      </c>
      <c r="O221" s="854" t="s">
        <v>628</v>
      </c>
      <c r="P221" s="855" t="e">
        <v>#N/A</v>
      </c>
    </row>
    <row r="222" spans="1:50">
      <c r="A222" t="s">
        <v>27</v>
      </c>
      <c r="B222" s="481" t="s">
        <v>608</v>
      </c>
      <c r="K222" s="814"/>
      <c r="L222">
        <v>571.71</v>
      </c>
      <c r="M222" s="417">
        <v>605.55000000000007</v>
      </c>
      <c r="O222" s="854" t="s">
        <v>629</v>
      </c>
      <c r="P222" s="869" t="e">
        <v>#N/A</v>
      </c>
      <c r="AS222" s="859"/>
      <c r="AX222" s="859"/>
    </row>
    <row r="223" spans="1:50">
      <c r="O223" s="854" t="s">
        <v>630</v>
      </c>
      <c r="P223" s="855" t="e">
        <v>#N/A</v>
      </c>
    </row>
    <row r="224" spans="1:50">
      <c r="O224" s="854" t="s">
        <v>631</v>
      </c>
      <c r="P224" s="855" t="e">
        <v>#N/A</v>
      </c>
    </row>
    <row r="225" spans="11:16">
      <c r="K225" s="855">
        <v>547.69000000000005</v>
      </c>
      <c r="O225" s="854" t="s">
        <v>632</v>
      </c>
      <c r="P225" s="855" t="e">
        <v>#N/A</v>
      </c>
    </row>
    <row r="226" spans="11:16">
      <c r="O226" s="854" t="s">
        <v>633</v>
      </c>
      <c r="P226" s="855" t="e">
        <v>#N/A</v>
      </c>
    </row>
    <row r="227" spans="11:16">
      <c r="O227" s="854" t="s">
        <v>634</v>
      </c>
      <c r="P227" s="856" t="e">
        <v>#N/A</v>
      </c>
    </row>
    <row r="228" spans="11:16">
      <c r="O228" s="854" t="s">
        <v>635</v>
      </c>
      <c r="P228" s="856" t="e">
        <v>#N/A</v>
      </c>
    </row>
    <row r="229" spans="11:16">
      <c r="O229" s="854" t="s">
        <v>636</v>
      </c>
      <c r="P229" s="856" t="e">
        <v>#N/A</v>
      </c>
    </row>
    <row r="230" spans="11:16">
      <c r="O230" s="854" t="s">
        <v>637</v>
      </c>
      <c r="P230" s="856" t="e">
        <v>#N/A</v>
      </c>
    </row>
    <row r="231" spans="11:16">
      <c r="O231" s="854" t="s">
        <v>638</v>
      </c>
      <c r="P231" s="856" t="e">
        <v>#N/A</v>
      </c>
    </row>
    <row r="232" spans="11:16">
      <c r="O232" s="854" t="s">
        <v>639</v>
      </c>
      <c r="P232" s="856" t="e">
        <v>#N/A</v>
      </c>
    </row>
    <row r="233" spans="11:16">
      <c r="O233" s="854" t="s">
        <v>640</v>
      </c>
      <c r="P233" s="856" t="e">
        <v>#N/A</v>
      </c>
    </row>
    <row r="234" spans="11:16">
      <c r="O234" s="854" t="s">
        <v>641</v>
      </c>
      <c r="P234" s="856" t="e">
        <v>#N/A</v>
      </c>
    </row>
    <row r="235" spans="11:16">
      <c r="O235" s="854" t="s">
        <v>642</v>
      </c>
      <c r="P235" s="856">
        <v>979.23</v>
      </c>
    </row>
    <row r="236" spans="11:16">
      <c r="O236" s="854" t="s">
        <v>643</v>
      </c>
      <c r="P236" s="856">
        <v>1054.05</v>
      </c>
    </row>
  </sheetData>
  <sortState xmlns:xlrd2="http://schemas.microsoft.com/office/spreadsheetml/2017/richdata2" ref="AR10:AR61">
    <sortCondition ref="AR10:AR61"/>
  </sortState>
  <phoneticPr fontId="110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abSelected="1" topLeftCell="D19" zoomScale="91" zoomScaleNormal="91" workbookViewId="0">
      <selection activeCell="L36" sqref="L36"/>
    </sheetView>
  </sheetViews>
  <sheetFormatPr defaultColWidth="9.140625" defaultRowHeight="15.75"/>
  <cols>
    <col min="1" max="1" width="2.5703125" style="381" customWidth="1"/>
    <col min="2" max="2" width="36.42578125" style="381" customWidth="1"/>
    <col min="3" max="3" width="23.85546875" style="381" customWidth="1"/>
    <col min="4" max="4" width="17.7109375" style="381" customWidth="1"/>
    <col min="5" max="5" width="3.42578125" style="381" customWidth="1"/>
    <col min="6" max="6" width="41.85546875" style="381" customWidth="1"/>
    <col min="7" max="7" width="28" style="546" customWidth="1"/>
    <col min="8" max="8" width="28" style="381" customWidth="1"/>
    <col min="9" max="9" width="14.85546875" style="381" customWidth="1"/>
    <col min="10" max="10" width="32.7109375" style="381" bestFit="1" customWidth="1"/>
    <col min="11" max="11" width="22" style="381" bestFit="1" customWidth="1"/>
    <col min="12" max="12" width="19.140625" style="381" customWidth="1"/>
    <col min="13" max="13" width="18.42578125" style="381" customWidth="1"/>
    <col min="14" max="14" width="37.85546875" style="381" customWidth="1"/>
    <col min="15" max="15" width="19.28515625" style="381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5" bestFit="1" customWidth="1"/>
    <col min="54" max="54" width="9.140625" style="235"/>
    <col min="55" max="57" width="11.140625" style="235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6" customWidth="1"/>
    <col min="67" max="67" width="12.42578125" style="486" customWidth="1"/>
    <col min="68" max="68" width="12" style="486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7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5" customWidth="1"/>
    <col min="85" max="16384" width="9.140625" style="381"/>
  </cols>
  <sheetData>
    <row r="1" spans="1:84" ht="25.5">
      <c r="B1" s="1067" t="s">
        <v>2191</v>
      </c>
      <c r="C1" s="1068"/>
      <c r="D1" s="1068"/>
      <c r="M1" s="547"/>
      <c r="P1" s="892" t="str">
        <f>IF((VLOOKUP(LnkTXTSigla,Informacoes[],5,FALSE))="8.4","VERDADEIRO","FALSO")</f>
        <v>VERDADEIRO</v>
      </c>
      <c r="Q1" s="892" t="s">
        <v>644</v>
      </c>
      <c r="BA1" s="485"/>
      <c r="BB1" s="485"/>
      <c r="BC1" s="485"/>
      <c r="BD1" s="485"/>
    </row>
    <row r="2" spans="1:84" ht="25.5">
      <c r="B2" s="548" t="str">
        <f>CAPA!C9</f>
        <v>Cerfox</v>
      </c>
      <c r="C2" s="638"/>
      <c r="D2" s="549"/>
      <c r="E2" s="589" t="s">
        <v>645</v>
      </c>
      <c r="F2" s="589"/>
      <c r="G2" s="589"/>
      <c r="H2" s="616"/>
      <c r="M2" s="547"/>
      <c r="AK2" s="486"/>
      <c r="AZ2" s="1709" t="s">
        <v>646</v>
      </c>
      <c r="BA2" s="1710"/>
      <c r="BB2" s="1710"/>
      <c r="BC2" s="1710"/>
      <c r="BD2" s="1710"/>
      <c r="BE2" s="1710"/>
      <c r="BF2" s="1710"/>
      <c r="BG2" s="487"/>
      <c r="BM2" s="490"/>
      <c r="BW2" s="421"/>
      <c r="BX2" s="421"/>
      <c r="BY2" s="421"/>
      <c r="BZ2" s="421"/>
      <c r="CA2" s="421"/>
      <c r="CB2" s="421"/>
      <c r="CC2" s="421"/>
      <c r="CD2" s="421"/>
      <c r="CE2" s="421"/>
      <c r="CF2" s="517"/>
    </row>
    <row r="3" spans="1:84">
      <c r="C3" s="561"/>
      <c r="E3" s="584" t="s">
        <v>2165</v>
      </c>
      <c r="F3" s="584"/>
      <c r="G3" s="584"/>
      <c r="H3" s="537"/>
      <c r="M3" s="547"/>
      <c r="O3" s="381">
        <f>VALUE(RIGHT(P3,2))</f>
        <v>57</v>
      </c>
      <c r="P3" s="1069" t="str">
        <f>VLOOKUP($C$9,Informacoes[],4,FALSE)</f>
        <v>C57</v>
      </c>
      <c r="Q3" s="1069" t="str">
        <f>VLOOKUP($C$9,Informacoes[],2,FALSE)</f>
        <v xml:space="preserve">Cooperativa de Distribuição de Energia Fontoura Xavier </v>
      </c>
      <c r="AH3" s="488"/>
      <c r="AI3" s="486"/>
      <c r="BA3" s="485"/>
      <c r="BB3" s="485"/>
      <c r="BC3" s="485"/>
      <c r="BD3" s="485"/>
      <c r="BM3" s="17"/>
      <c r="BQ3" s="489"/>
      <c r="BW3" s="421"/>
      <c r="BX3" s="421"/>
      <c r="BY3" s="421"/>
      <c r="BZ3" s="421"/>
      <c r="CA3" s="421"/>
      <c r="CB3" s="421"/>
      <c r="CC3" s="421"/>
      <c r="CD3" s="421"/>
      <c r="CE3" s="421"/>
      <c r="CF3" s="517"/>
    </row>
    <row r="4" spans="1:84">
      <c r="E4" s="776" t="s">
        <v>2166</v>
      </c>
      <c r="F4" s="776"/>
      <c r="G4" s="776"/>
      <c r="H4" s="804"/>
      <c r="I4" s="550"/>
      <c r="M4" s="547"/>
      <c r="AZ4" s="892"/>
      <c r="BA4" s="1070">
        <v>40940</v>
      </c>
      <c r="BB4" s="1070" t="s">
        <v>611</v>
      </c>
      <c r="BC4" s="1070">
        <v>41306</v>
      </c>
      <c r="BD4" s="1070">
        <v>41671</v>
      </c>
      <c r="BE4" s="1071">
        <v>42036</v>
      </c>
      <c r="BF4" s="1072">
        <v>42401</v>
      </c>
      <c r="BG4" s="1072">
        <v>42767</v>
      </c>
      <c r="BI4" s="1073"/>
      <c r="BJ4" s="1073"/>
      <c r="BK4" s="1073"/>
      <c r="BL4" s="1073"/>
      <c r="BM4" s="1074"/>
      <c r="BN4" s="1074"/>
      <c r="BO4" s="1074"/>
      <c r="BP4" s="1074"/>
      <c r="BQ4" s="1074"/>
      <c r="BR4" s="1074"/>
      <c r="BS4" s="1074"/>
      <c r="BT4" s="1074"/>
      <c r="BU4" s="1074"/>
      <c r="BV4" s="494"/>
      <c r="BW4" s="421"/>
      <c r="BX4" s="421"/>
      <c r="BY4" s="421"/>
      <c r="BZ4" s="421"/>
      <c r="CA4" s="421"/>
      <c r="CB4" s="421"/>
      <c r="CC4" s="421"/>
      <c r="CD4" s="421"/>
      <c r="CE4" s="421"/>
      <c r="CF4" s="421"/>
    </row>
    <row r="5" spans="1:84">
      <c r="E5" s="776" t="s">
        <v>647</v>
      </c>
      <c r="F5" s="776"/>
      <c r="G5" s="776"/>
      <c r="H5" s="787"/>
      <c r="I5" s="550"/>
      <c r="M5" s="547"/>
      <c r="O5" s="9"/>
      <c r="R5" s="381"/>
      <c r="S5" s="381"/>
      <c r="T5" s="381"/>
      <c r="U5" s="381"/>
      <c r="V5" s="381"/>
      <c r="W5" s="381"/>
      <c r="X5" s="381"/>
      <c r="Y5" s="381"/>
      <c r="Z5" s="381"/>
      <c r="AA5" s="381"/>
      <c r="AB5" s="381"/>
      <c r="AC5" s="381"/>
      <c r="AD5" s="381"/>
      <c r="AE5" s="381"/>
      <c r="AF5" s="381"/>
      <c r="AG5" s="381"/>
      <c r="AH5" s="381"/>
      <c r="AI5" s="381"/>
      <c r="AJ5" s="381"/>
      <c r="AK5" s="381"/>
      <c r="AL5" s="381"/>
      <c r="AM5" s="381"/>
      <c r="AN5" s="381"/>
      <c r="AO5" s="381"/>
      <c r="AP5" s="381"/>
      <c r="AQ5" s="381"/>
      <c r="AR5" s="381"/>
      <c r="AS5" s="381"/>
      <c r="AT5" s="381"/>
      <c r="AU5" s="381"/>
      <c r="AV5" s="381"/>
      <c r="AW5" s="381"/>
      <c r="AX5" s="381"/>
      <c r="AY5" s="381"/>
      <c r="AZ5" s="381"/>
      <c r="BA5" s="381"/>
      <c r="BB5" s="381"/>
      <c r="BC5" s="381"/>
      <c r="BD5" s="381"/>
      <c r="BE5" s="381"/>
      <c r="BF5" s="381"/>
      <c r="BG5" s="381"/>
      <c r="BH5" s="381"/>
      <c r="BI5" s="381"/>
      <c r="BJ5" s="381"/>
      <c r="BK5" s="381"/>
      <c r="BL5" s="381"/>
      <c r="BM5" s="381"/>
      <c r="BN5" s="381"/>
      <c r="BO5" s="381"/>
      <c r="BP5" s="381"/>
      <c r="BQ5" s="381"/>
      <c r="BR5" s="381"/>
      <c r="BS5" s="381"/>
      <c r="BT5" s="381"/>
      <c r="BU5" s="381"/>
      <c r="BV5" s="381"/>
      <c r="BW5" s="381"/>
      <c r="BX5" s="381"/>
      <c r="BY5" s="381"/>
      <c r="BZ5" s="381"/>
      <c r="CA5" s="381"/>
      <c r="CB5" s="381"/>
      <c r="CC5" s="381"/>
      <c r="CD5" s="381"/>
      <c r="CE5" s="381"/>
      <c r="CF5" s="381"/>
    </row>
    <row r="6" spans="1:84" ht="17.25" customHeight="1" thickBot="1">
      <c r="F6" s="551"/>
      <c r="I6" s="550"/>
      <c r="N6" s="552"/>
      <c r="O6" s="9"/>
      <c r="R6" s="381"/>
      <c r="S6" s="381"/>
      <c r="T6" s="381"/>
      <c r="U6" s="381"/>
      <c r="V6" s="381"/>
      <c r="W6" s="381"/>
      <c r="X6" s="381"/>
      <c r="Y6" s="381"/>
      <c r="Z6" s="381"/>
      <c r="AA6" s="381"/>
      <c r="AB6" s="381"/>
      <c r="AC6" s="381"/>
      <c r="AD6" s="381"/>
      <c r="AE6" s="381"/>
      <c r="AF6" s="381"/>
      <c r="AG6" s="381"/>
      <c r="AH6" s="381"/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1"/>
      <c r="AT6" s="381"/>
      <c r="AU6" s="381"/>
      <c r="AV6" s="381"/>
      <c r="AW6" s="381"/>
      <c r="AX6" s="381"/>
      <c r="AY6" s="381"/>
      <c r="AZ6" s="381"/>
      <c r="BA6" s="381"/>
      <c r="BB6" s="381"/>
      <c r="BC6" s="381"/>
      <c r="BD6" s="381"/>
      <c r="BE6" s="381"/>
      <c r="BF6" s="381"/>
      <c r="BG6" s="381"/>
      <c r="BH6" s="381"/>
      <c r="BI6" s="381"/>
      <c r="BJ6" s="381"/>
      <c r="BK6" s="381"/>
      <c r="BL6" s="381"/>
      <c r="BM6" s="381"/>
      <c r="BN6" s="381"/>
      <c r="BO6" s="381"/>
      <c r="BP6" s="381"/>
      <c r="BQ6" s="381"/>
      <c r="BR6" s="381"/>
      <c r="BS6" s="381"/>
      <c r="BT6" s="381"/>
      <c r="BU6" s="381"/>
      <c r="BV6" s="381"/>
      <c r="BW6" s="381"/>
      <c r="BX6" s="381"/>
      <c r="BY6" s="381"/>
      <c r="BZ6" s="381"/>
      <c r="CA6" s="381"/>
      <c r="CB6" s="381"/>
      <c r="CC6" s="381"/>
      <c r="CD6" s="381"/>
      <c r="CE6" s="381"/>
      <c r="CF6" s="381"/>
    </row>
    <row r="7" spans="1:84" ht="26.25" thickBot="1">
      <c r="A7" s="553"/>
      <c r="B7" s="543" t="s">
        <v>648</v>
      </c>
      <c r="C7" s="554"/>
      <c r="D7" s="554"/>
      <c r="E7" s="555"/>
      <c r="F7" s="555"/>
      <c r="G7" s="555"/>
      <c r="H7" s="535"/>
      <c r="I7" s="536"/>
      <c r="J7" s="555"/>
      <c r="K7" s="556"/>
      <c r="L7" s="557"/>
      <c r="M7" s="558"/>
      <c r="N7" s="559"/>
      <c r="O7" s="9"/>
      <c r="Q7" s="538"/>
      <c r="R7" s="381"/>
      <c r="S7" s="381"/>
      <c r="T7" s="381"/>
      <c r="U7" s="381"/>
      <c r="V7" s="381"/>
      <c r="W7" s="381"/>
      <c r="X7" s="381"/>
      <c r="Y7" s="381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1"/>
      <c r="BD7" s="381"/>
      <c r="BE7" s="381"/>
      <c r="BF7" s="381"/>
      <c r="BG7" s="381"/>
      <c r="BH7" s="381"/>
      <c r="BI7" s="381"/>
      <c r="BJ7" s="381"/>
      <c r="BK7" s="381"/>
      <c r="BL7" s="381"/>
      <c r="BM7" s="381"/>
      <c r="BN7" s="381"/>
      <c r="BO7" s="381"/>
      <c r="BP7" s="381"/>
      <c r="BQ7" s="381"/>
      <c r="BR7" s="381"/>
      <c r="BS7" s="381"/>
      <c r="BT7" s="381"/>
      <c r="BU7" s="381"/>
      <c r="BV7" s="381"/>
      <c r="BW7" s="381"/>
      <c r="BX7" s="381"/>
      <c r="BY7" s="381"/>
      <c r="BZ7" s="381"/>
      <c r="CA7" s="381"/>
      <c r="CB7" s="381"/>
      <c r="CC7" s="381"/>
      <c r="CD7" s="381"/>
      <c r="CE7" s="381"/>
      <c r="CF7" s="381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52"/>
      <c r="O8" s="9"/>
      <c r="P8" s="275"/>
      <c r="Q8" s="785"/>
      <c r="R8" s="381"/>
      <c r="S8" s="381"/>
      <c r="T8" s="381"/>
      <c r="U8" s="381"/>
      <c r="V8" s="381"/>
      <c r="W8" s="381"/>
      <c r="X8" s="381"/>
      <c r="Y8" s="381"/>
      <c r="Z8" s="381"/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  <c r="AL8" s="381"/>
      <c r="AM8" s="381"/>
      <c r="AN8" s="381"/>
      <c r="AO8" s="381"/>
      <c r="AP8" s="381"/>
      <c r="AQ8" s="381"/>
      <c r="AR8" s="381"/>
      <c r="AS8" s="381"/>
      <c r="AT8" s="381"/>
      <c r="AU8" s="381"/>
      <c r="AV8" s="381"/>
      <c r="AW8" s="381"/>
      <c r="AX8" s="381"/>
      <c r="AY8" s="381"/>
      <c r="AZ8" s="381"/>
      <c r="BA8" s="381"/>
      <c r="BB8" s="381"/>
      <c r="BC8" s="381"/>
      <c r="BD8" s="381"/>
      <c r="BE8" s="381"/>
      <c r="BF8" s="381"/>
      <c r="BG8" s="381"/>
      <c r="BH8" s="381"/>
      <c r="BI8" s="381"/>
      <c r="BJ8" s="381"/>
      <c r="BK8" s="381"/>
      <c r="BL8" s="381"/>
      <c r="BM8" s="381"/>
      <c r="BN8" s="381"/>
      <c r="BO8" s="381"/>
      <c r="BP8" s="381"/>
      <c r="BQ8" s="381"/>
      <c r="BR8" s="381"/>
      <c r="BS8" s="381"/>
      <c r="BT8" s="381"/>
      <c r="BU8" s="381"/>
      <c r="BV8" s="381"/>
      <c r="BW8" s="381"/>
      <c r="BX8" s="381"/>
      <c r="BY8" s="381"/>
      <c r="BZ8" s="381"/>
      <c r="CA8" s="381"/>
      <c r="CB8" s="381"/>
      <c r="CC8" s="381"/>
      <c r="CD8" s="381"/>
      <c r="CE8" s="381"/>
      <c r="CF8" s="381"/>
    </row>
    <row r="9" spans="1:84" ht="16.5">
      <c r="B9" s="602" t="s">
        <v>114</v>
      </c>
      <c r="C9" s="1075" t="s">
        <v>389</v>
      </c>
      <c r="D9" s="9"/>
      <c r="E9" s="1711" t="s">
        <v>649</v>
      </c>
      <c r="F9" s="1712"/>
      <c r="G9" s="1712"/>
      <c r="H9" s="1712"/>
      <c r="I9" s="607"/>
      <c r="J9" s="493" t="s">
        <v>650</v>
      </c>
      <c r="K9" s="9"/>
      <c r="L9" s="9"/>
      <c r="M9" s="560"/>
      <c r="N9" s="552"/>
      <c r="O9" s="9"/>
      <c r="R9" s="381"/>
      <c r="S9" s="381"/>
      <c r="T9" s="381"/>
      <c r="U9" s="381"/>
      <c r="V9" s="381"/>
      <c r="W9" s="381"/>
      <c r="X9" s="381"/>
      <c r="Y9" s="381"/>
      <c r="Z9" s="381"/>
      <c r="AA9" s="381"/>
      <c r="AB9" s="381"/>
      <c r="AC9" s="381"/>
      <c r="AD9" s="381"/>
      <c r="AE9" s="381"/>
      <c r="AF9" s="381"/>
      <c r="AG9" s="381"/>
      <c r="AH9" s="381"/>
      <c r="AI9" s="381"/>
      <c r="AJ9" s="381"/>
      <c r="AK9" s="381"/>
      <c r="AL9" s="381"/>
      <c r="AM9" s="381"/>
      <c r="AN9" s="381"/>
      <c r="AO9" s="381"/>
      <c r="AP9" s="381"/>
      <c r="AQ9" s="381"/>
      <c r="AR9" s="381"/>
      <c r="AS9" s="381"/>
      <c r="AT9" s="381"/>
      <c r="AU9" s="381"/>
      <c r="AV9" s="381"/>
      <c r="AW9" s="381"/>
      <c r="AX9" s="381"/>
      <c r="AY9" s="381"/>
      <c r="AZ9" s="381"/>
      <c r="BA9" s="381"/>
      <c r="BB9" s="381"/>
      <c r="BC9" s="381"/>
      <c r="BD9" s="381"/>
      <c r="BE9" s="381"/>
      <c r="BF9" s="381"/>
      <c r="BG9" s="381"/>
      <c r="BH9" s="381"/>
      <c r="BI9" s="381"/>
      <c r="BJ9" s="381"/>
      <c r="BK9" s="381"/>
      <c r="BL9" s="381"/>
      <c r="BM9" s="381"/>
      <c r="BN9" s="381"/>
      <c r="BO9" s="381"/>
      <c r="BP9" s="381"/>
      <c r="BQ9" s="381"/>
      <c r="BR9" s="381"/>
      <c r="BS9" s="381"/>
      <c r="BT9" s="381"/>
      <c r="BU9" s="381"/>
      <c r="BV9" s="381"/>
      <c r="BW9" s="381"/>
      <c r="BX9" s="381"/>
      <c r="BY9" s="381"/>
      <c r="BZ9" s="381"/>
      <c r="CA9" s="381"/>
      <c r="CB9" s="381"/>
      <c r="CC9" s="381"/>
      <c r="CD9" s="381"/>
      <c r="CE9" s="381"/>
      <c r="CF9" s="381"/>
    </row>
    <row r="10" spans="1:84" ht="16.5" customHeight="1">
      <c r="B10" s="1076" t="s">
        <v>651</v>
      </c>
      <c r="C10" s="1077" t="str">
        <f>IF(C9="Cercos","N/NE","S/SE/CO")</f>
        <v>S/SE/CO</v>
      </c>
      <c r="D10" s="9"/>
      <c r="E10" s="611"/>
      <c r="F10" s="612" t="s">
        <v>652</v>
      </c>
      <c r="G10" s="613">
        <v>44748.69599537037</v>
      </c>
      <c r="H10" s="1078"/>
      <c r="I10" s="608"/>
      <c r="J10" s="775" t="s">
        <v>653</v>
      </c>
      <c r="K10" s="1079">
        <f>IFERROR(O3+200,0)</f>
        <v>257</v>
      </c>
      <c r="L10" s="597"/>
      <c r="M10" s="560"/>
      <c r="N10" s="552"/>
      <c r="O10" s="9"/>
      <c r="R10" s="381"/>
      <c r="S10" s="381"/>
      <c r="T10" s="381"/>
      <c r="U10" s="381"/>
      <c r="V10" s="381"/>
      <c r="W10" s="381"/>
      <c r="X10" s="381"/>
      <c r="Y10" s="381"/>
      <c r="Z10" s="381"/>
      <c r="AA10" s="381"/>
      <c r="AB10" s="381"/>
      <c r="AC10" s="381"/>
      <c r="AD10" s="381"/>
      <c r="AE10" s="381"/>
      <c r="AF10" s="381"/>
      <c r="AG10" s="381"/>
      <c r="AH10" s="381"/>
      <c r="AI10" s="381"/>
      <c r="AJ10" s="381"/>
      <c r="AK10" s="381"/>
      <c r="AL10" s="381"/>
      <c r="AM10" s="381"/>
      <c r="AN10" s="381"/>
      <c r="AO10" s="381"/>
      <c r="AP10" s="381"/>
      <c r="AQ10" s="381"/>
      <c r="AR10" s="381"/>
      <c r="AS10" s="381"/>
      <c r="AT10" s="381"/>
      <c r="AU10" s="381"/>
      <c r="AV10" s="381"/>
      <c r="AW10" s="381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381"/>
      <c r="BI10" s="381"/>
      <c r="BJ10" s="381"/>
      <c r="BK10" s="381"/>
      <c r="BL10" s="381"/>
      <c r="BM10" s="381"/>
      <c r="BN10" s="381"/>
      <c r="BO10" s="381"/>
      <c r="BP10" s="381"/>
      <c r="BQ10" s="381"/>
      <c r="BR10" s="381"/>
      <c r="BS10" s="381"/>
      <c r="BT10" s="381"/>
      <c r="BU10" s="381"/>
      <c r="BV10" s="381"/>
      <c r="BW10" s="381"/>
      <c r="BX10" s="381"/>
      <c r="BY10" s="381"/>
      <c r="BZ10" s="381"/>
      <c r="CA10" s="381"/>
      <c r="CB10" s="381"/>
      <c r="CC10" s="381"/>
      <c r="CD10" s="381"/>
      <c r="CE10" s="381"/>
      <c r="CF10" s="381"/>
    </row>
    <row r="11" spans="1:84" ht="16.5">
      <c r="B11" s="9"/>
      <c r="C11" s="9"/>
      <c r="D11" s="9"/>
      <c r="E11" s="611"/>
      <c r="F11" s="612" t="s">
        <v>654</v>
      </c>
      <c r="G11" s="613">
        <v>44750.439918981479</v>
      </c>
      <c r="H11" s="609"/>
      <c r="I11" s="610"/>
      <c r="J11" s="584" t="s">
        <v>655</v>
      </c>
      <c r="K11" s="615">
        <v>504</v>
      </c>
      <c r="L11" s="597"/>
      <c r="M11" s="560"/>
      <c r="N11" s="552"/>
      <c r="O11" s="9"/>
      <c r="Q11" s="538"/>
      <c r="R11" s="381"/>
      <c r="S11" s="381"/>
      <c r="T11" s="381"/>
      <c r="U11" s="381"/>
      <c r="V11" s="381"/>
      <c r="W11" s="381"/>
      <c r="X11" s="381"/>
      <c r="Y11" s="381"/>
      <c r="Z11" s="381"/>
      <c r="AA11" s="381"/>
      <c r="AB11" s="381"/>
      <c r="AC11" s="381"/>
      <c r="AD11" s="381"/>
      <c r="AE11" s="381"/>
      <c r="AF11" s="381"/>
      <c r="AG11" s="381"/>
      <c r="AH11" s="381"/>
      <c r="AI11" s="381"/>
      <c r="AJ11" s="381"/>
      <c r="AK11" s="381"/>
      <c r="AL11" s="381"/>
      <c r="AM11" s="381"/>
      <c r="AN11" s="381"/>
      <c r="AO11" s="381"/>
      <c r="AP11" s="381"/>
      <c r="AQ11" s="381"/>
      <c r="AR11" s="381"/>
      <c r="AS11" s="381"/>
      <c r="AT11" s="381"/>
      <c r="AU11" s="381"/>
      <c r="AV11" s="381"/>
      <c r="AW11" s="381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381"/>
      <c r="BI11" s="381"/>
      <c r="BJ11" s="381"/>
      <c r="BK11" s="381"/>
      <c r="BL11" s="381"/>
      <c r="BM11" s="381"/>
      <c r="BN11" s="381"/>
      <c r="BO11" s="381"/>
      <c r="BP11" s="381"/>
      <c r="BQ11" s="381"/>
      <c r="BR11" s="381"/>
      <c r="BS11" s="381"/>
      <c r="BT11" s="381"/>
      <c r="BU11" s="381"/>
      <c r="BV11" s="381"/>
      <c r="BW11" s="381"/>
      <c r="BX11" s="381"/>
      <c r="BY11" s="381"/>
      <c r="BZ11" s="381"/>
      <c r="CA11" s="381"/>
      <c r="CB11" s="381"/>
      <c r="CC11" s="381"/>
      <c r="CD11" s="381"/>
      <c r="CE11" s="381"/>
      <c r="CF11" s="381"/>
    </row>
    <row r="12" spans="1:84" ht="16.5">
      <c r="A12" s="561"/>
      <c r="B12" s="493" t="s">
        <v>656</v>
      </c>
      <c r="C12" s="9"/>
      <c r="D12" s="9"/>
      <c r="E12" s="611"/>
      <c r="F12" s="612" t="s">
        <v>824</v>
      </c>
      <c r="G12" s="613">
        <v>44748.697638888887</v>
      </c>
      <c r="H12" s="609"/>
      <c r="I12" s="610"/>
      <c r="J12" s="776" t="s">
        <v>657</v>
      </c>
      <c r="K12" s="786">
        <f>idagente</f>
        <v>504</v>
      </c>
      <c r="L12" s="597"/>
      <c r="M12" s="560"/>
      <c r="N12" s="552"/>
      <c r="O12" s="9"/>
      <c r="Q12" s="538"/>
      <c r="R12" s="381"/>
      <c r="S12" s="381"/>
      <c r="T12" s="381"/>
      <c r="U12" s="381"/>
      <c r="V12" s="381"/>
      <c r="W12" s="381"/>
      <c r="X12" s="381"/>
      <c r="Y12" s="381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  <c r="AL12" s="381"/>
      <c r="AM12" s="381"/>
      <c r="AN12" s="381"/>
      <c r="AO12" s="381"/>
      <c r="AP12" s="381"/>
      <c r="AQ12" s="381"/>
      <c r="AR12" s="381"/>
      <c r="AS12" s="381"/>
      <c r="AT12" s="381"/>
      <c r="AU12" s="381"/>
      <c r="AV12" s="381"/>
      <c r="AW12" s="381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381"/>
      <c r="BI12" s="381"/>
      <c r="BJ12" s="381"/>
      <c r="BK12" s="381"/>
      <c r="BL12" s="381"/>
      <c r="BM12" s="381"/>
      <c r="BN12" s="381"/>
      <c r="BO12" s="381"/>
      <c r="BP12" s="381"/>
      <c r="BQ12" s="381"/>
      <c r="BR12" s="381"/>
      <c r="BS12" s="381"/>
      <c r="BT12" s="381"/>
      <c r="BU12" s="381"/>
      <c r="BV12" s="381"/>
      <c r="BW12" s="381"/>
      <c r="BX12" s="381"/>
      <c r="BY12" s="381"/>
      <c r="BZ12" s="381"/>
      <c r="CA12" s="381"/>
      <c r="CB12" s="381"/>
      <c r="CC12" s="381"/>
      <c r="CD12" s="381"/>
      <c r="CE12" s="381"/>
      <c r="CF12" s="381"/>
    </row>
    <row r="13" spans="1:84">
      <c r="A13" s="561"/>
      <c r="B13" s="602" t="s">
        <v>658</v>
      </c>
      <c r="C13" s="1080">
        <f ca="1">YEAR(TODAY())</f>
        <v>2022</v>
      </c>
      <c r="D13" s="266"/>
      <c r="E13" s="611"/>
      <c r="F13" s="612" t="s">
        <v>659</v>
      </c>
      <c r="G13" s="613">
        <v>44748.698229166665</v>
      </c>
      <c r="H13" s="609"/>
      <c r="I13" s="9"/>
      <c r="J13" s="493" t="s">
        <v>660</v>
      </c>
      <c r="K13" s="9"/>
      <c r="L13" s="597"/>
      <c r="M13" s="562"/>
      <c r="O13" s="9"/>
      <c r="R13" s="381"/>
      <c r="S13" s="381"/>
      <c r="T13" s="381"/>
      <c r="U13" s="381"/>
      <c r="V13" s="381"/>
      <c r="W13" s="381"/>
      <c r="X13" s="381"/>
      <c r="Y13" s="381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  <c r="AL13" s="381"/>
      <c r="AM13" s="381"/>
      <c r="AN13" s="381"/>
      <c r="AO13" s="381"/>
      <c r="AP13" s="381"/>
      <c r="AQ13" s="381"/>
      <c r="AR13" s="381"/>
      <c r="AS13" s="381"/>
      <c r="AT13" s="381"/>
      <c r="AU13" s="381"/>
      <c r="AV13" s="381"/>
      <c r="AW13" s="381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381"/>
      <c r="BI13" s="381"/>
      <c r="BJ13" s="381"/>
      <c r="BK13" s="381"/>
      <c r="BL13" s="381"/>
      <c r="BM13" s="381"/>
      <c r="BN13" s="381"/>
      <c r="BO13" s="381"/>
      <c r="BP13" s="381"/>
      <c r="BQ13" s="381"/>
      <c r="BR13" s="381"/>
      <c r="BS13" s="381"/>
      <c r="BT13" s="381"/>
      <c r="BU13" s="381"/>
      <c r="BV13" s="381"/>
      <c r="BW13" s="381"/>
      <c r="BX13" s="381"/>
      <c r="BY13" s="381"/>
      <c r="BZ13" s="381"/>
      <c r="CA13" s="381"/>
      <c r="CB13" s="381"/>
      <c r="CC13" s="381"/>
      <c r="CD13" s="381"/>
      <c r="CE13" s="381"/>
      <c r="CF13" s="381"/>
    </row>
    <row r="14" spans="1:84">
      <c r="B14" s="603" t="s">
        <v>661</v>
      </c>
      <c r="C14" s="604">
        <v>44407</v>
      </c>
      <c r="D14" s="266"/>
      <c r="E14" s="611"/>
      <c r="F14" s="612" t="s">
        <v>662</v>
      </c>
      <c r="G14" s="613">
        <v>44748.698599537034</v>
      </c>
      <c r="H14" s="609"/>
      <c r="I14" s="9"/>
      <c r="J14" s="775" t="s">
        <v>663</v>
      </c>
      <c r="K14" s="1079">
        <f>VLOOKUP(SAS_RA0_DataFim,Índices!$B$7:$F$500,2,FALSE)</f>
        <v>1190.8820000000001</v>
      </c>
      <c r="L14" s="597"/>
      <c r="M14" s="562"/>
      <c r="O14" s="9"/>
      <c r="R14" s="381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381"/>
      <c r="AV14" s="381"/>
      <c r="AW14" s="381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381"/>
      <c r="BI14" s="381"/>
      <c r="BJ14" s="381"/>
      <c r="BK14" s="381"/>
      <c r="BL14" s="381"/>
      <c r="BM14" s="381"/>
      <c r="BN14" s="381"/>
      <c r="BO14" s="381"/>
      <c r="BP14" s="381"/>
      <c r="BQ14" s="381"/>
      <c r="BR14" s="381"/>
      <c r="BS14" s="381"/>
      <c r="BT14" s="381"/>
      <c r="BU14" s="381"/>
      <c r="BV14" s="381"/>
      <c r="BW14" s="381"/>
      <c r="BX14" s="381"/>
      <c r="BY14" s="381"/>
      <c r="BZ14" s="381"/>
      <c r="CA14" s="381"/>
      <c r="CB14" s="381"/>
      <c r="CC14" s="381"/>
      <c r="CD14" s="381"/>
      <c r="CE14" s="381"/>
      <c r="CF14" s="381"/>
    </row>
    <row r="15" spans="1:84">
      <c r="B15" s="603" t="s">
        <v>664</v>
      </c>
      <c r="C15" s="605">
        <v>44772</v>
      </c>
      <c r="D15" s="266"/>
      <c r="E15" s="611"/>
      <c r="F15" s="612" t="s">
        <v>665</v>
      </c>
      <c r="G15" s="613">
        <v>44756.668321759258</v>
      </c>
      <c r="H15" s="614"/>
      <c r="I15" s="9"/>
      <c r="J15" s="584" t="s">
        <v>666</v>
      </c>
      <c r="K15" s="615">
        <f>VLOOKUP(SAS_RA0_DataFim,Índices!$B$7:$F$500,3,FALSE)</f>
        <v>6455.85</v>
      </c>
      <c r="L15" s="597"/>
      <c r="M15" s="562"/>
      <c r="O15" s="9"/>
      <c r="R15" s="381"/>
      <c r="S15" s="381"/>
      <c r="T15" s="381"/>
      <c r="U15" s="381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381"/>
      <c r="AH15" s="381"/>
      <c r="AI15" s="381"/>
      <c r="AJ15" s="381"/>
      <c r="AK15" s="381"/>
      <c r="AL15" s="381"/>
      <c r="AM15" s="381"/>
      <c r="AN15" s="381"/>
      <c r="AO15" s="381"/>
      <c r="AP15" s="381"/>
      <c r="AQ15" s="381"/>
      <c r="AR15" s="381"/>
      <c r="AS15" s="381"/>
      <c r="AT15" s="381"/>
      <c r="AU15" s="381"/>
      <c r="AV15" s="381"/>
      <c r="AW15" s="381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381"/>
      <c r="BI15" s="381"/>
      <c r="BJ15" s="381"/>
      <c r="BK15" s="381"/>
      <c r="BL15" s="381"/>
      <c r="BM15" s="381"/>
      <c r="BN15" s="381"/>
      <c r="BO15" s="381"/>
      <c r="BP15" s="381"/>
      <c r="BQ15" s="381"/>
      <c r="BR15" s="381"/>
      <c r="BS15" s="381"/>
      <c r="BT15" s="381"/>
      <c r="BU15" s="381"/>
      <c r="BV15" s="381"/>
      <c r="BW15" s="381"/>
      <c r="BX15" s="381"/>
      <c r="BY15" s="381"/>
      <c r="BZ15" s="381"/>
      <c r="CA15" s="381"/>
      <c r="CB15" s="381"/>
      <c r="CC15" s="381"/>
      <c r="CD15" s="381"/>
      <c r="CE15" s="381"/>
      <c r="CF15" s="381"/>
    </row>
    <row r="16" spans="1:84">
      <c r="B16" s="603" t="s">
        <v>224</v>
      </c>
      <c r="C16" s="606">
        <f>DATE(YEAR(C14),MONTH(C14),1)</f>
        <v>44378</v>
      </c>
      <c r="D16" s="266"/>
      <c r="E16" s="611"/>
      <c r="F16" s="612" t="s">
        <v>667</v>
      </c>
      <c r="G16" s="613">
        <v>44748.703981481478</v>
      </c>
      <c r="H16" s="1081"/>
      <c r="I16" s="9"/>
      <c r="J16" s="584" t="s">
        <v>668</v>
      </c>
      <c r="K16" s="591">
        <f>K14/VLOOKUP(DATE(YEAR(SAS_RA0_DataInicio),MONTH(SAS_RA0_DataInicio)-1,DAY(SAS_RA0_DataInicio)),Índices!$B$7:$F$500,2,FALSE)-1</f>
        <v>0.10704236088323049</v>
      </c>
      <c r="L16" s="597"/>
      <c r="M16" s="562"/>
      <c r="O16" s="9"/>
      <c r="Q16" s="538"/>
      <c r="R16" s="381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381"/>
      <c r="BI16" s="381"/>
      <c r="BJ16" s="381"/>
      <c r="BK16" s="381"/>
      <c r="BL16" s="381"/>
      <c r="BM16" s="381"/>
      <c r="BN16" s="381"/>
      <c r="BO16" s="381"/>
      <c r="BP16" s="381"/>
      <c r="BQ16" s="381"/>
      <c r="BR16" s="381"/>
      <c r="BS16" s="381"/>
      <c r="BT16" s="381"/>
      <c r="BU16" s="381"/>
      <c r="BV16" s="381"/>
      <c r="BW16" s="381"/>
      <c r="BX16" s="381"/>
      <c r="BY16" s="381"/>
      <c r="BZ16" s="381"/>
      <c r="CA16" s="381"/>
      <c r="CB16" s="381"/>
      <c r="CC16" s="381"/>
      <c r="CD16" s="381"/>
      <c r="CE16" s="381"/>
      <c r="CF16" s="381"/>
    </row>
    <row r="17" spans="1:84">
      <c r="B17" s="603" t="s">
        <v>226</v>
      </c>
      <c r="C17" s="606">
        <f>DATE(YEAR(C15),MONTH(C15)-1,1)</f>
        <v>44713</v>
      </c>
      <c r="D17" s="266"/>
      <c r="E17" s="611"/>
      <c r="F17" s="612" t="s">
        <v>669</v>
      </c>
      <c r="G17" s="613">
        <v>44748.70113425926</v>
      </c>
      <c r="H17" s="9"/>
      <c r="I17" s="375"/>
      <c r="J17" s="584" t="s">
        <v>670</v>
      </c>
      <c r="K17" s="1082">
        <f>K15/VLOOKUP(DATE(YEAR(SAS_RA0_DataInicio),MONTH(SAS_RA0_DataInicio)-1,DAY(SAS_RA0_DataInicio)),Índices!$B$7:$F$500,3,FALSE)-1</f>
        <v>0.11886869625198027</v>
      </c>
      <c r="L17" s="9"/>
      <c r="M17" s="562"/>
      <c r="O17" s="9"/>
      <c r="Q17" s="538"/>
      <c r="R17" s="381"/>
      <c r="S17" s="381"/>
      <c r="T17" s="381"/>
      <c r="U17" s="381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381"/>
      <c r="AH17" s="381"/>
      <c r="AI17" s="381"/>
      <c r="AJ17" s="381"/>
      <c r="AK17" s="381"/>
      <c r="AL17" s="381"/>
      <c r="AM17" s="381"/>
      <c r="AN17" s="381"/>
      <c r="AO17" s="381"/>
      <c r="AP17" s="381"/>
      <c r="AQ17" s="381"/>
      <c r="AR17" s="381"/>
      <c r="AS17" s="381"/>
      <c r="AT17" s="381"/>
      <c r="AU17" s="381"/>
      <c r="AV17" s="381"/>
      <c r="AW17" s="381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381"/>
      <c r="BI17" s="381"/>
      <c r="BJ17" s="381"/>
      <c r="BK17" s="381"/>
      <c r="BL17" s="381"/>
      <c r="BM17" s="381"/>
      <c r="BN17" s="381"/>
      <c r="BO17" s="381"/>
      <c r="BP17" s="381"/>
      <c r="BQ17" s="381"/>
      <c r="BR17" s="381"/>
      <c r="BS17" s="381"/>
      <c r="BT17" s="381"/>
      <c r="BU17" s="381"/>
      <c r="BV17" s="381"/>
      <c r="BW17" s="381"/>
      <c r="BX17" s="381"/>
      <c r="BY17" s="381"/>
      <c r="BZ17" s="381"/>
      <c r="CA17" s="381"/>
      <c r="CB17" s="381"/>
      <c r="CC17" s="381"/>
      <c r="CD17" s="381"/>
      <c r="CE17" s="381"/>
      <c r="CF17" s="381"/>
    </row>
    <row r="18" spans="1:84">
      <c r="B18" s="603" t="s">
        <v>671</v>
      </c>
      <c r="C18" s="853" t="str">
        <f ca="1">C110</f>
        <v>REVISÃO</v>
      </c>
      <c r="D18" s="266"/>
      <c r="E18" s="611"/>
      <c r="F18" s="612" t="s">
        <v>2304</v>
      </c>
      <c r="G18" s="613">
        <v>44748.701516203706</v>
      </c>
      <c r="I18" s="375"/>
      <c r="J18" s="589" t="s">
        <v>672</v>
      </c>
      <c r="K18" s="594">
        <f>VLOOKUP(DATE(YEAR(SAS_RA0_DataFim),MONTH(SAS_RA0_DataFim)-1,DAY(SAS_RA0_DataFim)),Índices!$B$7:$F$500,3,FALSE)/VLOOKUP(DATE(YEAR(L18),MONTH(L18)-1,1),Índices!$B$7:$F$500,3,FALSE)-1</f>
        <v>5.5498223247071543E-2</v>
      </c>
      <c r="L18" s="17">
        <f>VLOOKUP(C9,Informacoes[],18,FALSE)</f>
        <v>44531</v>
      </c>
      <c r="M18" s="562"/>
      <c r="N18" s="9"/>
      <c r="O18" s="9"/>
      <c r="Q18" s="538"/>
      <c r="R18" s="381"/>
      <c r="S18" s="381"/>
      <c r="T18" s="381"/>
      <c r="U18" s="381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381"/>
      <c r="AH18" s="381"/>
      <c r="AI18" s="381"/>
      <c r="AJ18" s="381"/>
      <c r="AK18" s="381"/>
      <c r="AL18" s="381"/>
      <c r="AM18" s="381"/>
      <c r="AN18" s="381"/>
      <c r="AO18" s="381"/>
      <c r="AP18" s="381"/>
      <c r="AQ18" s="381"/>
      <c r="AR18" s="381"/>
      <c r="AS18" s="381"/>
      <c r="AT18" s="381"/>
      <c r="AU18" s="381"/>
      <c r="AV18" s="381"/>
      <c r="AW18" s="381"/>
      <c r="AX18" s="381"/>
      <c r="AY18" s="381"/>
      <c r="AZ18" s="381"/>
      <c r="BA18" s="381"/>
      <c r="BB18" s="381"/>
      <c r="BC18" s="381"/>
      <c r="BD18" s="381"/>
      <c r="BE18" s="381"/>
      <c r="BF18" s="381"/>
      <c r="BG18" s="381"/>
      <c r="BH18" s="381"/>
      <c r="BI18" s="381"/>
      <c r="BJ18" s="381"/>
      <c r="BK18" s="381"/>
      <c r="BL18" s="381"/>
      <c r="BM18" s="381"/>
      <c r="BN18" s="381"/>
      <c r="BO18" s="381"/>
      <c r="BP18" s="381"/>
      <c r="BQ18" s="381"/>
      <c r="BR18" s="381"/>
      <c r="BS18" s="381"/>
      <c r="BT18" s="381"/>
      <c r="BU18" s="381"/>
      <c r="BV18" s="381"/>
      <c r="BW18" s="381"/>
      <c r="BX18" s="381"/>
      <c r="BY18" s="381"/>
      <c r="BZ18" s="381"/>
      <c r="CA18" s="381"/>
      <c r="CB18" s="381"/>
      <c r="CC18" s="381"/>
      <c r="CD18" s="381"/>
      <c r="CE18" s="381"/>
      <c r="CF18" s="381"/>
    </row>
    <row r="19" spans="1:84">
      <c r="D19" s="9"/>
      <c r="I19" s="375"/>
      <c r="J19" s="275"/>
      <c r="K19" s="591"/>
      <c r="L19" s="17"/>
      <c r="M19" s="562"/>
      <c r="N19" s="9"/>
      <c r="O19" s="9"/>
      <c r="Q19" s="538"/>
      <c r="R19" s="381"/>
      <c r="S19" s="381"/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  <c r="AY19" s="381"/>
      <c r="AZ19" s="381"/>
      <c r="BA19" s="381"/>
      <c r="BB19" s="381"/>
      <c r="BC19" s="381"/>
      <c r="BD19" s="381"/>
      <c r="BE19" s="381"/>
      <c r="BF19" s="381"/>
      <c r="BG19" s="381"/>
      <c r="BH19" s="381"/>
      <c r="BI19" s="381"/>
      <c r="BJ19" s="381"/>
      <c r="BK19" s="381"/>
      <c r="BL19" s="381"/>
      <c r="BM19" s="381"/>
      <c r="BN19" s="381"/>
      <c r="BO19" s="381"/>
      <c r="BP19" s="381"/>
      <c r="BQ19" s="381"/>
      <c r="BR19" s="381"/>
      <c r="BS19" s="381"/>
      <c r="BT19" s="381"/>
      <c r="BU19" s="381"/>
      <c r="BV19" s="381"/>
      <c r="BW19" s="381"/>
      <c r="BX19" s="381"/>
      <c r="BY19" s="381"/>
      <c r="BZ19" s="381"/>
      <c r="CA19" s="381"/>
      <c r="CB19" s="381"/>
      <c r="CC19" s="381"/>
      <c r="CD19" s="381"/>
      <c r="CE19" s="381"/>
      <c r="CF19" s="381"/>
    </row>
    <row r="20" spans="1:84">
      <c r="D20" s="9"/>
      <c r="I20" s="375"/>
      <c r="J20" s="275"/>
      <c r="K20" s="785"/>
      <c r="L20" s="17"/>
      <c r="M20" s="562"/>
      <c r="N20" s="9"/>
      <c r="O20" s="9"/>
      <c r="Q20" s="538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81"/>
      <c r="AU20" s="381"/>
      <c r="AV20" s="381"/>
      <c r="AW20" s="381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381"/>
      <c r="BI20" s="381"/>
      <c r="BJ20" s="381"/>
      <c r="BK20" s="381"/>
      <c r="BL20" s="381"/>
      <c r="BM20" s="381"/>
      <c r="BN20" s="381"/>
      <c r="BO20" s="381"/>
      <c r="BP20" s="381"/>
      <c r="BQ20" s="381"/>
      <c r="BR20" s="381"/>
      <c r="BS20" s="381"/>
      <c r="BT20" s="381"/>
      <c r="BU20" s="381"/>
      <c r="BV20" s="381"/>
      <c r="BW20" s="381"/>
      <c r="BX20" s="381"/>
      <c r="BY20" s="381"/>
      <c r="BZ20" s="381"/>
      <c r="CA20" s="381"/>
      <c r="CB20" s="381"/>
      <c r="CC20" s="381"/>
      <c r="CD20" s="381"/>
      <c r="CE20" s="381"/>
      <c r="CF20" s="381"/>
    </row>
    <row r="21" spans="1:84">
      <c r="D21" s="9"/>
      <c r="I21" s="375"/>
      <c r="J21" s="275"/>
      <c r="K21" s="591"/>
      <c r="L21" s="17"/>
      <c r="M21" s="562"/>
      <c r="N21" s="9"/>
      <c r="O21" s="9"/>
      <c r="Q21" s="538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381"/>
      <c r="BI21" s="381"/>
      <c r="BJ21" s="381"/>
      <c r="BK21" s="381"/>
      <c r="BL21" s="381"/>
      <c r="BM21" s="381"/>
      <c r="BN21" s="381"/>
      <c r="BO21" s="381"/>
      <c r="BP21" s="381"/>
      <c r="BQ21" s="381"/>
      <c r="BR21" s="381"/>
      <c r="BS21" s="381"/>
      <c r="BT21" s="381"/>
      <c r="BU21" s="381"/>
      <c r="BV21" s="381"/>
      <c r="BW21" s="381"/>
      <c r="BX21" s="381"/>
      <c r="BY21" s="381"/>
      <c r="BZ21" s="381"/>
      <c r="CA21" s="381"/>
      <c r="CB21" s="381"/>
      <c r="CC21" s="381"/>
      <c r="CD21" s="381"/>
      <c r="CE21" s="381"/>
      <c r="CF21" s="381"/>
    </row>
    <row r="22" spans="1:84" ht="16.5" thickBot="1">
      <c r="E22" s="49"/>
      <c r="F22" s="49"/>
      <c r="G22" s="49"/>
      <c r="H22" s="534"/>
      <c r="I22" s="375"/>
      <c r="J22" s="49"/>
      <c r="K22" s="563"/>
      <c r="L22" s="564"/>
      <c r="M22" s="562"/>
      <c r="N22" s="9"/>
      <c r="O22" s="9"/>
      <c r="Q22" s="538"/>
      <c r="R22" s="381"/>
      <c r="S22" s="381"/>
      <c r="T22" s="381"/>
      <c r="U22" s="381"/>
      <c r="V22" s="381"/>
      <c r="W22" s="381"/>
      <c r="X22" s="381"/>
      <c r="Y22" s="381"/>
      <c r="Z22" s="381"/>
      <c r="AA22" s="381"/>
      <c r="AB22" s="381"/>
      <c r="AC22" s="381"/>
      <c r="AD22" s="381"/>
      <c r="AE22" s="381"/>
      <c r="AF22" s="381"/>
      <c r="AG22" s="381"/>
      <c r="AH22" s="381"/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381"/>
      <c r="BI22" s="381"/>
      <c r="BJ22" s="381"/>
      <c r="BK22" s="381"/>
      <c r="BL22" s="381"/>
      <c r="BM22" s="381"/>
      <c r="BN22" s="381"/>
      <c r="BO22" s="381"/>
      <c r="BP22" s="381"/>
      <c r="BQ22" s="381"/>
      <c r="BR22" s="381"/>
      <c r="BS22" s="381"/>
      <c r="BT22" s="381"/>
      <c r="BU22" s="381"/>
      <c r="BV22" s="381"/>
      <c r="BW22" s="381"/>
      <c r="BX22" s="381"/>
      <c r="BY22" s="381"/>
      <c r="BZ22" s="381"/>
      <c r="CA22" s="381"/>
      <c r="CB22" s="381"/>
      <c r="CC22" s="381"/>
      <c r="CD22" s="381"/>
      <c r="CE22" s="381"/>
      <c r="CF22" s="381"/>
    </row>
    <row r="23" spans="1:84" ht="26.25" thickBot="1">
      <c r="A23" s="553"/>
      <c r="B23" s="543" t="s">
        <v>673</v>
      </c>
      <c r="C23" s="554"/>
      <c r="D23" s="554"/>
      <c r="E23" s="555"/>
      <c r="F23" s="555"/>
      <c r="G23" s="555"/>
      <c r="H23" s="535"/>
      <c r="I23" s="536"/>
      <c r="J23" s="555"/>
      <c r="K23" s="556"/>
      <c r="L23" s="557"/>
      <c r="M23" s="558"/>
      <c r="N23" s="9"/>
      <c r="O23" s="9"/>
      <c r="Q23" s="538"/>
      <c r="R23" s="381"/>
      <c r="S23" s="381"/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381"/>
      <c r="BI23" s="381"/>
      <c r="BJ23" s="381"/>
      <c r="BK23" s="381"/>
      <c r="BL23" s="381"/>
      <c r="BM23" s="381"/>
      <c r="BN23" s="381"/>
      <c r="BO23" s="381"/>
      <c r="BP23" s="381"/>
      <c r="BQ23" s="381"/>
      <c r="BR23" s="381"/>
      <c r="BS23" s="381"/>
      <c r="BT23" s="381"/>
      <c r="BU23" s="381"/>
      <c r="BV23" s="381"/>
      <c r="BW23" s="381"/>
      <c r="BX23" s="381"/>
      <c r="BY23" s="381"/>
      <c r="BZ23" s="381"/>
      <c r="CA23" s="381"/>
      <c r="CB23" s="381"/>
      <c r="CC23" s="381"/>
      <c r="CD23" s="381"/>
      <c r="CE23" s="381"/>
      <c r="CF23" s="381"/>
    </row>
    <row r="24" spans="1:84">
      <c r="E24" s="49"/>
      <c r="F24" s="49"/>
      <c r="G24" s="49"/>
      <c r="H24" s="534"/>
      <c r="I24" s="375"/>
      <c r="J24" s="49"/>
      <c r="K24" s="563"/>
      <c r="L24" s="564"/>
      <c r="M24" s="629"/>
      <c r="N24" s="571"/>
      <c r="O24" s="9"/>
      <c r="Q24" s="538"/>
      <c r="R24" s="381"/>
      <c r="S24" s="381"/>
      <c r="T24" s="381"/>
      <c r="U24" s="381"/>
      <c r="V24" s="381"/>
      <c r="W24" s="381"/>
      <c r="X24" s="381"/>
      <c r="Y24" s="381"/>
      <c r="Z24" s="381"/>
      <c r="AA24" s="381"/>
      <c r="AB24" s="381"/>
      <c r="AC24" s="381"/>
      <c r="AD24" s="381"/>
      <c r="AE24" s="381"/>
      <c r="AF24" s="381"/>
      <c r="AG24" s="381"/>
      <c r="AH24" s="381"/>
      <c r="AI24" s="381"/>
      <c r="AJ24" s="381"/>
      <c r="AK24" s="381"/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381"/>
      <c r="AW24" s="381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381"/>
      <c r="BI24" s="381"/>
      <c r="BJ24" s="381"/>
      <c r="BK24" s="381"/>
      <c r="BL24" s="381"/>
      <c r="BM24" s="381"/>
      <c r="BN24" s="381"/>
      <c r="BO24" s="381"/>
      <c r="BP24" s="381"/>
      <c r="BQ24" s="381"/>
      <c r="BR24" s="381"/>
      <c r="BS24" s="381"/>
      <c r="BT24" s="381"/>
      <c r="BU24" s="381"/>
      <c r="BV24" s="381"/>
      <c r="BW24" s="381"/>
      <c r="BX24" s="381"/>
      <c r="BY24" s="381"/>
      <c r="BZ24" s="381"/>
      <c r="CA24" s="381"/>
      <c r="CB24" s="381"/>
      <c r="CC24" s="381"/>
      <c r="CD24" s="381"/>
      <c r="CE24" s="381"/>
      <c r="CF24" s="381"/>
    </row>
    <row r="25" spans="1:84">
      <c r="D25" s="565"/>
      <c r="F25" s="566"/>
      <c r="G25" s="567"/>
      <c r="L25" s="564"/>
      <c r="M25" s="562"/>
      <c r="N25" s="571"/>
      <c r="O25" s="9"/>
      <c r="Q25" s="538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381"/>
      <c r="AH25" s="381"/>
      <c r="AI25" s="381"/>
      <c r="AJ25" s="381"/>
      <c r="AK25" s="381"/>
      <c r="AL25" s="381"/>
      <c r="AM25" s="381"/>
      <c r="AN25" s="381"/>
      <c r="AO25" s="381"/>
      <c r="AP25" s="381"/>
      <c r="AQ25" s="381"/>
      <c r="AR25" s="381"/>
      <c r="AS25" s="381"/>
      <c r="AT25" s="381"/>
      <c r="AU25" s="381"/>
      <c r="AV25" s="381"/>
      <c r="AW25" s="381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381"/>
      <c r="BI25" s="381"/>
      <c r="BJ25" s="381"/>
      <c r="BK25" s="381"/>
      <c r="BL25" s="381"/>
      <c r="BM25" s="381"/>
      <c r="BN25" s="381"/>
      <c r="BO25" s="381"/>
      <c r="BP25" s="381"/>
      <c r="BQ25" s="381"/>
      <c r="BR25" s="381"/>
      <c r="BS25" s="381"/>
      <c r="BT25" s="381"/>
      <c r="BU25" s="381"/>
      <c r="BV25" s="381"/>
      <c r="BW25" s="381"/>
      <c r="BX25" s="381"/>
      <c r="BY25" s="381"/>
      <c r="BZ25" s="381"/>
      <c r="CA25" s="381"/>
      <c r="CB25" s="381"/>
      <c r="CC25" s="381"/>
      <c r="CD25" s="381"/>
      <c r="CE25" s="381"/>
      <c r="CF25" s="381"/>
    </row>
    <row r="26" spans="1:84" ht="18">
      <c r="B26" s="742" t="s">
        <v>674</v>
      </c>
      <c r="C26" s="596"/>
      <c r="D26" s="1083"/>
      <c r="E26" s="1084"/>
      <c r="F26" s="1085"/>
      <c r="G26" s="1086"/>
      <c r="H26" s="1083"/>
      <c r="I26" s="1083"/>
      <c r="J26" s="1083"/>
      <c r="K26" s="1087"/>
      <c r="L26" s="1088"/>
      <c r="M26" s="562"/>
      <c r="N26" s="571"/>
      <c r="O26" s="9"/>
      <c r="Q26" s="538"/>
      <c r="R26" s="381"/>
      <c r="S26" s="381"/>
      <c r="T26" s="381"/>
      <c r="U26" s="381"/>
      <c r="V26" s="381"/>
      <c r="W26" s="381"/>
      <c r="X26" s="381"/>
      <c r="Y26" s="381"/>
      <c r="Z26" s="381"/>
      <c r="AA26" s="381"/>
      <c r="AB26" s="381"/>
      <c r="AC26" s="381"/>
      <c r="AD26" s="381"/>
      <c r="AE26" s="381"/>
      <c r="AF26" s="381"/>
      <c r="AG26" s="381"/>
      <c r="AH26" s="381"/>
      <c r="AI26" s="381"/>
      <c r="AJ26" s="381"/>
      <c r="AK26" s="381"/>
      <c r="AL26" s="381"/>
      <c r="AM26" s="381"/>
      <c r="AN26" s="381"/>
      <c r="AO26" s="381"/>
      <c r="AP26" s="381"/>
      <c r="AQ26" s="381"/>
      <c r="AR26" s="381"/>
      <c r="AS26" s="381"/>
      <c r="AT26" s="381"/>
      <c r="AU26" s="381"/>
      <c r="AV26" s="381"/>
      <c r="AW26" s="381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381"/>
      <c r="BI26" s="381"/>
      <c r="BJ26" s="381"/>
      <c r="BK26" s="381"/>
      <c r="BL26" s="381"/>
      <c r="BM26" s="381"/>
      <c r="BN26" s="381"/>
      <c r="BO26" s="381"/>
      <c r="BP26" s="381"/>
      <c r="BQ26" s="381"/>
      <c r="BR26" s="381"/>
      <c r="BS26" s="381"/>
      <c r="BT26" s="381"/>
      <c r="BU26" s="381"/>
      <c r="BV26" s="381"/>
      <c r="BW26" s="381"/>
      <c r="BX26" s="381"/>
      <c r="BY26" s="381"/>
      <c r="BZ26" s="381"/>
      <c r="CA26" s="381"/>
      <c r="CB26" s="381"/>
      <c r="CC26" s="381"/>
      <c r="CD26" s="381"/>
      <c r="CE26" s="381"/>
      <c r="CF26" s="381"/>
    </row>
    <row r="27" spans="1:84">
      <c r="L27" s="564"/>
      <c r="M27" s="562"/>
      <c r="N27" s="571"/>
      <c r="O27" s="9"/>
      <c r="R27" s="381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381"/>
      <c r="BI27" s="381"/>
      <c r="BJ27" s="381"/>
      <c r="BK27" s="381"/>
      <c r="BL27" s="381"/>
      <c r="BM27" s="381"/>
      <c r="BN27" s="381"/>
      <c r="BO27" s="381"/>
      <c r="BP27" s="381"/>
      <c r="BQ27" s="381"/>
      <c r="BR27" s="381"/>
      <c r="BS27" s="381"/>
      <c r="BT27" s="381"/>
      <c r="BU27" s="381"/>
      <c r="BV27" s="381"/>
      <c r="BW27" s="381"/>
      <c r="BX27" s="381"/>
      <c r="BY27" s="381"/>
      <c r="BZ27" s="381"/>
      <c r="CA27" s="381"/>
      <c r="CB27" s="381"/>
      <c r="CC27" s="381"/>
      <c r="CD27" s="381"/>
      <c r="CE27" s="381"/>
      <c r="CF27" s="381"/>
    </row>
    <row r="28" spans="1:84">
      <c r="B28" s="589" t="s">
        <v>675</v>
      </c>
      <c r="C28" s="1732" t="s">
        <v>2355</v>
      </c>
      <c r="D28" s="1732"/>
      <c r="E28" s="9"/>
      <c r="F28" s="595" t="s">
        <v>676</v>
      </c>
      <c r="G28" s="596"/>
      <c r="H28" s="596"/>
      <c r="I28" s="9"/>
      <c r="J28" s="595" t="s">
        <v>677</v>
      </c>
      <c r="K28" s="596"/>
      <c r="L28" s="17"/>
      <c r="M28" s="562"/>
      <c r="N28" s="571"/>
      <c r="O28" s="9"/>
      <c r="R28" s="381"/>
      <c r="S28" s="381"/>
      <c r="T28" s="381"/>
      <c r="U28" s="381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1"/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1"/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1"/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1"/>
      <c r="BX28" s="381"/>
      <c r="BY28" s="381"/>
      <c r="BZ28" s="381"/>
      <c r="CA28" s="381"/>
      <c r="CB28" s="381"/>
      <c r="CC28" s="381"/>
      <c r="CD28" s="381"/>
      <c r="CE28" s="381"/>
      <c r="CF28" s="381"/>
    </row>
    <row r="29" spans="1:84">
      <c r="B29" s="9"/>
      <c r="C29" s="9"/>
      <c r="D29" s="9"/>
      <c r="E29" s="9"/>
      <c r="F29" s="775" t="s">
        <v>678</v>
      </c>
      <c r="G29" s="775"/>
      <c r="H29" s="1089">
        <v>9.3399999999999997E-2</v>
      </c>
      <c r="I29" s="9"/>
      <c r="J29" s="775" t="s">
        <v>679</v>
      </c>
      <c r="K29" s="1090">
        <f>BD!C26</f>
        <v>28640981.109999999</v>
      </c>
      <c r="L29" s="17"/>
      <c r="M29" s="562"/>
      <c r="N29" s="571"/>
      <c r="O29" s="9"/>
      <c r="R29" s="381"/>
      <c r="S29" s="381"/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381"/>
      <c r="AH29" s="381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381"/>
      <c r="BI29" s="381"/>
      <c r="BJ29" s="381"/>
      <c r="BK29" s="381"/>
      <c r="BL29" s="381"/>
      <c r="BM29" s="381"/>
      <c r="BN29" s="381"/>
      <c r="BO29" s="381"/>
      <c r="BP29" s="381"/>
      <c r="BQ29" s="381"/>
      <c r="BR29" s="381"/>
      <c r="BS29" s="381"/>
      <c r="BT29" s="381"/>
      <c r="BU29" s="381"/>
      <c r="BV29" s="381"/>
      <c r="BW29" s="381"/>
      <c r="BX29" s="381"/>
      <c r="BY29" s="381"/>
      <c r="BZ29" s="381"/>
      <c r="CA29" s="381"/>
      <c r="CB29" s="381"/>
      <c r="CC29" s="381"/>
      <c r="CD29" s="381"/>
      <c r="CE29" s="381"/>
      <c r="CF29" s="381"/>
    </row>
    <row r="30" spans="1:84">
      <c r="B30" s="493" t="s">
        <v>109</v>
      </c>
      <c r="C30" s="9"/>
      <c r="D30" s="9"/>
      <c r="E30" s="9"/>
      <c r="F30" s="776" t="s">
        <v>680</v>
      </c>
      <c r="G30" s="776"/>
      <c r="H30" s="1091"/>
      <c r="I30" s="9"/>
      <c r="J30" s="584" t="s">
        <v>681</v>
      </c>
      <c r="K30" s="598">
        <f>IFERROR(VLOOKUP(LnkTXTSigla,Informacoes[],17,FALSE)*(1+K18),0)</f>
        <v>36007922.632927857</v>
      </c>
      <c r="L30" s="17"/>
      <c r="M30" s="562"/>
      <c r="O30" s="571"/>
      <c r="R30" s="381"/>
      <c r="S30" s="381"/>
      <c r="T30" s="381"/>
      <c r="U30" s="381"/>
      <c r="V30" s="381"/>
      <c r="W30" s="381"/>
      <c r="X30" s="381"/>
      <c r="Y30" s="381"/>
      <c r="Z30" s="381"/>
      <c r="AA30" s="381"/>
      <c r="AB30" s="381"/>
      <c r="AC30" s="381"/>
      <c r="AD30" s="381"/>
      <c r="AE30" s="381"/>
      <c r="AF30" s="381"/>
      <c r="AG30" s="381"/>
      <c r="AH30" s="381"/>
      <c r="AI30" s="381"/>
      <c r="AJ30" s="381"/>
      <c r="AK30" s="381"/>
      <c r="AL30" s="381"/>
      <c r="AM30" s="381"/>
      <c r="AN30" s="381"/>
      <c r="AO30" s="381"/>
      <c r="AP30" s="381"/>
      <c r="AQ30" s="381"/>
      <c r="AR30" s="381"/>
      <c r="AS30" s="381"/>
      <c r="AT30" s="381"/>
      <c r="AU30" s="381"/>
      <c r="AV30" s="381"/>
      <c r="AW30" s="381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381"/>
      <c r="BI30" s="381"/>
      <c r="BJ30" s="381"/>
      <c r="BK30" s="381"/>
      <c r="BL30" s="381"/>
      <c r="BM30" s="381"/>
      <c r="BN30" s="381"/>
      <c r="BO30" s="381"/>
      <c r="BP30" s="381"/>
      <c r="BQ30" s="381"/>
      <c r="BR30" s="381"/>
      <c r="BS30" s="381"/>
      <c r="BT30" s="381"/>
      <c r="BU30" s="381"/>
      <c r="BV30" s="381"/>
      <c r="BW30" s="381"/>
      <c r="BX30" s="381"/>
      <c r="BY30" s="381"/>
      <c r="BZ30" s="381"/>
      <c r="CA30" s="381"/>
      <c r="CB30" s="381"/>
      <c r="CC30" s="381"/>
      <c r="CD30" s="381"/>
      <c r="CE30" s="381"/>
      <c r="CF30" s="381"/>
    </row>
    <row r="31" spans="1:84">
      <c r="B31" s="1735" t="s">
        <v>682</v>
      </c>
      <c r="C31" s="1735"/>
      <c r="D31" s="809"/>
      <c r="E31" s="9"/>
      <c r="F31" s="1092"/>
      <c r="G31" s="1092"/>
      <c r="H31" s="1093"/>
      <c r="I31" s="9"/>
      <c r="J31" s="776" t="s">
        <v>683</v>
      </c>
      <c r="K31" s="1094">
        <f>D32+D33+D34</f>
        <v>34000000</v>
      </c>
      <c r="L31" s="17" t="s">
        <v>684</v>
      </c>
      <c r="M31" s="562" t="s">
        <v>685</v>
      </c>
      <c r="O31" s="571"/>
      <c r="R31" s="381"/>
      <c r="S31" s="381"/>
      <c r="T31" s="381"/>
      <c r="U31" s="381"/>
      <c r="V31" s="381"/>
      <c r="W31" s="381"/>
      <c r="X31" s="381"/>
      <c r="Y31" s="381"/>
      <c r="Z31" s="381"/>
      <c r="AA31" s="381"/>
      <c r="AB31" s="381"/>
      <c r="AC31" s="381"/>
      <c r="AD31" s="381"/>
      <c r="AE31" s="381"/>
      <c r="AF31" s="381"/>
      <c r="AG31" s="381"/>
      <c r="AH31" s="381"/>
      <c r="AI31" s="381"/>
      <c r="AJ31" s="381"/>
      <c r="AK31" s="381"/>
      <c r="AL31" s="381"/>
      <c r="AM31" s="381"/>
      <c r="AN31" s="381"/>
      <c r="AO31" s="381"/>
      <c r="AP31" s="381"/>
      <c r="AQ31" s="381"/>
      <c r="AR31" s="381"/>
      <c r="AS31" s="381"/>
      <c r="AT31" s="381"/>
      <c r="AU31" s="381"/>
      <c r="AV31" s="381"/>
      <c r="AW31" s="381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381"/>
      <c r="BI31" s="381"/>
      <c r="BJ31" s="381"/>
      <c r="BK31" s="381"/>
      <c r="BL31" s="381"/>
      <c r="BM31" s="381"/>
      <c r="BN31" s="381"/>
      <c r="BO31" s="381"/>
      <c r="BP31" s="381"/>
      <c r="BQ31" s="381"/>
      <c r="BR31" s="381"/>
      <c r="BS31" s="381"/>
      <c r="BT31" s="381"/>
      <c r="BU31" s="381"/>
      <c r="BV31" s="381"/>
      <c r="BW31" s="381"/>
      <c r="BX31" s="381"/>
      <c r="BY31" s="381"/>
      <c r="BZ31" s="381"/>
      <c r="CA31" s="381"/>
      <c r="CB31" s="381"/>
      <c r="CC31" s="381"/>
      <c r="CD31" s="381"/>
      <c r="CE31" s="381"/>
      <c r="CF31" s="381"/>
    </row>
    <row r="32" spans="1:84">
      <c r="B32" s="1095" t="s">
        <v>686</v>
      </c>
      <c r="C32" s="1095"/>
      <c r="D32" s="820">
        <v>18257107.02</v>
      </c>
      <c r="E32" s="9"/>
      <c r="F32" s="1096" t="s">
        <v>687</v>
      </c>
      <c r="G32" s="1097"/>
      <c r="H32" s="1097"/>
      <c r="I32" s="9"/>
      <c r="J32" s="775" t="s">
        <v>688</v>
      </c>
      <c r="K32" s="1098">
        <f ca="1">VLOOKUP(C9,Informacoes[],30,FALSE)*(VLOOKUP(DATE(AnoRefTar,MONTH(M32)-1,1),Índices!B6:F500,3,FALSE)/VLOOKUP(DATE(YEAR(M32),MONTH(L32)-1,1),Índices!B6:F500,3,FALSE))</f>
        <v>21494204.354071971</v>
      </c>
      <c r="L32" s="17">
        <f>VLOOKUP(C9,Informacoes[],31,FALSE)</f>
        <v>43270</v>
      </c>
      <c r="M32" s="850">
        <f>VLOOKUP(C9,Informacoes[],32,FALSE)</f>
        <v>43270</v>
      </c>
      <c r="O32" s="571"/>
      <c r="Q32" s="538"/>
      <c r="R32" s="381"/>
      <c r="S32" s="381"/>
      <c r="T32" s="381"/>
      <c r="U32" s="381"/>
      <c r="V32" s="381"/>
      <c r="W32" s="381"/>
      <c r="X32" s="381"/>
      <c r="Y32" s="381"/>
      <c r="Z32" s="381"/>
      <c r="AA32" s="381"/>
      <c r="AB32" s="381"/>
      <c r="AC32" s="381"/>
      <c r="AD32" s="381"/>
      <c r="AE32" s="381"/>
      <c r="AF32" s="381"/>
      <c r="AG32" s="381"/>
      <c r="AH32" s="381"/>
      <c r="AI32" s="381"/>
      <c r="AJ32" s="381"/>
      <c r="AK32" s="381"/>
      <c r="AL32" s="381"/>
      <c r="AM32" s="381"/>
      <c r="AN32" s="381"/>
      <c r="AO32" s="381"/>
      <c r="AP32" s="381"/>
      <c r="AQ32" s="381"/>
      <c r="AR32" s="381"/>
      <c r="AS32" s="381"/>
      <c r="AT32" s="381"/>
      <c r="AU32" s="381"/>
      <c r="AV32" s="381"/>
      <c r="AW32" s="381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381"/>
      <c r="BI32" s="381"/>
      <c r="BJ32" s="381"/>
      <c r="BK32" s="381"/>
      <c r="BL32" s="381"/>
      <c r="BM32" s="381"/>
      <c r="BN32" s="381"/>
      <c r="BO32" s="381"/>
      <c r="BP32" s="381"/>
      <c r="BQ32" s="381"/>
      <c r="BR32" s="381"/>
      <c r="BS32" s="381"/>
      <c r="BT32" s="381"/>
      <c r="BU32" s="381"/>
      <c r="BV32" s="381"/>
      <c r="BW32" s="381"/>
      <c r="BX32" s="381"/>
      <c r="BY32" s="381"/>
      <c r="BZ32" s="381"/>
      <c r="CA32" s="381"/>
      <c r="CB32" s="381"/>
      <c r="CC32" s="381"/>
      <c r="CD32" s="381"/>
      <c r="CE32" s="381"/>
      <c r="CF32" s="381"/>
    </row>
    <row r="33" spans="1:84">
      <c r="B33" s="1095" t="s">
        <v>689</v>
      </c>
      <c r="C33" s="1095"/>
      <c r="D33" s="821">
        <v>15742892.98</v>
      </c>
      <c r="E33" s="9"/>
      <c r="F33" s="584" t="s">
        <v>690</v>
      </c>
      <c r="G33" s="584"/>
      <c r="H33" s="500"/>
      <c r="I33" s="9"/>
      <c r="J33" s="776" t="s">
        <v>691</v>
      </c>
      <c r="K33" s="1099">
        <f ca="1">LnkTXTISubvencaoPB/12</f>
        <v>1791183.6961726642</v>
      </c>
      <c r="L33" s="17"/>
      <c r="M33" s="547"/>
      <c r="O33" s="9"/>
      <c r="R33" s="381"/>
      <c r="S33" s="381"/>
      <c r="T33" s="381"/>
      <c r="U33" s="381"/>
      <c r="V33" s="381"/>
      <c r="W33" s="381"/>
      <c r="X33" s="381"/>
      <c r="Y33" s="381"/>
      <c r="Z33" s="381"/>
      <c r="AA33" s="381"/>
      <c r="AB33" s="381"/>
      <c r="AC33" s="381"/>
      <c r="AD33" s="381"/>
      <c r="AE33" s="381"/>
      <c r="AF33" s="381"/>
      <c r="AG33" s="381"/>
      <c r="AH33" s="381"/>
      <c r="AI33" s="381"/>
      <c r="AJ33" s="381"/>
      <c r="AK33" s="381"/>
      <c r="AL33" s="381"/>
      <c r="AM33" s="381"/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381"/>
      <c r="BI33" s="381"/>
      <c r="BJ33" s="381"/>
      <c r="BK33" s="381"/>
      <c r="BL33" s="381"/>
      <c r="BM33" s="381"/>
      <c r="BN33" s="381"/>
      <c r="BO33" s="381"/>
      <c r="BP33" s="381"/>
      <c r="BQ33" s="381"/>
      <c r="BR33" s="381"/>
      <c r="BS33" s="381"/>
      <c r="BT33" s="381"/>
      <c r="BU33" s="381"/>
      <c r="BV33" s="381"/>
      <c r="BW33" s="381"/>
      <c r="BX33" s="381"/>
      <c r="BY33" s="381"/>
      <c r="BZ33" s="381"/>
      <c r="CA33" s="381"/>
      <c r="CB33" s="381"/>
      <c r="CC33" s="381"/>
      <c r="CD33" s="381"/>
      <c r="CE33" s="381"/>
      <c r="CF33" s="381"/>
    </row>
    <row r="34" spans="1:84">
      <c r="B34" s="1100"/>
      <c r="C34" s="1100"/>
      <c r="D34" s="1101"/>
      <c r="E34" s="9"/>
      <c r="F34" s="776" t="s">
        <v>692</v>
      </c>
      <c r="G34" s="776"/>
      <c r="H34" s="1102"/>
      <c r="I34" s="9"/>
      <c r="J34" s="775" t="s">
        <v>693</v>
      </c>
      <c r="K34" s="1103">
        <f>LinkTXTPR</f>
        <v>0.12435816358744038</v>
      </c>
      <c r="L34" s="17"/>
      <c r="M34" s="562"/>
      <c r="O34" s="9"/>
      <c r="Q34" s="538"/>
      <c r="R34" s="381"/>
      <c r="S34" s="381"/>
      <c r="T34" s="381"/>
      <c r="U34" s="381"/>
      <c r="V34" s="381"/>
      <c r="W34" s="381"/>
      <c r="X34" s="381"/>
      <c r="Y34" s="381"/>
      <c r="Z34" s="381"/>
      <c r="AA34" s="381"/>
      <c r="AB34" s="381"/>
      <c r="AC34" s="381"/>
      <c r="AD34" s="381"/>
      <c r="AE34" s="381"/>
      <c r="AF34" s="381"/>
      <c r="AG34" s="381"/>
      <c r="AH34" s="381"/>
      <c r="AI34" s="381"/>
      <c r="AJ34" s="381"/>
      <c r="AK34" s="381"/>
      <c r="AL34" s="381"/>
      <c r="AM34" s="381"/>
      <c r="AN34" s="381"/>
      <c r="AO34" s="381"/>
      <c r="AP34" s="381"/>
      <c r="AQ34" s="381"/>
      <c r="AR34" s="381"/>
      <c r="AS34" s="381"/>
      <c r="AT34" s="381"/>
      <c r="AU34" s="381"/>
      <c r="AV34" s="381"/>
      <c r="AW34" s="381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381"/>
      <c r="BI34" s="381"/>
      <c r="BJ34" s="381"/>
      <c r="BK34" s="381"/>
      <c r="BL34" s="381"/>
      <c r="BM34" s="381"/>
      <c r="BN34" s="381"/>
      <c r="BO34" s="381"/>
      <c r="BP34" s="381"/>
      <c r="BQ34" s="381"/>
      <c r="BR34" s="381"/>
      <c r="BS34" s="381"/>
      <c r="BT34" s="381"/>
      <c r="BU34" s="381"/>
      <c r="BV34" s="381"/>
      <c r="BW34" s="381"/>
      <c r="BX34" s="381"/>
      <c r="BY34" s="381"/>
      <c r="BZ34" s="381"/>
      <c r="CA34" s="381"/>
      <c r="CB34" s="381"/>
      <c r="CC34" s="381"/>
      <c r="CD34" s="381"/>
      <c r="CE34" s="381"/>
      <c r="CF34" s="381"/>
    </row>
    <row r="35" spans="1:84">
      <c r="B35" s="9"/>
      <c r="C35" s="9"/>
      <c r="D35" s="1104"/>
      <c r="E35" s="9"/>
      <c r="F35" s="600"/>
      <c r="G35" s="1105"/>
      <c r="H35" s="475"/>
      <c r="I35" s="9"/>
      <c r="J35" s="584" t="s">
        <v>694</v>
      </c>
      <c r="K35" s="599">
        <f ca="1">IFERROR(Energia!M20/((Energia!M5+Energia!M6-Energia!M7+Energia!N16)+Energia!M20),0)</f>
        <v>0.11322151731789493</v>
      </c>
      <c r="L35" s="17"/>
      <c r="M35" s="562"/>
      <c r="O35" s="9"/>
      <c r="Q35" s="538"/>
      <c r="R35" s="381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381"/>
      <c r="BI35" s="381"/>
      <c r="BJ35" s="381"/>
      <c r="BK35" s="381"/>
      <c r="BL35" s="381"/>
      <c r="BM35" s="381"/>
      <c r="BN35" s="381"/>
      <c r="BO35" s="381"/>
      <c r="BP35" s="381"/>
      <c r="BQ35" s="381"/>
      <c r="BR35" s="381"/>
      <c r="BS35" s="381"/>
      <c r="BT35" s="381"/>
      <c r="BU35" s="381"/>
      <c r="BV35" s="381"/>
      <c r="BW35" s="381"/>
      <c r="BX35" s="381"/>
      <c r="BY35" s="381"/>
      <c r="BZ35" s="381"/>
      <c r="CA35" s="381"/>
      <c r="CB35" s="381"/>
      <c r="CC35" s="381"/>
      <c r="CD35" s="381"/>
      <c r="CE35" s="381"/>
      <c r="CF35" s="381"/>
    </row>
    <row r="36" spans="1:84">
      <c r="B36" s="9"/>
      <c r="C36" s="789"/>
      <c r="D36" s="822"/>
      <c r="E36" s="9"/>
      <c r="F36" s="600"/>
      <c r="G36" s="600"/>
      <c r="H36" s="475"/>
      <c r="I36" s="9"/>
      <c r="J36" s="776" t="s">
        <v>695</v>
      </c>
      <c r="K36" s="1106">
        <f ca="1">IFERROR(LNKTXTPercperdas,0)</f>
        <v>9.3400000000000011E-2</v>
      </c>
      <c r="L36" s="17"/>
      <c r="M36" s="562"/>
      <c r="O36" s="9"/>
      <c r="Q36" s="538"/>
      <c r="R36" s="381"/>
      <c r="S36" s="381"/>
      <c r="T36" s="381"/>
      <c r="U36" s="381"/>
      <c r="V36" s="381"/>
      <c r="W36" s="381"/>
      <c r="X36" s="381"/>
      <c r="Y36" s="381"/>
      <c r="Z36" s="381"/>
      <c r="AA36" s="381"/>
      <c r="AB36" s="381"/>
      <c r="AC36" s="381"/>
      <c r="AD36" s="381"/>
      <c r="AE36" s="381"/>
      <c r="AF36" s="381"/>
      <c r="AG36" s="381"/>
      <c r="AH36" s="381"/>
      <c r="AI36" s="381"/>
      <c r="AJ36" s="381"/>
      <c r="AK36" s="381"/>
      <c r="AL36" s="381"/>
      <c r="AM36" s="381"/>
      <c r="AN36" s="381"/>
      <c r="AO36" s="381"/>
      <c r="AP36" s="381"/>
      <c r="AQ36" s="381"/>
      <c r="AR36" s="381"/>
      <c r="AS36" s="381"/>
      <c r="AT36" s="381"/>
      <c r="AU36" s="381"/>
      <c r="AV36" s="381"/>
      <c r="AW36" s="381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381"/>
      <c r="BI36" s="381"/>
      <c r="BJ36" s="381"/>
      <c r="BK36" s="381"/>
      <c r="BL36" s="381"/>
      <c r="BM36" s="381"/>
      <c r="BN36" s="381"/>
      <c r="BO36" s="381"/>
      <c r="BP36" s="381"/>
      <c r="BQ36" s="381"/>
      <c r="BR36" s="381"/>
      <c r="BS36" s="381"/>
      <c r="BT36" s="381"/>
      <c r="BU36" s="381"/>
      <c r="BV36" s="381"/>
      <c r="BW36" s="381"/>
      <c r="BX36" s="381"/>
      <c r="BY36" s="381"/>
      <c r="BZ36" s="381"/>
      <c r="CA36" s="381"/>
      <c r="CB36" s="381"/>
      <c r="CC36" s="381"/>
      <c r="CD36" s="381"/>
      <c r="CE36" s="381"/>
      <c r="CF36" s="381"/>
    </row>
    <row r="37" spans="1:84" ht="29.25" customHeight="1" thickBot="1">
      <c r="B37" s="9"/>
      <c r="C37" s="9"/>
      <c r="D37" s="601"/>
      <c r="E37" s="9"/>
      <c r="F37" s="600"/>
      <c r="G37" s="600"/>
      <c r="H37" s="475"/>
      <c r="I37" s="9"/>
      <c r="J37" s="275"/>
      <c r="K37" s="475"/>
      <c r="L37" s="791"/>
      <c r="M37" s="570"/>
      <c r="O37" s="9"/>
      <c r="R37" s="381"/>
      <c r="S37" s="381"/>
      <c r="T37" s="381"/>
      <c r="U37" s="381"/>
      <c r="V37" s="381"/>
      <c r="W37" s="381"/>
      <c r="X37" s="381"/>
      <c r="Y37" s="381"/>
      <c r="Z37" s="381"/>
      <c r="AA37" s="381"/>
      <c r="AB37" s="381"/>
      <c r="AC37" s="381"/>
      <c r="AD37" s="381"/>
      <c r="AE37" s="381"/>
      <c r="AF37" s="381"/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381"/>
      <c r="AR37" s="381"/>
      <c r="AS37" s="381"/>
      <c r="AT37" s="381"/>
      <c r="AU37" s="381"/>
      <c r="AV37" s="381"/>
      <c r="AW37" s="381"/>
      <c r="AX37" s="381"/>
      <c r="AY37" s="381"/>
      <c r="AZ37" s="381"/>
      <c r="BA37" s="381"/>
      <c r="BB37" s="381"/>
      <c r="BC37" s="381"/>
      <c r="BD37" s="381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</row>
    <row r="38" spans="1:84" ht="26.25" thickBot="1">
      <c r="A38" s="553"/>
      <c r="B38" s="543" t="s">
        <v>696</v>
      </c>
      <c r="C38" s="554"/>
      <c r="D38" s="554"/>
      <c r="E38" s="555"/>
      <c r="F38" s="555"/>
      <c r="G38" s="555"/>
      <c r="H38" s="535"/>
      <c r="I38" s="536"/>
      <c r="J38" s="555"/>
      <c r="K38" s="556"/>
      <c r="L38" s="557"/>
      <c r="M38" s="558"/>
      <c r="O38" s="9"/>
      <c r="Q38" s="538"/>
      <c r="R38" s="381"/>
      <c r="S38" s="381"/>
      <c r="T38" s="381"/>
      <c r="U38" s="381"/>
      <c r="V38" s="381"/>
      <c r="W38" s="381"/>
      <c r="X38" s="381"/>
      <c r="Y38" s="381"/>
      <c r="Z38" s="381"/>
      <c r="AA38" s="381"/>
      <c r="AB38" s="381"/>
      <c r="AC38" s="381"/>
      <c r="AD38" s="381"/>
      <c r="AE38" s="381"/>
      <c r="AF38" s="381"/>
      <c r="AG38" s="381"/>
      <c r="AH38" s="381"/>
      <c r="AI38" s="381"/>
      <c r="AJ38" s="381"/>
      <c r="AK38" s="381"/>
      <c r="AL38" s="381"/>
      <c r="AM38" s="381"/>
      <c r="AN38" s="381"/>
      <c r="AO38" s="381"/>
      <c r="AP38" s="381"/>
      <c r="AQ38" s="381"/>
      <c r="AR38" s="381"/>
      <c r="AS38" s="381"/>
      <c r="AT38" s="381"/>
      <c r="AU38" s="381"/>
      <c r="AV38" s="381"/>
      <c r="AW38" s="381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381"/>
      <c r="BI38" s="381"/>
      <c r="BJ38" s="381"/>
      <c r="BK38" s="381"/>
      <c r="BL38" s="381"/>
      <c r="BM38" s="381"/>
      <c r="BN38" s="381"/>
      <c r="BO38" s="381"/>
      <c r="BP38" s="381"/>
      <c r="BQ38" s="381"/>
      <c r="BR38" s="381"/>
      <c r="BS38" s="381"/>
      <c r="BT38" s="381"/>
      <c r="BU38" s="381"/>
      <c r="BV38" s="381"/>
      <c r="BW38" s="381"/>
      <c r="BX38" s="381"/>
      <c r="BY38" s="381"/>
      <c r="BZ38" s="381"/>
      <c r="CA38" s="381"/>
      <c r="CB38" s="381"/>
      <c r="CC38" s="381"/>
      <c r="CD38" s="381"/>
      <c r="CE38" s="381"/>
      <c r="CF38" s="381"/>
    </row>
    <row r="39" spans="1:84" ht="18">
      <c r="F39" s="1725" t="s">
        <v>697</v>
      </c>
      <c r="G39" s="1725"/>
      <c r="L39" s="564"/>
      <c r="M39" s="547"/>
      <c r="O39" s="9"/>
      <c r="R39" s="381"/>
      <c r="S39" s="381"/>
      <c r="T39" s="381"/>
      <c r="U39" s="381"/>
      <c r="V39" s="381"/>
      <c r="W39" s="381"/>
      <c r="X39" s="381"/>
      <c r="Y39" s="381"/>
      <c r="Z39" s="381"/>
      <c r="AA39" s="381"/>
      <c r="AB39" s="381"/>
      <c r="AC39" s="381"/>
      <c r="AD39" s="381"/>
      <c r="AE39" s="381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381"/>
      <c r="AR39" s="381"/>
      <c r="AS39" s="381"/>
      <c r="AT39" s="381"/>
      <c r="AU39" s="381"/>
      <c r="AV39" s="381"/>
      <c r="AW39" s="381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</row>
    <row r="40" spans="1:84">
      <c r="B40" s="493" t="str">
        <f>"Valores de "&amp;YEAR(C14)</f>
        <v>Valores de 2021</v>
      </c>
      <c r="C40" s="9"/>
      <c r="D40" s="9"/>
      <c r="E40" s="9"/>
      <c r="F40" s="1726" t="s">
        <v>698</v>
      </c>
      <c r="G40" s="1726"/>
      <c r="H40" s="592"/>
      <c r="I40" s="9"/>
      <c r="J40" s="1713" t="str">
        <f ca="1">"Variação processo anterior e "&amp;AnoRevRea</f>
        <v>Variação processo anterior e 2022</v>
      </c>
      <c r="K40" s="1713"/>
      <c r="L40" s="564"/>
      <c r="M40" s="547"/>
      <c r="O40" s="9"/>
      <c r="R40" s="381"/>
      <c r="S40" s="381"/>
      <c r="T40" s="381"/>
      <c r="U40" s="381"/>
      <c r="V40" s="381"/>
      <c r="W40" s="381"/>
      <c r="X40" s="381"/>
      <c r="Y40" s="381"/>
      <c r="Z40" s="381"/>
      <c r="AA40" s="381"/>
      <c r="AB40" s="381"/>
      <c r="AC40" s="381"/>
      <c r="AD40" s="381"/>
      <c r="AE40" s="381"/>
      <c r="AF40" s="381"/>
      <c r="AG40" s="381"/>
      <c r="AH40" s="381"/>
      <c r="AI40" s="381"/>
      <c r="AJ40" s="381"/>
      <c r="AK40" s="381"/>
      <c r="AL40" s="381"/>
      <c r="AM40" s="381"/>
      <c r="AN40" s="381"/>
      <c r="AO40" s="381"/>
      <c r="AP40" s="381"/>
      <c r="AQ40" s="381"/>
      <c r="AR40" s="381"/>
      <c r="AS40" s="381"/>
      <c r="AT40" s="381"/>
      <c r="AU40" s="381"/>
      <c r="AV40" s="381"/>
      <c r="AW40" s="381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</row>
    <row r="41" spans="1:84">
      <c r="B41" s="589" t="s">
        <v>699</v>
      </c>
      <c r="C41" s="590"/>
      <c r="D41" s="1107">
        <f>BD!C5</f>
        <v>64311.973000000005</v>
      </c>
      <c r="E41" s="9"/>
      <c r="F41" s="1717" t="s">
        <v>700</v>
      </c>
      <c r="G41" s="1717"/>
      <c r="H41" s="1108">
        <f>LinkTXTPR</f>
        <v>0.12435816358744038</v>
      </c>
      <c r="I41" s="9"/>
      <c r="J41" s="589" t="s">
        <v>699</v>
      </c>
      <c r="K41" s="1109">
        <f ca="1">IFERROR(Calc_Mercado!J15,0)</f>
        <v>9.8482128669878932E-3</v>
      </c>
      <c r="L41" s="564"/>
      <c r="M41" s="547"/>
      <c r="O41" s="9"/>
      <c r="Q41" s="538"/>
      <c r="R41" s="381"/>
      <c r="S41" s="381"/>
      <c r="T41" s="381"/>
      <c r="U41" s="381"/>
      <c r="V41" s="381"/>
      <c r="W41" s="381"/>
      <c r="X41" s="381"/>
      <c r="Y41" s="381"/>
      <c r="Z41" s="381"/>
      <c r="AA41" s="381"/>
      <c r="AB41" s="381"/>
      <c r="AC41" s="381"/>
      <c r="AD41" s="381"/>
      <c r="AE41" s="381"/>
      <c r="AF41" s="381"/>
      <c r="AG41" s="381"/>
      <c r="AH41" s="381"/>
      <c r="AI41" s="381"/>
      <c r="AJ41" s="381"/>
      <c r="AK41" s="381"/>
      <c r="AL41" s="381"/>
      <c r="AM41" s="381"/>
      <c r="AN41" s="381"/>
      <c r="AO41" s="381"/>
      <c r="AP41" s="381"/>
      <c r="AQ41" s="381"/>
      <c r="AR41" s="381"/>
      <c r="AS41" s="381"/>
      <c r="AT41" s="381"/>
      <c r="AU41" s="381"/>
      <c r="AV41" s="381"/>
      <c r="AW41" s="381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381"/>
      <c r="BI41" s="381"/>
      <c r="BJ41" s="381"/>
      <c r="BK41" s="381"/>
      <c r="BL41" s="381"/>
      <c r="BM41" s="381"/>
      <c r="BN41" s="381"/>
      <c r="BO41" s="381"/>
      <c r="BP41" s="381"/>
      <c r="BQ41" s="381"/>
      <c r="BR41" s="381"/>
      <c r="BS41" s="381"/>
      <c r="BT41" s="381"/>
      <c r="BU41" s="381"/>
      <c r="BV41" s="381"/>
      <c r="BW41" s="381"/>
      <c r="BX41" s="381"/>
      <c r="BY41" s="381"/>
      <c r="BZ41" s="381"/>
      <c r="CA41" s="381"/>
      <c r="CB41" s="381"/>
      <c r="CC41" s="381"/>
      <c r="CD41" s="381"/>
      <c r="CE41" s="381"/>
      <c r="CF41" s="381"/>
    </row>
    <row r="42" spans="1:84">
      <c r="B42" s="584" t="s">
        <v>40</v>
      </c>
      <c r="C42" s="584"/>
      <c r="D42" s="374">
        <f>IFERROR(VLOOKUP("TFSEE",BD!$B$7:$C$16,2,FALSE),0)</f>
        <v>131134.69120345701</v>
      </c>
      <c r="E42" s="9"/>
      <c r="F42" s="1718" t="s">
        <v>701</v>
      </c>
      <c r="G42" s="1718"/>
      <c r="H42" s="593">
        <f>SUM(H43:H44)</f>
        <v>0</v>
      </c>
      <c r="I42" s="9"/>
      <c r="J42" s="584" t="s">
        <v>40</v>
      </c>
      <c r="K42" s="1109">
        <f ca="1">LnkTxtVarTFSEE</f>
        <v>0.15023524100035157</v>
      </c>
      <c r="L42" s="564"/>
      <c r="M42" s="547"/>
      <c r="O42" s="9"/>
      <c r="R42" s="381"/>
      <c r="S42" s="381"/>
      <c r="T42" s="381"/>
      <c r="U42" s="381"/>
      <c r="V42" s="381"/>
      <c r="W42" s="381"/>
      <c r="X42" s="381"/>
      <c r="Y42" s="381"/>
      <c r="Z42" s="381"/>
      <c r="AA42" s="381"/>
      <c r="AB42" s="381"/>
      <c r="AC42" s="381"/>
      <c r="AD42" s="381"/>
      <c r="AE42" s="381"/>
      <c r="AF42" s="381"/>
      <c r="AG42" s="381"/>
      <c r="AH42" s="381"/>
      <c r="AI42" s="381"/>
      <c r="AJ42" s="381"/>
      <c r="AK42" s="381"/>
      <c r="AL42" s="381"/>
      <c r="AM42" s="381"/>
      <c r="AN42" s="381"/>
      <c r="AO42" s="381"/>
      <c r="AP42" s="381"/>
      <c r="AQ42" s="381"/>
      <c r="AR42" s="381"/>
      <c r="AS42" s="381"/>
      <c r="AT42" s="381"/>
      <c r="AU42" s="381"/>
      <c r="AV42" s="381"/>
      <c r="AW42" s="381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381"/>
      <c r="BI42" s="381"/>
      <c r="BJ42" s="381"/>
      <c r="BK42" s="381"/>
      <c r="BL42" s="381"/>
      <c r="BM42" s="381"/>
      <c r="BN42" s="381"/>
      <c r="BO42" s="381"/>
      <c r="BP42" s="381"/>
      <c r="BQ42" s="381"/>
      <c r="BR42" s="381"/>
      <c r="BS42" s="381"/>
      <c r="BT42" s="381"/>
      <c r="BU42" s="381"/>
      <c r="BV42" s="381"/>
      <c r="BW42" s="381"/>
      <c r="BX42" s="381"/>
      <c r="BY42" s="381"/>
      <c r="BZ42" s="381"/>
      <c r="CA42" s="381"/>
      <c r="CB42" s="381"/>
      <c r="CC42" s="381"/>
      <c r="CD42" s="381"/>
      <c r="CE42" s="381"/>
      <c r="CF42" s="381"/>
    </row>
    <row r="43" spans="1:84" ht="15" customHeight="1">
      <c r="B43" s="584" t="s">
        <v>41</v>
      </c>
      <c r="C43" s="584"/>
      <c r="D43" s="374">
        <f>IFERROR(VLOOKUP("CDE",BD!$B$7:$C$16,2,FALSE),0)</f>
        <v>3787844.66078</v>
      </c>
      <c r="E43" s="9"/>
      <c r="F43" s="1718" t="s">
        <v>702</v>
      </c>
      <c r="G43" s="1718"/>
      <c r="H43" s="593">
        <f>VLOOKUP(B2,Informacoes[#Data],25,FALSE)</f>
        <v>0</v>
      </c>
      <c r="I43" s="9"/>
      <c r="J43" s="584" t="s">
        <v>41</v>
      </c>
      <c r="K43" s="591">
        <f ca="1">LnkTxtVarCDE</f>
        <v>0.47287469278540439</v>
      </c>
      <c r="L43" s="564"/>
      <c r="M43" s="547"/>
      <c r="O43" s="9"/>
      <c r="Q43" s="538"/>
      <c r="R43" s="381"/>
      <c r="S43" s="381"/>
      <c r="T43" s="381"/>
      <c r="U43" s="381"/>
      <c r="V43" s="381"/>
      <c r="W43" s="381"/>
      <c r="X43" s="381"/>
      <c r="Y43" s="381"/>
      <c r="Z43" s="381"/>
      <c r="AA43" s="381"/>
      <c r="AB43" s="381"/>
      <c r="AC43" s="381"/>
      <c r="AD43" s="381"/>
      <c r="AE43" s="381"/>
      <c r="AF43" s="381"/>
      <c r="AG43" s="381"/>
      <c r="AH43" s="381"/>
      <c r="AI43" s="381"/>
      <c r="AJ43" s="381"/>
      <c r="AK43" s="381"/>
      <c r="AL43" s="381"/>
      <c r="AM43" s="381"/>
      <c r="AN43" s="381"/>
      <c r="AO43" s="381"/>
      <c r="AP43" s="381"/>
      <c r="AQ43" s="381"/>
      <c r="AR43" s="381"/>
      <c r="AS43" s="381"/>
      <c r="AT43" s="381"/>
      <c r="AU43" s="381"/>
      <c r="AV43" s="381"/>
      <c r="AW43" s="381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381"/>
      <c r="BI43" s="381"/>
      <c r="BJ43" s="381"/>
      <c r="BK43" s="381"/>
      <c r="BL43" s="381"/>
      <c r="BM43" s="381"/>
      <c r="BN43" s="381"/>
      <c r="BO43" s="381"/>
      <c r="BP43" s="381"/>
      <c r="BQ43" s="381"/>
      <c r="BR43" s="381"/>
      <c r="BS43" s="381"/>
      <c r="BT43" s="381"/>
      <c r="BU43" s="381"/>
      <c r="BV43" s="381"/>
      <c r="BW43" s="381"/>
      <c r="BX43" s="381"/>
      <c r="BY43" s="381"/>
      <c r="BZ43" s="381"/>
      <c r="CA43" s="381"/>
      <c r="CB43" s="381"/>
      <c r="CC43" s="381"/>
      <c r="CD43" s="381"/>
      <c r="CE43" s="381"/>
      <c r="CF43" s="381"/>
    </row>
    <row r="44" spans="1:84">
      <c r="B44" s="584" t="s">
        <v>126</v>
      </c>
      <c r="C44" s="584"/>
      <c r="D44" s="374">
        <f>IFERROR(VLOOKUP("CFURH",BD!$B$7:$C$16,2,FALSE),0)</f>
        <v>0</v>
      </c>
      <c r="E44" s="9"/>
      <c r="F44" s="1714" t="s">
        <v>263</v>
      </c>
      <c r="G44" s="1714"/>
      <c r="H44" s="1110">
        <f>VLOOKUP(B2,Informacoes[#Data],26,FALSE)</f>
        <v>0</v>
      </c>
      <c r="I44" s="9"/>
      <c r="J44" s="584" t="s">
        <v>126</v>
      </c>
      <c r="K44" s="475" t="str">
        <f ca="1">Resultado!F19</f>
        <v>-</v>
      </c>
      <c r="L44" s="564"/>
      <c r="M44" s="547"/>
      <c r="N44" s="573"/>
      <c r="O44" s="9"/>
      <c r="R44" s="381"/>
      <c r="S44" s="381"/>
      <c r="T44" s="381"/>
      <c r="U44" s="381"/>
      <c r="V44" s="381"/>
      <c r="W44" s="381"/>
      <c r="X44" s="381"/>
      <c r="Y44" s="381"/>
      <c r="Z44" s="381"/>
      <c r="AA44" s="381"/>
      <c r="AB44" s="381"/>
      <c r="AC44" s="381"/>
      <c r="AD44" s="381"/>
      <c r="AE44" s="381"/>
      <c r="AF44" s="381"/>
      <c r="AG44" s="381"/>
      <c r="AH44" s="381"/>
      <c r="AI44" s="381"/>
      <c r="AJ44" s="381"/>
      <c r="AK44" s="381"/>
      <c r="AL44" s="381"/>
      <c r="AM44" s="381"/>
      <c r="AN44" s="381"/>
      <c r="AO44" s="381"/>
      <c r="AP44" s="381"/>
      <c r="AQ44" s="381"/>
      <c r="AR44" s="381"/>
      <c r="AS44" s="381"/>
      <c r="AT44" s="381"/>
      <c r="AU44" s="381"/>
      <c r="AV44" s="381"/>
      <c r="AW44" s="381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381"/>
      <c r="BI44" s="381"/>
      <c r="BJ44" s="381"/>
      <c r="BK44" s="381"/>
      <c r="BL44" s="381"/>
      <c r="BM44" s="381"/>
      <c r="BN44" s="381"/>
      <c r="BO44" s="381"/>
      <c r="BP44" s="381"/>
      <c r="BQ44" s="381"/>
      <c r="BR44" s="381"/>
      <c r="BS44" s="381"/>
      <c r="BT44" s="381"/>
      <c r="BU44" s="381"/>
      <c r="BV44" s="381"/>
      <c r="BW44" s="381"/>
      <c r="BX44" s="381"/>
      <c r="BY44" s="381"/>
      <c r="BZ44" s="381"/>
      <c r="CA44" s="381"/>
      <c r="CB44" s="381"/>
      <c r="CC44" s="381"/>
      <c r="CD44" s="381"/>
      <c r="CE44" s="381"/>
      <c r="CF44" s="381"/>
    </row>
    <row r="45" spans="1:84">
      <c r="B45" s="584" t="s">
        <v>46</v>
      </c>
      <c r="C45" s="584"/>
      <c r="D45" s="374">
        <f>IFERROR(VLOOKUP("ESS/ERR",BD!$B$7:$C$16,2,FALSE),0)</f>
        <v>0</v>
      </c>
      <c r="E45" s="9"/>
      <c r="I45" s="376"/>
      <c r="J45" s="584" t="s">
        <v>46</v>
      </c>
      <c r="K45" s="475" t="str">
        <f ca="1">Resultado!F20</f>
        <v>-</v>
      </c>
      <c r="L45" s="564"/>
      <c r="M45" s="572"/>
      <c r="N45" s="573"/>
      <c r="O45" s="9"/>
      <c r="Q45" s="538"/>
      <c r="R45" s="381"/>
      <c r="S45" s="381"/>
      <c r="T45" s="381"/>
      <c r="U45" s="381"/>
      <c r="V45" s="381"/>
      <c r="W45" s="381"/>
      <c r="X45" s="381"/>
      <c r="Y45" s="381"/>
      <c r="Z45" s="381"/>
      <c r="AA45" s="381"/>
      <c r="AB45" s="381"/>
      <c r="AC45" s="381"/>
      <c r="AD45" s="381"/>
      <c r="AE45" s="381"/>
      <c r="AF45" s="381"/>
      <c r="AG45" s="381"/>
      <c r="AH45" s="381"/>
      <c r="AI45" s="381"/>
      <c r="AJ45" s="381"/>
      <c r="AK45" s="381"/>
      <c r="AL45" s="381"/>
      <c r="AM45" s="381"/>
      <c r="AN45" s="381"/>
      <c r="AO45" s="381"/>
      <c r="AP45" s="381"/>
      <c r="AQ45" s="381"/>
      <c r="AR45" s="381"/>
      <c r="AS45" s="381"/>
      <c r="AT45" s="381"/>
      <c r="AU45" s="381"/>
      <c r="AV45" s="381"/>
      <c r="AW45" s="381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381"/>
      <c r="BI45" s="381"/>
      <c r="BJ45" s="381"/>
      <c r="BK45" s="381"/>
      <c r="BL45" s="381"/>
      <c r="BM45" s="381"/>
      <c r="BN45" s="381"/>
      <c r="BO45" s="381"/>
      <c r="BP45" s="381"/>
      <c r="BQ45" s="381"/>
      <c r="BR45" s="381"/>
      <c r="BS45" s="381"/>
      <c r="BT45" s="381"/>
      <c r="BU45" s="381"/>
      <c r="BV45" s="381"/>
      <c r="BW45" s="381"/>
      <c r="BX45" s="381"/>
      <c r="BY45" s="381"/>
      <c r="BZ45" s="381"/>
      <c r="CA45" s="381"/>
      <c r="CB45" s="381"/>
      <c r="CC45" s="381"/>
      <c r="CD45" s="381"/>
      <c r="CE45" s="381"/>
      <c r="CF45" s="381"/>
    </row>
    <row r="46" spans="1:84">
      <c r="B46" s="584" t="s">
        <v>47</v>
      </c>
      <c r="C46" s="584"/>
      <c r="D46" s="374">
        <f>IFERROR(VLOOKUP("PROINFA",BD!$B$7:$C$16,2,FALSE),0)</f>
        <v>597545.19212000002</v>
      </c>
      <c r="E46" s="9"/>
      <c r="F46" s="9"/>
      <c r="G46" s="9"/>
      <c r="H46" s="9"/>
      <c r="I46" s="400"/>
      <c r="J46" s="584" t="s">
        <v>47</v>
      </c>
      <c r="K46" s="591">
        <f ca="1">Resultado!F21</f>
        <v>0.51298971901042068</v>
      </c>
      <c r="L46" s="564"/>
      <c r="M46" s="574"/>
      <c r="N46" s="573"/>
      <c r="O46" s="9"/>
      <c r="R46" s="381"/>
      <c r="S46" s="381"/>
      <c r="T46" s="381"/>
      <c r="U46" s="381"/>
      <c r="V46" s="381"/>
      <c r="W46" s="381"/>
      <c r="X46" s="381"/>
      <c r="Y46" s="381"/>
      <c r="Z46" s="381"/>
      <c r="AA46" s="381"/>
      <c r="AB46" s="381"/>
      <c r="AC46" s="381"/>
      <c r="AD46" s="381"/>
      <c r="AE46" s="381"/>
      <c r="AF46" s="381"/>
      <c r="AG46" s="381"/>
      <c r="AH46" s="381"/>
      <c r="AI46" s="381"/>
      <c r="AJ46" s="381"/>
      <c r="AK46" s="381"/>
      <c r="AL46" s="381"/>
      <c r="AM46" s="381"/>
      <c r="AN46" s="381"/>
      <c r="AO46" s="381"/>
      <c r="AP46" s="381"/>
      <c r="AQ46" s="381"/>
      <c r="AR46" s="381"/>
      <c r="AS46" s="381"/>
      <c r="AT46" s="381"/>
      <c r="AU46" s="381"/>
      <c r="AV46" s="381"/>
      <c r="AW46" s="381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381"/>
      <c r="BI46" s="381"/>
      <c r="BJ46" s="381"/>
      <c r="BK46" s="381"/>
      <c r="BL46" s="381"/>
      <c r="BM46" s="381"/>
      <c r="BN46" s="381"/>
      <c r="BO46" s="381"/>
      <c r="BP46" s="381"/>
      <c r="BQ46" s="381"/>
      <c r="BR46" s="381"/>
      <c r="BS46" s="381"/>
      <c r="BT46" s="381"/>
      <c r="BU46" s="381"/>
      <c r="BV46" s="381"/>
      <c r="BW46" s="381"/>
      <c r="BX46" s="381"/>
      <c r="BY46" s="381"/>
      <c r="BZ46" s="381"/>
      <c r="CA46" s="381"/>
      <c r="CB46" s="381"/>
      <c r="CC46" s="381"/>
      <c r="CD46" s="381"/>
      <c r="CE46" s="381"/>
      <c r="CF46" s="381"/>
    </row>
    <row r="47" spans="1:84" ht="17.25" customHeight="1">
      <c r="B47" s="584" t="s">
        <v>2176</v>
      </c>
      <c r="C47" s="584"/>
      <c r="D47" s="374">
        <f>IFERROR(VLOOKUP("CDE Covid TUSD",BD!$B$7:$C$16,2,FALSE),0)</f>
        <v>0</v>
      </c>
      <c r="E47" s="9"/>
      <c r="I47" s="400"/>
      <c r="J47" s="584" t="s">
        <v>48</v>
      </c>
      <c r="K47" s="475" t="str">
        <f ca="1">Resultado!F22</f>
        <v>-</v>
      </c>
      <c r="L47" s="564"/>
      <c r="M47" s="574"/>
      <c r="N47" s="573"/>
      <c r="O47" s="9"/>
      <c r="R47" s="381"/>
      <c r="S47" s="381"/>
      <c r="T47" s="381"/>
      <c r="U47" s="381"/>
      <c r="V47" s="381"/>
      <c r="W47" s="381"/>
      <c r="X47" s="381"/>
      <c r="Y47" s="381"/>
      <c r="Z47" s="381"/>
      <c r="AA47" s="381"/>
      <c r="AB47" s="381"/>
      <c r="AC47" s="381"/>
      <c r="AD47" s="381"/>
      <c r="AE47" s="381"/>
      <c r="AF47" s="381"/>
      <c r="AG47" s="381"/>
      <c r="AH47" s="381"/>
      <c r="AI47" s="381"/>
      <c r="AJ47" s="381"/>
      <c r="AK47" s="381"/>
      <c r="AL47" s="381"/>
      <c r="AM47" s="381"/>
      <c r="AN47" s="381"/>
      <c r="AO47" s="381"/>
      <c r="AP47" s="381"/>
      <c r="AQ47" s="381"/>
      <c r="AR47" s="381"/>
      <c r="AS47" s="381"/>
      <c r="AT47" s="381"/>
      <c r="AU47" s="381"/>
      <c r="AV47" s="381"/>
      <c r="AW47" s="381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381"/>
      <c r="BI47" s="381"/>
      <c r="BJ47" s="381"/>
      <c r="BK47" s="381"/>
      <c r="BL47" s="381"/>
      <c r="BM47" s="381"/>
      <c r="BN47" s="381"/>
      <c r="BO47" s="381"/>
      <c r="BP47" s="381"/>
      <c r="BQ47" s="381"/>
      <c r="BR47" s="381"/>
      <c r="BS47" s="381"/>
      <c r="BT47" s="381"/>
      <c r="BU47" s="381"/>
      <c r="BV47" s="381"/>
      <c r="BW47" s="381"/>
      <c r="BX47" s="381"/>
      <c r="BY47" s="381"/>
      <c r="BZ47" s="381"/>
      <c r="CA47" s="381"/>
      <c r="CB47" s="381"/>
      <c r="CC47" s="381"/>
      <c r="CD47" s="381"/>
      <c r="CE47" s="381"/>
      <c r="CF47" s="381"/>
    </row>
    <row r="48" spans="1:84">
      <c r="B48" s="584" t="s">
        <v>49</v>
      </c>
      <c r="C48" s="584"/>
      <c r="D48" s="374">
        <f>IFERROR(VLOOKUP("ONS",BD!$B$7:$C$16,2,FALSE),0)</f>
        <v>0</v>
      </c>
      <c r="E48" s="9"/>
      <c r="F48" s="718" t="s">
        <v>703</v>
      </c>
      <c r="G48" s="719"/>
      <c r="I48" s="400"/>
      <c r="J48" s="584" t="s">
        <v>49</v>
      </c>
      <c r="K48" s="475" t="str">
        <f ca="1">Resultado!F23</f>
        <v>-</v>
      </c>
      <c r="L48" s="564"/>
      <c r="M48" s="574"/>
      <c r="N48" s="573"/>
      <c r="O48" s="9"/>
      <c r="Q48" s="538"/>
      <c r="R48" s="381"/>
      <c r="S48" s="381"/>
      <c r="T48" s="381"/>
      <c r="U48" s="381"/>
      <c r="V48" s="381"/>
      <c r="W48" s="381"/>
      <c r="X48" s="381"/>
      <c r="Y48" s="381"/>
      <c r="Z48" s="381"/>
      <c r="AA48" s="381"/>
      <c r="AB48" s="381"/>
      <c r="AC48" s="381"/>
      <c r="AD48" s="381"/>
      <c r="AE48" s="381"/>
      <c r="AF48" s="381"/>
      <c r="AG48" s="381"/>
      <c r="AH48" s="381"/>
      <c r="AI48" s="381"/>
      <c r="AJ48" s="381"/>
      <c r="AK48" s="381"/>
      <c r="AL48" s="381"/>
      <c r="AM48" s="381"/>
      <c r="AN48" s="381"/>
      <c r="AO48" s="381"/>
      <c r="AP48" s="381"/>
      <c r="AQ48" s="381"/>
      <c r="AR48" s="381"/>
      <c r="AS48" s="381"/>
      <c r="AT48" s="381"/>
      <c r="AU48" s="381"/>
      <c r="AV48" s="381"/>
      <c r="AW48" s="381"/>
      <c r="AX48" s="381"/>
      <c r="AY48" s="381"/>
      <c r="AZ48" s="381"/>
      <c r="BA48" s="381"/>
      <c r="BB48" s="381"/>
      <c r="BC48" s="381"/>
      <c r="BD48" s="381"/>
      <c r="BE48" s="381"/>
      <c r="BF48" s="381"/>
      <c r="BG48" s="381"/>
      <c r="BH48" s="381"/>
      <c r="BI48" s="381"/>
      <c r="BJ48" s="381"/>
      <c r="BK48" s="381"/>
      <c r="BL48" s="381"/>
      <c r="BM48" s="381"/>
      <c r="BN48" s="381"/>
      <c r="BO48" s="381"/>
      <c r="BP48" s="381"/>
      <c r="BQ48" s="381"/>
      <c r="BR48" s="381"/>
      <c r="BS48" s="381"/>
      <c r="BT48" s="381"/>
      <c r="BU48" s="381"/>
      <c r="BV48" s="381"/>
      <c r="BW48" s="381"/>
      <c r="BX48" s="381"/>
      <c r="BY48" s="381"/>
      <c r="BZ48" s="381"/>
      <c r="CA48" s="381"/>
      <c r="CB48" s="381"/>
      <c r="CC48" s="381"/>
      <c r="CD48" s="381"/>
      <c r="CE48" s="381"/>
      <c r="CF48" s="381"/>
    </row>
    <row r="49" spans="1:84">
      <c r="B49" s="775" t="s">
        <v>704</v>
      </c>
      <c r="C49" s="775"/>
      <c r="D49" s="1111">
        <f>BD!C18</f>
        <v>0</v>
      </c>
      <c r="E49" s="9"/>
      <c r="F49" s="718" t="s">
        <v>705</v>
      </c>
      <c r="G49" s="720"/>
      <c r="I49" s="400"/>
      <c r="J49" s="775" t="s">
        <v>704</v>
      </c>
      <c r="K49" s="1109"/>
      <c r="L49" s="564"/>
      <c r="M49" s="574"/>
      <c r="N49" s="573"/>
      <c r="O49" s="9"/>
      <c r="R49" s="381"/>
      <c r="S49" s="381"/>
      <c r="T49" s="381"/>
      <c r="U49" s="381"/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381"/>
      <c r="AH49" s="381"/>
      <c r="AI49" s="381"/>
      <c r="AJ49" s="381"/>
      <c r="AK49" s="381"/>
      <c r="AL49" s="381"/>
      <c r="AM49" s="381"/>
      <c r="AN49" s="381"/>
      <c r="AO49" s="381"/>
      <c r="AP49" s="381"/>
      <c r="AQ49" s="381"/>
      <c r="AR49" s="381"/>
      <c r="AS49" s="381"/>
      <c r="AT49" s="381"/>
      <c r="AU49" s="381"/>
      <c r="AV49" s="381"/>
      <c r="AW49" s="381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381"/>
      <c r="BI49" s="381"/>
      <c r="BJ49" s="381"/>
      <c r="BK49" s="381"/>
      <c r="BL49" s="381"/>
      <c r="BM49" s="381"/>
      <c r="BN49" s="381"/>
      <c r="BO49" s="381"/>
      <c r="BP49" s="381"/>
      <c r="BQ49" s="381"/>
      <c r="BR49" s="381"/>
      <c r="BS49" s="381"/>
      <c r="BT49" s="381"/>
      <c r="BU49" s="381"/>
      <c r="BV49" s="381"/>
      <c r="BW49" s="381"/>
      <c r="BX49" s="381"/>
      <c r="BY49" s="381"/>
      <c r="BZ49" s="381"/>
      <c r="CA49" s="381"/>
      <c r="CB49" s="381"/>
      <c r="CC49" s="381"/>
      <c r="CD49" s="381"/>
      <c r="CE49" s="381"/>
      <c r="CF49" s="381"/>
    </row>
    <row r="50" spans="1:84">
      <c r="B50" s="584" t="s">
        <v>706</v>
      </c>
      <c r="C50" s="584"/>
      <c r="D50" s="374">
        <f>BD!C19</f>
        <v>0</v>
      </c>
      <c r="E50" s="9"/>
      <c r="I50" s="400"/>
      <c r="J50" s="584" t="s">
        <v>706</v>
      </c>
      <c r="K50" s="591"/>
      <c r="L50" s="564"/>
      <c r="M50" s="574"/>
      <c r="N50" s="573"/>
      <c r="O50" s="9"/>
      <c r="R50" s="381"/>
      <c r="S50" s="381"/>
      <c r="T50" s="381"/>
      <c r="U50" s="381"/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381"/>
      <c r="AH50" s="381"/>
      <c r="AI50" s="381"/>
      <c r="AJ50" s="381"/>
      <c r="AK50" s="381"/>
      <c r="AL50" s="381"/>
      <c r="AM50" s="381"/>
      <c r="AN50" s="381"/>
      <c r="AO50" s="381"/>
      <c r="AP50" s="381"/>
      <c r="AQ50" s="381"/>
      <c r="AR50" s="381"/>
      <c r="AS50" s="381"/>
      <c r="AT50" s="381"/>
      <c r="AU50" s="381"/>
      <c r="AV50" s="381"/>
      <c r="AW50" s="381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381"/>
      <c r="BI50" s="381"/>
      <c r="BJ50" s="381"/>
      <c r="BK50" s="381"/>
      <c r="BL50" s="381"/>
      <c r="BM50" s="381"/>
      <c r="BN50" s="381"/>
      <c r="BO50" s="381"/>
      <c r="BP50" s="381"/>
      <c r="BQ50" s="381"/>
      <c r="BR50" s="381"/>
      <c r="BS50" s="381"/>
      <c r="BT50" s="381"/>
      <c r="BU50" s="381"/>
      <c r="BV50" s="381"/>
      <c r="BW50" s="381"/>
      <c r="BX50" s="381"/>
      <c r="BY50" s="381"/>
      <c r="BZ50" s="381"/>
      <c r="CA50" s="381"/>
      <c r="CB50" s="381"/>
      <c r="CC50" s="381"/>
      <c r="CD50" s="381"/>
      <c r="CE50" s="381"/>
      <c r="CF50" s="381"/>
    </row>
    <row r="51" spans="1:84" ht="17.25" customHeight="1">
      <c r="B51" s="776" t="s">
        <v>707</v>
      </c>
      <c r="C51" s="776"/>
      <c r="D51" s="1112"/>
      <c r="E51" s="9"/>
      <c r="I51" s="9"/>
      <c r="J51" s="776" t="s">
        <v>707</v>
      </c>
      <c r="K51" s="591"/>
      <c r="L51" s="564"/>
      <c r="M51" s="574"/>
      <c r="N51" s="573"/>
      <c r="O51" s="9"/>
      <c r="Q51" s="538"/>
      <c r="R51" s="381"/>
      <c r="S51" s="381"/>
      <c r="T51" s="381"/>
      <c r="U51" s="381"/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381"/>
      <c r="AH51" s="381"/>
      <c r="AI51" s="381"/>
      <c r="AJ51" s="381"/>
      <c r="AK51" s="381"/>
      <c r="AL51" s="381"/>
      <c r="AM51" s="381"/>
      <c r="AN51" s="381"/>
      <c r="AO51" s="381"/>
      <c r="AP51" s="381"/>
      <c r="AQ51" s="381"/>
      <c r="AR51" s="381"/>
      <c r="AS51" s="381"/>
      <c r="AT51" s="381"/>
      <c r="AU51" s="381"/>
      <c r="AV51" s="381"/>
      <c r="AW51" s="381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381"/>
      <c r="BI51" s="381"/>
      <c r="BJ51" s="381"/>
      <c r="BK51" s="381"/>
      <c r="BL51" s="381"/>
      <c r="BM51" s="381"/>
      <c r="BN51" s="381"/>
      <c r="BO51" s="381"/>
      <c r="BP51" s="381"/>
      <c r="BQ51" s="381"/>
      <c r="BR51" s="381"/>
      <c r="BS51" s="381"/>
      <c r="BT51" s="381"/>
      <c r="BU51" s="381"/>
      <c r="BV51" s="381"/>
      <c r="BW51" s="381"/>
      <c r="BX51" s="381"/>
      <c r="BY51" s="381"/>
      <c r="BZ51" s="381"/>
      <c r="CA51" s="381"/>
      <c r="CB51" s="381"/>
      <c r="CC51" s="381"/>
      <c r="CD51" s="381"/>
      <c r="CE51" s="381"/>
      <c r="CF51" s="381"/>
    </row>
    <row r="52" spans="1:84">
      <c r="B52" s="589" t="s">
        <v>708</v>
      </c>
      <c r="C52" s="589"/>
      <c r="D52" s="1113">
        <f>BD!C25</f>
        <v>8494493.7347925995</v>
      </c>
      <c r="E52" s="9"/>
      <c r="F52" s="9"/>
      <c r="G52" s="9"/>
      <c r="H52" s="9"/>
      <c r="I52" s="9"/>
      <c r="J52" s="589" t="s">
        <v>708</v>
      </c>
      <c r="K52" s="594">
        <f ca="1">Resultado!F32</f>
        <v>0.13291561631625926</v>
      </c>
      <c r="L52" s="564"/>
      <c r="M52" s="574"/>
      <c r="N52" s="573"/>
      <c r="O52" s="9"/>
      <c r="Q52" s="491"/>
      <c r="R52" s="381"/>
      <c r="S52" s="381"/>
      <c r="T52" s="381"/>
      <c r="U52" s="381"/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381"/>
      <c r="AH52" s="381"/>
      <c r="AI52" s="381"/>
      <c r="AJ52" s="381"/>
      <c r="AK52" s="381"/>
      <c r="AL52" s="381"/>
      <c r="AM52" s="381"/>
      <c r="AN52" s="381"/>
      <c r="AO52" s="381"/>
      <c r="AP52" s="381"/>
      <c r="AQ52" s="381"/>
      <c r="AR52" s="381"/>
      <c r="AS52" s="381"/>
      <c r="AT52" s="381"/>
      <c r="AU52" s="381"/>
      <c r="AV52" s="381"/>
      <c r="AW52" s="381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381"/>
      <c r="BI52" s="381"/>
      <c r="BJ52" s="381"/>
      <c r="BK52" s="381"/>
      <c r="BL52" s="381"/>
      <c r="BM52" s="381"/>
      <c r="BN52" s="381"/>
      <c r="BO52" s="381"/>
      <c r="BP52" s="381"/>
      <c r="BQ52" s="381"/>
      <c r="BR52" s="381"/>
      <c r="BS52" s="381"/>
      <c r="BT52" s="381"/>
      <c r="BU52" s="381"/>
      <c r="BV52" s="381"/>
      <c r="BW52" s="381"/>
      <c r="BX52" s="381"/>
      <c r="BY52" s="381"/>
      <c r="BZ52" s="381"/>
      <c r="CA52" s="381"/>
      <c r="CB52" s="381"/>
      <c r="CC52" s="381"/>
      <c r="CD52" s="381"/>
      <c r="CE52" s="381"/>
      <c r="CF52" s="381"/>
    </row>
    <row r="53" spans="1:84">
      <c r="B53" s="589" t="s">
        <v>709</v>
      </c>
      <c r="C53" s="589"/>
      <c r="D53" s="1113">
        <f>BD!C26</f>
        <v>28640981.109999999</v>
      </c>
      <c r="E53" s="9"/>
      <c r="F53" s="9"/>
      <c r="G53" s="9"/>
      <c r="H53" s="9"/>
      <c r="I53" s="9"/>
      <c r="J53" s="9"/>
      <c r="K53" s="9"/>
      <c r="L53" s="564"/>
      <c r="M53" s="574"/>
      <c r="N53" s="573"/>
      <c r="O53" s="9"/>
      <c r="Q53" s="491"/>
      <c r="R53" s="381"/>
      <c r="S53" s="381"/>
      <c r="T53" s="381"/>
      <c r="U53" s="381"/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381"/>
      <c r="AH53" s="381"/>
      <c r="AI53" s="381"/>
      <c r="AJ53" s="381"/>
      <c r="AK53" s="381"/>
      <c r="AL53" s="381"/>
      <c r="AM53" s="381"/>
      <c r="AN53" s="381"/>
      <c r="AO53" s="381"/>
      <c r="AP53" s="381"/>
      <c r="AQ53" s="381"/>
      <c r="AR53" s="381"/>
      <c r="AS53" s="381"/>
      <c r="AT53" s="381"/>
      <c r="AU53" s="381"/>
      <c r="AV53" s="381"/>
      <c r="AW53" s="381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381"/>
      <c r="BI53" s="381"/>
      <c r="BJ53" s="381"/>
      <c r="BK53" s="381"/>
      <c r="BL53" s="381"/>
      <c r="BM53" s="381"/>
      <c r="BN53" s="381"/>
      <c r="BO53" s="381"/>
      <c r="BP53" s="381"/>
      <c r="BQ53" s="381"/>
      <c r="BR53" s="381"/>
      <c r="BS53" s="381"/>
      <c r="BT53" s="381"/>
      <c r="BU53" s="381"/>
      <c r="BV53" s="381"/>
      <c r="BW53" s="381"/>
      <c r="BX53" s="381"/>
      <c r="BY53" s="381"/>
      <c r="BZ53" s="381"/>
      <c r="CA53" s="381"/>
      <c r="CB53" s="381"/>
      <c r="CC53" s="381"/>
      <c r="CD53" s="381"/>
      <c r="CE53" s="381"/>
      <c r="CF53" s="381"/>
    </row>
    <row r="54" spans="1:84" ht="16.5" thickBot="1">
      <c r="B54" s="275"/>
      <c r="C54" s="275"/>
      <c r="D54" s="544"/>
      <c r="E54" s="9"/>
      <c r="F54" s="9"/>
      <c r="G54" s="9"/>
      <c r="H54" s="9"/>
      <c r="I54" s="9"/>
      <c r="J54" s="9"/>
      <c r="K54" s="9"/>
      <c r="L54" s="564"/>
      <c r="M54" s="574"/>
      <c r="N54" s="573"/>
      <c r="O54" s="9"/>
      <c r="R54" s="381"/>
      <c r="S54" s="381"/>
      <c r="T54" s="381"/>
      <c r="U54" s="381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1"/>
      <c r="AK54" s="381"/>
      <c r="AL54" s="381"/>
      <c r="AM54" s="381"/>
      <c r="AN54" s="381"/>
      <c r="AO54" s="381"/>
      <c r="AP54" s="381"/>
      <c r="AQ54" s="381"/>
      <c r="AR54" s="381"/>
      <c r="AS54" s="381"/>
      <c r="AT54" s="381"/>
      <c r="AU54" s="381"/>
      <c r="AV54" s="381"/>
      <c r="AW54" s="381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381"/>
      <c r="BI54" s="381"/>
      <c r="BJ54" s="381"/>
      <c r="BK54" s="381"/>
      <c r="BL54" s="381"/>
      <c r="BM54" s="381"/>
      <c r="BN54" s="381"/>
      <c r="BO54" s="381"/>
      <c r="BP54" s="381"/>
      <c r="BQ54" s="381"/>
      <c r="BR54" s="381"/>
      <c r="BS54" s="381"/>
      <c r="BT54" s="381"/>
      <c r="BU54" s="381"/>
      <c r="BV54" s="381"/>
      <c r="BW54" s="381"/>
      <c r="BX54" s="381"/>
      <c r="BY54" s="381"/>
      <c r="BZ54" s="381"/>
      <c r="CA54" s="381"/>
      <c r="CB54" s="381"/>
      <c r="CC54" s="381"/>
      <c r="CD54" s="381"/>
      <c r="CE54" s="381"/>
      <c r="CF54" s="381"/>
    </row>
    <row r="55" spans="1:84" ht="26.25" thickBot="1">
      <c r="A55" s="553"/>
      <c r="B55" s="543" t="s">
        <v>710</v>
      </c>
      <c r="C55" s="554"/>
      <c r="D55" s="554"/>
      <c r="E55" s="555"/>
      <c r="F55" s="555"/>
      <c r="G55" s="555"/>
      <c r="H55" s="535"/>
      <c r="I55" s="536"/>
      <c r="J55" s="555"/>
      <c r="K55" s="556"/>
      <c r="L55" s="557"/>
      <c r="M55" s="558"/>
      <c r="N55" s="573"/>
      <c r="O55" s="9"/>
      <c r="R55" s="381"/>
      <c r="S55" s="381"/>
      <c r="T55" s="381"/>
      <c r="U55" s="381"/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381"/>
      <c r="AH55" s="381"/>
      <c r="AI55" s="381"/>
      <c r="AJ55" s="381"/>
      <c r="AK55" s="381"/>
      <c r="AL55" s="381"/>
      <c r="AM55" s="381"/>
      <c r="AN55" s="381"/>
      <c r="AO55" s="381"/>
      <c r="AP55" s="381"/>
      <c r="AQ55" s="381"/>
      <c r="AR55" s="381"/>
      <c r="AS55" s="381"/>
      <c r="AT55" s="381"/>
      <c r="AU55" s="381"/>
      <c r="AV55" s="381"/>
      <c r="AW55" s="381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381"/>
      <c r="BI55" s="381"/>
      <c r="BJ55" s="381"/>
      <c r="BK55" s="381"/>
      <c r="BL55" s="381"/>
      <c r="BM55" s="381"/>
      <c r="BN55" s="381"/>
      <c r="BO55" s="381"/>
      <c r="BP55" s="381"/>
      <c r="BQ55" s="381"/>
      <c r="BR55" s="381"/>
      <c r="BS55" s="381"/>
      <c r="BT55" s="381"/>
      <c r="BU55" s="381"/>
      <c r="BV55" s="381"/>
      <c r="BW55" s="381"/>
      <c r="BX55" s="381"/>
      <c r="BY55" s="381"/>
      <c r="BZ55" s="381"/>
      <c r="CA55" s="381"/>
      <c r="CB55" s="381"/>
      <c r="CC55" s="381"/>
      <c r="CD55" s="381"/>
      <c r="CE55" s="381"/>
      <c r="CF55" s="381"/>
    </row>
    <row r="56" spans="1:84" ht="25.5">
      <c r="B56" s="548"/>
      <c r="E56" s="49"/>
      <c r="F56" s="49"/>
      <c r="G56" s="49"/>
      <c r="H56" s="534"/>
      <c r="I56" s="375"/>
      <c r="J56" s="49"/>
      <c r="K56" s="563"/>
      <c r="L56" s="564"/>
      <c r="M56" s="560"/>
      <c r="N56" s="573"/>
      <c r="O56" s="9"/>
      <c r="R56" s="381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  <c r="BQ56" s="381"/>
      <c r="BR56" s="381"/>
      <c r="BS56" s="381"/>
      <c r="BT56" s="381"/>
      <c r="BU56" s="381"/>
      <c r="BV56" s="381"/>
      <c r="BW56" s="381"/>
      <c r="BX56" s="381"/>
      <c r="BY56" s="381"/>
      <c r="BZ56" s="381"/>
      <c r="CA56" s="381"/>
      <c r="CB56" s="381"/>
      <c r="CC56" s="381"/>
      <c r="CD56" s="381"/>
      <c r="CE56" s="381"/>
      <c r="CF56" s="381"/>
    </row>
    <row r="57" spans="1:84" ht="16.5">
      <c r="B57" s="493"/>
      <c r="C57" s="9"/>
      <c r="D57" s="1114"/>
      <c r="E57" s="587"/>
      <c r="F57" s="588" t="s">
        <v>711</v>
      </c>
      <c r="G57" s="49"/>
      <c r="H57" s="534"/>
      <c r="I57" s="375"/>
      <c r="J57" s="49"/>
      <c r="K57" s="563"/>
      <c r="L57" s="564"/>
      <c r="M57" s="560"/>
      <c r="N57" s="576"/>
      <c r="O57" s="9"/>
      <c r="R57" s="381"/>
      <c r="S57" s="381"/>
      <c r="T57" s="381"/>
      <c r="U57" s="381"/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381"/>
      <c r="AH57" s="381"/>
      <c r="AI57" s="381"/>
      <c r="AJ57" s="381"/>
      <c r="AK57" s="381"/>
      <c r="AL57" s="381"/>
      <c r="AM57" s="381"/>
      <c r="AN57" s="381"/>
      <c r="AO57" s="381"/>
      <c r="AP57" s="381"/>
      <c r="AQ57" s="381"/>
      <c r="AR57" s="381"/>
      <c r="AS57" s="381"/>
      <c r="AT57" s="381"/>
      <c r="AU57" s="381"/>
      <c r="AV57" s="381"/>
      <c r="AW57" s="381"/>
      <c r="AX57" s="381"/>
      <c r="AY57" s="381"/>
      <c r="AZ57" s="381"/>
      <c r="BA57" s="381"/>
      <c r="BB57" s="381"/>
      <c r="BC57" s="381"/>
      <c r="BD57" s="381"/>
      <c r="BE57" s="381"/>
      <c r="BF57" s="381"/>
      <c r="BG57" s="381"/>
      <c r="BH57" s="381"/>
      <c r="BI57" s="381"/>
      <c r="BJ57" s="381"/>
      <c r="BK57" s="381"/>
      <c r="BL57" s="381"/>
      <c r="BM57" s="381"/>
      <c r="BN57" s="381"/>
      <c r="BO57" s="381"/>
      <c r="BP57" s="381"/>
      <c r="BQ57" s="381"/>
      <c r="BR57" s="381"/>
      <c r="BS57" s="381"/>
      <c r="BT57" s="381"/>
      <c r="BU57" s="381"/>
      <c r="BV57" s="381"/>
      <c r="BW57" s="381"/>
      <c r="BX57" s="381"/>
      <c r="BY57" s="381"/>
      <c r="BZ57" s="381"/>
      <c r="CA57" s="381"/>
      <c r="CB57" s="381"/>
      <c r="CC57" s="381"/>
      <c r="CD57" s="381"/>
      <c r="CE57" s="381"/>
      <c r="CF57" s="381"/>
    </row>
    <row r="58" spans="1:84" ht="16.5">
      <c r="B58" s="1115" t="s">
        <v>270</v>
      </c>
      <c r="C58" s="1116"/>
      <c r="D58" s="805"/>
      <c r="E58" s="1731">
        <v>0</v>
      </c>
      <c r="F58" s="1731"/>
      <c r="G58" s="381"/>
      <c r="L58" s="792"/>
      <c r="M58" s="575"/>
      <c r="N58" s="578"/>
      <c r="O58" s="9"/>
      <c r="R58" s="381"/>
      <c r="S58" s="381"/>
      <c r="T58" s="381"/>
      <c r="U58" s="381"/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381"/>
      <c r="AH58" s="381"/>
      <c r="AI58" s="381"/>
      <c r="AJ58" s="381"/>
      <c r="AK58" s="381"/>
      <c r="AL58" s="381"/>
      <c r="AM58" s="381"/>
      <c r="AN58" s="381"/>
      <c r="AO58" s="381"/>
      <c r="AP58" s="381"/>
      <c r="AQ58" s="381"/>
      <c r="AR58" s="381"/>
      <c r="AS58" s="381"/>
      <c r="AT58" s="381"/>
      <c r="AU58" s="381"/>
      <c r="AV58" s="381"/>
      <c r="AW58" s="381"/>
      <c r="AX58" s="381"/>
      <c r="AY58" s="381"/>
      <c r="AZ58" s="381"/>
      <c r="BA58" s="381"/>
      <c r="BB58" s="381"/>
      <c r="BC58" s="381"/>
      <c r="BD58" s="381"/>
      <c r="BE58" s="381"/>
      <c r="BF58" s="381"/>
      <c r="BG58" s="381"/>
      <c r="BH58" s="381"/>
      <c r="BI58" s="381"/>
      <c r="BJ58" s="381"/>
      <c r="BK58" s="381"/>
      <c r="BL58" s="381"/>
      <c r="BM58" s="381"/>
      <c r="BN58" s="381"/>
      <c r="BO58" s="381"/>
      <c r="BP58" s="381"/>
      <c r="BQ58" s="381"/>
      <c r="BR58" s="381"/>
      <c r="BS58" s="381"/>
      <c r="BT58" s="381"/>
      <c r="BU58" s="381"/>
      <c r="BV58" s="381"/>
      <c r="BW58" s="381"/>
      <c r="BX58" s="381"/>
      <c r="BY58" s="381"/>
      <c r="BZ58" s="381"/>
      <c r="CA58" s="381"/>
      <c r="CB58" s="381"/>
      <c r="CC58" s="381"/>
      <c r="CD58" s="381"/>
      <c r="CE58" s="381"/>
      <c r="CF58" s="381"/>
    </row>
    <row r="59" spans="1:84" ht="17.25" thickBot="1">
      <c r="B59" s="9"/>
      <c r="C59" s="9"/>
      <c r="D59" s="9"/>
      <c r="E59" s="9"/>
      <c r="F59" s="17" t="str">
        <f>IF(VLOOKUP(LnkTXTSigla,Informacoes[],33,FALSE)=0,SAS_RA0_DataFim,VLOOKUP(LnkTXTSigla,Informacoes[],33,FALSE))</f>
        <v>-</v>
      </c>
      <c r="G59" s="381"/>
      <c r="K59" s="577"/>
      <c r="L59" s="564"/>
      <c r="N59" s="581"/>
      <c r="O59" s="9"/>
      <c r="R59" s="381"/>
      <c r="S59" s="381"/>
      <c r="T59" s="381"/>
      <c r="U59" s="381"/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381"/>
      <c r="AH59" s="381"/>
      <c r="AI59" s="381"/>
      <c r="AJ59" s="381"/>
      <c r="AK59" s="381"/>
      <c r="AL59" s="381"/>
      <c r="AM59" s="381"/>
      <c r="AN59" s="381"/>
      <c r="AO59" s="381"/>
      <c r="AP59" s="381"/>
      <c r="AQ59" s="381"/>
      <c r="AR59" s="381"/>
      <c r="AS59" s="381"/>
      <c r="AT59" s="381"/>
      <c r="AU59" s="381"/>
      <c r="AV59" s="381"/>
      <c r="AW59" s="381"/>
      <c r="AX59" s="381"/>
      <c r="AY59" s="381"/>
      <c r="AZ59" s="381"/>
      <c r="BA59" s="381"/>
      <c r="BB59" s="381"/>
      <c r="BC59" s="381"/>
      <c r="BD59" s="381"/>
      <c r="BE59" s="381"/>
      <c r="BF59" s="381"/>
      <c r="BG59" s="381"/>
      <c r="BH59" s="381"/>
      <c r="BI59" s="381"/>
      <c r="BJ59" s="381"/>
      <c r="BK59" s="381"/>
      <c r="BL59" s="381"/>
      <c r="BM59" s="381"/>
      <c r="BN59" s="381"/>
      <c r="BO59" s="381"/>
      <c r="BP59" s="381"/>
      <c r="BQ59" s="381"/>
      <c r="BR59" s="381"/>
      <c r="BS59" s="381"/>
      <c r="BT59" s="381"/>
      <c r="BU59" s="381"/>
      <c r="BV59" s="381"/>
      <c r="BW59" s="381"/>
      <c r="BX59" s="381"/>
      <c r="BY59" s="381"/>
      <c r="BZ59" s="381"/>
      <c r="CA59" s="381"/>
      <c r="CB59" s="381"/>
      <c r="CC59" s="381"/>
      <c r="CD59" s="381"/>
      <c r="CE59" s="381"/>
      <c r="CF59" s="381"/>
    </row>
    <row r="60" spans="1:84" ht="26.25" thickBot="1">
      <c r="A60" s="579"/>
      <c r="B60" s="543" t="s">
        <v>712</v>
      </c>
      <c r="C60" s="554"/>
      <c r="D60" s="555"/>
      <c r="E60" s="555"/>
      <c r="F60" s="555"/>
      <c r="G60" s="535"/>
      <c r="H60" s="536"/>
      <c r="I60" s="555"/>
      <c r="J60" s="556"/>
      <c r="K60" s="557"/>
      <c r="L60" s="793"/>
      <c r="M60" s="580"/>
      <c r="N60" s="581"/>
      <c r="O60" s="9"/>
      <c r="R60" s="381"/>
      <c r="S60" s="381"/>
      <c r="T60" s="381"/>
      <c r="U60" s="381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381"/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381"/>
      <c r="AY60" s="381"/>
      <c r="AZ60" s="381"/>
      <c r="BA60" s="381"/>
      <c r="BB60" s="381"/>
      <c r="BC60" s="381"/>
      <c r="BD60" s="381"/>
      <c r="BE60" s="381"/>
      <c r="BF60" s="381"/>
      <c r="BG60" s="381"/>
      <c r="BH60" s="381"/>
      <c r="BI60" s="381"/>
      <c r="BJ60" s="381"/>
      <c r="BK60" s="381"/>
      <c r="BL60" s="381"/>
      <c r="BM60" s="381"/>
      <c r="BN60" s="381"/>
      <c r="BO60" s="381"/>
      <c r="BP60" s="381"/>
      <c r="BQ60" s="381"/>
      <c r="BR60" s="381"/>
      <c r="BS60" s="381"/>
      <c r="BT60" s="381"/>
      <c r="BU60" s="381"/>
      <c r="BV60" s="381"/>
      <c r="BW60" s="381"/>
      <c r="BX60" s="381"/>
      <c r="BY60" s="381"/>
      <c r="BZ60" s="381"/>
      <c r="CA60" s="381"/>
      <c r="CB60" s="381"/>
      <c r="CC60" s="381"/>
      <c r="CD60" s="381"/>
      <c r="CE60" s="381"/>
      <c r="CF60" s="381"/>
    </row>
    <row r="61" spans="1:84" ht="57" customHeight="1" thickBot="1">
      <c r="B61" s="582" t="s">
        <v>713</v>
      </c>
      <c r="C61" s="582"/>
      <c r="D61" s="582" t="s">
        <v>714</v>
      </c>
      <c r="L61" s="564"/>
      <c r="M61" s="771"/>
      <c r="N61" s="480"/>
      <c r="O61" s="581"/>
      <c r="S61" s="381"/>
      <c r="T61" s="381"/>
      <c r="U61" s="381"/>
      <c r="V61" s="381"/>
      <c r="W61" s="381"/>
      <c r="X61" s="381"/>
      <c r="Y61" s="381"/>
      <c r="Z61" s="381"/>
      <c r="AA61" s="381"/>
      <c r="AB61" s="381"/>
      <c r="AC61" s="381"/>
      <c r="AD61" s="381"/>
      <c r="AE61" s="381"/>
      <c r="AF61" s="381"/>
      <c r="AG61" s="381"/>
      <c r="AH61" s="381"/>
      <c r="AI61" s="381"/>
      <c r="AJ61" s="381"/>
      <c r="AK61" s="381"/>
      <c r="AL61" s="381"/>
      <c r="AM61" s="381"/>
      <c r="AN61" s="381"/>
      <c r="AO61" s="381"/>
      <c r="AP61" s="381"/>
      <c r="AQ61" s="381"/>
      <c r="AR61" s="381"/>
      <c r="AS61" s="381"/>
      <c r="AT61" s="381"/>
      <c r="AU61" s="381"/>
      <c r="AV61" s="381"/>
      <c r="AW61" s="381"/>
      <c r="AX61" s="381"/>
      <c r="AY61" s="381"/>
      <c r="AZ61" s="381"/>
      <c r="BA61" s="381"/>
      <c r="BB61" s="381"/>
      <c r="BC61" s="381"/>
      <c r="BD61" s="381"/>
      <c r="BE61" s="381"/>
      <c r="BF61" s="381"/>
      <c r="BG61" s="381"/>
      <c r="BH61" s="381"/>
      <c r="BI61" s="381"/>
      <c r="BJ61" s="381"/>
      <c r="BK61" s="381"/>
      <c r="BL61" s="381"/>
      <c r="BM61" s="381"/>
      <c r="BN61" s="381"/>
      <c r="BO61" s="381"/>
      <c r="BP61" s="381"/>
      <c r="BQ61" s="381"/>
      <c r="BR61" s="381"/>
      <c r="BS61" s="381"/>
      <c r="BT61" s="381"/>
      <c r="BU61" s="381"/>
      <c r="BV61" s="381"/>
      <c r="BW61" s="381"/>
      <c r="BX61" s="381"/>
      <c r="BY61" s="381"/>
      <c r="BZ61" s="381"/>
      <c r="CA61" s="381"/>
      <c r="CB61" s="381"/>
      <c r="CC61" s="381"/>
      <c r="CD61" s="381"/>
      <c r="CE61" s="381"/>
      <c r="CF61" s="381"/>
    </row>
    <row r="62" spans="1:84" ht="17.25" thickBot="1">
      <c r="B62" s="747" t="s">
        <v>715</v>
      </c>
      <c r="C62" s="748" t="s">
        <v>716</v>
      </c>
      <c r="D62" s="748" t="s">
        <v>232</v>
      </c>
      <c r="E62" s="1733" t="s">
        <v>717</v>
      </c>
      <c r="F62" s="1734"/>
      <c r="G62" s="748" t="s">
        <v>718</v>
      </c>
      <c r="H62" s="749" t="s">
        <v>719</v>
      </c>
      <c r="I62" s="9"/>
      <c r="J62" s="9"/>
      <c r="K62" s="9"/>
      <c r="L62" s="17"/>
      <c r="M62" s="569"/>
      <c r="N62" s="480"/>
      <c r="O62" s="581"/>
      <c r="S62" s="381"/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381"/>
      <c r="AY62" s="381"/>
      <c r="AZ62" s="381"/>
      <c r="BA62" s="381"/>
      <c r="BB62" s="381"/>
      <c r="BC62" s="381"/>
      <c r="BD62" s="381"/>
      <c r="BE62" s="381"/>
      <c r="BF62" s="381"/>
      <c r="BG62" s="381"/>
      <c r="BH62" s="381"/>
      <c r="BI62" s="381"/>
      <c r="BJ62" s="381"/>
      <c r="BK62" s="381"/>
      <c r="BL62" s="381"/>
      <c r="BM62" s="381"/>
      <c r="BN62" s="381"/>
      <c r="BO62" s="381"/>
      <c r="BP62" s="381"/>
      <c r="BQ62" s="381"/>
      <c r="BR62" s="381"/>
      <c r="BS62" s="381"/>
      <c r="BT62" s="381"/>
      <c r="BU62" s="381"/>
      <c r="BV62" s="381"/>
      <c r="BW62" s="381"/>
      <c r="BX62" s="381"/>
      <c r="BY62" s="381"/>
      <c r="BZ62" s="381"/>
      <c r="CA62" s="381"/>
      <c r="CB62" s="381"/>
      <c r="CC62" s="381"/>
      <c r="CD62" s="381"/>
      <c r="CE62" s="381"/>
      <c r="CF62" s="381"/>
    </row>
    <row r="63" spans="1:84" ht="16.5">
      <c r="B63" s="743">
        <f>Indexador!B34</f>
        <v>44287</v>
      </c>
      <c r="C63" s="759"/>
      <c r="D63" s="759"/>
      <c r="E63" s="1719"/>
      <c r="F63" s="1720"/>
      <c r="G63" s="759">
        <f>IFERROR(VLOOKUP(B63,transmissorapiscofins[#All],2,FALSE),0)</f>
        <v>0</v>
      </c>
      <c r="H63" s="760"/>
      <c r="I63" s="9" t="s">
        <v>720</v>
      </c>
      <c r="J63" s="485"/>
      <c r="K63" s="9"/>
      <c r="L63" s="17"/>
      <c r="M63" s="569"/>
      <c r="N63" s="480"/>
      <c r="O63" s="581"/>
      <c r="S63" s="381"/>
      <c r="T63" s="381"/>
      <c r="U63" s="381"/>
      <c r="V63" s="381"/>
      <c r="W63" s="381"/>
      <c r="X63" s="381"/>
      <c r="Y63" s="381"/>
      <c r="Z63" s="381"/>
      <c r="AA63" s="381"/>
      <c r="AB63" s="381"/>
      <c r="AC63" s="381"/>
      <c r="AD63" s="381"/>
      <c r="AE63" s="381"/>
      <c r="AF63" s="381"/>
      <c r="AG63" s="381"/>
      <c r="AH63" s="381"/>
      <c r="AI63" s="381"/>
      <c r="AJ63" s="381"/>
      <c r="AK63" s="381"/>
      <c r="AL63" s="381"/>
      <c r="AM63" s="381"/>
      <c r="AN63" s="381"/>
      <c r="AO63" s="381"/>
      <c r="AP63" s="381"/>
      <c r="AQ63" s="381"/>
      <c r="AR63" s="381"/>
      <c r="AS63" s="381"/>
      <c r="AT63" s="381"/>
      <c r="AU63" s="381"/>
      <c r="AV63" s="381"/>
      <c r="AW63" s="381"/>
      <c r="AX63" s="381"/>
      <c r="AY63" s="381"/>
      <c r="AZ63" s="381"/>
      <c r="BA63" s="381"/>
      <c r="BB63" s="381"/>
      <c r="BC63" s="381"/>
      <c r="BD63" s="381"/>
      <c r="BE63" s="381"/>
      <c r="BF63" s="381"/>
      <c r="BG63" s="381"/>
      <c r="BH63" s="381"/>
      <c r="BI63" s="381"/>
      <c r="BJ63" s="381"/>
      <c r="BK63" s="381"/>
      <c r="BL63" s="381"/>
      <c r="BM63" s="381"/>
      <c r="BN63" s="381"/>
      <c r="BO63" s="381"/>
      <c r="BP63" s="381"/>
      <c r="BQ63" s="381"/>
      <c r="BR63" s="381"/>
      <c r="BS63" s="381"/>
      <c r="BT63" s="381"/>
      <c r="BU63" s="381"/>
      <c r="BV63" s="381"/>
      <c r="BW63" s="381"/>
      <c r="BX63" s="381"/>
      <c r="BY63" s="381"/>
      <c r="BZ63" s="381"/>
      <c r="CA63" s="381"/>
      <c r="CB63" s="381"/>
      <c r="CC63" s="381"/>
      <c r="CD63" s="381"/>
      <c r="CE63" s="381"/>
      <c r="CF63" s="381"/>
    </row>
    <row r="64" spans="1:84" ht="16.5">
      <c r="B64" s="744">
        <f>Indexador!B35</f>
        <v>44317</v>
      </c>
      <c r="C64" s="765"/>
      <c r="D64" s="765"/>
      <c r="E64" s="1721"/>
      <c r="F64" s="1722"/>
      <c r="G64" s="765">
        <f>IFERROR(VLOOKUP(B64,transmissorapiscofins[#All],2,FALSE),0)</f>
        <v>0</v>
      </c>
      <c r="H64" s="751">
        <f>SUMIF(BD!$A$41:$A$57,B64,BD!$C$41:$C$57)</f>
        <v>0</v>
      </c>
      <c r="I64" s="9" t="s">
        <v>721</v>
      </c>
      <c r="J64" s="586"/>
      <c r="K64" s="9"/>
      <c r="L64" s="17"/>
      <c r="M64" s="569"/>
      <c r="N64" s="480"/>
      <c r="O64" s="581"/>
      <c r="S64" s="381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381"/>
      <c r="AY64" s="381"/>
      <c r="AZ64" s="381"/>
      <c r="BA64" s="381"/>
      <c r="BB64" s="381"/>
      <c r="BC64" s="381"/>
      <c r="BD64" s="381"/>
      <c r="BE64" s="381"/>
      <c r="BF64" s="381"/>
      <c r="BG64" s="381"/>
      <c r="BH64" s="381"/>
      <c r="BI64" s="381"/>
      <c r="BJ64" s="381"/>
      <c r="BK64" s="381"/>
      <c r="BL64" s="381"/>
      <c r="BM64" s="381"/>
      <c r="BN64" s="381"/>
      <c r="BO64" s="381"/>
      <c r="BP64" s="381"/>
      <c r="BQ64" s="381"/>
      <c r="BR64" s="381"/>
      <c r="BS64" s="381"/>
      <c r="BT64" s="381"/>
      <c r="BU64" s="381"/>
      <c r="BV64" s="381"/>
      <c r="BW64" s="381"/>
      <c r="BX64" s="381"/>
      <c r="BY64" s="381"/>
      <c r="BZ64" s="381"/>
      <c r="CA64" s="381"/>
      <c r="CB64" s="381"/>
      <c r="CC64" s="381"/>
      <c r="CD64" s="381"/>
      <c r="CE64" s="381"/>
      <c r="CF64" s="381"/>
    </row>
    <row r="65" spans="1:84" ht="17.25" thickBot="1">
      <c r="B65" s="750">
        <f>Indexador!B36</f>
        <v>44348</v>
      </c>
      <c r="C65" s="766"/>
      <c r="D65" s="766"/>
      <c r="E65" s="1723"/>
      <c r="F65" s="1724"/>
      <c r="G65" s="766">
        <f>IFERROR(VLOOKUP(B65,transmissorapiscofins[#All],2,FALSE),0)</f>
        <v>0</v>
      </c>
      <c r="H65" s="774">
        <f>SUMIF(BD!$A$41:$A$57,B65,BD!$C$41:$C$57)</f>
        <v>0</v>
      </c>
      <c r="I65" s="9"/>
      <c r="J65" s="586"/>
      <c r="K65" s="9"/>
      <c r="L65" s="17"/>
      <c r="M65" s="569"/>
      <c r="N65" s="480"/>
      <c r="O65" s="581"/>
      <c r="S65" s="381"/>
      <c r="T65" s="381"/>
      <c r="U65" s="381"/>
      <c r="V65" s="381"/>
      <c r="W65" s="381"/>
      <c r="X65" s="381"/>
      <c r="Y65" s="381"/>
      <c r="Z65" s="381"/>
      <c r="AA65" s="381"/>
      <c r="AB65" s="381"/>
      <c r="AC65" s="381"/>
      <c r="AD65" s="381"/>
      <c r="AE65" s="381"/>
      <c r="AF65" s="381"/>
      <c r="AG65" s="381"/>
      <c r="AH65" s="381"/>
      <c r="AI65" s="381"/>
      <c r="AJ65" s="381"/>
      <c r="AK65" s="381"/>
      <c r="AL65" s="381"/>
      <c r="AM65" s="381"/>
      <c r="AN65" s="381"/>
      <c r="AO65" s="381"/>
      <c r="AP65" s="381"/>
      <c r="AQ65" s="381"/>
      <c r="AR65" s="381"/>
      <c r="AS65" s="381"/>
      <c r="AT65" s="381"/>
      <c r="AU65" s="381"/>
      <c r="AV65" s="381"/>
      <c r="AW65" s="381"/>
      <c r="AX65" s="381"/>
      <c r="AY65" s="381"/>
      <c r="AZ65" s="381"/>
      <c r="BA65" s="381"/>
      <c r="BB65" s="381"/>
      <c r="BC65" s="381"/>
      <c r="BD65" s="381"/>
      <c r="BE65" s="381"/>
      <c r="BF65" s="381"/>
      <c r="BG65" s="381"/>
      <c r="BH65" s="381"/>
      <c r="BI65" s="381"/>
      <c r="BJ65" s="381"/>
      <c r="BK65" s="381"/>
      <c r="BL65" s="381"/>
      <c r="BM65" s="381"/>
      <c r="BN65" s="381"/>
      <c r="BO65" s="381"/>
      <c r="BP65" s="381"/>
      <c r="BQ65" s="381"/>
      <c r="BR65" s="381"/>
      <c r="BS65" s="381"/>
      <c r="BT65" s="381"/>
      <c r="BU65" s="381"/>
      <c r="BV65" s="381"/>
      <c r="BW65" s="381"/>
      <c r="BX65" s="381"/>
      <c r="BY65" s="381"/>
      <c r="BZ65" s="381"/>
      <c r="CA65" s="381"/>
      <c r="CB65" s="381"/>
      <c r="CC65" s="381"/>
      <c r="CD65" s="381"/>
      <c r="CE65" s="381"/>
      <c r="CF65" s="381"/>
    </row>
    <row r="66" spans="1:84">
      <c r="B66" s="745">
        <f>Indexador!B37</f>
        <v>44378</v>
      </c>
      <c r="C66" s="767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136852.35</v>
      </c>
      <c r="D66" s="768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15">
        <f>IF($C$113="Não",SUMIFS(Faturas!H:H,Faturas!A:A,$K$12,Faturas!G:G,"DICFIC",Faturas!F:F,YEAR(CAPA!B66)*100+MONTH(CAPA!B66)),IF(B66&lt;$C$114,0,SUMIFS(Faturas!H:H,Faturas!A:A,$K$12,Faturas!G:G,"DICFIC",Faturas!F:F,YEAR(CAPA!B66)*100+MONTH(CAPA!B66))))</f>
        <v>-40858.46</v>
      </c>
      <c r="F66" s="1716"/>
      <c r="G66" s="768">
        <f>IFERROR(VLOOKUP(B66,transmissorapiscofins[#All],2,FALSE),0)</f>
        <v>0</v>
      </c>
      <c r="H66" s="751">
        <f>SUMIF(BD!$A$41:$A$57,B66,BD!$C$41:$C$57)</f>
        <v>0</v>
      </c>
      <c r="I66" s="9"/>
      <c r="J66" s="9"/>
      <c r="K66" s="9"/>
      <c r="L66" s="17"/>
      <c r="M66" s="569"/>
      <c r="N66" s="480"/>
      <c r="S66" s="381"/>
      <c r="T66" s="381"/>
      <c r="U66" s="381"/>
      <c r="V66" s="381"/>
      <c r="W66" s="381"/>
      <c r="X66" s="381"/>
      <c r="Y66" s="381"/>
      <c r="Z66" s="381"/>
      <c r="AA66" s="381"/>
      <c r="AB66" s="381"/>
      <c r="AC66" s="381"/>
      <c r="AD66" s="381"/>
      <c r="AE66" s="381"/>
      <c r="AF66" s="381"/>
      <c r="AG66" s="381"/>
      <c r="AH66" s="381"/>
      <c r="AI66" s="381"/>
      <c r="AJ66" s="381"/>
      <c r="AK66" s="381"/>
      <c r="AL66" s="381"/>
      <c r="AM66" s="381"/>
      <c r="AN66" s="381"/>
      <c r="AO66" s="381"/>
      <c r="AP66" s="381"/>
      <c r="AQ66" s="381"/>
      <c r="AR66" s="381"/>
      <c r="AS66" s="381"/>
      <c r="AT66" s="381"/>
      <c r="AU66" s="381"/>
      <c r="AV66" s="381"/>
      <c r="AW66" s="381"/>
      <c r="AX66" s="381"/>
      <c r="AY66" s="381"/>
      <c r="AZ66" s="381"/>
      <c r="BA66" s="381"/>
      <c r="BB66" s="381"/>
      <c r="BC66" s="381"/>
      <c r="BD66" s="381"/>
      <c r="BE66" s="381"/>
      <c r="BF66" s="381"/>
      <c r="BG66" s="381"/>
      <c r="BH66" s="381"/>
      <c r="BI66" s="381"/>
      <c r="BJ66" s="381"/>
      <c r="BK66" s="381"/>
      <c r="BL66" s="381"/>
      <c r="BM66" s="381"/>
      <c r="BN66" s="381"/>
      <c r="BO66" s="381"/>
      <c r="BP66" s="381"/>
      <c r="BQ66" s="381"/>
      <c r="BR66" s="381"/>
      <c r="BS66" s="381"/>
      <c r="BT66" s="381"/>
      <c r="BU66" s="381"/>
      <c r="BV66" s="381"/>
      <c r="BW66" s="381"/>
      <c r="BX66" s="381"/>
      <c r="BY66" s="381"/>
      <c r="BZ66" s="381"/>
      <c r="CA66" s="381"/>
      <c r="CB66" s="381"/>
      <c r="CC66" s="381"/>
      <c r="CD66" s="381"/>
      <c r="CE66" s="381"/>
      <c r="CF66" s="381"/>
    </row>
    <row r="67" spans="1:84" ht="16.5" customHeight="1">
      <c r="B67" s="745">
        <f>Indexador!B38</f>
        <v>44409</v>
      </c>
      <c r="C67" s="767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153625.74</v>
      </c>
      <c r="D67" s="767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29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30"/>
      <c r="G67" s="767">
        <f>IFERROR(VLOOKUP(B67,transmissorapiscofins[#All],2,FALSE),0)</f>
        <v>0</v>
      </c>
      <c r="H67" s="751">
        <f>SUMIF(BD!$A$41:$A$57,B67,BD!$C$41:$C$57)</f>
        <v>0</v>
      </c>
      <c r="I67" s="9"/>
      <c r="J67" s="9"/>
      <c r="K67" s="9"/>
      <c r="L67" s="17"/>
      <c r="M67" s="569"/>
      <c r="N67" s="773"/>
      <c r="S67" s="381"/>
      <c r="T67" s="381"/>
      <c r="U67" s="381"/>
      <c r="V67" s="381"/>
      <c r="W67" s="381"/>
      <c r="X67" s="381"/>
      <c r="Y67" s="381"/>
      <c r="Z67" s="381"/>
      <c r="AA67" s="381"/>
      <c r="AB67" s="381"/>
      <c r="AC67" s="381"/>
      <c r="AD67" s="381"/>
      <c r="AE67" s="381"/>
      <c r="AF67" s="381"/>
      <c r="AG67" s="381"/>
      <c r="AH67" s="381"/>
      <c r="AI67" s="381"/>
      <c r="AJ67" s="381"/>
      <c r="AK67" s="381"/>
      <c r="AL67" s="381"/>
      <c r="AM67" s="381"/>
      <c r="AN67" s="381"/>
      <c r="AO67" s="381"/>
      <c r="AP67" s="381"/>
      <c r="AQ67" s="381"/>
      <c r="AR67" s="381"/>
      <c r="AS67" s="381"/>
      <c r="AT67" s="381"/>
      <c r="AU67" s="381"/>
      <c r="AV67" s="381"/>
      <c r="AW67" s="381"/>
      <c r="AX67" s="381"/>
      <c r="AY67" s="381"/>
      <c r="AZ67" s="381"/>
      <c r="BA67" s="381"/>
      <c r="BB67" s="381"/>
      <c r="BC67" s="381"/>
      <c r="BD67" s="381"/>
      <c r="BE67" s="381"/>
      <c r="BF67" s="381"/>
      <c r="BG67" s="381"/>
      <c r="BH67" s="381"/>
      <c r="BI67" s="381"/>
      <c r="BJ67" s="381"/>
      <c r="BK67" s="381"/>
      <c r="BL67" s="381"/>
      <c r="BM67" s="381"/>
      <c r="BN67" s="381"/>
      <c r="BO67" s="381"/>
      <c r="BP67" s="381"/>
      <c r="BQ67" s="381"/>
      <c r="BR67" s="381"/>
      <c r="BS67" s="381"/>
      <c r="BT67" s="381"/>
      <c r="BU67" s="381"/>
      <c r="BV67" s="381"/>
      <c r="BW67" s="381"/>
      <c r="BX67" s="381"/>
      <c r="BY67" s="381"/>
      <c r="BZ67" s="381"/>
      <c r="CA67" s="381"/>
      <c r="CB67" s="381"/>
      <c r="CC67" s="381"/>
      <c r="CD67" s="381"/>
      <c r="CE67" s="381"/>
      <c r="CF67" s="381"/>
    </row>
    <row r="68" spans="1:84" ht="16.5" customHeight="1">
      <c r="B68" s="745">
        <f>Indexador!B39</f>
        <v>44440</v>
      </c>
      <c r="C68" s="767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154568.18</v>
      </c>
      <c r="D68" s="767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29">
        <f>IF($C$113="Não",SUMIFS(Faturas!H:H,Faturas!A:A,$K$12,Faturas!G:G,"DICFIC",Faturas!F:F,YEAR(CAPA!B68)*100+MONTH(CAPA!B68)),IF(B68&lt;$C$114,0,SUMIFS(Faturas!H:H,Faturas!A:A,$K$12,Faturas!G:G,"DICFIC",Faturas!F:F,YEAR(CAPA!B68)*100+MONTH(CAPA!B68))))</f>
        <v>-6883.63</v>
      </c>
      <c r="F68" s="1730"/>
      <c r="G68" s="767">
        <f>IFERROR(VLOOKUP(B68,transmissorapiscofins[#All],2,FALSE),0)</f>
        <v>0</v>
      </c>
      <c r="H68" s="751">
        <f>SUMIF(BD!$A$41:$A$57,B68,BD!$C$41:$C$57)</f>
        <v>0</v>
      </c>
      <c r="I68" s="9"/>
      <c r="J68" s="9"/>
      <c r="K68" s="9"/>
      <c r="L68" s="17"/>
      <c r="M68" s="569"/>
      <c r="N68" s="480"/>
      <c r="S68" s="381"/>
      <c r="T68" s="381"/>
      <c r="U68" s="381"/>
      <c r="V68" s="381"/>
      <c r="W68" s="381"/>
      <c r="X68" s="381"/>
      <c r="Y68" s="381"/>
      <c r="Z68" s="381"/>
      <c r="AA68" s="381"/>
      <c r="AB68" s="381"/>
      <c r="AC68" s="381"/>
      <c r="AD68" s="381"/>
      <c r="AE68" s="381"/>
      <c r="AF68" s="381"/>
      <c r="AG68" s="381"/>
      <c r="AH68" s="381"/>
      <c r="AI68" s="381"/>
      <c r="AJ68" s="381"/>
      <c r="AK68" s="381"/>
      <c r="AL68" s="381"/>
      <c r="AM68" s="381"/>
      <c r="AN68" s="381"/>
      <c r="AO68" s="381"/>
      <c r="AP68" s="381"/>
      <c r="AQ68" s="381"/>
      <c r="AR68" s="381"/>
      <c r="AS68" s="381"/>
      <c r="AT68" s="381"/>
      <c r="AU68" s="381"/>
      <c r="AV68" s="381"/>
      <c r="AW68" s="381"/>
      <c r="AX68" s="381"/>
      <c r="AY68" s="381"/>
      <c r="AZ68" s="381"/>
      <c r="BA68" s="381"/>
      <c r="BB68" s="381"/>
      <c r="BC68" s="381"/>
      <c r="BD68" s="381"/>
      <c r="BE68" s="381"/>
      <c r="BF68" s="381"/>
      <c r="BG68" s="381"/>
      <c r="BH68" s="381"/>
      <c r="BI68" s="381"/>
      <c r="BJ68" s="381"/>
      <c r="BK68" s="381"/>
      <c r="BL68" s="381"/>
      <c r="BM68" s="381"/>
      <c r="BN68" s="381"/>
      <c r="BO68" s="381"/>
      <c r="BP68" s="381"/>
      <c r="BQ68" s="381"/>
      <c r="BR68" s="381"/>
      <c r="BS68" s="381"/>
      <c r="BT68" s="381"/>
      <c r="BU68" s="381"/>
      <c r="BV68" s="381"/>
      <c r="BW68" s="381"/>
      <c r="BX68" s="381"/>
      <c r="BY68" s="381"/>
      <c r="BZ68" s="381"/>
      <c r="CA68" s="381"/>
      <c r="CB68" s="381"/>
      <c r="CC68" s="381"/>
      <c r="CD68" s="381"/>
      <c r="CE68" s="381"/>
      <c r="CF68" s="381"/>
    </row>
    <row r="69" spans="1:84" ht="16.5" customHeight="1">
      <c r="B69" s="745">
        <f>Indexador!B40</f>
        <v>44470</v>
      </c>
      <c r="C69" s="767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146384.79999999999</v>
      </c>
      <c r="D69" s="767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29">
        <f>IF($C$113="Não",SUMIFS(Faturas!H:H,Faturas!A:A,$K$12,Faturas!G:G,"DICFIC",Faturas!F:F,YEAR(CAPA!B69)*100+MONTH(CAPA!B69)),IF(B69&lt;$C$114,0,SUMIFS(Faturas!H:H,Faturas!A:A,$K$12,Faturas!G:G,"DICFIC",Faturas!F:F,YEAR(CAPA!B69)*100+MONTH(CAPA!B69))))</f>
        <v>-4593.6499999999996</v>
      </c>
      <c r="F69" s="1730"/>
      <c r="G69" s="767">
        <f>IFERROR(VLOOKUP(B69,transmissorapiscofins[#All],2,FALSE),0)</f>
        <v>0</v>
      </c>
      <c r="H69" s="751">
        <f>SUMIF(BD!$A$41:$A$57,B69,BD!$C$41:$C$57)</f>
        <v>0</v>
      </c>
      <c r="I69" s="9"/>
      <c r="J69" s="9"/>
      <c r="K69" s="9"/>
      <c r="L69" s="17"/>
      <c r="M69" s="569"/>
      <c r="N69" s="480"/>
      <c r="S69" s="381"/>
      <c r="T69" s="381"/>
      <c r="U69" s="381"/>
      <c r="V69" s="381"/>
      <c r="W69" s="381"/>
      <c r="X69" s="381"/>
      <c r="Y69" s="381"/>
      <c r="Z69" s="381"/>
      <c r="AA69" s="381"/>
      <c r="AB69" s="381"/>
      <c r="AC69" s="381"/>
      <c r="AD69" s="381"/>
      <c r="AE69" s="381"/>
      <c r="AF69" s="381"/>
      <c r="AG69" s="381"/>
      <c r="AH69" s="381"/>
      <c r="AI69" s="381"/>
      <c r="AJ69" s="381"/>
      <c r="AK69" s="381"/>
      <c r="AL69" s="381"/>
      <c r="AM69" s="381"/>
      <c r="AN69" s="381"/>
      <c r="AO69" s="381"/>
      <c r="AP69" s="381"/>
      <c r="AQ69" s="381"/>
      <c r="AR69" s="381"/>
      <c r="AS69" s="381"/>
      <c r="AT69" s="381"/>
      <c r="AU69" s="381"/>
      <c r="AV69" s="381"/>
      <c r="AW69" s="381"/>
      <c r="AX69" s="381"/>
      <c r="AY69" s="381"/>
      <c r="AZ69" s="381"/>
      <c r="BA69" s="381"/>
      <c r="BB69" s="381"/>
      <c r="BC69" s="381"/>
      <c r="BD69" s="381"/>
      <c r="BE69" s="381"/>
      <c r="BF69" s="381"/>
      <c r="BG69" s="381"/>
      <c r="BH69" s="381"/>
      <c r="BI69" s="381"/>
      <c r="BJ69" s="381"/>
      <c r="BK69" s="381"/>
      <c r="BL69" s="381"/>
      <c r="BM69" s="381"/>
      <c r="BN69" s="381"/>
      <c r="BO69" s="381"/>
      <c r="BP69" s="381"/>
      <c r="BQ69" s="381"/>
      <c r="BR69" s="381"/>
      <c r="BS69" s="381"/>
      <c r="BT69" s="381"/>
      <c r="BU69" s="381"/>
      <c r="BV69" s="381"/>
      <c r="BW69" s="381"/>
      <c r="BX69" s="381"/>
      <c r="BY69" s="381"/>
      <c r="BZ69" s="381"/>
      <c r="CA69" s="381"/>
      <c r="CB69" s="381"/>
      <c r="CC69" s="381"/>
      <c r="CD69" s="381"/>
      <c r="CE69" s="381"/>
      <c r="CF69" s="381"/>
    </row>
    <row r="70" spans="1:84" ht="16.5" customHeight="1">
      <c r="B70" s="745">
        <f>Indexador!B41</f>
        <v>44501</v>
      </c>
      <c r="C70" s="767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120176.23</v>
      </c>
      <c r="D70" s="767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29">
        <f>IF($C$113="Não",SUMIFS(Faturas!H:H,Faturas!A:A,$K$12,Faturas!G:G,"DICFIC",Faturas!F:F,YEAR(CAPA!B70)*100+MONTH(CAPA!B70)),IF(B70&lt;$C$114,0,SUMIFS(Faturas!H:H,Faturas!A:A,$K$12,Faturas!G:G,"DICFIC",Faturas!F:F,YEAR(CAPA!B70)*100+MONTH(CAPA!B70))))</f>
        <v>-3269.92</v>
      </c>
      <c r="F70" s="1730"/>
      <c r="G70" s="767">
        <f>IFERROR(VLOOKUP(B70,transmissorapiscofins[#All],2,FALSE),0)</f>
        <v>0</v>
      </c>
      <c r="H70" s="751">
        <f>SUMIF(BD!$A$41:$A$57,B70,BD!$C$41:$C$57)</f>
        <v>0</v>
      </c>
      <c r="I70" s="9"/>
      <c r="J70" s="9"/>
      <c r="K70" s="9"/>
      <c r="L70" s="17"/>
      <c r="M70" s="569"/>
      <c r="N70" s="480"/>
      <c r="S70" s="381"/>
      <c r="T70" s="381"/>
      <c r="U70" s="381"/>
      <c r="V70" s="381"/>
      <c r="W70" s="381"/>
      <c r="X70" s="381"/>
      <c r="Y70" s="381"/>
      <c r="Z70" s="381"/>
      <c r="AA70" s="381"/>
      <c r="AB70" s="381"/>
      <c r="AC70" s="381"/>
      <c r="AD70" s="381"/>
      <c r="AE70" s="381"/>
      <c r="AF70" s="381"/>
      <c r="AG70" s="381"/>
      <c r="AH70" s="381"/>
      <c r="AI70" s="381"/>
      <c r="AJ70" s="381"/>
      <c r="AK70" s="381"/>
      <c r="AL70" s="381"/>
      <c r="AM70" s="381"/>
      <c r="AN70" s="381"/>
      <c r="AO70" s="381"/>
      <c r="AP70" s="381"/>
      <c r="AQ70" s="381"/>
      <c r="AR70" s="381"/>
      <c r="AS70" s="381"/>
      <c r="AT70" s="381"/>
      <c r="AU70" s="381"/>
      <c r="AV70" s="381"/>
      <c r="AW70" s="381"/>
      <c r="AX70" s="381"/>
      <c r="AY70" s="381"/>
      <c r="AZ70" s="381"/>
      <c r="BA70" s="381"/>
      <c r="BB70" s="381"/>
      <c r="BC70" s="381"/>
      <c r="BD70" s="381"/>
      <c r="BE70" s="381"/>
      <c r="BF70" s="381"/>
      <c r="BG70" s="381"/>
      <c r="BH70" s="381"/>
      <c r="BI70" s="381"/>
      <c r="BJ70" s="381"/>
      <c r="BK70" s="381"/>
      <c r="BL70" s="381"/>
      <c r="BM70" s="381"/>
      <c r="BN70" s="381"/>
      <c r="BO70" s="381"/>
      <c r="BP70" s="381"/>
      <c r="BQ70" s="381"/>
      <c r="BR70" s="381"/>
      <c r="BS70" s="381"/>
      <c r="BT70" s="381"/>
      <c r="BU70" s="381"/>
      <c r="BV70" s="381"/>
      <c r="BW70" s="381"/>
      <c r="BX70" s="381"/>
      <c r="BY70" s="381"/>
      <c r="BZ70" s="381"/>
      <c r="CA70" s="381"/>
      <c r="CB70" s="381"/>
      <c r="CC70" s="381"/>
      <c r="CD70" s="381"/>
      <c r="CE70" s="381"/>
      <c r="CF70" s="381"/>
    </row>
    <row r="71" spans="1:84" ht="16.5" customHeight="1">
      <c r="B71" s="745">
        <f>Indexador!B42</f>
        <v>44531</v>
      </c>
      <c r="C71" s="767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66376.820000000007</v>
      </c>
      <c r="D71" s="767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29">
        <f>IF($C$113="Não",SUMIFS(Faturas!H:H,Faturas!A:A,$K$12,Faturas!G:G,"DICFIC",Faturas!F:F,YEAR(CAPA!B71)*100+MONTH(CAPA!B71)),IF(B71&lt;$C$114,0,SUMIFS(Faturas!H:H,Faturas!A:A,$K$12,Faturas!G:G,"DICFIC",Faturas!F:F,YEAR(CAPA!B71)*100+MONTH(CAPA!B71))))</f>
        <v>-31.03</v>
      </c>
      <c r="F71" s="1730"/>
      <c r="G71" s="767">
        <f>IFERROR(VLOOKUP(B71,transmissorapiscofins[#All],2,FALSE),0)</f>
        <v>0</v>
      </c>
      <c r="H71" s="751">
        <f>SUMIF(BD!$A$41:$A$57,B71,BD!$C$41:$C$57)</f>
        <v>0</v>
      </c>
      <c r="I71" s="9"/>
      <c r="J71" s="9"/>
      <c r="K71" s="9"/>
      <c r="L71" s="17"/>
      <c r="M71" s="569"/>
      <c r="N71" s="480"/>
      <c r="S71" s="381"/>
      <c r="T71" s="381"/>
      <c r="U71" s="381"/>
      <c r="V71" s="381"/>
      <c r="W71" s="381"/>
      <c r="X71" s="381"/>
      <c r="Y71" s="381"/>
      <c r="Z71" s="381"/>
      <c r="AA71" s="381"/>
      <c r="AB71" s="381"/>
      <c r="AC71" s="381"/>
      <c r="AD71" s="381"/>
      <c r="AE71" s="381"/>
      <c r="AF71" s="381"/>
      <c r="AG71" s="381"/>
      <c r="AH71" s="381"/>
      <c r="AI71" s="381"/>
      <c r="AJ71" s="381"/>
      <c r="AK71" s="381"/>
      <c r="AL71" s="381"/>
      <c r="AM71" s="381"/>
      <c r="AN71" s="381"/>
      <c r="AO71" s="381"/>
      <c r="AP71" s="381"/>
      <c r="AQ71" s="381"/>
      <c r="AR71" s="381"/>
      <c r="AS71" s="381"/>
      <c r="AT71" s="381"/>
      <c r="AU71" s="381"/>
      <c r="AV71" s="381"/>
      <c r="AW71" s="381"/>
      <c r="AX71" s="381"/>
      <c r="AY71" s="381"/>
      <c r="AZ71" s="381"/>
      <c r="BA71" s="381"/>
      <c r="BB71" s="381"/>
      <c r="BC71" s="381"/>
      <c r="BD71" s="381"/>
      <c r="BE71" s="381"/>
      <c r="BF71" s="381"/>
      <c r="BG71" s="381"/>
      <c r="BH71" s="381"/>
      <c r="BI71" s="381"/>
      <c r="BJ71" s="381"/>
      <c r="BK71" s="381"/>
      <c r="BL71" s="381"/>
      <c r="BM71" s="381"/>
      <c r="BN71" s="381"/>
      <c r="BO71" s="381"/>
      <c r="BP71" s="381"/>
      <c r="BQ71" s="381"/>
      <c r="BR71" s="381"/>
      <c r="BS71" s="381"/>
      <c r="BT71" s="381"/>
      <c r="BU71" s="381"/>
      <c r="BV71" s="381"/>
      <c r="BW71" s="381"/>
      <c r="BX71" s="381"/>
      <c r="BY71" s="381"/>
      <c r="BZ71" s="381"/>
      <c r="CA71" s="381"/>
      <c r="CB71" s="381"/>
      <c r="CC71" s="381"/>
      <c r="CD71" s="381"/>
      <c r="CE71" s="381"/>
      <c r="CF71" s="381"/>
    </row>
    <row r="72" spans="1:84" ht="16.5" customHeight="1">
      <c r="B72" s="745">
        <f>Indexador!B43</f>
        <v>44562</v>
      </c>
      <c r="C72" s="767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5556.15</v>
      </c>
      <c r="D72" s="767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29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30"/>
      <c r="G72" s="767">
        <f>IFERROR(VLOOKUP(B72,transmissorapiscofins[#All],2,FALSE),0)</f>
        <v>0</v>
      </c>
      <c r="H72" s="751">
        <f>SUMIF(BD!$A$41:$A$57,B72,BD!$C$41:$C$57)</f>
        <v>0</v>
      </c>
      <c r="J72" s="487" t="s">
        <v>722</v>
      </c>
      <c r="K72" s="487" t="s">
        <v>723</v>
      </c>
      <c r="L72" s="607" t="s">
        <v>723</v>
      </c>
      <c r="M72" s="607" t="s">
        <v>724</v>
      </c>
      <c r="N72" s="480"/>
      <c r="S72" s="381"/>
      <c r="T72" s="381"/>
      <c r="U72" s="381"/>
      <c r="V72" s="381"/>
      <c r="W72" s="381"/>
      <c r="X72" s="381"/>
      <c r="Y72" s="381"/>
      <c r="Z72" s="381"/>
      <c r="AA72" s="381"/>
      <c r="AB72" s="381"/>
      <c r="AC72" s="381"/>
      <c r="AD72" s="381"/>
      <c r="AE72" s="381"/>
      <c r="AF72" s="381"/>
      <c r="AG72" s="381"/>
      <c r="AH72" s="381"/>
      <c r="AI72" s="381"/>
      <c r="AJ72" s="381"/>
      <c r="AK72" s="381"/>
      <c r="AL72" s="381"/>
      <c r="AM72" s="381"/>
      <c r="AN72" s="381"/>
      <c r="AO72" s="381"/>
      <c r="AP72" s="381"/>
      <c r="AQ72" s="381"/>
      <c r="AR72" s="381"/>
      <c r="AS72" s="381"/>
      <c r="AT72" s="381"/>
      <c r="AU72" s="381"/>
      <c r="AV72" s="381"/>
      <c r="AW72" s="381"/>
      <c r="AX72" s="381"/>
      <c r="AY72" s="381"/>
      <c r="AZ72" s="381"/>
      <c r="BA72" s="381"/>
      <c r="BB72" s="381"/>
      <c r="BC72" s="381"/>
      <c r="BD72" s="381"/>
      <c r="BE72" s="381"/>
      <c r="BF72" s="381"/>
      <c r="BG72" s="381"/>
      <c r="BH72" s="381"/>
      <c r="BI72" s="381"/>
      <c r="BJ72" s="381"/>
      <c r="BK72" s="381"/>
      <c r="BL72" s="381"/>
      <c r="BM72" s="381"/>
      <c r="BN72" s="381"/>
      <c r="BO72" s="381"/>
      <c r="BP72" s="381"/>
      <c r="BQ72" s="381"/>
      <c r="BR72" s="381"/>
      <c r="BS72" s="381"/>
      <c r="BT72" s="381"/>
      <c r="BU72" s="381"/>
      <c r="BV72" s="381"/>
      <c r="BW72" s="381"/>
      <c r="BX72" s="381"/>
      <c r="BY72" s="381"/>
      <c r="BZ72" s="381"/>
      <c r="CA72" s="381"/>
      <c r="CB72" s="381"/>
      <c r="CC72" s="381"/>
      <c r="CD72" s="381"/>
      <c r="CE72" s="381"/>
      <c r="CF72" s="381"/>
    </row>
    <row r="73" spans="1:84" ht="16.5" customHeight="1">
      <c r="B73" s="745">
        <f>Indexador!B44</f>
        <v>44593</v>
      </c>
      <c r="C73" s="767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33532.230000000003</v>
      </c>
      <c r="D73" s="767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29">
        <f>IF($C$113="Não",SUMIFS(Faturas!H:H,Faturas!A:A,$K$12,Faturas!G:G,"DICFIC",Faturas!F:F,YEAR(CAPA!B73)*100+MONTH(CAPA!B73)),IF(B73&lt;$C$114,0,SUMIFS(Faturas!H:H,Faturas!A:A,$K$12,Faturas!G:G,"DICFIC",Faturas!F:F,YEAR(CAPA!B73)*100+MONTH(CAPA!B73))))</f>
        <v>-45885.07</v>
      </c>
      <c r="F73" s="1730"/>
      <c r="G73" s="767">
        <f>IFERROR(VLOOKUP(B73,transmissorapiscofins[#All],2,FALSE),0)</f>
        <v>0</v>
      </c>
      <c r="H73" s="751">
        <f>SUMIF(BD!$A$41:$A$57,B73,BD!$C$41:$C$57)</f>
        <v>0</v>
      </c>
      <c r="J73" s="1117" t="str">
        <f ca="1">IFERROR(VLOOKUP(TRUE,BD!D41:F56,3,FALSE),"todos os meses")</f>
        <v>todos os meses</v>
      </c>
      <c r="K73" s="1118" t="s">
        <v>725</v>
      </c>
      <c r="L73" s="1119">
        <f ca="1">IF(Energia!F23*2/3=0,0.0000001,Energia!F23*2/3)</f>
        <v>10317342.820798593</v>
      </c>
      <c r="M73" s="1120">
        <f ca="1">IFERROR(-LnkTXTBandeira/Energia!F23," ")</f>
        <v>3.791800028373768E-2</v>
      </c>
      <c r="N73" s="480"/>
      <c r="S73" s="381"/>
      <c r="T73" s="381"/>
      <c r="U73" s="381"/>
      <c r="V73" s="381"/>
      <c r="W73" s="381"/>
      <c r="X73" s="381"/>
      <c r="Y73" s="381"/>
      <c r="Z73" s="381"/>
      <c r="AA73" s="381"/>
      <c r="AB73" s="381"/>
      <c r="AC73" s="381"/>
      <c r="AD73" s="381"/>
      <c r="AE73" s="381"/>
      <c r="AF73" s="381"/>
      <c r="AG73" s="381"/>
      <c r="AH73" s="381"/>
      <c r="AI73" s="381"/>
      <c r="AJ73" s="381"/>
      <c r="AK73" s="381"/>
      <c r="AL73" s="381"/>
      <c r="AM73" s="381"/>
      <c r="AN73" s="381"/>
      <c r="AO73" s="381"/>
      <c r="AP73" s="381"/>
      <c r="AQ73" s="381"/>
      <c r="AR73" s="381"/>
      <c r="AS73" s="381"/>
      <c r="AT73" s="381"/>
      <c r="AU73" s="381"/>
      <c r="AV73" s="381"/>
      <c r="AW73" s="381"/>
      <c r="AX73" s="381"/>
      <c r="AY73" s="381"/>
      <c r="AZ73" s="381"/>
      <c r="BA73" s="381"/>
      <c r="BB73" s="381"/>
      <c r="BC73" s="381"/>
      <c r="BD73" s="381"/>
      <c r="BE73" s="381"/>
      <c r="BF73" s="381"/>
      <c r="BG73" s="381"/>
      <c r="BH73" s="381"/>
      <c r="BI73" s="381"/>
      <c r="BJ73" s="381"/>
      <c r="BK73" s="381"/>
      <c r="BL73" s="381"/>
      <c r="BM73" s="381"/>
      <c r="BN73" s="381"/>
      <c r="BO73" s="381"/>
      <c r="BP73" s="381"/>
      <c r="BQ73" s="381"/>
      <c r="BR73" s="381"/>
      <c r="BS73" s="381"/>
      <c r="BT73" s="381"/>
      <c r="BU73" s="381"/>
      <c r="BV73" s="381"/>
      <c r="BW73" s="381"/>
      <c r="BX73" s="381"/>
      <c r="BY73" s="381"/>
      <c r="BZ73" s="381"/>
      <c r="CA73" s="381"/>
      <c r="CB73" s="381"/>
      <c r="CC73" s="381"/>
      <c r="CD73" s="381"/>
      <c r="CE73" s="381"/>
      <c r="CF73" s="381"/>
    </row>
    <row r="74" spans="1:84">
      <c r="B74" s="745">
        <f>Indexador!B45</f>
        <v>44621</v>
      </c>
      <c r="C74" s="767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156448.39000000001</v>
      </c>
      <c r="D74" s="767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29">
        <f>IF($C$113="Não",SUMIFS(Faturas!H:H,Faturas!A:A,$K$12,Faturas!G:G,"DICFIC",Faturas!F:F,YEAR(CAPA!B74)*100+MONTH(CAPA!B74)),IF(B74&lt;$C$114,0,SUMIFS(Faturas!H:H,Faturas!A:A,$K$12,Faturas!G:G,"DICFIC",Faturas!F:F,YEAR(CAPA!B74)*100+MONTH(CAPA!B74))))</f>
        <v>-49527.519999999997</v>
      </c>
      <c r="F74" s="1730"/>
      <c r="G74" s="767">
        <f>IFERROR(VLOOKUP(B74,transmissorapiscofins[#All],2,FALSE),0)</f>
        <v>0</v>
      </c>
      <c r="H74" s="751">
        <f>SUMIF(BD!$A$41:$A$57,B74,BD!$C$41:$C$57)</f>
        <v>0</v>
      </c>
      <c r="I74" s="9"/>
      <c r="J74" s="9"/>
      <c r="K74" s="9"/>
      <c r="L74" s="17"/>
      <c r="M74" s="569"/>
      <c r="N74" s="480"/>
      <c r="S74" s="381"/>
      <c r="T74" s="381"/>
      <c r="U74" s="381"/>
      <c r="V74" s="381"/>
      <c r="W74" s="381"/>
      <c r="X74" s="381"/>
      <c r="Y74" s="381"/>
      <c r="Z74" s="381"/>
      <c r="AA74" s="381"/>
      <c r="AB74" s="381"/>
      <c r="AC74" s="381"/>
      <c r="AD74" s="381"/>
      <c r="AE74" s="381"/>
      <c r="AF74" s="381"/>
      <c r="AG74" s="381"/>
      <c r="AH74" s="381"/>
      <c r="AI74" s="381"/>
      <c r="AJ74" s="381"/>
      <c r="AK74" s="381"/>
      <c r="AL74" s="381"/>
      <c r="AM74" s="381"/>
      <c r="AN74" s="381"/>
      <c r="AO74" s="381"/>
      <c r="AP74" s="381"/>
      <c r="AQ74" s="381"/>
      <c r="AR74" s="381"/>
      <c r="AS74" s="381"/>
      <c r="AT74" s="381"/>
      <c r="AU74" s="381"/>
      <c r="AV74" s="381"/>
      <c r="AW74" s="381"/>
      <c r="AX74" s="381"/>
      <c r="AY74" s="381"/>
      <c r="AZ74" s="381"/>
      <c r="BA74" s="381"/>
      <c r="BB74" s="381"/>
      <c r="BC74" s="381"/>
      <c r="BD74" s="381"/>
      <c r="BE74" s="381"/>
      <c r="BF74" s="381"/>
      <c r="BG74" s="381"/>
      <c r="BH74" s="381"/>
      <c r="BI74" s="381"/>
      <c r="BJ74" s="381"/>
      <c r="BK74" s="381"/>
      <c r="BL74" s="381"/>
      <c r="BM74" s="381"/>
      <c r="BN74" s="381"/>
      <c r="BO74" s="381"/>
      <c r="BP74" s="381"/>
      <c r="BQ74" s="381"/>
      <c r="BR74" s="381"/>
      <c r="BS74" s="381"/>
      <c r="BT74" s="381"/>
      <c r="BU74" s="381"/>
      <c r="BV74" s="381"/>
      <c r="BW74" s="381"/>
      <c r="BX74" s="381"/>
      <c r="BY74" s="381"/>
      <c r="BZ74" s="381"/>
      <c r="CA74" s="381"/>
      <c r="CB74" s="381"/>
      <c r="CC74" s="381"/>
      <c r="CD74" s="381"/>
      <c r="CE74" s="381"/>
      <c r="CF74" s="381"/>
    </row>
    <row r="75" spans="1:84" ht="16.5" customHeight="1">
      <c r="B75" s="745">
        <f>Indexador!B46</f>
        <v>44652</v>
      </c>
      <c r="C75" s="767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142688.99</v>
      </c>
      <c r="D75" s="767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29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-79113.460000000006</v>
      </c>
      <c r="F75" s="1730"/>
      <c r="G75" s="767">
        <f>IFERROR(VLOOKUP(B75,transmissorapiscofins[#All],2,FALSE),0)</f>
        <v>0</v>
      </c>
      <c r="H75" s="751">
        <f>SUMIF(BD!$A$41:$A$57,B75,BD!$C$41:$C$57)</f>
        <v>0</v>
      </c>
      <c r="I75" s="9"/>
      <c r="J75" s="9"/>
      <c r="K75" s="9"/>
      <c r="L75" s="17"/>
      <c r="M75" s="569"/>
      <c r="N75" s="480"/>
      <c r="S75" s="381"/>
      <c r="T75" s="381"/>
      <c r="U75" s="381"/>
      <c r="V75" s="381"/>
      <c r="W75" s="381"/>
      <c r="X75" s="381"/>
      <c r="Y75" s="381"/>
      <c r="Z75" s="381"/>
      <c r="AA75" s="381"/>
      <c r="AB75" s="381"/>
      <c r="AC75" s="381"/>
      <c r="AD75" s="381"/>
      <c r="AE75" s="381"/>
      <c r="AF75" s="381"/>
      <c r="AG75" s="381"/>
      <c r="AH75" s="381"/>
      <c r="AI75" s="381"/>
      <c r="AJ75" s="381"/>
      <c r="AK75" s="381"/>
      <c r="AL75" s="381"/>
      <c r="AM75" s="381"/>
      <c r="AN75" s="381"/>
      <c r="AO75" s="381"/>
      <c r="AP75" s="381"/>
      <c r="AQ75" s="381"/>
      <c r="AR75" s="381"/>
      <c r="AS75" s="381"/>
      <c r="AT75" s="381"/>
      <c r="AU75" s="381"/>
      <c r="AV75" s="381"/>
      <c r="AW75" s="381"/>
      <c r="AX75" s="381"/>
      <c r="AY75" s="381"/>
      <c r="AZ75" s="381"/>
      <c r="BA75" s="381"/>
      <c r="BB75" s="381"/>
      <c r="BC75" s="381"/>
      <c r="BD75" s="381"/>
      <c r="BE75" s="381"/>
      <c r="BF75" s="381"/>
      <c r="BG75" s="381"/>
      <c r="BH75" s="381"/>
      <c r="BI75" s="381"/>
      <c r="BJ75" s="381"/>
      <c r="BK75" s="381"/>
      <c r="BL75" s="381"/>
      <c r="BM75" s="381"/>
      <c r="BN75" s="381"/>
      <c r="BO75" s="381"/>
      <c r="BP75" s="381"/>
      <c r="BQ75" s="381"/>
      <c r="BR75" s="381"/>
      <c r="BS75" s="381"/>
      <c r="BT75" s="381"/>
      <c r="BU75" s="381"/>
      <c r="BV75" s="381"/>
      <c r="BW75" s="381"/>
      <c r="BX75" s="381"/>
      <c r="BY75" s="381"/>
      <c r="BZ75" s="381"/>
      <c r="CA75" s="381"/>
      <c r="CB75" s="381"/>
      <c r="CC75" s="381"/>
      <c r="CD75" s="381"/>
      <c r="CE75" s="381"/>
      <c r="CF75" s="381"/>
    </row>
    <row r="76" spans="1:84">
      <c r="B76" s="745">
        <f>Indexador!B47</f>
        <v>44682</v>
      </c>
      <c r="C76" s="767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117823.33</v>
      </c>
      <c r="D76" s="767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29">
        <f>IF($C$113="Não",SUMIFS(Faturas!H:H,Faturas!A:A,$K$12,Faturas!G:G,"DICFIC",Faturas!F:F,YEAR(CAPA!B76)*100+MONTH(CAPA!B76)),IF(B76&lt;$C$114,0,SUMIFS(Faturas!H:H,Faturas!A:A,$K$12,Faturas!G:G,"DICFIC",Faturas!F:F,YEAR(CAPA!B76)*100+MONTH(CAPA!B76))))</f>
        <v>-3529.81</v>
      </c>
      <c r="F76" s="1730"/>
      <c r="G76" s="767">
        <f>IFERROR(VLOOKUP(B76,transmissorapiscofins[#All],2,FALSE),0)</f>
        <v>0</v>
      </c>
      <c r="H76" s="751">
        <f>SUMIF(BD!$A$41:$A$57,B76,BD!$C$41:$C$57)</f>
        <v>0</v>
      </c>
      <c r="I76" s="9"/>
      <c r="J76" s="9"/>
      <c r="K76" s="9"/>
      <c r="L76" s="17"/>
      <c r="M76" s="569"/>
      <c r="N76" s="480"/>
      <c r="S76" s="381"/>
      <c r="T76" s="381"/>
      <c r="U76" s="381"/>
      <c r="V76" s="381"/>
      <c r="W76" s="381"/>
      <c r="X76" s="381"/>
      <c r="Y76" s="381"/>
      <c r="Z76" s="381"/>
      <c r="AA76" s="381"/>
      <c r="AB76" s="381"/>
      <c r="AC76" s="381"/>
      <c r="AD76" s="381"/>
      <c r="AE76" s="381"/>
      <c r="AF76" s="381"/>
      <c r="AG76" s="381"/>
      <c r="AH76" s="381"/>
      <c r="AI76" s="381"/>
      <c r="AJ76" s="381"/>
      <c r="AK76" s="381"/>
      <c r="AL76" s="381"/>
      <c r="AM76" s="381"/>
      <c r="AN76" s="381"/>
      <c r="AO76" s="381"/>
      <c r="AP76" s="381"/>
      <c r="AQ76" s="381"/>
      <c r="AR76" s="381"/>
      <c r="AS76" s="381"/>
      <c r="AT76" s="381"/>
      <c r="AU76" s="381"/>
      <c r="AV76" s="381"/>
      <c r="AW76" s="381"/>
      <c r="AX76" s="381"/>
      <c r="AY76" s="381"/>
      <c r="AZ76" s="381"/>
      <c r="BA76" s="381"/>
      <c r="BB76" s="381"/>
      <c r="BC76" s="381"/>
      <c r="BD76" s="381"/>
      <c r="BE76" s="381"/>
      <c r="BF76" s="381"/>
      <c r="BG76" s="381"/>
      <c r="BH76" s="381"/>
      <c r="BI76" s="381"/>
      <c r="BJ76" s="381"/>
      <c r="BK76" s="381"/>
      <c r="BL76" s="381"/>
      <c r="BM76" s="381"/>
      <c r="BN76" s="381"/>
      <c r="BO76" s="381"/>
      <c r="BP76" s="381"/>
      <c r="BQ76" s="381"/>
      <c r="BR76" s="381"/>
      <c r="BS76" s="381"/>
      <c r="BT76" s="381"/>
      <c r="BU76" s="381"/>
      <c r="BV76" s="381"/>
      <c r="BW76" s="381"/>
      <c r="BX76" s="381"/>
      <c r="BY76" s="381"/>
      <c r="BZ76" s="381"/>
      <c r="CA76" s="381"/>
      <c r="CB76" s="381"/>
      <c r="CC76" s="381"/>
      <c r="CD76" s="381"/>
      <c r="CE76" s="381"/>
      <c r="CF76" s="381"/>
    </row>
    <row r="77" spans="1:84" ht="16.5" thickBot="1">
      <c r="B77" s="746">
        <f>Indexador!B48</f>
        <v>44713</v>
      </c>
      <c r="C77" s="769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0</v>
      </c>
      <c r="D77" s="881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27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28"/>
      <c r="G77" s="881">
        <f>IFERROR(VLOOKUP(B77,transmissorapiscofins[#All],2,FALSE),0)</f>
        <v>0</v>
      </c>
      <c r="H77" s="870">
        <f>SUMIF(BD!$A$41:$A$57,B77,BD!$C$41:$C$57)</f>
        <v>580921.32709999999</v>
      </c>
      <c r="I77" s="585">
        <f>SUM(D65:D76)+D76</f>
        <v>0</v>
      </c>
      <c r="J77" s="9"/>
      <c r="K77" s="9"/>
      <c r="L77" s="17"/>
      <c r="M77" s="569"/>
      <c r="O77" s="9"/>
      <c r="R77" s="381"/>
      <c r="S77" s="381"/>
      <c r="T77" s="381"/>
      <c r="U77" s="381"/>
      <c r="V77" s="381"/>
      <c r="W77" s="381"/>
      <c r="X77" s="381"/>
      <c r="Y77" s="381"/>
      <c r="Z77" s="381"/>
      <c r="AA77" s="381"/>
      <c r="AB77" s="381"/>
      <c r="AC77" s="381"/>
      <c r="AD77" s="381"/>
      <c r="AE77" s="381"/>
      <c r="AF77" s="381"/>
      <c r="AG77" s="381"/>
      <c r="AH77" s="381"/>
      <c r="AI77" s="381"/>
      <c r="AJ77" s="381"/>
      <c r="AK77" s="381"/>
      <c r="AL77" s="381"/>
      <c r="AM77" s="381"/>
      <c r="AN77" s="381"/>
      <c r="AO77" s="381"/>
      <c r="AP77" s="381"/>
      <c r="AQ77" s="381"/>
      <c r="AR77" s="381"/>
      <c r="AS77" s="381"/>
      <c r="AT77" s="381"/>
      <c r="AU77" s="381"/>
      <c r="AV77" s="381"/>
      <c r="AW77" s="381"/>
      <c r="AX77" s="381"/>
      <c r="AY77" s="381"/>
      <c r="AZ77" s="381"/>
      <c r="BA77" s="381"/>
      <c r="BB77" s="381"/>
      <c r="BC77" s="381"/>
      <c r="BD77" s="381"/>
      <c r="BE77" s="381"/>
      <c r="BF77" s="381"/>
      <c r="BG77" s="381"/>
      <c r="BH77" s="381"/>
      <c r="BI77" s="381"/>
      <c r="BJ77" s="381"/>
      <c r="BK77" s="381"/>
      <c r="BL77" s="381"/>
      <c r="BM77" s="381"/>
      <c r="BN77" s="381"/>
      <c r="BO77" s="381"/>
      <c r="BP77" s="381"/>
      <c r="BQ77" s="381"/>
      <c r="BR77" s="381"/>
      <c r="BS77" s="381"/>
      <c r="BT77" s="381"/>
      <c r="BU77" s="381"/>
      <c r="BV77" s="381"/>
      <c r="BW77" s="381"/>
      <c r="BX77" s="381"/>
      <c r="BY77" s="381"/>
      <c r="BZ77" s="381"/>
      <c r="CA77" s="381"/>
      <c r="CB77" s="381"/>
      <c r="CC77" s="381"/>
      <c r="CD77" s="381"/>
      <c r="CE77" s="381"/>
      <c r="CF77" s="381"/>
    </row>
    <row r="78" spans="1:84">
      <c r="B78" s="9"/>
      <c r="C78" s="9"/>
      <c r="D78" s="9"/>
      <c r="E78" s="9"/>
      <c r="F78" s="9"/>
      <c r="G78" s="9"/>
      <c r="H78" s="9"/>
      <c r="I78" s="9"/>
      <c r="J78" s="585"/>
      <c r="K78" s="9"/>
      <c r="L78" s="17"/>
      <c r="M78" s="547"/>
      <c r="O78" s="9"/>
      <c r="R78" s="381"/>
      <c r="S78" s="381"/>
      <c r="T78" s="381"/>
      <c r="U78" s="381"/>
      <c r="V78" s="381"/>
      <c r="W78" s="381"/>
      <c r="X78" s="381"/>
      <c r="Y78" s="381"/>
      <c r="Z78" s="381"/>
      <c r="AA78" s="381"/>
      <c r="AB78" s="381"/>
      <c r="AC78" s="381"/>
      <c r="AD78" s="381"/>
      <c r="AE78" s="381"/>
      <c r="AF78" s="381"/>
      <c r="AG78" s="381"/>
      <c r="AH78" s="381"/>
      <c r="AI78" s="381"/>
      <c r="AJ78" s="381"/>
      <c r="AK78" s="381"/>
      <c r="AL78" s="381"/>
      <c r="AM78" s="381"/>
      <c r="AN78" s="381"/>
      <c r="AO78" s="381"/>
      <c r="AP78" s="381"/>
      <c r="AQ78" s="381"/>
      <c r="AR78" s="381"/>
      <c r="AS78" s="381"/>
      <c r="AT78" s="381"/>
      <c r="AU78" s="381"/>
      <c r="AV78" s="381"/>
      <c r="AW78" s="381"/>
      <c r="AX78" s="381"/>
      <c r="AY78" s="381"/>
      <c r="AZ78" s="381"/>
      <c r="BA78" s="381"/>
      <c r="BB78" s="381"/>
      <c r="BC78" s="381"/>
      <c r="BD78" s="381"/>
      <c r="BE78" s="381"/>
      <c r="BF78" s="381"/>
      <c r="BG78" s="381"/>
      <c r="BH78" s="381"/>
      <c r="BI78" s="381"/>
      <c r="BJ78" s="381"/>
      <c r="BK78" s="381"/>
      <c r="BL78" s="381"/>
      <c r="BM78" s="381"/>
      <c r="BN78" s="381"/>
      <c r="BO78" s="381"/>
      <c r="BP78" s="381"/>
      <c r="BQ78" s="381"/>
      <c r="BR78" s="381"/>
      <c r="BS78" s="381"/>
      <c r="BT78" s="381"/>
      <c r="BU78" s="381"/>
      <c r="BV78" s="381"/>
      <c r="BW78" s="381"/>
      <c r="BX78" s="381"/>
      <c r="BY78" s="381"/>
      <c r="BZ78" s="381"/>
      <c r="CA78" s="381"/>
      <c r="CB78" s="381"/>
      <c r="CC78" s="381"/>
      <c r="CD78" s="381"/>
      <c r="CE78" s="381"/>
      <c r="CF78" s="381"/>
    </row>
    <row r="79" spans="1:84" ht="17.25" thickBot="1">
      <c r="F79" s="531"/>
      <c r="G79" s="532"/>
      <c r="H79" s="533"/>
      <c r="I79" s="527"/>
      <c r="J79" s="527"/>
      <c r="K79" s="528"/>
      <c r="L79" s="794"/>
      <c r="M79" s="772"/>
      <c r="O79" s="9"/>
      <c r="R79" s="381"/>
      <c r="S79" s="381"/>
      <c r="T79" s="381"/>
      <c r="U79" s="381"/>
      <c r="V79" s="381"/>
      <c r="W79" s="381"/>
      <c r="X79" s="381"/>
      <c r="Y79" s="381"/>
      <c r="Z79" s="381"/>
      <c r="AA79" s="381"/>
      <c r="AB79" s="381"/>
      <c r="AC79" s="381"/>
      <c r="AD79" s="381"/>
      <c r="AE79" s="381"/>
      <c r="AF79" s="381"/>
      <c r="AG79" s="381"/>
      <c r="AH79" s="381"/>
      <c r="AI79" s="381"/>
      <c r="AJ79" s="381"/>
      <c r="AK79" s="381"/>
      <c r="AL79" s="381"/>
      <c r="AM79" s="381"/>
      <c r="AN79" s="381"/>
      <c r="AO79" s="381"/>
      <c r="AP79" s="381"/>
      <c r="AQ79" s="381"/>
      <c r="AR79" s="381"/>
      <c r="AS79" s="381"/>
      <c r="AT79" s="381"/>
      <c r="AU79" s="381"/>
      <c r="AV79" s="381"/>
      <c r="AW79" s="381"/>
      <c r="AX79" s="381"/>
      <c r="AY79" s="381"/>
      <c r="AZ79" s="381"/>
      <c r="BA79" s="381"/>
      <c r="BB79" s="381"/>
      <c r="BC79" s="381"/>
      <c r="BD79" s="381"/>
      <c r="BE79" s="381"/>
      <c r="BF79" s="381"/>
      <c r="BG79" s="381"/>
      <c r="BH79" s="381"/>
      <c r="BI79" s="381"/>
      <c r="BJ79" s="381"/>
      <c r="BK79" s="381"/>
      <c r="BL79" s="381"/>
      <c r="BM79" s="381"/>
      <c r="BN79" s="381"/>
      <c r="BO79" s="381"/>
      <c r="BP79" s="381"/>
      <c r="BQ79" s="381"/>
      <c r="BR79" s="381"/>
      <c r="BS79" s="381"/>
      <c r="BT79" s="381"/>
      <c r="BU79" s="381"/>
      <c r="BV79" s="381"/>
      <c r="BW79" s="381"/>
      <c r="BX79" s="381"/>
      <c r="BY79" s="381"/>
      <c r="BZ79" s="381"/>
      <c r="CA79" s="381"/>
      <c r="CB79" s="381"/>
      <c r="CC79" s="381"/>
      <c r="CD79" s="381"/>
      <c r="CE79" s="381"/>
      <c r="CF79" s="381"/>
    </row>
    <row r="80" spans="1:84" ht="26.25" thickBot="1">
      <c r="A80" s="579"/>
      <c r="B80" s="543" t="s">
        <v>726</v>
      </c>
      <c r="C80" s="554"/>
      <c r="D80" s="555"/>
      <c r="E80" s="555"/>
      <c r="F80" s="555"/>
      <c r="G80" s="535"/>
      <c r="H80" s="536"/>
      <c r="I80" s="555"/>
      <c r="J80" s="556"/>
      <c r="K80" s="557"/>
      <c r="L80" s="793"/>
      <c r="M80" s="580"/>
      <c r="O80" s="9"/>
      <c r="R80" s="381"/>
      <c r="S80" s="381"/>
      <c r="T80" s="381"/>
      <c r="U80" s="381"/>
      <c r="V80" s="381"/>
      <c r="W80" s="381"/>
      <c r="X80" s="381"/>
      <c r="Y80" s="381"/>
      <c r="Z80" s="381"/>
      <c r="AA80" s="381"/>
      <c r="AB80" s="381"/>
      <c r="AC80" s="381"/>
      <c r="AD80" s="381"/>
      <c r="AE80" s="381"/>
      <c r="AF80" s="381"/>
      <c r="AG80" s="381"/>
      <c r="AH80" s="381"/>
      <c r="AI80" s="381"/>
      <c r="AJ80" s="381"/>
      <c r="AK80" s="381"/>
      <c r="AL80" s="381"/>
      <c r="AM80" s="381"/>
      <c r="AN80" s="381"/>
      <c r="AO80" s="381"/>
      <c r="AP80" s="381"/>
      <c r="AQ80" s="381"/>
      <c r="AR80" s="381"/>
      <c r="AS80" s="381"/>
      <c r="AT80" s="381"/>
      <c r="AU80" s="381"/>
      <c r="AV80" s="381"/>
      <c r="AW80" s="381"/>
      <c r="AX80" s="381"/>
      <c r="AY80" s="381"/>
      <c r="AZ80" s="381"/>
      <c r="BA80" s="381"/>
      <c r="BB80" s="381"/>
      <c r="BC80" s="381"/>
      <c r="BD80" s="381"/>
      <c r="BE80" s="381"/>
      <c r="BF80" s="381"/>
      <c r="BG80" s="381"/>
      <c r="BH80" s="381"/>
      <c r="BI80" s="381"/>
      <c r="BJ80" s="381"/>
      <c r="BK80" s="381"/>
      <c r="BL80" s="381"/>
      <c r="BM80" s="381"/>
      <c r="BN80" s="381"/>
      <c r="BO80" s="381"/>
      <c r="BP80" s="381"/>
      <c r="BQ80" s="381"/>
      <c r="BR80" s="381"/>
      <c r="BS80" s="381"/>
      <c r="BT80" s="381"/>
      <c r="BU80" s="381"/>
      <c r="BV80" s="381"/>
      <c r="BW80" s="381"/>
      <c r="BX80" s="381"/>
      <c r="BY80" s="381"/>
      <c r="BZ80" s="381"/>
      <c r="CA80" s="381"/>
      <c r="CB80" s="381"/>
      <c r="CC80" s="381"/>
      <c r="CD80" s="381"/>
      <c r="CE80" s="381"/>
      <c r="CF80" s="381"/>
    </row>
    <row r="81" spans="2:84">
      <c r="L81" s="795"/>
      <c r="M81" s="547"/>
      <c r="O81" s="9"/>
      <c r="R81" s="381"/>
      <c r="S81" s="381"/>
      <c r="T81" s="381"/>
      <c r="U81" s="381"/>
      <c r="V81" s="381"/>
      <c r="W81" s="381"/>
      <c r="X81" s="381"/>
      <c r="Y81" s="381"/>
      <c r="Z81" s="381"/>
      <c r="AA81" s="381"/>
      <c r="AB81" s="381"/>
      <c r="AC81" s="381"/>
      <c r="AD81" s="381"/>
      <c r="AE81" s="381"/>
      <c r="AF81" s="381"/>
      <c r="AG81" s="381"/>
      <c r="AH81" s="381"/>
      <c r="AI81" s="381"/>
      <c r="AJ81" s="381"/>
      <c r="AK81" s="381"/>
      <c r="AL81" s="381"/>
      <c r="AM81" s="381"/>
      <c r="AN81" s="381"/>
      <c r="AO81" s="381"/>
      <c r="AP81" s="381"/>
      <c r="AQ81" s="381"/>
      <c r="AR81" s="381"/>
      <c r="AS81" s="381"/>
      <c r="AT81" s="381"/>
      <c r="AU81" s="381"/>
      <c r="AV81" s="381"/>
      <c r="AW81" s="381"/>
      <c r="AX81" s="381"/>
      <c r="AY81" s="381"/>
      <c r="AZ81" s="381"/>
      <c r="BA81" s="381"/>
      <c r="BB81" s="381"/>
      <c r="BC81" s="381"/>
      <c r="BD81" s="381"/>
      <c r="BE81" s="381"/>
      <c r="BF81" s="381"/>
      <c r="BG81" s="381"/>
      <c r="BH81" s="381"/>
      <c r="BI81" s="381"/>
      <c r="BJ81" s="381"/>
      <c r="BK81" s="381"/>
      <c r="BL81" s="381"/>
      <c r="BM81" s="381"/>
      <c r="BN81" s="381"/>
      <c r="BO81" s="381"/>
      <c r="BP81" s="381"/>
      <c r="BQ81" s="381"/>
      <c r="BR81" s="381"/>
      <c r="BS81" s="381"/>
      <c r="BT81" s="381"/>
      <c r="BU81" s="381"/>
      <c r="BV81" s="381"/>
      <c r="BW81" s="381"/>
      <c r="BX81" s="381"/>
      <c r="BY81" s="381"/>
      <c r="BZ81" s="381"/>
      <c r="CA81" s="381"/>
      <c r="CB81" s="381"/>
      <c r="CC81" s="381"/>
      <c r="CD81" s="381"/>
      <c r="CE81" s="381"/>
      <c r="CF81" s="381"/>
    </row>
    <row r="82" spans="2:84" ht="16.5" customHeight="1">
      <c r="B82" s="589" t="s">
        <v>727</v>
      </c>
      <c r="C82" s="1121">
        <f>H5</f>
        <v>0</v>
      </c>
      <c r="D82" s="1122"/>
      <c r="E82" s="1122"/>
      <c r="F82" s="1122"/>
      <c r="H82" s="568"/>
      <c r="L82" s="564"/>
      <c r="M82" s="547"/>
      <c r="O82" s="9"/>
      <c r="R82" s="381"/>
      <c r="S82" s="381"/>
      <c r="T82" s="381"/>
      <c r="U82" s="381"/>
      <c r="V82" s="381"/>
      <c r="W82" s="381"/>
      <c r="X82" s="381"/>
      <c r="Y82" s="381"/>
      <c r="Z82" s="381"/>
      <c r="AA82" s="381"/>
      <c r="AB82" s="381"/>
      <c r="AC82" s="381"/>
      <c r="AD82" s="381"/>
      <c r="AE82" s="381"/>
      <c r="AF82" s="381"/>
      <c r="AG82" s="381"/>
      <c r="AH82" s="381"/>
      <c r="AI82" s="381"/>
      <c r="AJ82" s="381"/>
      <c r="AK82" s="381"/>
      <c r="AL82" s="381"/>
      <c r="AM82" s="381"/>
      <c r="AN82" s="381"/>
      <c r="AO82" s="381"/>
      <c r="AP82" s="381"/>
      <c r="AQ82" s="381"/>
      <c r="AR82" s="381"/>
      <c r="AS82" s="381"/>
      <c r="AT82" s="381"/>
      <c r="AU82" s="381"/>
      <c r="AV82" s="381"/>
      <c r="AW82" s="381"/>
      <c r="AX82" s="381"/>
      <c r="AY82" s="381"/>
      <c r="AZ82" s="381"/>
      <c r="BA82" s="381"/>
      <c r="BB82" s="381"/>
      <c r="BC82" s="381"/>
      <c r="BD82" s="381"/>
      <c r="BE82" s="381"/>
      <c r="BF82" s="381"/>
      <c r="BG82" s="381"/>
      <c r="BH82" s="381"/>
      <c r="BI82" s="381"/>
      <c r="BJ82" s="381"/>
      <c r="BK82" s="381"/>
      <c r="BL82" s="381"/>
      <c r="BM82" s="381"/>
      <c r="BN82" s="381"/>
      <c r="BO82" s="381"/>
      <c r="BP82" s="381"/>
      <c r="BQ82" s="381"/>
      <c r="BR82" s="381"/>
      <c r="BS82" s="381"/>
      <c r="BT82" s="381"/>
      <c r="BU82" s="381"/>
      <c r="BV82" s="381"/>
      <c r="BW82" s="381"/>
      <c r="BX82" s="381"/>
      <c r="BY82" s="381"/>
      <c r="BZ82" s="381"/>
      <c r="CA82" s="381"/>
      <c r="CB82" s="381"/>
      <c r="CC82" s="381"/>
      <c r="CD82" s="381"/>
      <c r="CE82" s="381"/>
      <c r="CF82" s="381"/>
    </row>
    <row r="83" spans="2:84">
      <c r="B83" s="775" t="s">
        <v>728</v>
      </c>
      <c r="C83" s="1123">
        <f>VLOOKUP(LnkTXTSigla,Informacoes[],23,FALSE)</f>
        <v>2906</v>
      </c>
      <c r="D83" s="1124"/>
      <c r="E83" s="1124"/>
      <c r="F83" s="1124"/>
      <c r="G83" s="381"/>
      <c r="H83" s="568"/>
      <c r="I83" s="788"/>
      <c r="L83" s="564"/>
      <c r="M83" s="547"/>
      <c r="O83" s="9"/>
      <c r="R83" s="381"/>
      <c r="S83" s="381"/>
      <c r="T83" s="381"/>
      <c r="U83" s="381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381"/>
      <c r="AH83" s="381"/>
      <c r="AI83" s="381"/>
      <c r="AJ83" s="381"/>
      <c r="AK83" s="381"/>
      <c r="AL83" s="381"/>
      <c r="AM83" s="381"/>
      <c r="AN83" s="381"/>
      <c r="AO83" s="381"/>
      <c r="AP83" s="381"/>
      <c r="AQ83" s="381"/>
      <c r="AR83" s="381"/>
      <c r="AS83" s="381"/>
      <c r="AT83" s="381"/>
      <c r="AU83" s="381"/>
      <c r="AV83" s="381"/>
      <c r="AW83" s="381"/>
      <c r="AX83" s="381"/>
      <c r="AY83" s="381"/>
      <c r="AZ83" s="381"/>
      <c r="BA83" s="381"/>
      <c r="BB83" s="381"/>
      <c r="BC83" s="381"/>
      <c r="BD83" s="381"/>
      <c r="BE83" s="381"/>
      <c r="BF83" s="381"/>
      <c r="BG83" s="381"/>
      <c r="BH83" s="381"/>
      <c r="BI83" s="381"/>
      <c r="BJ83" s="381"/>
      <c r="BK83" s="381"/>
      <c r="BL83" s="381"/>
      <c r="BM83" s="381"/>
      <c r="BN83" s="381"/>
      <c r="BO83" s="381"/>
      <c r="BP83" s="381"/>
      <c r="BQ83" s="381"/>
      <c r="BR83" s="381"/>
      <c r="BS83" s="381"/>
      <c r="BT83" s="381"/>
      <c r="BU83" s="381"/>
      <c r="BV83" s="381"/>
      <c r="BW83" s="381"/>
      <c r="BX83" s="381"/>
      <c r="BY83" s="381"/>
      <c r="BZ83" s="381"/>
      <c r="CA83" s="381"/>
      <c r="CB83" s="381"/>
      <c r="CC83" s="381"/>
      <c r="CD83" s="381"/>
      <c r="CE83" s="381"/>
      <c r="CF83" s="381"/>
    </row>
    <row r="84" spans="2:84">
      <c r="B84" s="584" t="s">
        <v>729</v>
      </c>
      <c r="C84" s="618" t="str">
        <f>'Informações Gerais'!X49</f>
        <v>27 de abril de 2021</v>
      </c>
      <c r="D84" s="539"/>
      <c r="E84" s="539"/>
      <c r="F84" s="539"/>
      <c r="G84" s="381"/>
      <c r="H84" s="568"/>
      <c r="L84" s="564"/>
      <c r="M84" s="547"/>
      <c r="O84" s="9"/>
      <c r="R84" s="381"/>
      <c r="S84" s="381"/>
      <c r="T84" s="381"/>
      <c r="U84" s="381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381"/>
      <c r="AH84" s="381"/>
      <c r="AI84" s="381"/>
      <c r="AJ84" s="381"/>
      <c r="AK84" s="381"/>
      <c r="AL84" s="381"/>
      <c r="AM84" s="381"/>
      <c r="AN84" s="381"/>
      <c r="AO84" s="381"/>
      <c r="AP84" s="381"/>
      <c r="AQ84" s="381"/>
      <c r="AR84" s="381"/>
      <c r="AS84" s="381"/>
      <c r="AT84" s="381"/>
      <c r="AU84" s="381"/>
      <c r="AV84" s="381"/>
      <c r="AW84" s="381"/>
      <c r="AX84" s="381"/>
      <c r="AY84" s="381"/>
      <c r="AZ84" s="381"/>
      <c r="BA84" s="381"/>
      <c r="BB84" s="381"/>
      <c r="BC84" s="381"/>
      <c r="BD84" s="381"/>
      <c r="BE84" s="381"/>
      <c r="BF84" s="381"/>
      <c r="BG84" s="381"/>
      <c r="BH84" s="381"/>
      <c r="BI84" s="381"/>
      <c r="BJ84" s="381"/>
      <c r="BK84" s="381"/>
      <c r="BL84" s="381"/>
      <c r="BM84" s="381"/>
      <c r="BN84" s="381"/>
      <c r="BO84" s="381"/>
      <c r="BP84" s="381"/>
      <c r="BQ84" s="381"/>
      <c r="BR84" s="381"/>
      <c r="BS84" s="381"/>
      <c r="BT84" s="381"/>
      <c r="BU84" s="381"/>
      <c r="BV84" s="381"/>
      <c r="BW84" s="381"/>
      <c r="BX84" s="381"/>
      <c r="BY84" s="381"/>
      <c r="BZ84" s="381"/>
      <c r="CA84" s="381"/>
      <c r="CB84" s="381"/>
      <c r="CC84" s="381"/>
      <c r="CD84" s="381"/>
      <c r="CE84" s="381"/>
      <c r="CF84" s="381"/>
    </row>
    <row r="85" spans="2:84">
      <c r="B85" s="775" t="s">
        <v>730</v>
      </c>
      <c r="C85" s="1125"/>
      <c r="D85" s="1126"/>
      <c r="E85" s="1126"/>
      <c r="F85" s="1126"/>
      <c r="G85" s="381"/>
      <c r="H85" s="568"/>
      <c r="L85" s="564"/>
      <c r="M85" s="547"/>
      <c r="O85" s="9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  <c r="AI85" s="381"/>
      <c r="AJ85" s="381"/>
      <c r="AK85" s="381"/>
      <c r="AL85" s="381"/>
      <c r="AM85" s="381"/>
      <c r="AN85" s="381"/>
      <c r="AO85" s="381"/>
      <c r="AP85" s="381"/>
      <c r="AQ85" s="381"/>
      <c r="AR85" s="381"/>
      <c r="AS85" s="381"/>
      <c r="AT85" s="381"/>
      <c r="AU85" s="381"/>
      <c r="AV85" s="381"/>
      <c r="AW85" s="381"/>
      <c r="AX85" s="381"/>
      <c r="AY85" s="381"/>
      <c r="AZ85" s="381"/>
      <c r="BA85" s="381"/>
      <c r="BB85" s="381"/>
      <c r="BC85" s="381"/>
      <c r="BD85" s="381"/>
      <c r="BE85" s="381"/>
      <c r="BF85" s="381"/>
      <c r="BG85" s="381"/>
      <c r="BH85" s="381"/>
      <c r="BI85" s="381"/>
      <c r="BJ85" s="381"/>
      <c r="BK85" s="381"/>
      <c r="BL85" s="381"/>
      <c r="BM85" s="381"/>
      <c r="BN85" s="381"/>
      <c r="BO85" s="381"/>
      <c r="BP85" s="381"/>
      <c r="BQ85" s="381"/>
      <c r="BR85" s="381"/>
      <c r="BS85" s="381"/>
      <c r="BT85" s="381"/>
      <c r="BU85" s="381"/>
      <c r="BV85" s="381"/>
      <c r="BW85" s="381"/>
      <c r="BX85" s="381"/>
      <c r="BY85" s="381"/>
      <c r="BZ85" s="381"/>
      <c r="CA85" s="381"/>
      <c r="CB85" s="381"/>
      <c r="CC85" s="381"/>
      <c r="CD85" s="381"/>
      <c r="CE85" s="381"/>
      <c r="CF85" s="381"/>
    </row>
    <row r="86" spans="2:84">
      <c r="B86" s="584" t="s">
        <v>731</v>
      </c>
      <c r="C86" s="662"/>
      <c r="D86" s="663"/>
      <c r="E86" s="663"/>
      <c r="F86" s="663"/>
      <c r="G86" s="381"/>
      <c r="H86" s="568"/>
      <c r="L86" s="564"/>
      <c r="M86" s="547"/>
      <c r="O86" s="9"/>
      <c r="R86" s="381"/>
      <c r="S86" s="381"/>
      <c r="T86" s="381"/>
      <c r="U86" s="381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381"/>
      <c r="AH86" s="381"/>
      <c r="AI86" s="381"/>
      <c r="AJ86" s="381"/>
      <c r="AK86" s="381"/>
      <c r="AL86" s="381"/>
      <c r="AM86" s="381"/>
      <c r="AN86" s="381"/>
      <c r="AO86" s="381"/>
      <c r="AP86" s="381"/>
      <c r="AQ86" s="381"/>
      <c r="AR86" s="381"/>
      <c r="AS86" s="381"/>
      <c r="AT86" s="381"/>
      <c r="AU86" s="381"/>
      <c r="AV86" s="381"/>
      <c r="AW86" s="381"/>
      <c r="AX86" s="381"/>
      <c r="AY86" s="381"/>
      <c r="AZ86" s="381"/>
      <c r="BA86" s="381"/>
      <c r="BB86" s="381"/>
      <c r="BC86" s="381"/>
      <c r="BD86" s="381"/>
      <c r="BE86" s="381"/>
      <c r="BF86" s="381"/>
      <c r="BG86" s="381"/>
      <c r="BH86" s="381"/>
      <c r="BI86" s="381"/>
      <c r="BJ86" s="381"/>
      <c r="BK86" s="381"/>
      <c r="BL86" s="381"/>
      <c r="BM86" s="381"/>
      <c r="BN86" s="381"/>
      <c r="BO86" s="381"/>
      <c r="BP86" s="381"/>
      <c r="BQ86" s="381"/>
      <c r="BR86" s="381"/>
      <c r="BS86" s="381"/>
      <c r="BT86" s="381"/>
      <c r="BU86" s="381"/>
      <c r="BV86" s="381"/>
      <c r="BW86" s="381"/>
      <c r="BX86" s="381"/>
      <c r="BY86" s="381"/>
      <c r="BZ86" s="381"/>
      <c r="CA86" s="381"/>
      <c r="CB86" s="381"/>
      <c r="CC86" s="381"/>
      <c r="CD86" s="381"/>
      <c r="CE86" s="381"/>
      <c r="CF86" s="381"/>
    </row>
    <row r="87" spans="2:84">
      <c r="B87" s="776" t="s">
        <v>732</v>
      </c>
      <c r="C87" s="1127"/>
      <c r="D87" s="1128"/>
      <c r="E87" s="1128"/>
      <c r="F87" s="1128"/>
      <c r="G87" s="381"/>
      <c r="H87" s="568"/>
      <c r="L87" s="564"/>
      <c r="M87" s="547"/>
      <c r="O87" s="9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381"/>
      <c r="AH87" s="381"/>
      <c r="AI87" s="381"/>
      <c r="AJ87" s="381"/>
      <c r="AK87" s="381"/>
      <c r="AL87" s="381"/>
      <c r="AM87" s="381"/>
      <c r="AN87" s="381"/>
      <c r="AO87" s="381"/>
      <c r="AP87" s="381"/>
      <c r="AQ87" s="381"/>
      <c r="AR87" s="381"/>
      <c r="AS87" s="381"/>
      <c r="AT87" s="381"/>
      <c r="AU87" s="381"/>
      <c r="AV87" s="381"/>
      <c r="AW87" s="381"/>
      <c r="AX87" s="381"/>
      <c r="AY87" s="381"/>
      <c r="AZ87" s="381"/>
      <c r="BA87" s="381"/>
      <c r="BB87" s="381"/>
      <c r="BC87" s="381"/>
      <c r="BD87" s="381"/>
      <c r="BE87" s="381"/>
      <c r="BF87" s="381"/>
      <c r="BG87" s="381"/>
      <c r="BH87" s="381"/>
      <c r="BI87" s="381"/>
      <c r="BJ87" s="381"/>
      <c r="BK87" s="381"/>
      <c r="BL87" s="381"/>
      <c r="BM87" s="381"/>
      <c r="BN87" s="381"/>
      <c r="BO87" s="381"/>
      <c r="BP87" s="381"/>
      <c r="BQ87" s="381"/>
      <c r="BR87" s="381"/>
      <c r="BS87" s="381"/>
      <c r="BT87" s="381"/>
      <c r="BU87" s="381"/>
      <c r="BV87" s="381"/>
      <c r="BW87" s="381"/>
      <c r="BX87" s="381"/>
      <c r="BY87" s="381"/>
      <c r="BZ87" s="381"/>
      <c r="CA87" s="381"/>
      <c r="CB87" s="381"/>
      <c r="CC87" s="381"/>
      <c r="CD87" s="381"/>
      <c r="CE87" s="381"/>
      <c r="CF87" s="381"/>
    </row>
    <row r="88" spans="2:84">
      <c r="B88" s="584" t="s">
        <v>733</v>
      </c>
      <c r="C88" s="620" t="str">
        <f>VLOOKUP(LnkTXTSigla,Informacoes[],20,FALSE)</f>
        <v>04/2018</v>
      </c>
      <c r="D88" s="540"/>
      <c r="E88" s="540"/>
      <c r="F88" s="540"/>
      <c r="G88" s="381"/>
      <c r="H88" s="568"/>
      <c r="L88" s="564"/>
      <c r="M88" s="547"/>
      <c r="O88" s="9"/>
      <c r="R88" s="381"/>
      <c r="S88" s="381"/>
      <c r="T88" s="381"/>
      <c r="U88" s="381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381"/>
      <c r="AH88" s="381"/>
      <c r="AI88" s="381"/>
      <c r="AJ88" s="381"/>
      <c r="AK88" s="381"/>
      <c r="AL88" s="381"/>
      <c r="AM88" s="381"/>
      <c r="AN88" s="381"/>
      <c r="AO88" s="381"/>
      <c r="AP88" s="381"/>
      <c r="AQ88" s="381"/>
      <c r="AR88" s="381"/>
      <c r="AS88" s="381"/>
      <c r="AT88" s="381"/>
      <c r="AU88" s="381"/>
      <c r="AV88" s="381"/>
      <c r="AW88" s="381"/>
      <c r="AX88" s="381"/>
      <c r="AY88" s="381"/>
      <c r="AZ88" s="381"/>
      <c r="BA88" s="381"/>
      <c r="BB88" s="381"/>
      <c r="BC88" s="381"/>
      <c r="BD88" s="381"/>
      <c r="BE88" s="381"/>
      <c r="BF88" s="381"/>
      <c r="BG88" s="381"/>
      <c r="BH88" s="381"/>
      <c r="BI88" s="381"/>
      <c r="BJ88" s="381"/>
      <c r="BK88" s="381"/>
      <c r="BL88" s="381"/>
      <c r="BM88" s="381"/>
      <c r="BN88" s="381"/>
      <c r="BO88" s="381"/>
      <c r="BP88" s="381"/>
      <c r="BQ88" s="381"/>
      <c r="BR88" s="381"/>
      <c r="BS88" s="381"/>
      <c r="BT88" s="381"/>
      <c r="BU88" s="381"/>
      <c r="BV88" s="381"/>
      <c r="BW88" s="381"/>
      <c r="BX88" s="381"/>
      <c r="BY88" s="381"/>
      <c r="BZ88" s="381"/>
      <c r="CA88" s="381"/>
      <c r="CB88" s="381"/>
      <c r="CC88" s="381"/>
      <c r="CD88" s="381"/>
      <c r="CE88" s="381"/>
      <c r="CF88" s="381"/>
    </row>
    <row r="89" spans="2:84">
      <c r="B89" s="584" t="s">
        <v>734</v>
      </c>
      <c r="C89" s="620" t="str">
        <f>VLOOKUP(LnkTXTSigla,Informacoes[],21,FALSE)</f>
        <v>17 de setembro de 2018</v>
      </c>
      <c r="D89" s="621"/>
      <c r="E89" s="540"/>
      <c r="F89" s="539"/>
      <c r="H89" s="568"/>
      <c r="L89" s="564"/>
      <c r="M89" s="547"/>
      <c r="O89" s="9"/>
      <c r="R89" s="381"/>
      <c r="S89" s="381"/>
      <c r="T89" s="381"/>
      <c r="U89" s="381"/>
      <c r="V89" s="381"/>
      <c r="W89" s="381"/>
      <c r="X89" s="381"/>
      <c r="Y89" s="381"/>
      <c r="Z89" s="381"/>
      <c r="AA89" s="381"/>
      <c r="AB89" s="381"/>
      <c r="AC89" s="381"/>
      <c r="AD89" s="381"/>
      <c r="AE89" s="381"/>
      <c r="AF89" s="381"/>
      <c r="AG89" s="381"/>
      <c r="AH89" s="381"/>
      <c r="AI89" s="381"/>
      <c r="AJ89" s="381"/>
      <c r="AK89" s="381"/>
      <c r="AL89" s="381"/>
      <c r="AM89" s="381"/>
      <c r="AN89" s="381"/>
      <c r="AO89" s="381"/>
      <c r="AP89" s="381"/>
      <c r="AQ89" s="381"/>
      <c r="AR89" s="381"/>
      <c r="AS89" s="381"/>
      <c r="AT89" s="381"/>
      <c r="AU89" s="381"/>
      <c r="AV89" s="381"/>
      <c r="AW89" s="381"/>
      <c r="AX89" s="381"/>
      <c r="AY89" s="381"/>
      <c r="AZ89" s="381"/>
      <c r="BA89" s="381"/>
      <c r="BB89" s="381"/>
      <c r="BC89" s="381"/>
      <c r="BD89" s="381"/>
      <c r="BE89" s="381"/>
      <c r="BF89" s="381"/>
      <c r="BG89" s="381"/>
      <c r="BH89" s="381"/>
      <c r="BI89" s="381"/>
      <c r="BJ89" s="381"/>
      <c r="BK89" s="381"/>
      <c r="BL89" s="381"/>
      <c r="BM89" s="381"/>
      <c r="BN89" s="381"/>
      <c r="BO89" s="381"/>
      <c r="BP89" s="381"/>
      <c r="BQ89" s="381"/>
      <c r="BR89" s="381"/>
      <c r="BS89" s="381"/>
      <c r="BT89" s="381"/>
      <c r="BU89" s="381"/>
      <c r="BV89" s="381"/>
      <c r="BW89" s="381"/>
      <c r="BX89" s="381"/>
      <c r="BY89" s="381"/>
      <c r="BZ89" s="381"/>
      <c r="CA89" s="381"/>
      <c r="CB89" s="381"/>
      <c r="CC89" s="381"/>
      <c r="CD89" s="381"/>
      <c r="CE89" s="381"/>
      <c r="CF89" s="381"/>
    </row>
    <row r="90" spans="2:84">
      <c r="B90" s="584" t="s">
        <v>735</v>
      </c>
      <c r="C90" s="622" t="str">
        <f>Q3</f>
        <v xml:space="preserve">Cooperativa de Distribuição de Energia Fontoura Xavier </v>
      </c>
      <c r="D90" s="540"/>
      <c r="E90" s="540"/>
      <c r="F90" s="540"/>
      <c r="H90" s="568"/>
      <c r="L90" s="564"/>
      <c r="M90" s="547"/>
      <c r="O90" s="9"/>
      <c r="R90" s="381"/>
      <c r="S90" s="381"/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381"/>
      <c r="AY90" s="381"/>
      <c r="AZ90" s="381"/>
      <c r="BA90" s="381"/>
      <c r="BB90" s="381"/>
      <c r="BC90" s="381"/>
      <c r="BD90" s="381"/>
      <c r="BE90" s="381"/>
      <c r="BF90" s="381"/>
      <c r="BG90" s="381"/>
      <c r="BH90" s="381"/>
      <c r="BI90" s="381"/>
      <c r="BJ90" s="381"/>
      <c r="BK90" s="381"/>
      <c r="BL90" s="381"/>
      <c r="BM90" s="381"/>
      <c r="BN90" s="381"/>
      <c r="BO90" s="381"/>
      <c r="BP90" s="381"/>
      <c r="BQ90" s="381"/>
      <c r="BR90" s="381"/>
      <c r="BS90" s="381"/>
      <c r="BT90" s="381"/>
      <c r="BU90" s="381"/>
      <c r="BV90" s="381"/>
      <c r="BW90" s="381"/>
      <c r="BX90" s="381"/>
      <c r="BY90" s="381"/>
      <c r="BZ90" s="381"/>
      <c r="CA90" s="381"/>
      <c r="CB90" s="381"/>
      <c r="CC90" s="381"/>
      <c r="CD90" s="381"/>
      <c r="CE90" s="381"/>
      <c r="CF90" s="381"/>
    </row>
    <row r="91" spans="2:84" ht="16.5" customHeight="1">
      <c r="B91" s="584" t="s">
        <v>736</v>
      </c>
      <c r="C91" s="622" t="str">
        <f>C9</f>
        <v>Cerfox</v>
      </c>
      <c r="D91" s="540"/>
      <c r="E91" s="541"/>
      <c r="F91" s="540"/>
      <c r="H91" s="788"/>
      <c r="L91" s="564"/>
      <c r="M91" s="547"/>
      <c r="O91" s="9"/>
      <c r="R91" s="381"/>
      <c r="S91" s="381"/>
      <c r="T91" s="381"/>
      <c r="U91" s="381"/>
      <c r="V91" s="381"/>
      <c r="W91" s="381"/>
      <c r="X91" s="381"/>
      <c r="Y91" s="381"/>
      <c r="Z91" s="381"/>
      <c r="AA91" s="381"/>
      <c r="AB91" s="381"/>
      <c r="AC91" s="381"/>
      <c r="AD91" s="381"/>
      <c r="AE91" s="381"/>
      <c r="AF91" s="381"/>
      <c r="AG91" s="381"/>
      <c r="AH91" s="381"/>
      <c r="AI91" s="381"/>
      <c r="AJ91" s="381"/>
      <c r="AK91" s="381"/>
      <c r="AL91" s="381"/>
      <c r="AM91" s="381"/>
      <c r="AN91" s="381"/>
      <c r="AO91" s="381"/>
      <c r="AP91" s="381"/>
      <c r="AQ91" s="381"/>
      <c r="AR91" s="381"/>
      <c r="AS91" s="381"/>
      <c r="AT91" s="381"/>
      <c r="AU91" s="381"/>
      <c r="AV91" s="381"/>
      <c r="AW91" s="381"/>
      <c r="AX91" s="381"/>
      <c r="AY91" s="381"/>
      <c r="AZ91" s="381"/>
      <c r="BA91" s="381"/>
      <c r="BB91" s="381"/>
      <c r="BC91" s="381"/>
      <c r="BD91" s="381"/>
      <c r="BE91" s="381"/>
      <c r="BF91" s="381"/>
      <c r="BG91" s="381"/>
      <c r="BH91" s="381"/>
      <c r="BI91" s="381"/>
      <c r="BJ91" s="381"/>
      <c r="BK91" s="381"/>
      <c r="BL91" s="381"/>
      <c r="BM91" s="381"/>
      <c r="BN91" s="381"/>
      <c r="BO91" s="381"/>
      <c r="BP91" s="381"/>
      <c r="BQ91" s="381"/>
      <c r="BR91" s="381"/>
      <c r="BS91" s="381"/>
      <c r="BT91" s="381"/>
      <c r="BU91" s="381"/>
      <c r="BV91" s="381"/>
      <c r="BW91" s="381"/>
      <c r="BX91" s="381"/>
      <c r="BY91" s="381"/>
      <c r="BZ91" s="381"/>
      <c r="CA91" s="381"/>
      <c r="CB91" s="381"/>
      <c r="CC91" s="381"/>
      <c r="CD91" s="381"/>
      <c r="CE91" s="381"/>
      <c r="CF91" s="381"/>
    </row>
    <row r="92" spans="2:84">
      <c r="B92" s="584" t="s">
        <v>737</v>
      </c>
      <c r="C92" s="620" t="str">
        <f>D92&amp;" - "&amp;E92</f>
        <v>Fontoura Xavier  - RS</v>
      </c>
      <c r="D92" s="542" t="str">
        <f>VLOOKUP(LnkTXTSigla,Informacoes[],6,FALSE)</f>
        <v xml:space="preserve">Fontoura Xavier </v>
      </c>
      <c r="E92" s="542" t="str">
        <f>VLOOKUP(LnkTXTSigla,Informacoes[],7,FALSE)</f>
        <v>RS</v>
      </c>
      <c r="F92" s="540"/>
      <c r="L92" s="564"/>
      <c r="M92" s="547"/>
      <c r="O92" s="9"/>
      <c r="R92" s="381"/>
      <c r="S92" s="381"/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381"/>
      <c r="AY92" s="381"/>
      <c r="AZ92" s="381"/>
      <c r="BA92" s="381"/>
      <c r="BB92" s="381"/>
      <c r="BC92" s="381"/>
      <c r="BD92" s="381"/>
      <c r="BE92" s="381"/>
      <c r="BF92" s="381"/>
      <c r="BG92" s="381"/>
      <c r="BH92" s="381"/>
      <c r="BI92" s="381"/>
      <c r="BJ92" s="381"/>
      <c r="BK92" s="381"/>
      <c r="BL92" s="381"/>
      <c r="BM92" s="381"/>
      <c r="BN92" s="381"/>
      <c r="BO92" s="381"/>
      <c r="BP92" s="381"/>
      <c r="BQ92" s="381"/>
      <c r="BR92" s="381"/>
      <c r="BS92" s="381"/>
      <c r="BT92" s="381"/>
      <c r="BU92" s="381"/>
      <c r="BV92" s="381"/>
      <c r="BW92" s="381"/>
      <c r="BX92" s="381"/>
      <c r="BY92" s="381"/>
      <c r="BZ92" s="381"/>
      <c r="CA92" s="381"/>
      <c r="CB92" s="381"/>
      <c r="CC92" s="381"/>
      <c r="CD92" s="381"/>
      <c r="CE92" s="381"/>
      <c r="CF92" s="381"/>
    </row>
    <row r="93" spans="2:84">
      <c r="B93" s="584" t="s">
        <v>738</v>
      </c>
      <c r="C93" s="623"/>
      <c r="D93" s="540"/>
      <c r="E93" s="540"/>
      <c r="F93" s="540"/>
      <c r="L93" s="564"/>
      <c r="M93" s="547"/>
      <c r="O93" s="9"/>
      <c r="R93" s="381"/>
      <c r="S93" s="381"/>
      <c r="T93" s="381"/>
      <c r="U93" s="381"/>
      <c r="V93" s="381"/>
      <c r="W93" s="381"/>
      <c r="X93" s="381"/>
      <c r="Y93" s="381"/>
      <c r="Z93" s="381"/>
      <c r="AA93" s="381"/>
      <c r="AB93" s="381"/>
      <c r="AC93" s="381"/>
      <c r="AD93" s="381"/>
      <c r="AE93" s="381"/>
      <c r="AF93" s="381"/>
      <c r="AG93" s="381"/>
      <c r="AH93" s="381"/>
      <c r="AI93" s="381"/>
      <c r="AJ93" s="381"/>
      <c r="AK93" s="381"/>
      <c r="AL93" s="381"/>
      <c r="AM93" s="381"/>
      <c r="AN93" s="381"/>
      <c r="AO93" s="381"/>
      <c r="AP93" s="381"/>
      <c r="AQ93" s="381"/>
      <c r="AR93" s="381"/>
      <c r="AS93" s="381"/>
      <c r="AT93" s="381"/>
      <c r="AU93" s="381"/>
      <c r="AV93" s="381"/>
      <c r="AW93" s="381"/>
      <c r="AX93" s="381"/>
      <c r="AY93" s="381"/>
      <c r="AZ93" s="381"/>
      <c r="BA93" s="381"/>
      <c r="BB93" s="381"/>
      <c r="BC93" s="381"/>
      <c r="BD93" s="381"/>
      <c r="BE93" s="381"/>
      <c r="BF93" s="381"/>
      <c r="BG93" s="381"/>
      <c r="BH93" s="381"/>
      <c r="BI93" s="381"/>
      <c r="BJ93" s="381"/>
      <c r="BK93" s="381"/>
      <c r="BL93" s="381"/>
      <c r="BM93" s="381"/>
      <c r="BN93" s="381"/>
      <c r="BO93" s="381"/>
      <c r="BP93" s="381"/>
      <c r="BQ93" s="381"/>
      <c r="BR93" s="381"/>
      <c r="BS93" s="381"/>
      <c r="BT93" s="381"/>
      <c r="BU93" s="381"/>
      <c r="BV93" s="381"/>
      <c r="BW93" s="381"/>
      <c r="BX93" s="381"/>
      <c r="BY93" s="381"/>
      <c r="BZ93" s="381"/>
      <c r="CA93" s="381"/>
      <c r="CB93" s="381"/>
      <c r="CC93" s="381"/>
      <c r="CD93" s="381"/>
      <c r="CE93" s="381"/>
      <c r="CF93" s="381"/>
    </row>
    <row r="94" spans="2:84">
      <c r="B94" s="584" t="s">
        <v>739</v>
      </c>
      <c r="C94" s="622">
        <f>DataRevRea</f>
        <v>44772</v>
      </c>
      <c r="D94" s="540"/>
      <c r="E94" s="540">
        <f>DATE(YEAR(DataRevRea)+1,MONTH(DataRevRea)-1,1)</f>
        <v>45078</v>
      </c>
      <c r="F94" s="540"/>
      <c r="L94" s="564"/>
      <c r="M94" s="547"/>
      <c r="O94" s="9"/>
      <c r="R94" s="381"/>
      <c r="S94" s="381"/>
      <c r="T94" s="381"/>
      <c r="U94" s="381"/>
      <c r="V94" s="381"/>
      <c r="W94" s="381"/>
      <c r="X94" s="381"/>
      <c r="Y94" s="381"/>
      <c r="Z94" s="381"/>
      <c r="AA94" s="381"/>
      <c r="AB94" s="381"/>
      <c r="AC94" s="381"/>
      <c r="AD94" s="381"/>
      <c r="AE94" s="381"/>
      <c r="AF94" s="381"/>
      <c r="AG94" s="381"/>
      <c r="AH94" s="381"/>
      <c r="AI94" s="381"/>
      <c r="AJ94" s="381"/>
      <c r="AK94" s="381"/>
      <c r="AL94" s="381"/>
      <c r="AM94" s="381"/>
      <c r="AN94" s="381"/>
      <c r="AO94" s="381"/>
      <c r="AP94" s="381"/>
      <c r="AQ94" s="381"/>
      <c r="AR94" s="381"/>
      <c r="AS94" s="381"/>
      <c r="AT94" s="381"/>
      <c r="AU94" s="381"/>
      <c r="AV94" s="381"/>
      <c r="AW94" s="381"/>
      <c r="AX94" s="381"/>
      <c r="AY94" s="381"/>
      <c r="AZ94" s="381"/>
      <c r="BA94" s="381"/>
      <c r="BB94" s="381"/>
      <c r="BC94" s="381"/>
      <c r="BD94" s="381"/>
      <c r="BE94" s="381"/>
      <c r="BF94" s="381"/>
      <c r="BG94" s="381"/>
      <c r="BH94" s="381"/>
      <c r="BI94" s="381"/>
      <c r="BJ94" s="381"/>
      <c r="BK94" s="381"/>
      <c r="BL94" s="381"/>
      <c r="BM94" s="381"/>
      <c r="BN94" s="381"/>
      <c r="BO94" s="381"/>
      <c r="BP94" s="381"/>
      <c r="BQ94" s="381"/>
      <c r="BR94" s="381"/>
      <c r="BS94" s="381"/>
      <c r="BT94" s="381"/>
      <c r="BU94" s="381"/>
      <c r="BV94" s="381"/>
      <c r="BW94" s="381"/>
      <c r="BX94" s="381"/>
      <c r="BY94" s="381"/>
      <c r="BZ94" s="381"/>
      <c r="CA94" s="381"/>
      <c r="CB94" s="381"/>
      <c r="CC94" s="381"/>
      <c r="CD94" s="381"/>
      <c r="CE94" s="381"/>
      <c r="CF94" s="381"/>
    </row>
    <row r="95" spans="2:84">
      <c r="B95" s="584" t="s">
        <v>740</v>
      </c>
      <c r="C95" s="624" t="str">
        <f>TEXT(E95,"mmmm")&amp;" de "&amp;TEXT(E95,"aaaa")&amp; " a "&amp;TEXT(E94,"mmmm")&amp;" de "&amp;TEXT(E94,"aaaa")</f>
        <v>julho de 2022 a junho de 2023</v>
      </c>
      <c r="D95" s="540"/>
      <c r="E95" s="540">
        <f>DATE(YEAR(DataRevRea),MONTH(DataRevRea),DAY(DataRevRea))</f>
        <v>44772</v>
      </c>
      <c r="F95" s="540"/>
      <c r="L95" s="564"/>
      <c r="M95" s="547"/>
      <c r="O95" s="9"/>
      <c r="R95" s="381"/>
      <c r="S95" s="381"/>
      <c r="T95" s="381"/>
      <c r="U95" s="381"/>
      <c r="V95" s="381"/>
      <c r="W95" s="381"/>
      <c r="X95" s="381"/>
      <c r="Y95" s="381"/>
      <c r="Z95" s="381"/>
      <c r="AA95" s="381"/>
      <c r="AB95" s="381"/>
      <c r="AC95" s="381"/>
      <c r="AD95" s="381"/>
      <c r="AE95" s="381"/>
      <c r="AF95" s="381"/>
      <c r="AG95" s="381"/>
      <c r="AH95" s="381"/>
      <c r="AI95" s="381"/>
      <c r="AJ95" s="381"/>
      <c r="AK95" s="381"/>
      <c r="AL95" s="381"/>
      <c r="AM95" s="381"/>
      <c r="AN95" s="381"/>
      <c r="AO95" s="381"/>
      <c r="AP95" s="381"/>
      <c r="AQ95" s="381"/>
      <c r="AR95" s="381"/>
      <c r="AS95" s="381"/>
      <c r="AT95" s="381"/>
      <c r="AU95" s="381"/>
      <c r="AV95" s="381"/>
      <c r="AW95" s="381"/>
      <c r="AX95" s="381"/>
      <c r="AY95" s="381"/>
      <c r="AZ95" s="381"/>
      <c r="BA95" s="381"/>
      <c r="BB95" s="381"/>
      <c r="BC95" s="381"/>
      <c r="BD95" s="381"/>
      <c r="BE95" s="381"/>
      <c r="BF95" s="381"/>
      <c r="BG95" s="381"/>
      <c r="BH95" s="381"/>
      <c r="BI95" s="381"/>
      <c r="BJ95" s="381"/>
      <c r="BK95" s="381"/>
      <c r="BL95" s="381"/>
      <c r="BM95" s="381"/>
      <c r="BN95" s="381"/>
      <c r="BO95" s="381"/>
      <c r="BP95" s="381"/>
      <c r="BQ95" s="381"/>
      <c r="BR95" s="381"/>
      <c r="BS95" s="381"/>
      <c r="BT95" s="381"/>
      <c r="BU95" s="381"/>
      <c r="BV95" s="381"/>
      <c r="BW95" s="381"/>
      <c r="BX95" s="381"/>
      <c r="BY95" s="381"/>
      <c r="BZ95" s="381"/>
      <c r="CA95" s="381"/>
      <c r="CB95" s="381"/>
      <c r="CC95" s="381"/>
      <c r="CD95" s="381"/>
      <c r="CE95" s="381"/>
      <c r="CF95" s="381"/>
    </row>
    <row r="96" spans="2:84">
      <c r="B96" s="584" t="s">
        <v>741</v>
      </c>
      <c r="C96" s="623">
        <f>C94</f>
        <v>44772</v>
      </c>
      <c r="D96" s="625"/>
      <c r="E96" s="540"/>
      <c r="F96" s="540"/>
      <c r="L96" s="564"/>
      <c r="M96" s="547"/>
      <c r="O96" s="9"/>
      <c r="R96" s="381"/>
      <c r="S96" s="381"/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/>
      <c r="AR96" s="381"/>
      <c r="AS96" s="381"/>
      <c r="AT96" s="381"/>
      <c r="AU96" s="381"/>
      <c r="AV96" s="381"/>
      <c r="AW96" s="381"/>
      <c r="AX96" s="381"/>
      <c r="AY96" s="381"/>
      <c r="AZ96" s="381"/>
      <c r="BA96" s="381"/>
      <c r="BB96" s="381"/>
      <c r="BC96" s="381"/>
      <c r="BD96" s="381"/>
      <c r="BE96" s="381"/>
      <c r="BF96" s="381"/>
      <c r="BG96" s="381"/>
      <c r="BH96" s="381"/>
      <c r="BI96" s="381"/>
      <c r="BJ96" s="381"/>
      <c r="BK96" s="381"/>
      <c r="BL96" s="381"/>
      <c r="BM96" s="381"/>
      <c r="BN96" s="381"/>
      <c r="BO96" s="381"/>
      <c r="BP96" s="381"/>
      <c r="BQ96" s="381"/>
      <c r="BR96" s="381"/>
      <c r="BS96" s="381"/>
      <c r="BT96" s="381"/>
      <c r="BU96" s="381"/>
      <c r="BV96" s="381"/>
      <c r="BW96" s="381"/>
      <c r="BX96" s="381"/>
      <c r="BY96" s="381"/>
      <c r="BZ96" s="381"/>
      <c r="CA96" s="381"/>
      <c r="CB96" s="381"/>
      <c r="CC96" s="381"/>
      <c r="CD96" s="381"/>
      <c r="CE96" s="381"/>
      <c r="CF96" s="381"/>
    </row>
    <row r="97" spans="2:84">
      <c r="B97" s="584" t="s">
        <v>226</v>
      </c>
      <c r="C97" s="626">
        <f>DATE(YEAR(DataRevRea)+1,MONTH(DataRevRea),DAY(DataRevRea)-1)</f>
        <v>45136</v>
      </c>
      <c r="D97" s="625"/>
      <c r="E97" s="540"/>
      <c r="F97" s="540"/>
      <c r="L97" s="564"/>
      <c r="M97" s="547"/>
      <c r="O97" s="9"/>
      <c r="R97" s="381"/>
      <c r="S97" s="381"/>
      <c r="T97" s="381"/>
      <c r="U97" s="381"/>
      <c r="V97" s="381"/>
      <c r="W97" s="381"/>
      <c r="X97" s="381"/>
      <c r="Y97" s="381"/>
      <c r="Z97" s="381"/>
      <c r="AA97" s="381"/>
      <c r="AB97" s="381"/>
      <c r="AC97" s="381"/>
      <c r="AD97" s="381"/>
      <c r="AE97" s="381"/>
      <c r="AF97" s="381"/>
      <c r="AG97" s="381"/>
      <c r="AH97" s="381"/>
      <c r="AI97" s="381"/>
      <c r="AJ97" s="381"/>
      <c r="AK97" s="381"/>
      <c r="AL97" s="381"/>
      <c r="AM97" s="381"/>
      <c r="AN97" s="381"/>
      <c r="AO97" s="381"/>
      <c r="AP97" s="381"/>
      <c r="AQ97" s="381"/>
      <c r="AR97" s="381"/>
      <c r="AS97" s="381"/>
      <c r="AT97" s="381"/>
      <c r="AU97" s="381"/>
      <c r="AV97" s="381"/>
      <c r="AW97" s="381"/>
      <c r="AX97" s="381"/>
      <c r="AY97" s="381"/>
      <c r="AZ97" s="381"/>
      <c r="BA97" s="381"/>
      <c r="BB97" s="381"/>
      <c r="BC97" s="381"/>
      <c r="BD97" s="381"/>
      <c r="BE97" s="381"/>
      <c r="BF97" s="381"/>
      <c r="BG97" s="381"/>
      <c r="BH97" s="381"/>
      <c r="BI97" s="381"/>
      <c r="BJ97" s="381"/>
      <c r="BK97" s="381"/>
      <c r="BL97" s="381"/>
      <c r="BM97" s="381"/>
      <c r="BN97" s="381"/>
      <c r="BO97" s="381"/>
      <c r="BP97" s="381"/>
      <c r="BQ97" s="381"/>
      <c r="BR97" s="381"/>
      <c r="BS97" s="381"/>
      <c r="BT97" s="381"/>
      <c r="BU97" s="381"/>
      <c r="BV97" s="381"/>
      <c r="BW97" s="381"/>
      <c r="BX97" s="381"/>
      <c r="BY97" s="381"/>
      <c r="BZ97" s="381"/>
      <c r="CA97" s="381"/>
      <c r="CB97" s="381"/>
      <c r="CC97" s="381"/>
      <c r="CD97" s="381"/>
      <c r="CE97" s="381"/>
      <c r="CF97" s="381"/>
    </row>
    <row r="98" spans="2:84">
      <c r="B98" s="584" t="s">
        <v>742</v>
      </c>
      <c r="C98" s="626" t="str">
        <f>TEXT(C14,"mmmm")&amp;" de "&amp;TEXT(C14,"aaaa")&amp; " a "&amp;TEXT(C17,"mmmm")&amp;" de "&amp;TEXT(C17,"aaaa")</f>
        <v>julho de 2021 a junho de 2022</v>
      </c>
      <c r="D98" s="540"/>
      <c r="E98" s="540"/>
      <c r="F98" s="540"/>
      <c r="L98" s="564"/>
      <c r="M98" s="547"/>
      <c r="O98" s="9"/>
      <c r="R98" s="381"/>
      <c r="S98" s="381"/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/>
      <c r="AU98" s="381"/>
      <c r="AV98" s="381"/>
      <c r="AW98" s="381"/>
      <c r="AX98" s="381"/>
      <c r="AY98" s="381"/>
      <c r="AZ98" s="381"/>
      <c r="BA98" s="381"/>
      <c r="BB98" s="381"/>
      <c r="BC98" s="381"/>
      <c r="BD98" s="381"/>
      <c r="BE98" s="381"/>
      <c r="BF98" s="381"/>
      <c r="BG98" s="381"/>
      <c r="BH98" s="381"/>
      <c r="BI98" s="381"/>
      <c r="BJ98" s="381"/>
      <c r="BK98" s="381"/>
      <c r="BL98" s="381"/>
      <c r="BM98" s="381"/>
      <c r="BN98" s="381"/>
      <c r="BO98" s="381"/>
      <c r="BP98" s="381"/>
      <c r="BQ98" s="381"/>
      <c r="BR98" s="381"/>
      <c r="BS98" s="381"/>
      <c r="BT98" s="381"/>
      <c r="BU98" s="381"/>
      <c r="BV98" s="381"/>
      <c r="BW98" s="381"/>
      <c r="BX98" s="381"/>
      <c r="BY98" s="381"/>
      <c r="BZ98" s="381"/>
      <c r="CA98" s="381"/>
      <c r="CB98" s="381"/>
      <c r="CC98" s="381"/>
      <c r="CD98" s="381"/>
      <c r="CE98" s="381"/>
      <c r="CF98" s="381"/>
    </row>
    <row r="99" spans="2:84">
      <c r="B99" s="584" t="s">
        <v>743</v>
      </c>
      <c r="C99" s="619">
        <f ca="1">IF(P1="verdadeiro",K36,H41)</f>
        <v>9.3400000000000011E-2</v>
      </c>
      <c r="D99" s="540"/>
      <c r="E99" s="540"/>
      <c r="F99" s="540"/>
      <c r="I99" s="568"/>
      <c r="L99" s="564"/>
      <c r="M99" s="547"/>
      <c r="O99" s="9"/>
      <c r="R99" s="381"/>
      <c r="S99" s="381"/>
      <c r="T99" s="381"/>
      <c r="U99" s="381"/>
      <c r="V99" s="381"/>
      <c r="W99" s="381"/>
      <c r="X99" s="381"/>
      <c r="Y99" s="381"/>
      <c r="Z99" s="381"/>
      <c r="AA99" s="381"/>
      <c r="AB99" s="381"/>
      <c r="AC99" s="381"/>
      <c r="AD99" s="381"/>
      <c r="AE99" s="381"/>
      <c r="AF99" s="381"/>
      <c r="AG99" s="381"/>
      <c r="AH99" s="381"/>
      <c r="AI99" s="381"/>
      <c r="AJ99" s="381"/>
      <c r="AK99" s="381"/>
      <c r="AL99" s="381"/>
      <c r="AM99" s="381"/>
      <c r="AN99" s="381"/>
      <c r="AO99" s="381"/>
      <c r="AP99" s="381"/>
      <c r="AQ99" s="381"/>
      <c r="AR99" s="381"/>
      <c r="AS99" s="381"/>
      <c r="AT99" s="381"/>
      <c r="AU99" s="381"/>
      <c r="AV99" s="381"/>
      <c r="AW99" s="381"/>
      <c r="AX99" s="381"/>
      <c r="AY99" s="381"/>
      <c r="AZ99" s="381"/>
      <c r="BA99" s="381"/>
      <c r="BB99" s="381"/>
      <c r="BC99" s="381"/>
      <c r="BD99" s="381"/>
      <c r="BE99" s="381"/>
      <c r="BF99" s="381"/>
      <c r="BG99" s="381"/>
      <c r="BH99" s="381"/>
      <c r="BI99" s="381"/>
      <c r="BJ99" s="381"/>
      <c r="BK99" s="381"/>
      <c r="BL99" s="381"/>
      <c r="BM99" s="381"/>
      <c r="BN99" s="381"/>
      <c r="BO99" s="381"/>
      <c r="BP99" s="381"/>
      <c r="BQ99" s="381"/>
      <c r="BR99" s="381"/>
      <c r="BS99" s="381"/>
      <c r="BT99" s="381"/>
      <c r="BU99" s="381"/>
      <c r="BV99" s="381"/>
      <c r="BW99" s="381"/>
      <c r="BX99" s="381"/>
      <c r="BY99" s="381"/>
      <c r="BZ99" s="381"/>
      <c r="CA99" s="381"/>
      <c r="CB99" s="381"/>
      <c r="CC99" s="381"/>
      <c r="CD99" s="381"/>
      <c r="CE99" s="381"/>
      <c r="CF99" s="381"/>
    </row>
    <row r="100" spans="2:84" ht="16.5" customHeight="1">
      <c r="B100" s="584" t="s">
        <v>701</v>
      </c>
      <c r="C100" s="619">
        <f>H42</f>
        <v>0</v>
      </c>
      <c r="D100" s="540"/>
      <c r="E100" s="540"/>
      <c r="F100" s="540"/>
      <c r="L100" s="564"/>
      <c r="M100" s="547"/>
      <c r="O100" s="9"/>
      <c r="R100" s="381"/>
      <c r="S100" s="381"/>
      <c r="T100" s="381"/>
      <c r="U100" s="381"/>
      <c r="V100" s="381"/>
      <c r="W100" s="381"/>
      <c r="X100" s="381"/>
      <c r="Y100" s="381"/>
      <c r="Z100" s="381"/>
      <c r="AA100" s="381"/>
      <c r="AB100" s="381"/>
      <c r="AC100" s="381"/>
      <c r="AD100" s="381"/>
      <c r="AE100" s="381"/>
      <c r="AF100" s="381"/>
      <c r="AG100" s="381"/>
      <c r="AH100" s="381"/>
      <c r="AI100" s="381"/>
      <c r="AJ100" s="381"/>
      <c r="AK100" s="381"/>
      <c r="AL100" s="381"/>
      <c r="AM100" s="381"/>
      <c r="AN100" s="381"/>
      <c r="AO100" s="381"/>
      <c r="AP100" s="381"/>
      <c r="AQ100" s="381"/>
      <c r="AR100" s="381"/>
      <c r="AS100" s="381"/>
      <c r="AT100" s="381"/>
      <c r="AU100" s="381"/>
      <c r="AV100" s="381"/>
      <c r="AW100" s="381"/>
      <c r="AX100" s="381"/>
      <c r="AY100" s="381"/>
      <c r="AZ100" s="381"/>
      <c r="BA100" s="381"/>
      <c r="BB100" s="381"/>
      <c r="BC100" s="381"/>
      <c r="BD100" s="381"/>
      <c r="BE100" s="381"/>
      <c r="BF100" s="381"/>
      <c r="BG100" s="381"/>
      <c r="BH100" s="381"/>
      <c r="BI100" s="381"/>
      <c r="BJ100" s="381"/>
      <c r="BK100" s="381"/>
      <c r="BL100" s="381"/>
      <c r="BM100" s="381"/>
      <c r="BN100" s="381"/>
      <c r="BO100" s="381"/>
      <c r="BP100" s="381"/>
      <c r="BQ100" s="381"/>
      <c r="BR100" s="381"/>
      <c r="BS100" s="381"/>
      <c r="BT100" s="381"/>
      <c r="BU100" s="381"/>
      <c r="BV100" s="381"/>
      <c r="BW100" s="381"/>
      <c r="BX100" s="381"/>
      <c r="BY100" s="381"/>
      <c r="BZ100" s="381"/>
      <c r="CA100" s="381"/>
      <c r="CB100" s="381"/>
      <c r="CC100" s="381"/>
      <c r="CD100" s="381"/>
      <c r="CE100" s="381"/>
      <c r="CF100" s="381"/>
    </row>
    <row r="101" spans="2:84">
      <c r="B101" s="584" t="s">
        <v>744</v>
      </c>
      <c r="C101" s="619">
        <f>LnkTXTIPCA-C100</f>
        <v>0.11886869625198027</v>
      </c>
      <c r="D101" s="540"/>
      <c r="E101" s="540"/>
      <c r="F101" s="540"/>
      <c r="L101" s="564"/>
      <c r="M101" s="547"/>
      <c r="O101" s="9"/>
      <c r="R101" s="381"/>
      <c r="S101" s="381"/>
      <c r="T101" s="381"/>
      <c r="U101" s="381"/>
      <c r="V101" s="381"/>
      <c r="W101" s="381"/>
      <c r="X101" s="381"/>
      <c r="Y101" s="381"/>
      <c r="Z101" s="381"/>
      <c r="AA101" s="381"/>
      <c r="AB101" s="381"/>
      <c r="AC101" s="381"/>
      <c r="AD101" s="381"/>
      <c r="AE101" s="381"/>
      <c r="AF101" s="381"/>
      <c r="AG101" s="381"/>
      <c r="AH101" s="381"/>
      <c r="AI101" s="381"/>
      <c r="AJ101" s="381"/>
      <c r="AK101" s="381"/>
      <c r="AL101" s="381"/>
      <c r="AM101" s="381"/>
      <c r="AN101" s="381"/>
      <c r="AO101" s="381"/>
      <c r="AP101" s="381"/>
      <c r="AQ101" s="381"/>
      <c r="AR101" s="381"/>
      <c r="AS101" s="381"/>
      <c r="AT101" s="381"/>
      <c r="AU101" s="381"/>
      <c r="AV101" s="381"/>
      <c r="AW101" s="381"/>
      <c r="AX101" s="381"/>
      <c r="AY101" s="381"/>
      <c r="AZ101" s="381"/>
      <c r="BA101" s="381"/>
      <c r="BB101" s="381"/>
      <c r="BC101" s="381"/>
      <c r="BD101" s="381"/>
      <c r="BE101" s="381"/>
      <c r="BF101" s="381"/>
      <c r="BG101" s="381"/>
      <c r="BH101" s="381"/>
      <c r="BI101" s="381"/>
      <c r="BJ101" s="381"/>
      <c r="BK101" s="381"/>
      <c r="BL101" s="381"/>
      <c r="BM101" s="381"/>
      <c r="BN101" s="381"/>
      <c r="BO101" s="381"/>
      <c r="BP101" s="381"/>
      <c r="BQ101" s="381"/>
      <c r="BR101" s="381"/>
      <c r="BS101" s="381"/>
      <c r="BT101" s="381"/>
      <c r="BU101" s="381"/>
      <c r="BV101" s="381"/>
      <c r="BW101" s="381"/>
      <c r="BX101" s="381"/>
      <c r="BY101" s="381"/>
      <c r="BZ101" s="381"/>
      <c r="CA101" s="381"/>
      <c r="CB101" s="381"/>
      <c r="CC101" s="381"/>
      <c r="CD101" s="381"/>
      <c r="CE101" s="381"/>
      <c r="CF101" s="381"/>
    </row>
    <row r="102" spans="2:84">
      <c r="B102" s="584" t="s">
        <v>745</v>
      </c>
      <c r="C102" s="627">
        <f ca="1">Resultado!D33</f>
        <v>15476014.231197888</v>
      </c>
      <c r="D102" s="540"/>
      <c r="E102" s="540"/>
      <c r="F102" s="540"/>
      <c r="L102" s="564"/>
      <c r="M102" s="547"/>
      <c r="O102" s="9"/>
      <c r="R102" s="381"/>
      <c r="S102" s="381"/>
      <c r="T102" s="381"/>
      <c r="U102" s="381"/>
      <c r="V102" s="381"/>
      <c r="W102" s="381"/>
      <c r="X102" s="381"/>
      <c r="Y102" s="381"/>
      <c r="Z102" s="381"/>
      <c r="AA102" s="381"/>
      <c r="AB102" s="381"/>
      <c r="AC102" s="381"/>
      <c r="AD102" s="381"/>
      <c r="AE102" s="381"/>
      <c r="AF102" s="381"/>
      <c r="AG102" s="381"/>
      <c r="AH102" s="381"/>
      <c r="AI102" s="381"/>
      <c r="AJ102" s="381"/>
      <c r="AK102" s="381"/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381"/>
      <c r="AW102" s="381"/>
      <c r="AX102" s="381"/>
      <c r="AY102" s="381"/>
      <c r="AZ102" s="381"/>
      <c r="BA102" s="381"/>
      <c r="BB102" s="381"/>
      <c r="BC102" s="381"/>
      <c r="BD102" s="381"/>
      <c r="BE102" s="381"/>
      <c r="BF102" s="381"/>
      <c r="BG102" s="381"/>
      <c r="BH102" s="381"/>
      <c r="BI102" s="381"/>
      <c r="BJ102" s="381"/>
      <c r="BK102" s="381"/>
      <c r="BL102" s="381"/>
      <c r="BM102" s="381"/>
      <c r="BN102" s="381"/>
      <c r="BO102" s="381"/>
      <c r="BP102" s="381"/>
      <c r="BQ102" s="381"/>
      <c r="BR102" s="381"/>
      <c r="BS102" s="381"/>
      <c r="BT102" s="381"/>
      <c r="BU102" s="381"/>
      <c r="BV102" s="381"/>
      <c r="BW102" s="381"/>
      <c r="BX102" s="381"/>
      <c r="BY102" s="381"/>
      <c r="BZ102" s="381"/>
      <c r="CA102" s="381"/>
      <c r="CB102" s="381"/>
      <c r="CC102" s="381"/>
      <c r="CD102" s="381"/>
      <c r="CE102" s="381"/>
      <c r="CF102" s="381"/>
    </row>
    <row r="103" spans="2:84">
      <c r="B103" s="584" t="s">
        <v>746</v>
      </c>
      <c r="C103" s="627">
        <f>Resultado!D32</f>
        <v>9770545.3238976002</v>
      </c>
      <c r="D103" s="540"/>
      <c r="E103" s="540"/>
      <c r="F103" s="540"/>
      <c r="L103" s="564"/>
      <c r="M103" s="547"/>
      <c r="O103" s="9"/>
      <c r="R103" s="381"/>
      <c r="S103" s="381"/>
      <c r="T103" s="381"/>
      <c r="U103" s="381"/>
      <c r="V103" s="381"/>
      <c r="W103" s="381"/>
      <c r="X103" s="381"/>
      <c r="Y103" s="381"/>
      <c r="Z103" s="381"/>
      <c r="AA103" s="381"/>
      <c r="AB103" s="381"/>
      <c r="AC103" s="381"/>
      <c r="AD103" s="381"/>
      <c r="AE103" s="381"/>
      <c r="AF103" s="381"/>
      <c r="AG103" s="381"/>
      <c r="AH103" s="381"/>
      <c r="AI103" s="381"/>
      <c r="AJ103" s="381"/>
      <c r="AK103" s="381"/>
      <c r="AL103" s="381"/>
      <c r="AM103" s="381"/>
      <c r="AN103" s="381"/>
      <c r="AO103" s="381"/>
      <c r="AP103" s="381"/>
      <c r="AQ103" s="381"/>
      <c r="AR103" s="381"/>
      <c r="AS103" s="381"/>
      <c r="AT103" s="381"/>
      <c r="AU103" s="381"/>
      <c r="AV103" s="381"/>
      <c r="AW103" s="381"/>
      <c r="AX103" s="381"/>
      <c r="AY103" s="381"/>
      <c r="AZ103" s="381"/>
      <c r="BA103" s="381"/>
      <c r="BB103" s="381"/>
      <c r="BC103" s="381"/>
      <c r="BD103" s="381"/>
      <c r="BE103" s="381"/>
      <c r="BF103" s="381"/>
      <c r="BG103" s="381"/>
      <c r="BH103" s="381"/>
      <c r="BI103" s="381"/>
      <c r="BJ103" s="381"/>
      <c r="BK103" s="381"/>
      <c r="BL103" s="381"/>
      <c r="BM103" s="381"/>
      <c r="BN103" s="381"/>
      <c r="BO103" s="381"/>
      <c r="BP103" s="381"/>
      <c r="BQ103" s="381"/>
      <c r="BR103" s="381"/>
      <c r="BS103" s="381"/>
      <c r="BT103" s="381"/>
      <c r="BU103" s="381"/>
      <c r="BV103" s="381"/>
      <c r="BW103" s="381"/>
      <c r="BX103" s="381"/>
      <c r="BY103" s="381"/>
      <c r="BZ103" s="381"/>
      <c r="CA103" s="381"/>
      <c r="CB103" s="381"/>
      <c r="CC103" s="381"/>
      <c r="CD103" s="381"/>
      <c r="CE103" s="381"/>
      <c r="CF103" s="381"/>
    </row>
    <row r="104" spans="2:84">
      <c r="B104" s="584" t="s">
        <v>747</v>
      </c>
      <c r="C104" s="627">
        <f>SUM(Resultado!D25:D29)</f>
        <v>0</v>
      </c>
      <c r="D104" s="540"/>
      <c r="E104" s="540"/>
      <c r="F104" s="540"/>
      <c r="H104" s="583"/>
      <c r="I104" s="583"/>
      <c r="L104" s="564"/>
      <c r="M104" s="547"/>
      <c r="O104" s="9"/>
      <c r="R104" s="381"/>
      <c r="S104" s="381"/>
      <c r="T104" s="381"/>
      <c r="U104" s="381"/>
      <c r="V104" s="381"/>
      <c r="W104" s="381"/>
      <c r="X104" s="381"/>
      <c r="Y104" s="381"/>
      <c r="Z104" s="381"/>
      <c r="AA104" s="381"/>
      <c r="AB104" s="381"/>
      <c r="AC104" s="381"/>
      <c r="AD104" s="381"/>
      <c r="AE104" s="381"/>
      <c r="AF104" s="381"/>
      <c r="AG104" s="381"/>
      <c r="AH104" s="381"/>
      <c r="AI104" s="381"/>
      <c r="AJ104" s="381"/>
      <c r="AK104" s="381"/>
      <c r="AL104" s="381"/>
      <c r="AM104" s="381"/>
      <c r="AN104" s="381"/>
      <c r="AO104" s="381"/>
      <c r="AP104" s="381"/>
      <c r="AQ104" s="381"/>
      <c r="AR104" s="381"/>
      <c r="AS104" s="381"/>
      <c r="AT104" s="381"/>
      <c r="AU104" s="381"/>
      <c r="AV104" s="381"/>
      <c r="AW104" s="381"/>
      <c r="AX104" s="381"/>
      <c r="AY104" s="381"/>
      <c r="AZ104" s="381"/>
      <c r="BA104" s="381"/>
      <c r="BB104" s="381"/>
      <c r="BC104" s="381"/>
      <c r="BD104" s="381"/>
      <c r="BE104" s="381"/>
      <c r="BF104" s="381"/>
      <c r="BG104" s="381"/>
      <c r="BH104" s="381"/>
      <c r="BI104" s="381"/>
      <c r="BJ104" s="381"/>
      <c r="BK104" s="381"/>
      <c r="BL104" s="381"/>
      <c r="BM104" s="381"/>
      <c r="BN104" s="381"/>
      <c r="BO104" s="381"/>
      <c r="BP104" s="381"/>
      <c r="BQ104" s="381"/>
      <c r="BR104" s="381"/>
      <c r="BS104" s="381"/>
      <c r="BT104" s="381"/>
      <c r="BU104" s="381"/>
      <c r="BV104" s="381"/>
      <c r="BW104" s="381"/>
      <c r="BX104" s="381"/>
      <c r="BY104" s="381"/>
      <c r="BZ104" s="381"/>
      <c r="CA104" s="381"/>
      <c r="CB104" s="381"/>
      <c r="CC104" s="381"/>
      <c r="CD104" s="381"/>
      <c r="CE104" s="381"/>
      <c r="CF104" s="381"/>
    </row>
    <row r="105" spans="2:84">
      <c r="B105" s="584" t="s">
        <v>748</v>
      </c>
      <c r="C105" s="627">
        <f>Resultado!D31</f>
        <v>0</v>
      </c>
      <c r="D105" s="540"/>
      <c r="E105" s="540"/>
      <c r="F105" s="540"/>
      <c r="L105" s="564"/>
      <c r="M105" s="547"/>
      <c r="O105" s="9"/>
      <c r="R105" s="381"/>
      <c r="S105" s="381"/>
      <c r="T105" s="381"/>
      <c r="U105" s="381"/>
      <c r="V105" s="381"/>
      <c r="W105" s="381"/>
      <c r="X105" s="381"/>
      <c r="Y105" s="381"/>
      <c r="Z105" s="381"/>
      <c r="AA105" s="381"/>
      <c r="AB105" s="381"/>
      <c r="AC105" s="381"/>
      <c r="AD105" s="381"/>
      <c r="AE105" s="381"/>
      <c r="AF105" s="381"/>
      <c r="AG105" s="381"/>
      <c r="AH105" s="381"/>
      <c r="AI105" s="381"/>
      <c r="AJ105" s="381"/>
      <c r="AK105" s="381"/>
      <c r="AL105" s="381"/>
      <c r="AM105" s="381"/>
      <c r="AN105" s="381"/>
      <c r="AO105" s="381"/>
      <c r="AP105" s="381"/>
      <c r="AQ105" s="381"/>
      <c r="AR105" s="381"/>
      <c r="AS105" s="381"/>
      <c r="AT105" s="381"/>
      <c r="AU105" s="381"/>
      <c r="AV105" s="381"/>
      <c r="AW105" s="381"/>
      <c r="AX105" s="381"/>
      <c r="AY105" s="381"/>
      <c r="AZ105" s="381"/>
      <c r="BA105" s="381"/>
      <c r="BB105" s="381"/>
      <c r="BC105" s="381"/>
      <c r="BD105" s="381"/>
      <c r="BE105" s="381"/>
      <c r="BF105" s="381"/>
      <c r="BG105" s="381"/>
      <c r="BH105" s="381"/>
      <c r="BI105" s="381"/>
      <c r="BJ105" s="381"/>
      <c r="BK105" s="381"/>
      <c r="BL105" s="381"/>
      <c r="BM105" s="381"/>
      <c r="BN105" s="381"/>
      <c r="BO105" s="381"/>
      <c r="BP105" s="381"/>
      <c r="BQ105" s="381"/>
      <c r="BR105" s="381"/>
      <c r="BS105" s="381"/>
      <c r="BT105" s="381"/>
      <c r="BU105" s="381"/>
      <c r="BV105" s="381"/>
      <c r="BW105" s="381"/>
      <c r="BX105" s="381"/>
      <c r="BY105" s="381"/>
      <c r="BZ105" s="381"/>
      <c r="CA105" s="381"/>
      <c r="CB105" s="381"/>
      <c r="CC105" s="381"/>
      <c r="CD105" s="381"/>
      <c r="CE105" s="381"/>
      <c r="CF105" s="381"/>
    </row>
    <row r="106" spans="2:84">
      <c r="B106" s="584" t="s">
        <v>749</v>
      </c>
      <c r="C106" s="628">
        <f>ROUND(Calc_Mercado!J18/1000,0)</f>
        <v>16</v>
      </c>
      <c r="D106" s="540"/>
      <c r="E106" s="540"/>
      <c r="F106" s="540"/>
      <c r="L106" s="564"/>
      <c r="M106" s="547"/>
      <c r="O106" s="9"/>
      <c r="R106" s="381"/>
      <c r="S106" s="381"/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/>
      <c r="AN106" s="381"/>
      <c r="AO106" s="381"/>
      <c r="AP106" s="381"/>
      <c r="AQ106" s="381"/>
      <c r="AR106" s="381"/>
      <c r="AS106" s="381"/>
      <c r="AT106" s="381"/>
      <c r="AU106" s="381"/>
      <c r="AV106" s="381"/>
      <c r="AW106" s="381"/>
      <c r="AX106" s="381"/>
      <c r="AY106" s="381"/>
      <c r="AZ106" s="381"/>
      <c r="BA106" s="381"/>
      <c r="BB106" s="381"/>
      <c r="BC106" s="381"/>
      <c r="BD106" s="381"/>
      <c r="BE106" s="381"/>
      <c r="BF106" s="381"/>
      <c r="BG106" s="381"/>
      <c r="BH106" s="381"/>
      <c r="BI106" s="381"/>
      <c r="BJ106" s="381"/>
      <c r="BK106" s="381"/>
      <c r="BL106" s="381"/>
      <c r="BM106" s="381"/>
      <c r="BN106" s="381"/>
      <c r="BO106" s="381"/>
      <c r="BP106" s="381"/>
      <c r="BQ106" s="381"/>
      <c r="BR106" s="381"/>
      <c r="BS106" s="381"/>
      <c r="BT106" s="381"/>
      <c r="BU106" s="381"/>
      <c r="BV106" s="381"/>
      <c r="BW106" s="381"/>
      <c r="BX106" s="381"/>
      <c r="BY106" s="381"/>
      <c r="BZ106" s="381"/>
      <c r="CA106" s="381"/>
      <c r="CB106" s="381"/>
      <c r="CC106" s="381"/>
      <c r="CD106" s="381"/>
      <c r="CE106" s="381"/>
      <c r="CF106" s="381"/>
    </row>
    <row r="107" spans="2:84">
      <c r="B107" s="584" t="s">
        <v>750</v>
      </c>
      <c r="C107" s="628">
        <f ca="1">ROUND(Mercado_RA0_Reais/1000000,0)</f>
        <v>60</v>
      </c>
      <c r="D107" s="540"/>
      <c r="E107" s="540"/>
      <c r="F107" s="540"/>
      <c r="L107" s="564"/>
      <c r="M107" s="547"/>
      <c r="O107" s="9"/>
      <c r="R107" s="381"/>
      <c r="S107" s="381"/>
      <c r="T107" s="381"/>
      <c r="U107" s="381"/>
      <c r="V107" s="381"/>
      <c r="W107" s="381"/>
      <c r="X107" s="381"/>
      <c r="Y107" s="381"/>
      <c r="Z107" s="381"/>
      <c r="AA107" s="381"/>
      <c r="AB107" s="381"/>
      <c r="AC107" s="381"/>
      <c r="AD107" s="381"/>
      <c r="AE107" s="381"/>
      <c r="AF107" s="381"/>
      <c r="AG107" s="381"/>
      <c r="AH107" s="381"/>
      <c r="AI107" s="381"/>
      <c r="AJ107" s="381"/>
      <c r="AK107" s="381"/>
      <c r="AL107" s="381"/>
      <c r="AM107" s="381"/>
      <c r="AN107" s="381"/>
      <c r="AO107" s="381"/>
      <c r="AP107" s="381"/>
      <c r="AQ107" s="381"/>
      <c r="AR107" s="381"/>
      <c r="AS107" s="381"/>
      <c r="AT107" s="381"/>
      <c r="AU107" s="381"/>
      <c r="AV107" s="381"/>
      <c r="AW107" s="381"/>
      <c r="AX107" s="381"/>
      <c r="AY107" s="381"/>
      <c r="AZ107" s="381"/>
      <c r="BA107" s="381"/>
      <c r="BB107" s="381"/>
      <c r="BC107" s="381"/>
      <c r="BD107" s="381"/>
      <c r="BE107" s="381"/>
      <c r="BF107" s="381"/>
      <c r="BG107" s="381"/>
      <c r="BH107" s="381"/>
      <c r="BI107" s="381"/>
      <c r="BJ107" s="381"/>
      <c r="BK107" s="381"/>
      <c r="BL107" s="381"/>
      <c r="BM107" s="381"/>
      <c r="BN107" s="381"/>
      <c r="BO107" s="381"/>
      <c r="BP107" s="381"/>
      <c r="BQ107" s="381"/>
      <c r="BR107" s="381"/>
      <c r="BS107" s="381"/>
      <c r="BT107" s="381"/>
      <c r="BU107" s="381"/>
      <c r="BV107" s="381"/>
      <c r="BW107" s="381"/>
      <c r="BX107" s="381"/>
      <c r="BY107" s="381"/>
      <c r="BZ107" s="381"/>
      <c r="CA107" s="381"/>
      <c r="CB107" s="381"/>
      <c r="CC107" s="381"/>
      <c r="CD107" s="381"/>
      <c r="CE107" s="381"/>
      <c r="CF107" s="381"/>
    </row>
    <row r="108" spans="2:84">
      <c r="B108" s="584" t="s">
        <v>246</v>
      </c>
      <c r="C108" s="628" t="str">
        <f>VLOOKUP(LnkTXTSigla,Informacoes[],9,FALSE)</f>
        <v>RGE</v>
      </c>
      <c r="D108" s="540"/>
      <c r="E108" s="540">
        <f>VLOOKUP(LnkTXTSigla,Informacoes[],11,FALSE)</f>
        <v>0</v>
      </c>
      <c r="F108" s="540"/>
      <c r="L108" s="564"/>
      <c r="M108" s="547"/>
      <c r="O108" s="9"/>
      <c r="R108" s="381"/>
      <c r="S108" s="381"/>
      <c r="T108" s="381"/>
      <c r="U108" s="381"/>
      <c r="V108" s="381"/>
      <c r="W108" s="381"/>
      <c r="X108" s="381"/>
      <c r="Y108" s="381"/>
      <c r="Z108" s="381"/>
      <c r="AA108" s="381"/>
      <c r="AB108" s="381"/>
      <c r="AC108" s="381"/>
      <c r="AD108" s="381"/>
      <c r="AE108" s="381"/>
      <c r="AF108" s="381"/>
      <c r="AG108" s="381"/>
      <c r="AH108" s="381"/>
      <c r="AI108" s="381"/>
      <c r="AJ108" s="381"/>
      <c r="AK108" s="381"/>
      <c r="AL108" s="381"/>
      <c r="AM108" s="381"/>
      <c r="AN108" s="381"/>
      <c r="AO108" s="381"/>
      <c r="AP108" s="381"/>
      <c r="AQ108" s="381"/>
      <c r="AR108" s="381"/>
      <c r="AS108" s="381"/>
      <c r="AT108" s="381"/>
      <c r="AU108" s="381"/>
      <c r="AV108" s="381"/>
      <c r="AW108" s="381"/>
      <c r="AX108" s="381"/>
      <c r="AY108" s="381"/>
      <c r="AZ108" s="381"/>
      <c r="BA108" s="381"/>
      <c r="BB108" s="381"/>
      <c r="BC108" s="381"/>
      <c r="BD108" s="381"/>
      <c r="BE108" s="381"/>
      <c r="BF108" s="381"/>
      <c r="BG108" s="381"/>
      <c r="BH108" s="381"/>
      <c r="BI108" s="381"/>
      <c r="BJ108" s="381"/>
      <c r="BK108" s="381"/>
      <c r="BL108" s="381"/>
      <c r="BM108" s="381"/>
      <c r="BN108" s="381"/>
      <c r="BO108" s="381"/>
      <c r="BP108" s="381"/>
      <c r="BQ108" s="381"/>
      <c r="BR108" s="381"/>
      <c r="BS108" s="381"/>
      <c r="BT108" s="381"/>
      <c r="BU108" s="381"/>
      <c r="BV108" s="381"/>
      <c r="BW108" s="381"/>
      <c r="BX108" s="381"/>
      <c r="BY108" s="381"/>
      <c r="BZ108" s="381"/>
      <c r="CA108" s="381"/>
      <c r="CB108" s="381"/>
      <c r="CC108" s="381"/>
      <c r="CD108" s="381"/>
      <c r="CE108" s="381"/>
      <c r="CF108" s="381"/>
    </row>
    <row r="109" spans="2:84" ht="16.5" customHeight="1">
      <c r="B109" s="776" t="s">
        <v>248</v>
      </c>
      <c r="C109" s="1129" t="str">
        <f>IF(E109=0,"!vazio!"," e "&amp;E109)</f>
        <v>!vazio!</v>
      </c>
      <c r="D109" s="1130">
        <f>IF(Energia!B29=Energia!B28,IF(Energia!B30=Energia!B28,Energia!B31,Energia!B29),Energia!B29)</f>
        <v>0</v>
      </c>
      <c r="E109" s="1130">
        <f>VLOOKUP(LnkTXTSigla,Informacoes[],11,FALSE)</f>
        <v>0</v>
      </c>
      <c r="F109" s="1130"/>
      <c r="L109" s="564"/>
      <c r="M109" s="547"/>
      <c r="O109" s="9"/>
      <c r="R109" s="381"/>
      <c r="S109" s="381"/>
      <c r="T109" s="381"/>
      <c r="U109" s="381"/>
      <c r="V109" s="381"/>
      <c r="W109" s="381"/>
      <c r="X109" s="381"/>
      <c r="Y109" s="381"/>
      <c r="Z109" s="381"/>
      <c r="AA109" s="381"/>
      <c r="AB109" s="381"/>
      <c r="AC109" s="381"/>
      <c r="AD109" s="381"/>
      <c r="AE109" s="381"/>
      <c r="AF109" s="381"/>
      <c r="AG109" s="381"/>
      <c r="AH109" s="381"/>
      <c r="AI109" s="381"/>
      <c r="AJ109" s="381"/>
      <c r="AK109" s="381"/>
      <c r="AL109" s="381"/>
      <c r="AM109" s="381"/>
      <c r="AN109" s="381"/>
      <c r="AO109" s="381"/>
      <c r="AP109" s="381"/>
      <c r="AQ109" s="381"/>
      <c r="AR109" s="381"/>
      <c r="AS109" s="381"/>
      <c r="AT109" s="381"/>
      <c r="AU109" s="381"/>
      <c r="AV109" s="381"/>
      <c r="AW109" s="381"/>
      <c r="AX109" s="381"/>
      <c r="AY109" s="381"/>
      <c r="AZ109" s="381"/>
      <c r="BA109" s="381"/>
      <c r="BB109" s="381"/>
      <c r="BC109" s="381"/>
      <c r="BD109" s="381"/>
      <c r="BE109" s="381"/>
      <c r="BF109" s="381"/>
      <c r="BG109" s="381"/>
      <c r="BH109" s="381"/>
      <c r="BI109" s="381"/>
      <c r="BJ109" s="381"/>
      <c r="BK109" s="381"/>
      <c r="BL109" s="381"/>
      <c r="BM109" s="381"/>
      <c r="BN109" s="381"/>
      <c r="BO109" s="381"/>
      <c r="BP109" s="381"/>
      <c r="BQ109" s="381"/>
      <c r="BR109" s="381"/>
      <c r="BS109" s="381"/>
      <c r="BT109" s="381"/>
      <c r="BU109" s="381"/>
      <c r="BV109" s="381"/>
      <c r="BW109" s="381"/>
      <c r="BX109" s="381"/>
      <c r="BY109" s="381"/>
      <c r="BZ109" s="381"/>
      <c r="CA109" s="381"/>
      <c r="CB109" s="381"/>
      <c r="CC109" s="381"/>
      <c r="CD109" s="381"/>
      <c r="CE109" s="381"/>
      <c r="CF109" s="381"/>
    </row>
    <row r="110" spans="2:84">
      <c r="B110" s="776" t="s">
        <v>751</v>
      </c>
      <c r="C110" s="1129" t="str">
        <f ca="1">IF(AnoRevRea=VLOOKUP(LnkTXTSigla,Informacoes[],22,FALSE),"REVISÃO","REAJUSTE")</f>
        <v>REVISÃO</v>
      </c>
      <c r="D110" s="1130"/>
      <c r="E110" s="1130"/>
      <c r="F110" s="1130"/>
      <c r="L110" s="564"/>
      <c r="M110" s="547"/>
      <c r="O110" s="9"/>
      <c r="R110" s="381"/>
      <c r="S110" s="381"/>
      <c r="T110" s="381"/>
      <c r="U110" s="381"/>
      <c r="V110" s="381"/>
      <c r="W110" s="381"/>
      <c r="X110" s="381"/>
      <c r="Y110" s="381"/>
      <c r="Z110" s="381"/>
      <c r="AA110" s="381"/>
      <c r="AB110" s="381"/>
      <c r="AC110" s="381"/>
      <c r="AD110" s="381"/>
      <c r="AE110" s="381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  <c r="AQ110" s="381"/>
      <c r="AR110" s="381"/>
      <c r="AS110" s="381"/>
      <c r="AT110" s="381"/>
      <c r="AU110" s="381"/>
      <c r="AV110" s="381"/>
      <c r="AW110" s="381"/>
      <c r="AX110" s="381"/>
      <c r="AY110" s="381"/>
      <c r="AZ110" s="381"/>
      <c r="BA110" s="381"/>
      <c r="BB110" s="381"/>
      <c r="BC110" s="381"/>
      <c r="BD110" s="381"/>
      <c r="BE110" s="381"/>
      <c r="BF110" s="381"/>
      <c r="BG110" s="381"/>
      <c r="BH110" s="381"/>
      <c r="BI110" s="381"/>
      <c r="BJ110" s="381"/>
      <c r="BK110" s="381"/>
      <c r="BL110" s="381"/>
      <c r="BM110" s="381"/>
      <c r="BN110" s="381"/>
      <c r="BO110" s="381"/>
      <c r="BP110" s="381"/>
      <c r="BQ110" s="381"/>
      <c r="BR110" s="381"/>
      <c r="BS110" s="381"/>
      <c r="BT110" s="381"/>
      <c r="BU110" s="381"/>
      <c r="BV110" s="381"/>
      <c r="BW110" s="381"/>
      <c r="BX110" s="381"/>
      <c r="BY110" s="381"/>
      <c r="BZ110" s="381"/>
      <c r="CA110" s="381"/>
      <c r="CB110" s="381"/>
      <c r="CC110" s="381"/>
      <c r="CD110" s="381"/>
      <c r="CE110" s="381"/>
      <c r="CF110" s="381"/>
    </row>
    <row r="111" spans="2:84" ht="31.5" customHeight="1">
      <c r="B111" s="776" t="s">
        <v>752</v>
      </c>
      <c r="C111" s="1129" t="str">
        <f ca="1">IF(C110="Reajuste", "Reajuste Tarifário Anual - RTA", "Revisão Tarifária Periódica - RTP")</f>
        <v>Revisão Tarifária Periódica - RTP</v>
      </c>
      <c r="D111" s="1129"/>
      <c r="E111" s="1129"/>
      <c r="F111" s="1129"/>
      <c r="L111" s="564"/>
      <c r="M111" s="547"/>
      <c r="O111" s="9"/>
      <c r="R111" s="381"/>
      <c r="S111" s="381"/>
      <c r="T111" s="381"/>
      <c r="U111" s="381"/>
      <c r="V111" s="381"/>
      <c r="W111" s="381"/>
      <c r="X111" s="381"/>
      <c r="Y111" s="381"/>
      <c r="Z111" s="381"/>
      <c r="AA111" s="381"/>
      <c r="AB111" s="381"/>
      <c r="AC111" s="381"/>
      <c r="AD111" s="381"/>
      <c r="AE111" s="381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  <c r="AQ111" s="381"/>
      <c r="AR111" s="381"/>
      <c r="AS111" s="381"/>
      <c r="AT111" s="381"/>
      <c r="AU111" s="381"/>
      <c r="AV111" s="381"/>
      <c r="AW111" s="381"/>
      <c r="AX111" s="381"/>
      <c r="AY111" s="381"/>
      <c r="AZ111" s="381"/>
      <c r="BA111" s="381"/>
      <c r="BB111" s="381"/>
      <c r="BC111" s="381"/>
      <c r="BD111" s="381"/>
      <c r="BE111" s="381"/>
      <c r="BF111" s="381"/>
      <c r="BG111" s="381"/>
      <c r="BH111" s="381"/>
      <c r="BI111" s="381"/>
      <c r="BJ111" s="381"/>
      <c r="BK111" s="381"/>
      <c r="BL111" s="381"/>
      <c r="BM111" s="381"/>
      <c r="BN111" s="381"/>
      <c r="BO111" s="381"/>
      <c r="BP111" s="381"/>
      <c r="BQ111" s="381"/>
      <c r="BR111" s="381"/>
      <c r="BS111" s="381"/>
      <c r="BT111" s="381"/>
      <c r="BU111" s="381"/>
      <c r="BV111" s="381"/>
      <c r="BW111" s="381"/>
      <c r="BX111" s="381"/>
      <c r="BY111" s="381"/>
      <c r="BZ111" s="381"/>
      <c r="CA111" s="381"/>
      <c r="CB111" s="381"/>
      <c r="CC111" s="381"/>
      <c r="CD111" s="381"/>
      <c r="CE111" s="381"/>
      <c r="CF111" s="381"/>
    </row>
    <row r="112" spans="2:84" ht="110.25">
      <c r="B112" s="776" t="s">
        <v>753</v>
      </c>
      <c r="C112" s="780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80"/>
      <c r="E112" s="780"/>
      <c r="F112" s="780"/>
      <c r="L112" s="564"/>
      <c r="M112" s="547"/>
      <c r="O112" s="9"/>
      <c r="R112" s="381"/>
      <c r="S112" s="381"/>
      <c r="T112" s="381"/>
      <c r="U112" s="381"/>
      <c r="V112" s="381"/>
      <c r="W112" s="381"/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1"/>
      <c r="AR112" s="381"/>
      <c r="AS112" s="381"/>
      <c r="AT112" s="381"/>
      <c r="AU112" s="381"/>
      <c r="AV112" s="381"/>
      <c r="AW112" s="381"/>
      <c r="AX112" s="381"/>
      <c r="AY112" s="381"/>
      <c r="AZ112" s="381"/>
      <c r="BA112" s="381"/>
      <c r="BB112" s="381"/>
      <c r="BC112" s="381"/>
      <c r="BD112" s="381"/>
      <c r="BE112" s="381"/>
      <c r="BF112" s="381"/>
      <c r="BG112" s="381"/>
      <c r="BH112" s="381"/>
      <c r="BI112" s="381"/>
      <c r="BJ112" s="381"/>
      <c r="BK112" s="381"/>
      <c r="BL112" s="381"/>
      <c r="BM112" s="381"/>
      <c r="BN112" s="381"/>
      <c r="BO112" s="381"/>
      <c r="BP112" s="381"/>
      <c r="BQ112" s="381"/>
      <c r="BR112" s="381"/>
      <c r="BS112" s="381"/>
      <c r="BT112" s="381"/>
      <c r="BU112" s="381"/>
      <c r="BV112" s="381"/>
      <c r="BW112" s="381"/>
      <c r="BX112" s="381"/>
      <c r="BY112" s="381"/>
      <c r="BZ112" s="381"/>
      <c r="CA112" s="381"/>
      <c r="CB112" s="381"/>
      <c r="CC112" s="381"/>
      <c r="CD112" s="381"/>
      <c r="CE112" s="381"/>
      <c r="CF112" s="381"/>
    </row>
    <row r="113" spans="2:84">
      <c r="B113" s="775" t="s">
        <v>754</v>
      </c>
      <c r="C113" s="778" t="str">
        <f>VLOOKUP(C9,Informacoes[],37,FALSE)</f>
        <v>Sim</v>
      </c>
      <c r="D113" s="778"/>
      <c r="E113" s="778"/>
      <c r="F113" s="778"/>
      <c r="L113" s="564"/>
      <c r="M113" s="547"/>
      <c r="O113" s="9"/>
      <c r="R113" s="381"/>
      <c r="S113" s="381"/>
      <c r="T113" s="381"/>
      <c r="U113" s="381"/>
      <c r="V113" s="381"/>
      <c r="W113" s="381"/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  <c r="AQ113" s="381"/>
      <c r="AR113" s="381"/>
      <c r="AS113" s="381"/>
      <c r="AT113" s="381"/>
      <c r="AU113" s="381"/>
      <c r="AV113" s="381"/>
      <c r="AW113" s="381"/>
      <c r="AX113" s="381"/>
      <c r="AY113" s="381"/>
      <c r="AZ113" s="381"/>
      <c r="BA113" s="381"/>
      <c r="BB113" s="381"/>
      <c r="BC113" s="381"/>
      <c r="BD113" s="381"/>
      <c r="BE113" s="381"/>
      <c r="BF113" s="381"/>
      <c r="BG113" s="381"/>
      <c r="BH113" s="381"/>
      <c r="BI113" s="381"/>
      <c r="BJ113" s="381"/>
      <c r="BK113" s="381"/>
      <c r="BL113" s="381"/>
      <c r="BM113" s="381"/>
      <c r="BN113" s="381"/>
      <c r="BO113" s="381"/>
      <c r="BP113" s="381"/>
      <c r="BQ113" s="381"/>
      <c r="BR113" s="381"/>
      <c r="BS113" s="381"/>
      <c r="BT113" s="381"/>
      <c r="BU113" s="381"/>
      <c r="BV113" s="381"/>
      <c r="BW113" s="381"/>
      <c r="BX113" s="381"/>
      <c r="BY113" s="381"/>
      <c r="BZ113" s="381"/>
      <c r="CA113" s="381"/>
      <c r="CB113" s="381"/>
      <c r="CC113" s="381"/>
      <c r="CD113" s="381"/>
      <c r="CE113" s="381"/>
      <c r="CF113" s="381"/>
    </row>
    <row r="114" spans="2:84">
      <c r="B114" s="776" t="s">
        <v>755</v>
      </c>
      <c r="C114" s="779">
        <f>VLOOKUP(C9,Informacoes[],38,FALSE)</f>
        <v>43405</v>
      </c>
      <c r="D114" s="779"/>
      <c r="E114" s="779"/>
      <c r="F114" s="779"/>
      <c r="L114" s="564"/>
      <c r="M114" s="547"/>
      <c r="O114" s="9"/>
      <c r="R114" s="381"/>
      <c r="S114" s="381"/>
      <c r="T114" s="381"/>
      <c r="U114" s="381"/>
      <c r="V114" s="381"/>
      <c r="W114" s="381"/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1"/>
      <c r="AR114" s="381"/>
      <c r="AS114" s="381"/>
      <c r="AT114" s="381"/>
      <c r="AU114" s="381"/>
      <c r="AV114" s="381"/>
      <c r="AW114" s="381"/>
      <c r="AX114" s="381"/>
      <c r="AY114" s="381"/>
      <c r="AZ114" s="381"/>
      <c r="BA114" s="381"/>
      <c r="BB114" s="381"/>
      <c r="BC114" s="381"/>
      <c r="BD114" s="381"/>
      <c r="BE114" s="381"/>
      <c r="BF114" s="381"/>
      <c r="BG114" s="381"/>
      <c r="BH114" s="381"/>
      <c r="BI114" s="381"/>
      <c r="BJ114" s="381"/>
      <c r="BK114" s="381"/>
      <c r="BL114" s="381"/>
      <c r="BM114" s="381"/>
      <c r="BN114" s="381"/>
      <c r="BO114" s="381"/>
      <c r="BP114" s="381"/>
      <c r="BQ114" s="381"/>
      <c r="BR114" s="381"/>
      <c r="BS114" s="381"/>
      <c r="BT114" s="381"/>
      <c r="BU114" s="381"/>
      <c r="BV114" s="381"/>
      <c r="BW114" s="381"/>
      <c r="BX114" s="381"/>
      <c r="BY114" s="381"/>
      <c r="BZ114" s="381"/>
      <c r="CA114" s="381"/>
      <c r="CB114" s="381"/>
      <c r="CC114" s="381"/>
      <c r="CD114" s="381"/>
      <c r="CE114" s="381"/>
      <c r="CF114" s="381"/>
    </row>
    <row r="115" spans="2:84">
      <c r="L115" s="564"/>
      <c r="M115" s="547"/>
      <c r="O115" s="9"/>
      <c r="R115" s="381"/>
      <c r="S115" s="381"/>
      <c r="T115" s="381"/>
      <c r="U115" s="381"/>
      <c r="V115" s="381"/>
      <c r="W115" s="381"/>
      <c r="X115" s="381"/>
      <c r="Y115" s="381"/>
      <c r="Z115" s="381"/>
      <c r="AA115" s="381"/>
      <c r="AB115" s="381"/>
      <c r="AC115" s="381"/>
      <c r="AD115" s="381"/>
      <c r="AE115" s="381"/>
      <c r="AF115" s="381"/>
      <c r="AG115" s="381"/>
      <c r="AH115" s="381"/>
      <c r="AI115" s="381"/>
      <c r="AJ115" s="381"/>
      <c r="AK115" s="381"/>
      <c r="AL115" s="381"/>
      <c r="AM115" s="381"/>
      <c r="AN115" s="381"/>
      <c r="AO115" s="381"/>
      <c r="AP115" s="381"/>
      <c r="AQ115" s="381"/>
      <c r="AR115" s="381"/>
      <c r="AS115" s="381"/>
      <c r="AT115" s="381"/>
      <c r="AU115" s="381"/>
      <c r="AV115" s="381"/>
      <c r="AW115" s="381"/>
      <c r="AX115" s="381"/>
      <c r="AY115" s="381"/>
      <c r="AZ115" s="381"/>
      <c r="BA115" s="381"/>
      <c r="BB115" s="381"/>
      <c r="BC115" s="381"/>
      <c r="BD115" s="381"/>
      <c r="BE115" s="381"/>
      <c r="BF115" s="381"/>
      <c r="BG115" s="381"/>
      <c r="BH115" s="381"/>
      <c r="BI115" s="381"/>
      <c r="BJ115" s="381"/>
      <c r="BK115" s="381"/>
      <c r="BL115" s="381"/>
      <c r="BM115" s="381"/>
      <c r="BN115" s="381"/>
      <c r="BO115" s="381"/>
      <c r="BP115" s="381"/>
      <c r="BQ115" s="381"/>
      <c r="BR115" s="381"/>
      <c r="BS115" s="381"/>
      <c r="BT115" s="381"/>
      <c r="BU115" s="381"/>
      <c r="BV115" s="381"/>
      <c r="BW115" s="381"/>
      <c r="BX115" s="381"/>
      <c r="BY115" s="381"/>
      <c r="BZ115" s="381"/>
      <c r="CA115" s="381"/>
      <c r="CB115" s="381"/>
      <c r="CC115" s="381"/>
      <c r="CD115" s="381"/>
      <c r="CE115" s="381"/>
      <c r="CF115" s="381"/>
    </row>
    <row r="116" spans="2:84">
      <c r="L116" s="564"/>
      <c r="M116" s="547"/>
      <c r="O116" s="9"/>
      <c r="R116" s="381"/>
      <c r="S116" s="381"/>
      <c r="T116" s="381"/>
      <c r="U116" s="381"/>
      <c r="V116" s="381"/>
      <c r="W116" s="381"/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1"/>
      <c r="AR116" s="381"/>
      <c r="AS116" s="381"/>
      <c r="AT116" s="381"/>
      <c r="AU116" s="381"/>
      <c r="AV116" s="381"/>
      <c r="AW116" s="381"/>
      <c r="AX116" s="381"/>
      <c r="AY116" s="381"/>
      <c r="AZ116" s="381"/>
      <c r="BA116" s="381"/>
      <c r="BB116" s="381"/>
      <c r="BC116" s="381"/>
      <c r="BD116" s="381"/>
      <c r="BE116" s="381"/>
      <c r="BF116" s="381"/>
      <c r="BG116" s="381"/>
      <c r="BH116" s="381"/>
      <c r="BI116" s="381"/>
      <c r="BJ116" s="381"/>
      <c r="BK116" s="381"/>
      <c r="BL116" s="381"/>
      <c r="BM116" s="381"/>
      <c r="BN116" s="381"/>
      <c r="BO116" s="381"/>
      <c r="BP116" s="381"/>
      <c r="BQ116" s="381"/>
      <c r="BR116" s="381"/>
      <c r="BS116" s="381"/>
      <c r="BT116" s="381"/>
      <c r="BU116" s="381"/>
      <c r="BV116" s="381"/>
      <c r="BW116" s="381"/>
      <c r="BX116" s="381"/>
      <c r="BY116" s="381"/>
      <c r="BZ116" s="381"/>
      <c r="CA116" s="381"/>
      <c r="CB116" s="381"/>
      <c r="CC116" s="381"/>
      <c r="CD116" s="381"/>
      <c r="CE116" s="381"/>
      <c r="CF116" s="381"/>
    </row>
    <row r="117" spans="2:84">
      <c r="L117" s="564"/>
      <c r="M117" s="547"/>
      <c r="O117" s="9"/>
      <c r="R117" s="381"/>
      <c r="S117" s="381"/>
      <c r="T117" s="381"/>
      <c r="U117" s="381"/>
      <c r="V117" s="381"/>
      <c r="W117" s="381"/>
      <c r="X117" s="381"/>
      <c r="Y117" s="381"/>
      <c r="Z117" s="381"/>
      <c r="AA117" s="381"/>
      <c r="AB117" s="381"/>
      <c r="AC117" s="381"/>
      <c r="AD117" s="381"/>
      <c r="AE117" s="381"/>
      <c r="AF117" s="381"/>
      <c r="AG117" s="381"/>
      <c r="AH117" s="381"/>
      <c r="AI117" s="381"/>
      <c r="AJ117" s="381"/>
      <c r="AK117" s="381"/>
      <c r="AL117" s="381"/>
      <c r="AM117" s="381"/>
      <c r="AN117" s="381"/>
      <c r="AO117" s="381"/>
      <c r="AP117" s="381"/>
      <c r="AQ117" s="381"/>
      <c r="AR117" s="381"/>
      <c r="AS117" s="381"/>
      <c r="AT117" s="381"/>
      <c r="AU117" s="381"/>
      <c r="AV117" s="381"/>
      <c r="AW117" s="381"/>
      <c r="AX117" s="381"/>
      <c r="AY117" s="381"/>
      <c r="AZ117" s="381"/>
      <c r="BA117" s="381"/>
      <c r="BB117" s="381"/>
      <c r="BC117" s="381"/>
      <c r="BD117" s="381"/>
      <c r="BE117" s="381"/>
      <c r="BF117" s="381"/>
      <c r="BG117" s="381"/>
      <c r="BH117" s="381"/>
      <c r="BI117" s="381"/>
      <c r="BJ117" s="381"/>
      <c r="BK117" s="381"/>
      <c r="BL117" s="381"/>
      <c r="BM117" s="381"/>
      <c r="BN117" s="381"/>
      <c r="BO117" s="381"/>
      <c r="BP117" s="381"/>
      <c r="BQ117" s="381"/>
      <c r="BR117" s="381"/>
      <c r="BS117" s="381"/>
      <c r="BT117" s="381"/>
      <c r="BU117" s="381"/>
      <c r="BV117" s="381"/>
      <c r="BW117" s="381"/>
      <c r="BX117" s="381"/>
      <c r="BY117" s="381"/>
      <c r="BZ117" s="381"/>
      <c r="CA117" s="381"/>
      <c r="CB117" s="381"/>
      <c r="CC117" s="381"/>
      <c r="CD117" s="381"/>
      <c r="CE117" s="381"/>
      <c r="CF117" s="381"/>
    </row>
    <row r="118" spans="2:84" ht="16.5" customHeight="1">
      <c r="B118" s="231" t="s">
        <v>756</v>
      </c>
      <c r="C118" s="231"/>
      <c r="L118" s="564"/>
      <c r="M118" s="547"/>
      <c r="O118" s="9"/>
      <c r="R118" s="381"/>
      <c r="S118" s="381"/>
      <c r="T118" s="381"/>
      <c r="U118" s="381"/>
      <c r="V118" s="381"/>
      <c r="W118" s="381"/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1"/>
      <c r="AR118" s="381"/>
      <c r="AS118" s="381"/>
      <c r="AT118" s="381"/>
      <c r="AU118" s="381"/>
      <c r="AV118" s="381"/>
      <c r="AW118" s="381"/>
      <c r="AX118" s="381"/>
      <c r="AY118" s="381"/>
      <c r="AZ118" s="381"/>
      <c r="BA118" s="381"/>
      <c r="BB118" s="381"/>
      <c r="BC118" s="381"/>
      <c r="BD118" s="381"/>
      <c r="BE118" s="381"/>
      <c r="BF118" s="381"/>
      <c r="BG118" s="381"/>
      <c r="BH118" s="381"/>
      <c r="BI118" s="381"/>
      <c r="BJ118" s="381"/>
      <c r="BK118" s="381"/>
      <c r="BL118" s="381"/>
      <c r="BM118" s="381"/>
      <c r="BN118" s="381"/>
      <c r="BO118" s="381"/>
      <c r="BP118" s="381"/>
      <c r="BQ118" s="381"/>
      <c r="BR118" s="381"/>
      <c r="BS118" s="381"/>
      <c r="BT118" s="381"/>
      <c r="BU118" s="381"/>
      <c r="BV118" s="381"/>
      <c r="BW118" s="381"/>
      <c r="BX118" s="381"/>
      <c r="BY118" s="381"/>
      <c r="BZ118" s="381"/>
      <c r="CA118" s="381"/>
      <c r="CB118" s="381"/>
      <c r="CC118" s="381"/>
      <c r="CD118" s="381"/>
      <c r="CE118" s="381"/>
      <c r="CF118" s="381"/>
    </row>
    <row r="119" spans="2:84">
      <c r="B119" s="1131" t="s">
        <v>238</v>
      </c>
      <c r="C119" s="1131" t="s">
        <v>238</v>
      </c>
      <c r="L119" s="564"/>
      <c r="M119" s="547"/>
      <c r="O119" s="9"/>
      <c r="R119" s="381"/>
      <c r="S119" s="381"/>
      <c r="T119" s="381"/>
      <c r="U119" s="381"/>
      <c r="V119" s="381"/>
      <c r="W119" s="381"/>
      <c r="X119" s="381"/>
      <c r="Y119" s="381"/>
      <c r="Z119" s="381"/>
      <c r="AA119" s="381"/>
      <c r="AB119" s="381"/>
      <c r="AC119" s="381"/>
      <c r="AD119" s="381"/>
      <c r="AE119" s="381"/>
      <c r="AF119" s="381"/>
      <c r="AG119" s="381"/>
      <c r="AH119" s="381"/>
      <c r="AI119" s="381"/>
      <c r="AJ119" s="381"/>
      <c r="AK119" s="381"/>
      <c r="AL119" s="381"/>
      <c r="AM119" s="381"/>
      <c r="AN119" s="381"/>
      <c r="AO119" s="381"/>
      <c r="AP119" s="381"/>
      <c r="AQ119" s="381"/>
      <c r="AR119" s="381"/>
      <c r="AS119" s="381"/>
      <c r="AT119" s="381"/>
      <c r="AU119" s="381"/>
      <c r="AV119" s="381"/>
      <c r="AW119" s="381"/>
      <c r="AX119" s="381"/>
      <c r="AY119" s="381"/>
      <c r="AZ119" s="381"/>
      <c r="BA119" s="381"/>
      <c r="BB119" s="381"/>
      <c r="BC119" s="381"/>
      <c r="BD119" s="381"/>
      <c r="BE119" s="381"/>
      <c r="BF119" s="381"/>
      <c r="BG119" s="381"/>
      <c r="BH119" s="381"/>
      <c r="BI119" s="381"/>
      <c r="BJ119" s="381"/>
      <c r="BK119" s="381"/>
      <c r="BL119" s="381"/>
      <c r="BM119" s="381"/>
      <c r="BN119" s="381"/>
      <c r="BO119" s="381"/>
      <c r="BP119" s="381"/>
      <c r="BQ119" s="381"/>
      <c r="BR119" s="381"/>
      <c r="BS119" s="381"/>
      <c r="BT119" s="381"/>
      <c r="BU119" s="381"/>
      <c r="BV119" s="381"/>
      <c r="BW119" s="381"/>
      <c r="BX119" s="381"/>
      <c r="BY119" s="381"/>
      <c r="BZ119" s="381"/>
      <c r="CA119" s="381"/>
      <c r="CB119" s="381"/>
      <c r="CC119" s="381"/>
      <c r="CD119" s="381"/>
      <c r="CE119" s="381"/>
      <c r="CF119" s="381"/>
    </row>
    <row r="120" spans="2:84">
      <c r="B120" s="1132" t="str">
        <f>LnkTXTSigla</f>
        <v>Cerfox</v>
      </c>
      <c r="C120" s="1133" t="str">
        <f>LnkTXTSuprid1</f>
        <v>RGE</v>
      </c>
      <c r="L120" s="564"/>
      <c r="M120" s="547"/>
      <c r="O120" s="9"/>
      <c r="R120" s="381"/>
      <c r="S120" s="381"/>
      <c r="T120" s="381"/>
      <c r="U120" s="381"/>
      <c r="V120" s="381"/>
      <c r="W120" s="381"/>
      <c r="X120" s="381"/>
      <c r="Y120" s="381"/>
      <c r="Z120" s="381"/>
      <c r="AA120" s="381"/>
      <c r="AB120" s="381"/>
      <c r="AC120" s="381"/>
      <c r="AD120" s="381"/>
      <c r="AE120" s="381"/>
      <c r="AF120" s="381"/>
      <c r="AG120" s="381"/>
      <c r="AH120" s="381"/>
      <c r="AI120" s="381"/>
      <c r="AJ120" s="381"/>
      <c r="AK120" s="381"/>
      <c r="AL120" s="381"/>
      <c r="AM120" s="381"/>
      <c r="AN120" s="381"/>
      <c r="AO120" s="381"/>
      <c r="AP120" s="381"/>
      <c r="AQ120" s="381"/>
      <c r="AR120" s="381"/>
      <c r="AS120" s="381"/>
      <c r="AT120" s="381"/>
      <c r="AU120" s="381"/>
      <c r="AV120" s="381"/>
      <c r="AW120" s="381"/>
      <c r="AX120" s="381"/>
      <c r="AY120" s="381"/>
      <c r="AZ120" s="381"/>
      <c r="BA120" s="381"/>
      <c r="BB120" s="381"/>
      <c r="BC120" s="381"/>
      <c r="BD120" s="381"/>
      <c r="BE120" s="381"/>
      <c r="BF120" s="381"/>
      <c r="BG120" s="381"/>
      <c r="BH120" s="381"/>
      <c r="BI120" s="381"/>
      <c r="BJ120" s="381"/>
      <c r="BK120" s="381"/>
      <c r="BL120" s="381"/>
      <c r="BM120" s="381"/>
      <c r="BN120" s="381"/>
      <c r="BO120" s="381"/>
      <c r="BP120" s="381"/>
      <c r="BQ120" s="381"/>
      <c r="BR120" s="381"/>
      <c r="BS120" s="381"/>
      <c r="BT120" s="381"/>
      <c r="BU120" s="381"/>
      <c r="BV120" s="381"/>
      <c r="BW120" s="381"/>
      <c r="BX120" s="381"/>
      <c r="BY120" s="381"/>
      <c r="BZ120" s="381"/>
      <c r="CA120" s="381"/>
      <c r="CB120" s="381"/>
      <c r="CC120" s="381"/>
      <c r="CD120" s="381"/>
      <c r="CE120" s="381"/>
      <c r="CF120" s="381"/>
    </row>
    <row r="121" spans="2:84">
      <c r="L121" s="564"/>
      <c r="M121" s="547"/>
      <c r="O121" s="9"/>
      <c r="R121" s="381"/>
      <c r="S121" s="381"/>
      <c r="T121" s="381"/>
      <c r="U121" s="381"/>
      <c r="V121" s="381"/>
      <c r="W121" s="381"/>
      <c r="X121" s="381"/>
      <c r="Y121" s="381"/>
      <c r="Z121" s="381"/>
      <c r="AA121" s="381"/>
      <c r="AB121" s="381"/>
      <c r="AC121" s="381"/>
      <c r="AD121" s="381"/>
      <c r="AE121" s="381"/>
      <c r="AF121" s="381"/>
      <c r="AG121" s="381"/>
      <c r="AH121" s="381"/>
      <c r="AI121" s="381"/>
      <c r="AJ121" s="381"/>
      <c r="AK121" s="381"/>
      <c r="AL121" s="381"/>
      <c r="AM121" s="381"/>
      <c r="AN121" s="381"/>
      <c r="AO121" s="381"/>
      <c r="AP121" s="381"/>
      <c r="AQ121" s="381"/>
      <c r="AR121" s="381"/>
      <c r="AS121" s="381"/>
      <c r="AT121" s="381"/>
      <c r="AU121" s="381"/>
      <c r="AV121" s="381"/>
      <c r="AW121" s="381"/>
      <c r="AX121" s="381"/>
      <c r="AY121" s="381"/>
      <c r="AZ121" s="381"/>
      <c r="BA121" s="381"/>
      <c r="BB121" s="381"/>
      <c r="BC121" s="381"/>
      <c r="BD121" s="381"/>
      <c r="BE121" s="381"/>
      <c r="BF121" s="381"/>
      <c r="BG121" s="381"/>
      <c r="BH121" s="381"/>
      <c r="BI121" s="381"/>
      <c r="BJ121" s="381"/>
      <c r="BK121" s="381"/>
      <c r="BL121" s="381"/>
      <c r="BM121" s="381"/>
      <c r="BN121" s="381"/>
      <c r="BO121" s="381"/>
      <c r="BP121" s="381"/>
      <c r="BQ121" s="381"/>
      <c r="BR121" s="381"/>
      <c r="BS121" s="381"/>
      <c r="BT121" s="381"/>
      <c r="BU121" s="381"/>
      <c r="BV121" s="381"/>
      <c r="BW121" s="381"/>
      <c r="BX121" s="381"/>
      <c r="BY121" s="381"/>
      <c r="BZ121" s="381"/>
      <c r="CA121" s="381"/>
      <c r="CB121" s="381"/>
      <c r="CC121" s="381"/>
      <c r="CD121" s="381"/>
      <c r="CE121" s="381"/>
      <c r="CF121" s="381"/>
    </row>
    <row r="122" spans="2:84">
      <c r="L122" s="564"/>
      <c r="M122" s="547"/>
      <c r="O122" s="9"/>
      <c r="R122" s="381"/>
      <c r="S122" s="381"/>
      <c r="T122" s="381"/>
      <c r="U122" s="381"/>
      <c r="V122" s="381"/>
      <c r="W122" s="381"/>
      <c r="X122" s="381"/>
      <c r="Y122" s="381"/>
      <c r="Z122" s="381"/>
      <c r="AA122" s="381"/>
      <c r="AB122" s="381"/>
      <c r="AC122" s="381"/>
      <c r="AD122" s="381"/>
      <c r="AE122" s="381"/>
      <c r="AF122" s="381"/>
      <c r="AG122" s="381"/>
      <c r="AH122" s="381"/>
      <c r="AI122" s="381"/>
      <c r="AJ122" s="381"/>
      <c r="AK122" s="381"/>
      <c r="AL122" s="381"/>
      <c r="AM122" s="381"/>
      <c r="AN122" s="381"/>
      <c r="AO122" s="381"/>
      <c r="AP122" s="381"/>
      <c r="AQ122" s="381"/>
      <c r="AR122" s="381"/>
      <c r="AS122" s="381"/>
      <c r="AT122" s="381"/>
      <c r="AU122" s="381"/>
      <c r="AV122" s="381"/>
      <c r="AW122" s="381"/>
      <c r="AX122" s="381"/>
      <c r="AY122" s="381"/>
      <c r="AZ122" s="381"/>
      <c r="BA122" s="381"/>
      <c r="BB122" s="381"/>
      <c r="BC122" s="381"/>
      <c r="BD122" s="381"/>
      <c r="BE122" s="381"/>
      <c r="BF122" s="381"/>
      <c r="BG122" s="381"/>
      <c r="BH122" s="381"/>
      <c r="BI122" s="381"/>
      <c r="BJ122" s="381"/>
      <c r="BK122" s="381"/>
      <c r="BL122" s="381"/>
      <c r="BM122" s="381"/>
      <c r="BN122" s="381"/>
      <c r="BO122" s="381"/>
      <c r="BP122" s="381"/>
      <c r="BQ122" s="381"/>
      <c r="BR122" s="381"/>
      <c r="BS122" s="381"/>
      <c r="BT122" s="381"/>
      <c r="BU122" s="381"/>
      <c r="BV122" s="381"/>
      <c r="BW122" s="381"/>
      <c r="BX122" s="381"/>
      <c r="BY122" s="381"/>
      <c r="BZ122" s="381"/>
      <c r="CA122" s="381"/>
      <c r="CB122" s="381"/>
      <c r="CC122" s="381"/>
      <c r="CD122" s="381"/>
      <c r="CE122" s="381"/>
      <c r="CF122" s="381"/>
    </row>
    <row r="123" spans="2:84">
      <c r="L123" s="564"/>
      <c r="M123" s="547"/>
      <c r="O123" s="9"/>
      <c r="R123" s="381"/>
      <c r="S123" s="381"/>
      <c r="T123" s="381"/>
      <c r="U123" s="381"/>
      <c r="V123" s="381"/>
      <c r="W123" s="381"/>
      <c r="X123" s="381"/>
      <c r="Y123" s="381"/>
      <c r="Z123" s="381"/>
      <c r="AA123" s="381"/>
      <c r="AB123" s="381"/>
      <c r="AC123" s="381"/>
      <c r="AD123" s="381"/>
      <c r="AE123" s="381"/>
      <c r="AF123" s="381"/>
      <c r="AG123" s="381"/>
      <c r="AH123" s="381"/>
      <c r="AI123" s="381"/>
      <c r="AJ123" s="381"/>
      <c r="AK123" s="381"/>
      <c r="AL123" s="381"/>
      <c r="AM123" s="381"/>
      <c r="AN123" s="381"/>
      <c r="AO123" s="381"/>
      <c r="AP123" s="381"/>
      <c r="AQ123" s="381"/>
      <c r="AR123" s="381"/>
      <c r="AS123" s="381"/>
      <c r="AT123" s="381"/>
      <c r="AU123" s="381"/>
      <c r="AV123" s="381"/>
      <c r="AW123" s="381"/>
      <c r="AX123" s="381"/>
      <c r="AY123" s="381"/>
      <c r="AZ123" s="381"/>
      <c r="BA123" s="381"/>
      <c r="BB123" s="381"/>
      <c r="BC123" s="381"/>
      <c r="BD123" s="381"/>
      <c r="BE123" s="381"/>
      <c r="BF123" s="381"/>
      <c r="BG123" s="381"/>
      <c r="BH123" s="381"/>
      <c r="BI123" s="381"/>
      <c r="BJ123" s="381"/>
      <c r="BK123" s="381"/>
      <c r="BL123" s="381"/>
      <c r="BM123" s="381"/>
      <c r="BN123" s="381"/>
      <c r="BO123" s="381"/>
      <c r="BP123" s="381"/>
      <c r="BQ123" s="381"/>
      <c r="BR123" s="381"/>
      <c r="BS123" s="381"/>
      <c r="BT123" s="381"/>
      <c r="BU123" s="381"/>
      <c r="BV123" s="381"/>
      <c r="BW123" s="381"/>
      <c r="BX123" s="381"/>
      <c r="BY123" s="381"/>
      <c r="BZ123" s="381"/>
      <c r="CA123" s="381"/>
      <c r="CB123" s="381"/>
      <c r="CC123" s="381"/>
      <c r="CD123" s="381"/>
      <c r="CE123" s="381"/>
      <c r="CF123" s="381"/>
    </row>
    <row r="124" spans="2:84">
      <c r="L124" s="564"/>
      <c r="M124" s="547"/>
      <c r="O124" s="9"/>
      <c r="R124" s="381"/>
      <c r="S124" s="381"/>
      <c r="T124" s="381"/>
      <c r="U124" s="381"/>
      <c r="V124" s="381"/>
      <c r="W124" s="381"/>
      <c r="X124" s="381"/>
      <c r="Y124" s="381"/>
      <c r="Z124" s="381"/>
      <c r="AA124" s="381"/>
      <c r="AB124" s="381"/>
      <c r="AC124" s="381"/>
      <c r="AD124" s="381"/>
      <c r="AE124" s="381"/>
      <c r="AF124" s="381"/>
      <c r="AG124" s="381"/>
      <c r="AH124" s="381"/>
      <c r="AI124" s="381"/>
      <c r="AJ124" s="381"/>
      <c r="AK124" s="381"/>
      <c r="AL124" s="381"/>
      <c r="AM124" s="381"/>
      <c r="AN124" s="381"/>
      <c r="AO124" s="381"/>
      <c r="AP124" s="381"/>
      <c r="AQ124" s="381"/>
      <c r="AR124" s="381"/>
      <c r="AS124" s="381"/>
      <c r="AT124" s="381"/>
      <c r="AU124" s="381"/>
      <c r="AV124" s="381"/>
      <c r="AW124" s="381"/>
      <c r="AX124" s="381"/>
      <c r="AY124" s="381"/>
      <c r="AZ124" s="381"/>
      <c r="BA124" s="381"/>
      <c r="BB124" s="381"/>
      <c r="BC124" s="381"/>
      <c r="BD124" s="381"/>
      <c r="BE124" s="381"/>
      <c r="BF124" s="381"/>
      <c r="BG124" s="381"/>
      <c r="BH124" s="381"/>
      <c r="BI124" s="381"/>
      <c r="BJ124" s="381"/>
      <c r="BK124" s="381"/>
      <c r="BL124" s="381"/>
      <c r="BM124" s="381"/>
      <c r="BN124" s="381"/>
      <c r="BO124" s="381"/>
      <c r="BP124" s="381"/>
      <c r="BQ124" s="381"/>
      <c r="BR124" s="381"/>
      <c r="BS124" s="381"/>
      <c r="BT124" s="381"/>
      <c r="BU124" s="381"/>
      <c r="BV124" s="381"/>
      <c r="BW124" s="381"/>
      <c r="BX124" s="381"/>
      <c r="BY124" s="381"/>
      <c r="BZ124" s="381"/>
      <c r="CA124" s="381"/>
      <c r="CB124" s="381"/>
      <c r="CC124" s="381"/>
      <c r="CD124" s="381"/>
      <c r="CE124" s="381"/>
      <c r="CF124" s="381"/>
    </row>
    <row r="125" spans="2:84">
      <c r="L125" s="564"/>
      <c r="M125" s="547"/>
      <c r="O125" s="9"/>
      <c r="Q125" s="235"/>
      <c r="R125" s="381"/>
      <c r="S125" s="381"/>
      <c r="T125" s="381"/>
      <c r="U125" s="381"/>
      <c r="V125" s="381"/>
      <c r="W125" s="381"/>
      <c r="X125" s="381"/>
      <c r="Y125" s="381"/>
      <c r="Z125" s="381"/>
      <c r="AA125" s="381"/>
      <c r="AB125" s="381"/>
      <c r="AC125" s="381"/>
      <c r="AD125" s="381"/>
      <c r="AE125" s="381"/>
      <c r="AF125" s="381"/>
      <c r="AG125" s="381"/>
      <c r="AH125" s="381"/>
      <c r="AI125" s="381"/>
      <c r="AJ125" s="381"/>
      <c r="AK125" s="381"/>
      <c r="AL125" s="381"/>
      <c r="AM125" s="381"/>
      <c r="AN125" s="381"/>
      <c r="AO125" s="381"/>
      <c r="AP125" s="381"/>
      <c r="AQ125" s="381"/>
      <c r="AR125" s="381"/>
      <c r="AS125" s="381"/>
      <c r="AT125" s="381"/>
      <c r="AU125" s="381"/>
      <c r="AV125" s="381"/>
      <c r="AW125" s="381"/>
      <c r="AX125" s="381"/>
      <c r="AY125" s="381"/>
      <c r="AZ125" s="381"/>
      <c r="BA125" s="381"/>
      <c r="BB125" s="381"/>
      <c r="BC125" s="381"/>
      <c r="BD125" s="381"/>
      <c r="BE125" s="381"/>
      <c r="BF125" s="381"/>
      <c r="BG125" s="381"/>
      <c r="BH125" s="381"/>
      <c r="BI125" s="381"/>
      <c r="BJ125" s="381"/>
      <c r="BK125" s="381"/>
      <c r="BL125" s="381"/>
      <c r="BM125" s="381"/>
      <c r="BN125" s="381"/>
      <c r="BO125" s="381"/>
      <c r="BP125" s="381"/>
      <c r="BQ125" s="381"/>
      <c r="BR125" s="381"/>
      <c r="BS125" s="381"/>
      <c r="BT125" s="381"/>
      <c r="BU125" s="381"/>
      <c r="BV125" s="381"/>
      <c r="BW125" s="381"/>
      <c r="BX125" s="381"/>
      <c r="BY125" s="381"/>
      <c r="BZ125" s="381"/>
      <c r="CA125" s="381"/>
      <c r="CB125" s="381"/>
      <c r="CC125" s="381"/>
      <c r="CD125" s="381"/>
      <c r="CE125" s="381"/>
      <c r="CF125" s="381"/>
    </row>
    <row r="126" spans="2:84">
      <c r="L126" s="564"/>
      <c r="M126" s="547"/>
      <c r="O126" s="9"/>
      <c r="Q126" s="235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381"/>
      <c r="AE126" s="381"/>
      <c r="AF126" s="381"/>
      <c r="AG126" s="381"/>
      <c r="AH126" s="381"/>
      <c r="AI126" s="381"/>
      <c r="AJ126" s="381"/>
      <c r="AK126" s="381"/>
      <c r="AL126" s="381"/>
      <c r="AM126" s="381"/>
      <c r="AN126" s="381"/>
      <c r="AO126" s="381"/>
      <c r="AP126" s="381"/>
      <c r="AQ126" s="381"/>
      <c r="AR126" s="381"/>
      <c r="AS126" s="381"/>
      <c r="AT126" s="381"/>
      <c r="AU126" s="381"/>
      <c r="AV126" s="381"/>
      <c r="AW126" s="381"/>
      <c r="AX126" s="381"/>
      <c r="AY126" s="381"/>
      <c r="AZ126" s="381"/>
      <c r="BA126" s="381"/>
      <c r="BB126" s="381"/>
      <c r="BC126" s="381"/>
      <c r="BD126" s="381"/>
      <c r="BE126" s="381"/>
      <c r="BF126" s="381"/>
      <c r="BG126" s="381"/>
      <c r="BH126" s="381"/>
      <c r="BI126" s="381"/>
      <c r="BJ126" s="381"/>
      <c r="BK126" s="381"/>
      <c r="BL126" s="381"/>
      <c r="BM126" s="381"/>
      <c r="BN126" s="381"/>
      <c r="BO126" s="381"/>
      <c r="BP126" s="381"/>
      <c r="BQ126" s="381"/>
      <c r="BR126" s="381"/>
      <c r="BS126" s="381"/>
      <c r="BT126" s="381"/>
      <c r="BU126" s="381"/>
      <c r="BV126" s="381"/>
      <c r="BW126" s="381"/>
      <c r="BX126" s="381"/>
      <c r="BY126" s="381"/>
      <c r="BZ126" s="381"/>
      <c r="CA126" s="381"/>
      <c r="CB126" s="381"/>
      <c r="CC126" s="381"/>
      <c r="CD126" s="381"/>
      <c r="CE126" s="381"/>
      <c r="CF126" s="381"/>
    </row>
    <row r="127" spans="2:84" ht="16.5" customHeight="1">
      <c r="L127" s="564"/>
      <c r="M127" s="547"/>
      <c r="O127" s="9"/>
      <c r="Q127" s="235"/>
      <c r="R127" s="381"/>
      <c r="S127" s="381"/>
      <c r="T127" s="381"/>
      <c r="U127" s="381"/>
      <c r="V127" s="381"/>
      <c r="W127" s="381"/>
      <c r="X127" s="381"/>
      <c r="Y127" s="381"/>
      <c r="Z127" s="381"/>
      <c r="AA127" s="381"/>
      <c r="AB127" s="381"/>
      <c r="AC127" s="381"/>
      <c r="AD127" s="381"/>
      <c r="AE127" s="381"/>
      <c r="AF127" s="381"/>
      <c r="AG127" s="381"/>
      <c r="AH127" s="381"/>
      <c r="AI127" s="381"/>
      <c r="AJ127" s="381"/>
      <c r="AK127" s="381"/>
      <c r="AL127" s="381"/>
      <c r="AM127" s="381"/>
      <c r="AN127" s="381"/>
      <c r="AO127" s="381"/>
      <c r="AP127" s="381"/>
      <c r="AQ127" s="381"/>
      <c r="AR127" s="381"/>
      <c r="AS127" s="381"/>
      <c r="AT127" s="381"/>
      <c r="AU127" s="381"/>
      <c r="AV127" s="381"/>
      <c r="AW127" s="381"/>
      <c r="AX127" s="381"/>
      <c r="AY127" s="381"/>
      <c r="AZ127" s="381"/>
      <c r="BA127" s="381"/>
      <c r="BB127" s="381"/>
      <c r="BC127" s="381"/>
      <c r="BD127" s="381"/>
      <c r="BE127" s="381"/>
      <c r="BF127" s="381"/>
      <c r="BG127" s="381"/>
      <c r="BH127" s="381"/>
      <c r="BI127" s="381"/>
      <c r="BJ127" s="381"/>
      <c r="BK127" s="381"/>
      <c r="BL127" s="381"/>
      <c r="BM127" s="381"/>
      <c r="BN127" s="381"/>
      <c r="BO127" s="381"/>
      <c r="BP127" s="381"/>
      <c r="BQ127" s="381"/>
      <c r="BR127" s="381"/>
      <c r="BS127" s="381"/>
      <c r="BT127" s="381"/>
      <c r="BU127" s="381"/>
      <c r="BV127" s="381"/>
      <c r="BW127" s="381"/>
      <c r="BX127" s="381"/>
      <c r="BY127" s="381"/>
      <c r="BZ127" s="381"/>
      <c r="CA127" s="381"/>
      <c r="CB127" s="381"/>
      <c r="CC127" s="381"/>
      <c r="CD127" s="381"/>
      <c r="CE127" s="381"/>
      <c r="CF127" s="381"/>
    </row>
    <row r="128" spans="2:84">
      <c r="L128" s="564"/>
      <c r="M128" s="547"/>
      <c r="O128" s="9"/>
      <c r="Q128" s="235"/>
      <c r="R128" s="381"/>
      <c r="S128" s="381"/>
      <c r="T128" s="381"/>
      <c r="U128" s="381"/>
      <c r="V128" s="381"/>
      <c r="W128" s="381"/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/>
      <c r="AL128" s="381"/>
      <c r="AM128" s="381"/>
      <c r="AN128" s="381"/>
      <c r="AO128" s="381"/>
      <c r="AP128" s="381"/>
      <c r="AQ128" s="381"/>
      <c r="AR128" s="381"/>
      <c r="AS128" s="381"/>
      <c r="AT128" s="381"/>
      <c r="AU128" s="381"/>
      <c r="AV128" s="381"/>
      <c r="AW128" s="381"/>
      <c r="AX128" s="381"/>
      <c r="AY128" s="381"/>
      <c r="AZ128" s="381"/>
      <c r="BA128" s="381"/>
      <c r="BB128" s="381"/>
      <c r="BC128" s="381"/>
      <c r="BD128" s="381"/>
      <c r="BE128" s="381"/>
      <c r="BF128" s="381"/>
      <c r="BG128" s="381"/>
      <c r="BH128" s="381"/>
      <c r="BI128" s="381"/>
      <c r="BJ128" s="381"/>
      <c r="BK128" s="381"/>
      <c r="BL128" s="381"/>
      <c r="BM128" s="381"/>
      <c r="BN128" s="381"/>
      <c r="BO128" s="381"/>
      <c r="BP128" s="381"/>
      <c r="BQ128" s="381"/>
      <c r="BR128" s="381"/>
      <c r="BS128" s="381"/>
      <c r="BT128" s="381"/>
      <c r="BU128" s="381"/>
      <c r="BV128" s="381"/>
      <c r="BW128" s="381"/>
      <c r="BX128" s="381"/>
      <c r="BY128" s="381"/>
      <c r="BZ128" s="381"/>
      <c r="CA128" s="381"/>
      <c r="CB128" s="381"/>
      <c r="CC128" s="381"/>
      <c r="CD128" s="381"/>
      <c r="CE128" s="381"/>
      <c r="CF128" s="381"/>
    </row>
    <row r="129" spans="13:84">
      <c r="M129" s="547"/>
      <c r="O129" s="9"/>
      <c r="Q129" s="235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381"/>
      <c r="AE129" s="381"/>
      <c r="AF129" s="381"/>
      <c r="AG129" s="381"/>
      <c r="AH129" s="381"/>
      <c r="AI129" s="381"/>
      <c r="AJ129" s="381"/>
      <c r="AK129" s="381"/>
      <c r="AL129" s="381"/>
      <c r="AM129" s="381"/>
      <c r="AN129" s="381"/>
      <c r="AO129" s="381"/>
      <c r="AP129" s="381"/>
      <c r="AQ129" s="381"/>
      <c r="AR129" s="381"/>
      <c r="AS129" s="381"/>
      <c r="AT129" s="381"/>
      <c r="AU129" s="381"/>
      <c r="AV129" s="381"/>
      <c r="AW129" s="381"/>
      <c r="AX129" s="381"/>
      <c r="AY129" s="381"/>
      <c r="AZ129" s="381"/>
      <c r="BA129" s="381"/>
      <c r="BB129" s="381"/>
      <c r="BC129" s="381"/>
      <c r="BD129" s="381"/>
      <c r="BE129" s="381"/>
      <c r="BF129" s="381"/>
      <c r="BG129" s="381"/>
      <c r="BH129" s="381"/>
      <c r="BI129" s="381"/>
      <c r="BJ129" s="381"/>
      <c r="BK129" s="381"/>
      <c r="BL129" s="381"/>
      <c r="BM129" s="381"/>
      <c r="BN129" s="381"/>
      <c r="BO129" s="381"/>
      <c r="BP129" s="381"/>
      <c r="BQ129" s="381"/>
      <c r="BR129" s="381"/>
      <c r="BS129" s="381"/>
      <c r="BT129" s="381"/>
      <c r="BU129" s="381"/>
      <c r="BV129" s="381"/>
      <c r="BW129" s="381"/>
      <c r="BX129" s="381"/>
      <c r="BY129" s="381"/>
      <c r="BZ129" s="381"/>
      <c r="CA129" s="381"/>
      <c r="CB129" s="381"/>
      <c r="CC129" s="381"/>
      <c r="CD129" s="381"/>
      <c r="CE129" s="381"/>
      <c r="CF129" s="381"/>
    </row>
    <row r="130" spans="13:84">
      <c r="M130" s="547"/>
      <c r="O130" s="9"/>
      <c r="Q130" s="235"/>
      <c r="R130" s="381"/>
      <c r="S130" s="381"/>
      <c r="T130" s="381"/>
      <c r="U130" s="381"/>
      <c r="V130" s="381"/>
      <c r="W130" s="381"/>
      <c r="X130" s="381"/>
      <c r="Y130" s="381"/>
      <c r="Z130" s="381"/>
      <c r="AA130" s="381"/>
      <c r="AB130" s="381"/>
      <c r="AC130" s="381"/>
      <c r="AD130" s="381"/>
      <c r="AE130" s="381"/>
      <c r="AF130" s="381"/>
      <c r="AG130" s="381"/>
      <c r="AH130" s="381"/>
      <c r="AI130" s="381"/>
      <c r="AJ130" s="381"/>
      <c r="AK130" s="381"/>
      <c r="AL130" s="381"/>
      <c r="AM130" s="381"/>
      <c r="AN130" s="381"/>
      <c r="AO130" s="381"/>
      <c r="AP130" s="381"/>
      <c r="AQ130" s="381"/>
      <c r="AR130" s="381"/>
      <c r="AS130" s="381"/>
      <c r="AT130" s="381"/>
      <c r="AU130" s="381"/>
      <c r="AV130" s="381"/>
      <c r="AW130" s="381"/>
      <c r="AX130" s="381"/>
      <c r="AY130" s="381"/>
      <c r="AZ130" s="381"/>
      <c r="BA130" s="381"/>
      <c r="BB130" s="381"/>
      <c r="BC130" s="381"/>
      <c r="BD130" s="381"/>
      <c r="BE130" s="381"/>
      <c r="BF130" s="381"/>
      <c r="BG130" s="381"/>
      <c r="BH130" s="381"/>
      <c r="BI130" s="381"/>
      <c r="BJ130" s="381"/>
      <c r="BK130" s="381"/>
      <c r="BL130" s="381"/>
      <c r="BM130" s="381"/>
      <c r="BN130" s="381"/>
      <c r="BO130" s="381"/>
      <c r="BP130" s="381"/>
      <c r="BQ130" s="381"/>
      <c r="BR130" s="381"/>
      <c r="BS130" s="381"/>
      <c r="BT130" s="381"/>
      <c r="BU130" s="381"/>
      <c r="BV130" s="381"/>
      <c r="BW130" s="381"/>
      <c r="BX130" s="381"/>
      <c r="BY130" s="381"/>
      <c r="BZ130" s="381"/>
      <c r="CA130" s="381"/>
      <c r="CB130" s="381"/>
      <c r="CC130" s="381"/>
      <c r="CD130" s="381"/>
      <c r="CE130" s="381"/>
      <c r="CF130" s="381"/>
    </row>
    <row r="131" spans="13:84">
      <c r="M131" s="547"/>
      <c r="O131" s="9"/>
      <c r="Q131" s="235"/>
      <c r="R131" s="381"/>
      <c r="S131" s="381"/>
      <c r="T131" s="381"/>
      <c r="U131" s="381"/>
      <c r="V131" s="381"/>
      <c r="W131" s="381"/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1"/>
      <c r="AR131" s="381"/>
      <c r="AS131" s="381"/>
      <c r="AT131" s="381"/>
      <c r="AU131" s="381"/>
      <c r="AV131" s="381"/>
      <c r="AW131" s="381"/>
      <c r="AX131" s="381"/>
      <c r="AY131" s="381"/>
      <c r="AZ131" s="381"/>
      <c r="BA131" s="381"/>
      <c r="BB131" s="381"/>
      <c r="BC131" s="381"/>
      <c r="BD131" s="381"/>
      <c r="BE131" s="381"/>
      <c r="BF131" s="381"/>
      <c r="BG131" s="381"/>
      <c r="BH131" s="381"/>
      <c r="BI131" s="381"/>
      <c r="BJ131" s="381"/>
      <c r="BK131" s="381"/>
      <c r="BL131" s="381"/>
      <c r="BM131" s="381"/>
      <c r="BN131" s="381"/>
      <c r="BO131" s="381"/>
      <c r="BP131" s="381"/>
      <c r="BQ131" s="381"/>
      <c r="BR131" s="381"/>
      <c r="BS131" s="381"/>
      <c r="BT131" s="381"/>
      <c r="BU131" s="381"/>
      <c r="BV131" s="381"/>
      <c r="BW131" s="381"/>
      <c r="BX131" s="381"/>
      <c r="BY131" s="381"/>
      <c r="BZ131" s="381"/>
      <c r="CA131" s="381"/>
      <c r="CB131" s="381"/>
      <c r="CC131" s="381"/>
      <c r="CD131" s="381"/>
      <c r="CE131" s="381"/>
      <c r="CF131" s="381"/>
    </row>
    <row r="132" spans="13:84">
      <c r="M132" s="547"/>
      <c r="O132" s="9"/>
      <c r="Q132" s="235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381"/>
      <c r="AE132" s="381"/>
      <c r="AF132" s="381"/>
      <c r="AG132" s="381"/>
      <c r="AH132" s="381"/>
      <c r="AI132" s="381"/>
      <c r="AJ132" s="381"/>
      <c r="AK132" s="381"/>
      <c r="AL132" s="381"/>
      <c r="AM132" s="381"/>
      <c r="AN132" s="381"/>
      <c r="AO132" s="381"/>
      <c r="AP132" s="381"/>
      <c r="AQ132" s="381"/>
      <c r="AR132" s="381"/>
      <c r="AS132" s="381"/>
      <c r="AT132" s="381"/>
      <c r="AU132" s="381"/>
      <c r="AV132" s="381"/>
      <c r="AW132" s="381"/>
      <c r="AX132" s="381"/>
      <c r="AY132" s="381"/>
      <c r="AZ132" s="381"/>
      <c r="BA132" s="381"/>
      <c r="BB132" s="381"/>
      <c r="BC132" s="381"/>
      <c r="BD132" s="381"/>
      <c r="BE132" s="381"/>
      <c r="BF132" s="381"/>
      <c r="BG132" s="381"/>
      <c r="BH132" s="381"/>
      <c r="BI132" s="381"/>
      <c r="BJ132" s="381"/>
      <c r="BK132" s="381"/>
      <c r="BL132" s="381"/>
      <c r="BM132" s="381"/>
      <c r="BN132" s="381"/>
      <c r="BO132" s="381"/>
      <c r="BP132" s="381"/>
      <c r="BQ132" s="381"/>
      <c r="BR132" s="381"/>
      <c r="BS132" s="381"/>
      <c r="BT132" s="381"/>
      <c r="BU132" s="381"/>
      <c r="BV132" s="381"/>
      <c r="BW132" s="381"/>
      <c r="BX132" s="381"/>
      <c r="BY132" s="381"/>
      <c r="BZ132" s="381"/>
      <c r="CA132" s="381"/>
      <c r="CB132" s="381"/>
      <c r="CC132" s="381"/>
      <c r="CD132" s="381"/>
      <c r="CE132" s="381"/>
      <c r="CF132" s="381"/>
    </row>
    <row r="133" spans="13:84">
      <c r="M133" s="547"/>
      <c r="O133" s="9"/>
      <c r="Q133" s="235"/>
      <c r="R133" s="381"/>
      <c r="S133" s="381"/>
      <c r="T133" s="381"/>
      <c r="U133" s="381"/>
      <c r="V133" s="381"/>
      <c r="W133" s="381"/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1"/>
      <c r="AR133" s="381"/>
      <c r="AS133" s="381"/>
      <c r="AT133" s="381"/>
      <c r="AU133" s="381"/>
      <c r="AV133" s="381"/>
      <c r="AW133" s="381"/>
      <c r="AX133" s="381"/>
      <c r="AY133" s="381"/>
      <c r="AZ133" s="381"/>
      <c r="BA133" s="381"/>
      <c r="BB133" s="381"/>
      <c r="BC133" s="381"/>
      <c r="BD133" s="381"/>
      <c r="BE133" s="381"/>
      <c r="BF133" s="381"/>
      <c r="BG133" s="381"/>
      <c r="BH133" s="381"/>
      <c r="BI133" s="381"/>
      <c r="BJ133" s="381"/>
      <c r="BK133" s="381"/>
      <c r="BL133" s="381"/>
      <c r="BM133" s="381"/>
      <c r="BN133" s="381"/>
      <c r="BO133" s="381"/>
      <c r="BP133" s="381"/>
      <c r="BQ133" s="381"/>
      <c r="BR133" s="381"/>
      <c r="BS133" s="381"/>
      <c r="BT133" s="381"/>
      <c r="BU133" s="381"/>
      <c r="BV133" s="381"/>
      <c r="BW133" s="381"/>
      <c r="BX133" s="381"/>
      <c r="BY133" s="381"/>
      <c r="BZ133" s="381"/>
      <c r="CA133" s="381"/>
      <c r="CB133" s="381"/>
      <c r="CC133" s="381"/>
      <c r="CD133" s="381"/>
      <c r="CE133" s="381"/>
      <c r="CF133" s="381"/>
    </row>
    <row r="134" spans="13:84">
      <c r="M134" s="547"/>
      <c r="O134" s="9"/>
      <c r="Q134" s="235"/>
      <c r="R134" s="381"/>
      <c r="S134" s="381"/>
      <c r="T134" s="381"/>
      <c r="U134" s="381"/>
      <c r="V134" s="381"/>
      <c r="W134" s="381"/>
      <c r="X134" s="381"/>
      <c r="Y134" s="381"/>
      <c r="Z134" s="381"/>
      <c r="AA134" s="381"/>
      <c r="AB134" s="381"/>
      <c r="AC134" s="381"/>
      <c r="AD134" s="381"/>
      <c r="AE134" s="381"/>
      <c r="AF134" s="381"/>
      <c r="AG134" s="381"/>
      <c r="AH134" s="381"/>
      <c r="AI134" s="381"/>
      <c r="AJ134" s="381"/>
      <c r="AK134" s="381"/>
      <c r="AL134" s="381"/>
      <c r="AM134" s="381"/>
      <c r="AN134" s="381"/>
      <c r="AO134" s="381"/>
      <c r="AP134" s="381"/>
      <c r="AQ134" s="381"/>
      <c r="AR134" s="381"/>
      <c r="AS134" s="381"/>
      <c r="AT134" s="381"/>
      <c r="AU134" s="381"/>
      <c r="AV134" s="381"/>
      <c r="AW134" s="381"/>
      <c r="AX134" s="381"/>
      <c r="AY134" s="381"/>
      <c r="AZ134" s="381"/>
      <c r="BA134" s="381"/>
      <c r="BB134" s="381"/>
      <c r="BC134" s="381"/>
      <c r="BD134" s="381"/>
      <c r="BE134" s="381"/>
      <c r="BF134" s="381"/>
      <c r="BG134" s="381"/>
      <c r="BH134" s="381"/>
      <c r="BI134" s="381"/>
      <c r="BJ134" s="381"/>
      <c r="BK134" s="381"/>
      <c r="BL134" s="381"/>
      <c r="BM134" s="381"/>
      <c r="BN134" s="381"/>
      <c r="BO134" s="381"/>
      <c r="BP134" s="381"/>
      <c r="BQ134" s="381"/>
      <c r="BR134" s="381"/>
      <c r="BS134" s="381"/>
      <c r="BT134" s="381"/>
      <c r="BU134" s="381"/>
      <c r="BV134" s="381"/>
      <c r="BW134" s="381"/>
      <c r="BX134" s="381"/>
      <c r="BY134" s="381"/>
      <c r="BZ134" s="381"/>
      <c r="CA134" s="381"/>
      <c r="CB134" s="381"/>
      <c r="CC134" s="381"/>
      <c r="CD134" s="381"/>
      <c r="CE134" s="381"/>
      <c r="CF134" s="381"/>
    </row>
    <row r="135" spans="13:84">
      <c r="M135" s="547"/>
      <c r="O135" s="9"/>
      <c r="Q135" s="235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381"/>
      <c r="AE135" s="381"/>
      <c r="AF135" s="381"/>
      <c r="AG135" s="381"/>
      <c r="AH135" s="381"/>
      <c r="AI135" s="381"/>
      <c r="AJ135" s="381"/>
      <c r="AK135" s="381"/>
      <c r="AL135" s="381"/>
      <c r="AM135" s="381"/>
      <c r="AN135" s="381"/>
      <c r="AO135" s="381"/>
      <c r="AP135" s="381"/>
      <c r="AQ135" s="381"/>
      <c r="AR135" s="381"/>
      <c r="AS135" s="381"/>
      <c r="AT135" s="381"/>
      <c r="AU135" s="381"/>
      <c r="AV135" s="381"/>
      <c r="AW135" s="381"/>
      <c r="AX135" s="381"/>
      <c r="AY135" s="381"/>
      <c r="AZ135" s="381"/>
      <c r="BA135" s="381"/>
      <c r="BB135" s="381"/>
      <c r="BC135" s="381"/>
      <c r="BD135" s="381"/>
      <c r="BE135" s="381"/>
      <c r="BF135" s="381"/>
      <c r="BG135" s="381"/>
      <c r="BH135" s="381"/>
      <c r="BI135" s="381"/>
      <c r="BJ135" s="381"/>
      <c r="BK135" s="381"/>
      <c r="BL135" s="381"/>
      <c r="BM135" s="381"/>
      <c r="BN135" s="381"/>
      <c r="BO135" s="381"/>
      <c r="BP135" s="381"/>
      <c r="BQ135" s="381"/>
      <c r="BR135" s="381"/>
      <c r="BS135" s="381"/>
      <c r="BT135" s="381"/>
      <c r="BU135" s="381"/>
      <c r="BV135" s="381"/>
      <c r="BW135" s="381"/>
      <c r="BX135" s="381"/>
      <c r="BY135" s="381"/>
      <c r="BZ135" s="381"/>
      <c r="CA135" s="381"/>
      <c r="CB135" s="381"/>
      <c r="CC135" s="381"/>
      <c r="CD135" s="381"/>
      <c r="CE135" s="381"/>
      <c r="CF135" s="381"/>
    </row>
    <row r="136" spans="13:84" ht="16.5" customHeight="1">
      <c r="M136" s="547"/>
      <c r="O136" s="9"/>
      <c r="Q136" s="235"/>
      <c r="R136" s="381"/>
      <c r="S136" s="381"/>
      <c r="T136" s="381"/>
      <c r="U136" s="381"/>
      <c r="V136" s="381"/>
      <c r="W136" s="381"/>
      <c r="X136" s="381"/>
      <c r="Y136" s="381"/>
      <c r="Z136" s="381"/>
      <c r="AA136" s="381"/>
      <c r="AB136" s="381"/>
      <c r="AC136" s="381"/>
      <c r="AD136" s="381"/>
      <c r="AE136" s="381"/>
      <c r="AF136" s="381"/>
      <c r="AG136" s="381"/>
      <c r="AH136" s="381"/>
      <c r="AI136" s="381"/>
      <c r="AJ136" s="381"/>
      <c r="AK136" s="381"/>
      <c r="AL136" s="381"/>
      <c r="AM136" s="381"/>
      <c r="AN136" s="381"/>
      <c r="AO136" s="381"/>
      <c r="AP136" s="381"/>
      <c r="AQ136" s="381"/>
      <c r="AR136" s="381"/>
      <c r="AS136" s="381"/>
      <c r="AT136" s="381"/>
      <c r="AU136" s="381"/>
      <c r="AV136" s="381"/>
      <c r="AW136" s="381"/>
      <c r="AX136" s="381"/>
      <c r="AY136" s="381"/>
      <c r="AZ136" s="381"/>
      <c r="BA136" s="381"/>
      <c r="BB136" s="381"/>
      <c r="BC136" s="381"/>
      <c r="BD136" s="381"/>
      <c r="BE136" s="381"/>
      <c r="BF136" s="381"/>
      <c r="BG136" s="381"/>
      <c r="BH136" s="381"/>
      <c r="BI136" s="381"/>
      <c r="BJ136" s="381"/>
      <c r="BK136" s="381"/>
      <c r="BL136" s="381"/>
      <c r="BM136" s="381"/>
      <c r="BN136" s="381"/>
      <c r="BO136" s="381"/>
      <c r="BP136" s="381"/>
      <c r="BQ136" s="381"/>
      <c r="BR136" s="381"/>
      <c r="BS136" s="381"/>
      <c r="BT136" s="381"/>
      <c r="BU136" s="381"/>
      <c r="BV136" s="381"/>
      <c r="BW136" s="381"/>
      <c r="BX136" s="381"/>
      <c r="BY136" s="381"/>
      <c r="BZ136" s="381"/>
      <c r="CA136" s="381"/>
      <c r="CB136" s="381"/>
      <c r="CC136" s="381"/>
      <c r="CD136" s="381"/>
      <c r="CE136" s="381"/>
      <c r="CF136" s="381"/>
    </row>
    <row r="137" spans="13:84">
      <c r="M137" s="547"/>
      <c r="O137" s="9"/>
      <c r="Q137" s="235"/>
      <c r="R137" s="381"/>
      <c r="S137" s="381"/>
      <c r="T137" s="381"/>
      <c r="U137" s="381"/>
      <c r="V137" s="381"/>
      <c r="W137" s="381"/>
      <c r="X137" s="381"/>
      <c r="Y137" s="381"/>
      <c r="Z137" s="381"/>
      <c r="AA137" s="381"/>
      <c r="AB137" s="381"/>
      <c r="AC137" s="381"/>
      <c r="AD137" s="381"/>
      <c r="AE137" s="381"/>
      <c r="AF137" s="381"/>
      <c r="AG137" s="381"/>
      <c r="AH137" s="381"/>
      <c r="AI137" s="381"/>
      <c r="AJ137" s="381"/>
      <c r="AK137" s="381"/>
      <c r="AL137" s="381"/>
      <c r="AM137" s="381"/>
      <c r="AN137" s="381"/>
      <c r="AO137" s="381"/>
      <c r="AP137" s="381"/>
      <c r="AQ137" s="381"/>
      <c r="AR137" s="381"/>
      <c r="AS137" s="381"/>
      <c r="AT137" s="381"/>
      <c r="AU137" s="381"/>
      <c r="AV137" s="381"/>
      <c r="AW137" s="381"/>
      <c r="AX137" s="381"/>
      <c r="AY137" s="381"/>
      <c r="AZ137" s="381"/>
      <c r="BA137" s="381"/>
      <c r="BB137" s="381"/>
      <c r="BC137" s="381"/>
      <c r="BD137" s="381"/>
      <c r="BE137" s="381"/>
      <c r="BF137" s="381"/>
      <c r="BG137" s="381"/>
      <c r="BH137" s="381"/>
      <c r="BI137" s="381"/>
      <c r="BJ137" s="381"/>
      <c r="BK137" s="381"/>
      <c r="BL137" s="381"/>
      <c r="BM137" s="381"/>
      <c r="BN137" s="381"/>
      <c r="BO137" s="381"/>
      <c r="BP137" s="381"/>
      <c r="BQ137" s="381"/>
      <c r="BR137" s="381"/>
      <c r="BS137" s="381"/>
      <c r="BT137" s="381"/>
      <c r="BU137" s="381"/>
      <c r="BV137" s="381"/>
      <c r="BW137" s="381"/>
      <c r="BX137" s="381"/>
      <c r="BY137" s="381"/>
      <c r="BZ137" s="381"/>
      <c r="CA137" s="381"/>
      <c r="CB137" s="381"/>
      <c r="CC137" s="381"/>
      <c r="CD137" s="381"/>
      <c r="CE137" s="381"/>
      <c r="CF137" s="381"/>
    </row>
    <row r="138" spans="13:84">
      <c r="M138" s="547"/>
      <c r="O138" s="9"/>
      <c r="Q138" s="235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381"/>
      <c r="AE138" s="381"/>
      <c r="AF138" s="381"/>
      <c r="AG138" s="381"/>
      <c r="AH138" s="381"/>
      <c r="AI138" s="381"/>
      <c r="AJ138" s="381"/>
      <c r="AK138" s="381"/>
      <c r="AL138" s="381"/>
      <c r="AM138" s="381"/>
      <c r="AN138" s="381"/>
      <c r="AO138" s="381"/>
      <c r="AP138" s="381"/>
      <c r="AQ138" s="381"/>
      <c r="AR138" s="381"/>
      <c r="AS138" s="381"/>
      <c r="AT138" s="381"/>
      <c r="AU138" s="381"/>
      <c r="AV138" s="381"/>
      <c r="AW138" s="381"/>
      <c r="AX138" s="381"/>
      <c r="AY138" s="381"/>
      <c r="AZ138" s="381"/>
      <c r="BA138" s="381"/>
      <c r="BB138" s="381"/>
      <c r="BC138" s="381"/>
      <c r="BD138" s="381"/>
      <c r="BE138" s="381"/>
      <c r="BF138" s="381"/>
      <c r="BG138" s="381"/>
      <c r="BH138" s="381"/>
      <c r="BI138" s="381"/>
      <c r="BJ138" s="381"/>
      <c r="BK138" s="381"/>
      <c r="BL138" s="381"/>
      <c r="BM138" s="381"/>
      <c r="BN138" s="381"/>
      <c r="BO138" s="381"/>
      <c r="BP138" s="381"/>
      <c r="BQ138" s="381"/>
      <c r="BR138" s="381"/>
      <c r="BS138" s="381"/>
      <c r="BT138" s="381"/>
      <c r="BU138" s="381"/>
      <c r="BV138" s="381"/>
      <c r="BW138" s="381"/>
      <c r="BX138" s="381"/>
      <c r="BY138" s="381"/>
      <c r="BZ138" s="381"/>
      <c r="CA138" s="381"/>
      <c r="CB138" s="381"/>
      <c r="CC138" s="381"/>
      <c r="CD138" s="381"/>
      <c r="CE138" s="381"/>
      <c r="CF138" s="381"/>
    </row>
    <row r="139" spans="13:84">
      <c r="M139" s="547"/>
      <c r="O139" s="9"/>
      <c r="Q139" s="235"/>
      <c r="R139" s="381"/>
      <c r="S139" s="381"/>
      <c r="T139" s="381"/>
      <c r="U139" s="381"/>
      <c r="V139" s="381"/>
      <c r="W139" s="381"/>
      <c r="X139" s="381"/>
      <c r="Y139" s="381"/>
      <c r="Z139" s="381"/>
      <c r="AA139" s="381"/>
      <c r="AB139" s="381"/>
      <c r="AC139" s="381"/>
      <c r="AD139" s="381"/>
      <c r="AE139" s="381"/>
      <c r="AF139" s="381"/>
      <c r="AG139" s="381"/>
      <c r="AH139" s="381"/>
      <c r="AI139" s="381"/>
      <c r="AJ139" s="381"/>
      <c r="AK139" s="381"/>
      <c r="AL139" s="381"/>
      <c r="AM139" s="381"/>
      <c r="AN139" s="381"/>
      <c r="AO139" s="381"/>
      <c r="AP139" s="381"/>
      <c r="AQ139" s="381"/>
      <c r="AR139" s="381"/>
      <c r="AS139" s="381"/>
      <c r="AT139" s="381"/>
      <c r="AU139" s="381"/>
      <c r="AV139" s="381"/>
      <c r="AW139" s="381"/>
      <c r="AX139" s="381"/>
      <c r="AY139" s="381"/>
      <c r="AZ139" s="381"/>
      <c r="BA139" s="381"/>
      <c r="BB139" s="381"/>
      <c r="BC139" s="381"/>
      <c r="BD139" s="381"/>
      <c r="BE139" s="381"/>
      <c r="BF139" s="381"/>
      <c r="BG139" s="381"/>
      <c r="BH139" s="381"/>
      <c r="BI139" s="381"/>
      <c r="BJ139" s="381"/>
      <c r="BK139" s="381"/>
      <c r="BL139" s="381"/>
      <c r="BM139" s="381"/>
      <c r="BN139" s="381"/>
      <c r="BO139" s="381"/>
      <c r="BP139" s="381"/>
      <c r="BQ139" s="381"/>
      <c r="BR139" s="381"/>
      <c r="BS139" s="381"/>
      <c r="BT139" s="381"/>
      <c r="BU139" s="381"/>
      <c r="BV139" s="381"/>
      <c r="BW139" s="381"/>
      <c r="BX139" s="381"/>
      <c r="BY139" s="381"/>
      <c r="BZ139" s="381"/>
      <c r="CA139" s="381"/>
      <c r="CB139" s="381"/>
      <c r="CC139" s="381"/>
      <c r="CD139" s="381"/>
      <c r="CE139" s="381"/>
      <c r="CF139" s="381"/>
    </row>
    <row r="140" spans="13:84">
      <c r="M140" s="547"/>
      <c r="O140" s="9"/>
      <c r="Q140" s="235"/>
      <c r="R140" s="381"/>
      <c r="S140" s="381"/>
      <c r="T140" s="381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381"/>
      <c r="AY140" s="381"/>
      <c r="AZ140" s="381"/>
      <c r="BA140" s="381"/>
      <c r="BB140" s="381"/>
      <c r="BC140" s="381"/>
      <c r="BD140" s="381"/>
      <c r="BE140" s="381"/>
      <c r="BF140" s="381"/>
      <c r="BG140" s="381"/>
      <c r="BH140" s="381"/>
      <c r="BI140" s="381"/>
      <c r="BJ140" s="381"/>
      <c r="BK140" s="381"/>
      <c r="BL140" s="381"/>
      <c r="BM140" s="381"/>
      <c r="BN140" s="381"/>
      <c r="BO140" s="381"/>
      <c r="BP140" s="381"/>
      <c r="BQ140" s="381"/>
      <c r="BR140" s="381"/>
      <c r="BS140" s="381"/>
      <c r="BT140" s="381"/>
      <c r="BU140" s="381"/>
      <c r="BV140" s="381"/>
      <c r="BW140" s="381"/>
      <c r="BX140" s="381"/>
      <c r="BY140" s="381"/>
      <c r="BZ140" s="381"/>
      <c r="CA140" s="381"/>
      <c r="CB140" s="381"/>
      <c r="CC140" s="381"/>
      <c r="CD140" s="381"/>
      <c r="CE140" s="381"/>
      <c r="CF140" s="381"/>
    </row>
    <row r="141" spans="13:84">
      <c r="M141" s="547"/>
      <c r="O141" s="9"/>
      <c r="Q141" s="235"/>
      <c r="R141" s="381"/>
      <c r="S141" s="381"/>
      <c r="T141" s="381"/>
      <c r="U141" s="381"/>
      <c r="V141" s="381"/>
      <c r="W141" s="381"/>
      <c r="X141" s="381"/>
      <c r="Y141" s="381"/>
      <c r="Z141" s="381"/>
      <c r="AA141" s="381"/>
      <c r="AB141" s="381"/>
      <c r="AC141" s="381"/>
      <c r="AD141" s="381"/>
      <c r="AE141" s="381"/>
      <c r="AF141" s="381"/>
      <c r="AG141" s="381"/>
      <c r="AH141" s="381"/>
      <c r="AI141" s="381"/>
      <c r="AJ141" s="381"/>
      <c r="AK141" s="381"/>
      <c r="AL141" s="381"/>
      <c r="AM141" s="381"/>
      <c r="AN141" s="381"/>
      <c r="AO141" s="381"/>
      <c r="AP141" s="381"/>
      <c r="AQ141" s="381"/>
      <c r="AR141" s="381"/>
      <c r="AS141" s="381"/>
      <c r="AT141" s="381"/>
      <c r="AU141" s="381"/>
      <c r="AV141" s="381"/>
      <c r="AW141" s="381"/>
      <c r="AX141" s="381"/>
      <c r="AY141" s="381"/>
      <c r="AZ141" s="381"/>
      <c r="BA141" s="381"/>
      <c r="BB141" s="381"/>
      <c r="BC141" s="381"/>
      <c r="BD141" s="381"/>
      <c r="BE141" s="381"/>
      <c r="BF141" s="381"/>
      <c r="BG141" s="381"/>
      <c r="BH141" s="381"/>
      <c r="BI141" s="381"/>
      <c r="BJ141" s="381"/>
      <c r="BK141" s="381"/>
      <c r="BL141" s="381"/>
      <c r="BM141" s="381"/>
      <c r="BN141" s="381"/>
      <c r="BO141" s="381"/>
      <c r="BP141" s="381"/>
      <c r="BQ141" s="381"/>
      <c r="BR141" s="381"/>
      <c r="BS141" s="381"/>
      <c r="BT141" s="381"/>
      <c r="BU141" s="381"/>
      <c r="BV141" s="381"/>
      <c r="BW141" s="381"/>
      <c r="BX141" s="381"/>
      <c r="BY141" s="381"/>
      <c r="BZ141" s="381"/>
      <c r="CA141" s="381"/>
      <c r="CB141" s="381"/>
      <c r="CC141" s="381"/>
      <c r="CD141" s="381"/>
      <c r="CE141" s="381"/>
      <c r="CF141" s="381"/>
    </row>
    <row r="142" spans="13:84">
      <c r="M142" s="547"/>
      <c r="O142" s="9"/>
      <c r="Q142" s="235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381"/>
      <c r="AE142" s="381"/>
      <c r="AF142" s="381"/>
      <c r="AG142" s="381"/>
      <c r="AH142" s="381"/>
      <c r="AI142" s="381"/>
      <c r="AJ142" s="381"/>
      <c r="AK142" s="381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381"/>
      <c r="AW142" s="381"/>
      <c r="AX142" s="381"/>
      <c r="AY142" s="381"/>
      <c r="AZ142" s="381"/>
      <c r="BA142" s="381"/>
      <c r="BB142" s="381"/>
      <c r="BC142" s="381"/>
      <c r="BD142" s="381"/>
      <c r="BE142" s="381"/>
      <c r="BF142" s="381"/>
      <c r="BG142" s="381"/>
      <c r="BH142" s="381"/>
      <c r="BI142" s="381"/>
      <c r="BJ142" s="381"/>
      <c r="BK142" s="381"/>
      <c r="BL142" s="381"/>
      <c r="BM142" s="381"/>
      <c r="BN142" s="381"/>
      <c r="BO142" s="381"/>
      <c r="BP142" s="381"/>
      <c r="BQ142" s="381"/>
      <c r="BR142" s="381"/>
      <c r="BS142" s="381"/>
      <c r="BT142" s="381"/>
      <c r="BU142" s="381"/>
      <c r="BV142" s="381"/>
      <c r="BW142" s="381"/>
      <c r="BX142" s="381"/>
      <c r="BY142" s="381"/>
      <c r="BZ142" s="381"/>
      <c r="CA142" s="381"/>
      <c r="CB142" s="381"/>
      <c r="CC142" s="381"/>
      <c r="CD142" s="381"/>
      <c r="CE142" s="381"/>
      <c r="CF142" s="381"/>
    </row>
    <row r="143" spans="13:84">
      <c r="M143" s="547"/>
      <c r="O143" s="9"/>
      <c r="Q143" s="235"/>
      <c r="R143" s="381"/>
      <c r="S143" s="381"/>
      <c r="T143" s="381"/>
      <c r="U143" s="381"/>
      <c r="V143" s="381"/>
      <c r="W143" s="381"/>
      <c r="X143" s="381"/>
      <c r="Y143" s="381"/>
      <c r="Z143" s="381"/>
      <c r="AA143" s="381"/>
      <c r="AB143" s="381"/>
      <c r="AC143" s="381"/>
      <c r="AD143" s="381"/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1"/>
      <c r="AR143" s="381"/>
      <c r="AS143" s="381"/>
      <c r="AT143" s="381"/>
      <c r="AU143" s="381"/>
      <c r="AV143" s="381"/>
      <c r="AW143" s="381"/>
      <c r="AX143" s="381"/>
      <c r="AY143" s="381"/>
      <c r="AZ143" s="381"/>
      <c r="BA143" s="381"/>
      <c r="BB143" s="381"/>
      <c r="BC143" s="381"/>
      <c r="BD143" s="381"/>
      <c r="BE143" s="381"/>
      <c r="BF143" s="381"/>
      <c r="BG143" s="381"/>
      <c r="BH143" s="381"/>
      <c r="BI143" s="381"/>
      <c r="BJ143" s="381"/>
      <c r="BK143" s="381"/>
      <c r="BL143" s="381"/>
      <c r="BM143" s="381"/>
      <c r="BN143" s="381"/>
      <c r="BO143" s="381"/>
      <c r="BP143" s="381"/>
      <c r="BQ143" s="381"/>
      <c r="BR143" s="381"/>
      <c r="BS143" s="381"/>
      <c r="BT143" s="381"/>
      <c r="BU143" s="381"/>
      <c r="BV143" s="381"/>
      <c r="BW143" s="381"/>
      <c r="BX143" s="381"/>
      <c r="BY143" s="381"/>
      <c r="BZ143" s="381"/>
      <c r="CA143" s="381"/>
      <c r="CB143" s="381"/>
      <c r="CC143" s="381"/>
      <c r="CD143" s="381"/>
      <c r="CE143" s="381"/>
      <c r="CF143" s="381"/>
    </row>
    <row r="144" spans="13:84">
      <c r="M144" s="547"/>
      <c r="O144" s="9"/>
      <c r="Q144" s="235"/>
      <c r="R144" s="381"/>
      <c r="S144" s="381"/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381"/>
      <c r="AY144" s="381"/>
      <c r="AZ144" s="381"/>
      <c r="BA144" s="381"/>
      <c r="BB144" s="381"/>
      <c r="BC144" s="381"/>
      <c r="BD144" s="381"/>
      <c r="BE144" s="381"/>
      <c r="BF144" s="381"/>
      <c r="BG144" s="381"/>
      <c r="BH144" s="381"/>
      <c r="BI144" s="381"/>
      <c r="BJ144" s="381"/>
      <c r="BK144" s="381"/>
      <c r="BL144" s="381"/>
      <c r="BM144" s="381"/>
      <c r="BN144" s="381"/>
      <c r="BO144" s="381"/>
      <c r="BP144" s="381"/>
      <c r="BQ144" s="381"/>
      <c r="BR144" s="381"/>
      <c r="BS144" s="381"/>
      <c r="BT144" s="381"/>
      <c r="BU144" s="381"/>
      <c r="BV144" s="381"/>
      <c r="BW144" s="381"/>
      <c r="BX144" s="381"/>
      <c r="BY144" s="381"/>
      <c r="BZ144" s="381"/>
      <c r="CA144" s="381"/>
      <c r="CB144" s="381"/>
      <c r="CC144" s="381"/>
      <c r="CD144" s="381"/>
      <c r="CE144" s="381"/>
      <c r="CF144" s="381"/>
    </row>
    <row r="145" spans="13:84">
      <c r="M145" s="547"/>
      <c r="O145" s="9"/>
      <c r="Q145" s="235"/>
      <c r="R145" s="381"/>
      <c r="S145" s="381"/>
      <c r="T145" s="381"/>
      <c r="U145" s="381"/>
      <c r="V145" s="381"/>
      <c r="W145" s="381"/>
      <c r="X145" s="381"/>
      <c r="Y145" s="381"/>
      <c r="Z145" s="381"/>
      <c r="AA145" s="381"/>
      <c r="AB145" s="381"/>
      <c r="AC145" s="381"/>
      <c r="AD145" s="381"/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1"/>
      <c r="AR145" s="381"/>
      <c r="AS145" s="381"/>
      <c r="AT145" s="381"/>
      <c r="AU145" s="381"/>
      <c r="AV145" s="381"/>
      <c r="AW145" s="381"/>
      <c r="AX145" s="381"/>
      <c r="AY145" s="381"/>
      <c r="AZ145" s="381"/>
      <c r="BA145" s="381"/>
      <c r="BB145" s="381"/>
      <c r="BC145" s="381"/>
      <c r="BD145" s="381"/>
      <c r="BE145" s="381"/>
      <c r="BF145" s="381"/>
      <c r="BG145" s="381"/>
      <c r="BH145" s="381"/>
      <c r="BI145" s="381"/>
      <c r="BJ145" s="381"/>
      <c r="BK145" s="381"/>
      <c r="BL145" s="381"/>
      <c r="BM145" s="381"/>
      <c r="BN145" s="381"/>
      <c r="BO145" s="381"/>
      <c r="BP145" s="381"/>
      <c r="BQ145" s="381"/>
      <c r="BR145" s="381"/>
      <c r="BS145" s="381"/>
      <c r="BT145" s="381"/>
      <c r="BU145" s="381"/>
      <c r="BV145" s="381"/>
      <c r="BW145" s="381"/>
      <c r="BX145" s="381"/>
      <c r="BY145" s="381"/>
      <c r="BZ145" s="381"/>
      <c r="CA145" s="381"/>
      <c r="CB145" s="381"/>
      <c r="CC145" s="381"/>
      <c r="CD145" s="381"/>
      <c r="CE145" s="381"/>
      <c r="CF145" s="381"/>
    </row>
    <row r="146" spans="13:84">
      <c r="M146" s="547"/>
      <c r="O146" s="9"/>
      <c r="Q146" s="235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1"/>
      <c r="BB146" s="381"/>
      <c r="BC146" s="381"/>
      <c r="BD146" s="381"/>
      <c r="BE146" s="381"/>
      <c r="BF146" s="381"/>
      <c r="BG146" s="381"/>
      <c r="BH146" s="381"/>
      <c r="BI146" s="381"/>
      <c r="BJ146" s="381"/>
      <c r="BK146" s="381"/>
      <c r="BL146" s="381"/>
      <c r="BM146" s="381"/>
      <c r="BN146" s="381"/>
      <c r="BO146" s="381"/>
      <c r="BP146" s="381"/>
      <c r="BQ146" s="381"/>
      <c r="BR146" s="381"/>
      <c r="BS146" s="381"/>
      <c r="BT146" s="381"/>
      <c r="BU146" s="381"/>
      <c r="BV146" s="381"/>
      <c r="BW146" s="381"/>
      <c r="BX146" s="381"/>
      <c r="BY146" s="381"/>
      <c r="BZ146" s="381"/>
      <c r="CA146" s="381"/>
      <c r="CB146" s="381"/>
      <c r="CC146" s="381"/>
      <c r="CD146" s="381"/>
      <c r="CE146" s="381"/>
      <c r="CF146" s="381"/>
    </row>
    <row r="147" spans="13:84">
      <c r="M147" s="547"/>
    </row>
    <row r="148" spans="13:84">
      <c r="M148" s="547"/>
    </row>
    <row r="149" spans="13:84">
      <c r="M149" s="547"/>
    </row>
    <row r="150" spans="13:84">
      <c r="M150" s="547"/>
    </row>
    <row r="151" spans="13:84">
      <c r="M151" s="547"/>
    </row>
    <row r="152" spans="13:84">
      <c r="M152" s="547"/>
    </row>
    <row r="153" spans="13:84">
      <c r="M153" s="547"/>
    </row>
    <row r="154" spans="13:84">
      <c r="M154" s="547"/>
    </row>
    <row r="155" spans="13:84">
      <c r="M155" s="547"/>
    </row>
    <row r="156" spans="13:84">
      <c r="M156" s="547"/>
    </row>
    <row r="157" spans="13:84">
      <c r="M157" s="547"/>
    </row>
    <row r="158" spans="13:84">
      <c r="M158" s="547"/>
    </row>
    <row r="159" spans="13:84">
      <c r="M159" s="547"/>
    </row>
    <row r="160" spans="13:84">
      <c r="M160" s="547"/>
    </row>
    <row r="161" spans="13:13">
      <c r="M161" s="547"/>
    </row>
    <row r="162" spans="13:13">
      <c r="M162" s="547"/>
    </row>
    <row r="163" spans="13:13">
      <c r="M163" s="547"/>
    </row>
    <row r="164" spans="13:13">
      <c r="M164" s="547"/>
    </row>
    <row r="165" spans="13:13">
      <c r="M165" s="547"/>
    </row>
    <row r="166" spans="13:13">
      <c r="M166" s="547"/>
    </row>
    <row r="167" spans="13:13">
      <c r="M167" s="547"/>
    </row>
    <row r="168" spans="13:13">
      <c r="M168" s="547"/>
    </row>
    <row r="169" spans="13:13">
      <c r="M169" s="547"/>
    </row>
    <row r="170" spans="13:13">
      <c r="M170" s="547"/>
    </row>
    <row r="171" spans="13:13">
      <c r="M171" s="547"/>
    </row>
    <row r="172" spans="13:13">
      <c r="M172" s="547"/>
    </row>
    <row r="173" spans="13:13">
      <c r="M173" s="547"/>
    </row>
    <row r="174" spans="13:13">
      <c r="M174" s="547"/>
    </row>
    <row r="175" spans="13:13">
      <c r="M175" s="547"/>
    </row>
    <row r="176" spans="13:13">
      <c r="M176" s="547"/>
    </row>
    <row r="177" spans="13:13">
      <c r="M177" s="547"/>
    </row>
    <row r="178" spans="13:13">
      <c r="M178" s="547"/>
    </row>
    <row r="179" spans="13:13">
      <c r="M179" s="547"/>
    </row>
    <row r="180" spans="13:13">
      <c r="M180" s="547"/>
    </row>
    <row r="181" spans="13:13">
      <c r="M181" s="547"/>
    </row>
    <row r="182" spans="13:13">
      <c r="M182" s="547"/>
    </row>
    <row r="183" spans="13:13">
      <c r="M183" s="547"/>
    </row>
    <row r="184" spans="13:13">
      <c r="M184" s="547"/>
    </row>
    <row r="185" spans="13:13">
      <c r="M185" s="547"/>
    </row>
    <row r="186" spans="13:13">
      <c r="M186" s="547"/>
    </row>
  </sheetData>
  <dataConsolidate function="product" link="1">
    <dataRefs count="1">
      <dataRef ref="H66:H69" sheet="CAPA"/>
    </dataRefs>
  </dataConsolidate>
  <mergeCells count="28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E65:F65"/>
    <mergeCell ref="F39:G39"/>
    <mergeCell ref="F40:G40"/>
  </mergeCells>
  <conditionalFormatting sqref="I46">
    <cfRule type="containsText" dxfId="456" priority="116" operator="containsText" text="Cuidado">
      <formula>NOT(ISERROR(SEARCH("Cuidado",I46)))</formula>
    </cfRule>
  </conditionalFormatting>
  <conditionalFormatting sqref="B30:D34 F28:H34 J28:K31 J34:K36">
    <cfRule type="expression" dxfId="455" priority="58">
      <formula>$P$1="FALSO"</formula>
    </cfRule>
  </conditionalFormatting>
  <conditionalFormatting sqref="F41">
    <cfRule type="expression" dxfId="454" priority="52">
      <formula>$P$1="VERDADEIRO"</formula>
    </cfRule>
  </conditionalFormatting>
  <conditionalFormatting sqref="F42">
    <cfRule type="expression" dxfId="453" priority="48">
      <formula>$P$1="VERDADEIRO"</formula>
    </cfRule>
  </conditionalFormatting>
  <conditionalFormatting sqref="H41">
    <cfRule type="expression" dxfId="452" priority="39">
      <formula>$P$1="VERDADEIRO"</formula>
    </cfRule>
  </conditionalFormatting>
  <conditionalFormatting sqref="H42">
    <cfRule type="expression" dxfId="451" priority="38">
      <formula>$P$1="VERDADEIRO"</formula>
    </cfRule>
  </conditionalFormatting>
  <conditionalFormatting sqref="H40">
    <cfRule type="expression" dxfId="450" priority="37">
      <formula>$P$1="VERDADEIRO"</formula>
    </cfRule>
  </conditionalFormatting>
  <conditionalFormatting sqref="F43:F44">
    <cfRule type="expression" dxfId="449" priority="36">
      <formula>$P$1="VERDADEIRO"</formula>
    </cfRule>
  </conditionalFormatting>
  <conditionalFormatting sqref="H43:H44">
    <cfRule type="expression" dxfId="448" priority="33">
      <formula>$P$1="VERDADEIRO"</formula>
    </cfRule>
  </conditionalFormatting>
  <conditionalFormatting sqref="B26">
    <cfRule type="expression" dxfId="447" priority="32">
      <formula>$P$1="FALSO"</formula>
    </cfRule>
  </conditionalFormatting>
  <conditionalFormatting sqref="C26">
    <cfRule type="expression" dxfId="446" priority="31">
      <formula>$P$1="FALSO"</formula>
    </cfRule>
  </conditionalFormatting>
  <conditionalFormatting sqref="F39">
    <cfRule type="expression" dxfId="445" priority="29">
      <formula>$P$1="VERDADEIRO"</formula>
    </cfRule>
  </conditionalFormatting>
  <conditionalFormatting sqref="F40">
    <cfRule type="expression" dxfId="444" priority="28">
      <formula>$P$1="VERDADEIRO"</formula>
    </cfRule>
  </conditionalFormatting>
  <conditionalFormatting sqref="H63:H77">
    <cfRule type="expression" dxfId="443" priority="578">
      <formula>$B63&gt;=$J$73</formula>
    </cfRule>
  </conditionalFormatting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3"/>
  <sheetViews>
    <sheetView showGridLines="0" topLeftCell="E1" zoomScaleNormal="100" workbookViewId="0">
      <selection activeCell="M10" sqref="M10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134" t="s">
        <v>757</v>
      </c>
      <c r="C1" s="1135"/>
      <c r="D1" s="70"/>
      <c r="E1" s="70"/>
      <c r="F1" s="70"/>
      <c r="G1" s="75"/>
    </row>
    <row r="2" spans="1:15" ht="16.5">
      <c r="A2" s="139"/>
      <c r="B2" s="637" t="str">
        <f ca="1">CAPA!C9&amp; " - " &amp;CAPA!C110&amp;" "&amp;AnoRefTar</f>
        <v>Cerfox - REVISÃO 2022</v>
      </c>
      <c r="C2" s="70"/>
      <c r="D2" s="70"/>
      <c r="E2" s="70"/>
      <c r="F2" s="70"/>
      <c r="G2" s="75"/>
      <c r="H2" s="381" t="s">
        <v>758</v>
      </c>
      <c r="I2" s="688">
        <v>44762.465532407405</v>
      </c>
      <c r="K2" s="723" t="s">
        <v>759</v>
      </c>
      <c r="L2" s="724"/>
    </row>
    <row r="3" spans="1:15" ht="16.5" customHeight="1">
      <c r="A3" s="139"/>
      <c r="B3" s="1042" t="s">
        <v>760</v>
      </c>
      <c r="C3" s="824"/>
      <c r="D3" s="75"/>
      <c r="E3" s="75"/>
      <c r="F3" s="75"/>
      <c r="G3" s="75"/>
      <c r="H3" s="689" t="s">
        <v>761</v>
      </c>
      <c r="I3" s="689">
        <v>16</v>
      </c>
      <c r="K3" s="725" t="s">
        <v>762</v>
      </c>
      <c r="L3" s="686">
        <v>8.2779420907789447E-2</v>
      </c>
    </row>
    <row r="4" spans="1:15" ht="16.5">
      <c r="A4" s="139"/>
      <c r="G4" s="75"/>
      <c r="J4" s="9"/>
      <c r="K4" s="725" t="s">
        <v>763</v>
      </c>
      <c r="L4" s="686">
        <v>0.14803139370930296</v>
      </c>
    </row>
    <row r="5" spans="1:15" ht="16.5" customHeight="1">
      <c r="A5" s="139"/>
      <c r="B5" s="1136" t="s">
        <v>764</v>
      </c>
      <c r="C5" s="1137">
        <f ca="1">D39+D34</f>
        <v>66321220.346924126</v>
      </c>
      <c r="D5" s="144"/>
      <c r="E5" s="79"/>
      <c r="G5" s="75"/>
      <c r="H5" s="687"/>
      <c r="J5" s="275"/>
      <c r="K5" s="726" t="s">
        <v>765</v>
      </c>
      <c r="L5" s="694">
        <v>0.13924834283945997</v>
      </c>
    </row>
    <row r="6" spans="1:15" ht="16.5" customHeight="1">
      <c r="A6" s="139"/>
      <c r="B6" s="76" t="s">
        <v>766</v>
      </c>
      <c r="C6" s="77">
        <f ca="1">Mercado_RA0_Reais</f>
        <v>60158541.498640008</v>
      </c>
      <c r="D6" s="77"/>
      <c r="E6" s="484"/>
      <c r="F6" s="75"/>
      <c r="G6" s="140"/>
      <c r="H6" s="81"/>
      <c r="J6" s="275"/>
      <c r="K6" s="727" t="s">
        <v>767</v>
      </c>
      <c r="L6" s="728">
        <v>726.6</v>
      </c>
      <c r="M6" s="79"/>
    </row>
    <row r="7" spans="1:15" ht="16.5" customHeight="1">
      <c r="A7" s="139"/>
      <c r="B7" s="1138" t="str">
        <f>IF(CAPA!P1="FALSO","IRT Economico","Variação econômica")</f>
        <v>Variação econômica</v>
      </c>
      <c r="C7" s="1139">
        <f ca="1">ROUND((C5/C6-1),4)</f>
        <v>0.1024</v>
      </c>
      <c r="D7" s="501"/>
      <c r="E7" s="75"/>
      <c r="F7" s="75"/>
      <c r="G7" s="75"/>
      <c r="H7" s="81"/>
      <c r="K7" s="49" t="s">
        <v>768</v>
      </c>
      <c r="L7" s="1014">
        <f>L6/'Tabelas e Gráficos'!U39-1</f>
        <v>0.10019229895674053</v>
      </c>
    </row>
    <row r="8" spans="1:15" ht="16.5" customHeight="1">
      <c r="A8" s="139"/>
      <c r="B8" s="78" t="s">
        <v>769</v>
      </c>
      <c r="C8" s="257">
        <f ca="1">ROUND(Financeiros!E7,4)</f>
        <v>-0.34639999999999999</v>
      </c>
      <c r="D8" s="502"/>
      <c r="E8" s="75"/>
      <c r="F8" s="499"/>
      <c r="G8" s="75"/>
      <c r="H8" s="81"/>
      <c r="K8" s="729" t="s">
        <v>770</v>
      </c>
      <c r="L8" s="730" t="s">
        <v>2181</v>
      </c>
      <c r="M8" s="690" t="s">
        <v>772</v>
      </c>
    </row>
    <row r="9" spans="1:15" ht="16.5" customHeight="1">
      <c r="A9" s="139"/>
      <c r="B9" s="1140" t="str">
        <f>IF(CAPA!P1="FALSO","IRT Economico e Financeiro","Variação econômica e financeira")</f>
        <v>Variação econômica e financeira</v>
      </c>
      <c r="C9" s="1141">
        <f ca="1">ROUND((C7+C8),5)</f>
        <v>-0.24399999999999999</v>
      </c>
      <c r="D9" s="501"/>
      <c r="E9" s="501"/>
      <c r="F9" s="75"/>
      <c r="G9" s="75"/>
      <c r="K9" s="725" t="s">
        <v>773</v>
      </c>
      <c r="L9" s="731">
        <f>Aj.Subsídio!G28*12</f>
        <v>319493.27999999997</v>
      </c>
      <c r="M9" s="731">
        <v>568297.80930411129</v>
      </c>
    </row>
    <row r="10" spans="1:15" ht="16.5" customHeight="1">
      <c r="A10" s="139"/>
      <c r="B10" s="1140" t="s">
        <v>774</v>
      </c>
      <c r="C10" s="1141">
        <f ca="1">ROUND((LnkTXTEfeito-LnkTXTIRTTotal),4)</f>
        <v>0.38319999999999999</v>
      </c>
      <c r="D10" s="734">
        <f ca="1">LnKTxTRA1+Financeiros!D5</f>
        <v>45483170.770356141</v>
      </c>
      <c r="E10" s="75"/>
      <c r="F10" s="75"/>
      <c r="G10" s="75"/>
      <c r="K10" s="725" t="s">
        <v>775</v>
      </c>
      <c r="L10" s="731">
        <f>Aj.Subsídio!G29*12</f>
        <v>55885.200000000004</v>
      </c>
      <c r="M10" s="731">
        <v>76946.517463314289</v>
      </c>
    </row>
    <row r="11" spans="1:15" ht="16.5" customHeight="1">
      <c r="A11" s="139"/>
      <c r="B11" s="1042" t="s">
        <v>776</v>
      </c>
      <c r="C11" s="824"/>
      <c r="D11" s="1142"/>
      <c r="E11" s="1142"/>
      <c r="F11" s="1142"/>
      <c r="G11" s="75"/>
      <c r="K11" s="725" t="s">
        <v>777</v>
      </c>
      <c r="L11" s="731">
        <f>Aj.Subsídio!G30*12</f>
        <v>0</v>
      </c>
      <c r="M11" s="731">
        <v>0</v>
      </c>
    </row>
    <row r="12" spans="1:15" ht="16.5" customHeight="1">
      <c r="E12" s="1143"/>
      <c r="F12" s="1143"/>
      <c r="K12" s="725" t="s">
        <v>778</v>
      </c>
      <c r="L12" s="731">
        <f>Aj.Subsídio!G31*12</f>
        <v>26029.919999999998</v>
      </c>
      <c r="M12" s="731">
        <v>13711.088954421561</v>
      </c>
      <c r="O12" s="896"/>
    </row>
    <row r="13" spans="1:15" ht="15" customHeight="1">
      <c r="B13" s="1144"/>
      <c r="C13" s="1145" t="s">
        <v>771</v>
      </c>
      <c r="D13" s="1146" t="s">
        <v>772</v>
      </c>
      <c r="E13" s="1145" t="s">
        <v>779</v>
      </c>
      <c r="F13" s="1144" t="s">
        <v>780</v>
      </c>
      <c r="K13" s="725" t="s">
        <v>781</v>
      </c>
      <c r="L13" s="731">
        <f>Aj.Subsídio!G32*12</f>
        <v>3086074.2</v>
      </c>
      <c r="M13" s="731">
        <v>1595276.9044466505</v>
      </c>
      <c r="O13" s="896"/>
    </row>
    <row r="14" spans="1:15" ht="14.25">
      <c r="B14" s="1147" t="s">
        <v>782</v>
      </c>
      <c r="C14" s="1148">
        <f ca="1">SUM(C15:C23)</f>
        <v>4566937.2448938135</v>
      </c>
      <c r="D14" s="1149">
        <f ca="1">SUM(D15:D23)</f>
        <v>7074660.7918286426</v>
      </c>
      <c r="E14" s="1150">
        <f t="shared" ref="E14:E34" ca="1" si="0">(D14-C14)/LnkTXTRA0</f>
        <v>4.1685245095104587E-2</v>
      </c>
      <c r="F14" s="1151">
        <f ca="1">IF(ISERROR(D14/C14-1),"-",D14/C14-1)</f>
        <v>0.54910400832388406</v>
      </c>
      <c r="G14" s="292"/>
      <c r="H14" s="101"/>
      <c r="K14" s="725" t="s">
        <v>783</v>
      </c>
      <c r="L14" s="731">
        <f>Aj.Subsídio!G33*12</f>
        <v>0</v>
      </c>
      <c r="M14" s="731">
        <v>0</v>
      </c>
      <c r="O14" s="896"/>
    </row>
    <row r="15" spans="1:15" ht="14.25">
      <c r="B15" s="78" t="s">
        <v>784</v>
      </c>
      <c r="C15" s="225"/>
      <c r="D15" s="133"/>
      <c r="E15" s="223">
        <f t="shared" ca="1" si="0"/>
        <v>0</v>
      </c>
      <c r="F15" s="258" t="str">
        <f t="shared" ref="F15:F32" si="1">IF(ISERROR(D15/C15-1),"-",D15/C15-1)</f>
        <v>-</v>
      </c>
      <c r="G15" s="292"/>
      <c r="K15" s="49"/>
      <c r="L15" s="857"/>
      <c r="M15" s="49"/>
    </row>
    <row r="16" spans="1:15" ht="14.25">
      <c r="B16" s="78" t="s">
        <v>785</v>
      </c>
      <c r="C16" s="225"/>
      <c r="D16" s="133"/>
      <c r="E16" s="223">
        <f t="shared" ca="1" si="0"/>
        <v>0</v>
      </c>
      <c r="F16" s="258" t="str">
        <f t="shared" si="1"/>
        <v>-</v>
      </c>
      <c r="G16" s="292"/>
      <c r="L16" s="857"/>
    </row>
    <row r="17" spans="2:14" ht="14.25">
      <c r="B17" s="78" t="s">
        <v>786</v>
      </c>
      <c r="C17" s="225">
        <f ca="1">Mercado_Faturado_Encargo_TFSEE_BRUTO</f>
        <v>132725.67553456523</v>
      </c>
      <c r="D17" s="133">
        <f ca="1">Encargos!C6</f>
        <v>152665.74938543511</v>
      </c>
      <c r="E17" s="223">
        <f t="shared" ca="1" si="0"/>
        <v>3.3145873144748117E-4</v>
      </c>
      <c r="F17" s="258">
        <f t="shared" ca="1" si="1"/>
        <v>0.15023524100035157</v>
      </c>
      <c r="G17" s="292"/>
    </row>
    <row r="18" spans="2:14" ht="14.25">
      <c r="B18" s="78" t="s">
        <v>787</v>
      </c>
      <c r="C18" s="226">
        <f ca="1">Mercado_Faturado_Encargo_CDE_BRUTO</f>
        <v>3830051.9038871895</v>
      </c>
      <c r="D18" s="227">
        <f ca="1">Encargos!C7</f>
        <v>5641186.5212899977</v>
      </c>
      <c r="E18" s="224">
        <f t="shared" ca="1" si="0"/>
        <v>3.0106026048582847E-2</v>
      </c>
      <c r="F18" s="258">
        <f t="shared" ca="1" si="1"/>
        <v>0.47287469278540439</v>
      </c>
      <c r="G18" s="292"/>
      <c r="H18" s="142"/>
      <c r="K18" s="49" t="s">
        <v>788</v>
      </c>
      <c r="L18" s="732">
        <v>44762.771296296298</v>
      </c>
      <c r="M18" s="49"/>
      <c r="N18" s="631"/>
    </row>
    <row r="19" spans="2:14" ht="16.5" customHeight="1">
      <c r="B19" s="78" t="s">
        <v>2198</v>
      </c>
      <c r="C19" s="225">
        <f ca="1">Calc_Mercado!S75</f>
        <v>0</v>
      </c>
      <c r="D19" s="133">
        <f>Encargos!C8</f>
        <v>0</v>
      </c>
      <c r="E19" s="223">
        <f t="shared" ca="1" si="0"/>
        <v>0</v>
      </c>
      <c r="F19" s="258" t="str">
        <f t="shared" ca="1" si="1"/>
        <v>-</v>
      </c>
      <c r="G19" s="292"/>
      <c r="K19" s="725" t="s">
        <v>789</v>
      </c>
      <c r="L19" s="725"/>
      <c r="M19" s="725"/>
      <c r="N19" s="295"/>
    </row>
    <row r="20" spans="2:14" ht="14.25">
      <c r="B20" s="78" t="s">
        <v>790</v>
      </c>
      <c r="C20" s="225">
        <f ca="1">Mercado_Faturado_Encargo_ESSERR_BRUTO*0</f>
        <v>0</v>
      </c>
      <c r="D20" s="133">
        <f ca="1">Encargos!C9</f>
        <v>366721.15865320963</v>
      </c>
      <c r="E20" s="223">
        <f t="shared" ca="1" si="0"/>
        <v>6.0959117278715945E-3</v>
      </c>
      <c r="F20" s="258" t="str">
        <f t="shared" ca="1" si="1"/>
        <v>-</v>
      </c>
      <c r="G20" s="292"/>
      <c r="K20" s="725" t="s">
        <v>791</v>
      </c>
      <c r="L20" s="733"/>
      <c r="M20" s="733"/>
    </row>
    <row r="21" spans="2:14" ht="14.25">
      <c r="B21" s="78" t="s">
        <v>47</v>
      </c>
      <c r="C21" s="225">
        <f ca="1">Mercado_Faturado_Encargo_PROINFA_BRUTO</f>
        <v>604159.66547205858</v>
      </c>
      <c r="D21" s="133">
        <f ca="1">Encargos!C10</f>
        <v>914087.3624999997</v>
      </c>
      <c r="E21" s="223">
        <f t="shared" ca="1" si="0"/>
        <v>5.1518485872026603E-3</v>
      </c>
      <c r="F21" s="258">
        <f t="shared" ca="1" si="1"/>
        <v>0.51298971901042068</v>
      </c>
      <c r="G21" s="292"/>
      <c r="L21" s="198"/>
    </row>
    <row r="22" spans="2:14" ht="14.25">
      <c r="B22" s="78" t="s">
        <v>792</v>
      </c>
      <c r="C22" s="225">
        <f ca="1">Mercado_Faturado_Encargo_PeD_BRUTO*0</f>
        <v>0</v>
      </c>
      <c r="D22" s="404">
        <f>IFERROR(Encargos!C11,0)*0</f>
        <v>0</v>
      </c>
      <c r="E22" s="223">
        <f t="shared" ca="1" si="0"/>
        <v>0</v>
      </c>
      <c r="F22" s="258" t="str">
        <f t="shared" ca="1" si="1"/>
        <v>-</v>
      </c>
      <c r="G22" s="292"/>
      <c r="L22" s="198"/>
    </row>
    <row r="23" spans="2:14" ht="14.25">
      <c r="B23" s="78" t="s">
        <v>49</v>
      </c>
      <c r="C23" s="225">
        <f ca="1">Mercado_Faturado_Encargo_ONS_BRUTO*0</f>
        <v>0</v>
      </c>
      <c r="D23" s="133">
        <f>Encargos!C12</f>
        <v>0</v>
      </c>
      <c r="E23" s="223">
        <f t="shared" ca="1" si="0"/>
        <v>0</v>
      </c>
      <c r="F23" s="258" t="str">
        <f t="shared" ca="1" si="1"/>
        <v>-</v>
      </c>
      <c r="G23" s="292"/>
      <c r="L23" s="198"/>
    </row>
    <row r="24" spans="2:14" ht="16.5">
      <c r="B24" s="1152" t="s">
        <v>793</v>
      </c>
      <c r="C24" s="1148">
        <f ca="1">SUM(C25:C32)</f>
        <v>8624248.0756572969</v>
      </c>
      <c r="D24" s="1149">
        <f>SUM(D25:D32)</f>
        <v>9770545.3238976002</v>
      </c>
      <c r="E24" s="1150">
        <f t="shared" ca="1" si="0"/>
        <v>1.9054605043345628E-2</v>
      </c>
      <c r="F24" s="1151">
        <f t="shared" ca="1" si="1"/>
        <v>0.13291561631625926</v>
      </c>
      <c r="G24" s="292"/>
      <c r="J24"/>
      <c r="K24" s="23"/>
      <c r="L24" s="198"/>
    </row>
    <row r="25" spans="2:14" ht="14.25">
      <c r="B25" s="81" t="s">
        <v>704</v>
      </c>
      <c r="C25" s="225">
        <f ca="1">IFERROR(Calc_Mercado!C91,0)</f>
        <v>0</v>
      </c>
      <c r="D25" s="133">
        <f>'Rede Básica + Ajuste'!D9+'Rede Básica + Ajuste'!D10</f>
        <v>0</v>
      </c>
      <c r="E25" s="223">
        <f t="shared" ref="E25:E32" ca="1" si="2">(D25-C25)/LnkTXTRA0</f>
        <v>0</v>
      </c>
      <c r="F25" s="259" t="str">
        <f t="shared" ca="1" si="1"/>
        <v>-</v>
      </c>
      <c r="G25" s="292"/>
      <c r="J25" s="198"/>
      <c r="K25" s="198"/>
      <c r="L25" s="198"/>
    </row>
    <row r="26" spans="2:14" ht="14.25">
      <c r="B26" s="81" t="s">
        <v>706</v>
      </c>
      <c r="C26" s="225">
        <f ca="1">IFERROR(Calc_Mercado!C89,0)</f>
        <v>0</v>
      </c>
      <c r="D26" s="133">
        <f>'Rede Básica + Ajuste'!E9+'Rede Básica + Ajuste'!E10</f>
        <v>0</v>
      </c>
      <c r="E26" s="223">
        <f t="shared" ca="1" si="2"/>
        <v>0</v>
      </c>
      <c r="F26" s="259" t="str">
        <f t="shared" ca="1" si="1"/>
        <v>-</v>
      </c>
      <c r="G26" s="292"/>
      <c r="J26" s="198"/>
      <c r="K26" s="198"/>
      <c r="L26" s="198"/>
    </row>
    <row r="27" spans="2:14" ht="14.25">
      <c r="B27" s="81" t="s">
        <v>794</v>
      </c>
      <c r="D27" s="253">
        <v>0</v>
      </c>
      <c r="E27" s="223">
        <f t="shared" ca="1" si="2"/>
        <v>0</v>
      </c>
      <c r="F27" s="259" t="str">
        <f t="shared" si="1"/>
        <v>-</v>
      </c>
      <c r="G27" s="292"/>
      <c r="H27" s="262"/>
    </row>
    <row r="28" spans="2:14" ht="14.25">
      <c r="B28" s="81" t="s">
        <v>795</v>
      </c>
      <c r="D28" s="253">
        <v>0</v>
      </c>
      <c r="E28" s="223">
        <f t="shared" ca="1" si="2"/>
        <v>0</v>
      </c>
      <c r="F28" s="259" t="str">
        <f t="shared" si="1"/>
        <v>-</v>
      </c>
      <c r="G28" s="292"/>
      <c r="H28" s="262"/>
    </row>
    <row r="29" spans="2:14" ht="16.5" customHeight="1">
      <c r="B29" s="81" t="s">
        <v>796</v>
      </c>
      <c r="C29" s="225"/>
      <c r="D29" s="253">
        <v>0</v>
      </c>
      <c r="E29" s="223">
        <f t="shared" ca="1" si="2"/>
        <v>0</v>
      </c>
      <c r="F29" s="259" t="str">
        <f t="shared" si="1"/>
        <v>-</v>
      </c>
      <c r="G29" s="292"/>
      <c r="H29" s="262"/>
    </row>
    <row r="30" spans="2:14" ht="14.25">
      <c r="B30" s="81" t="s">
        <v>797</v>
      </c>
      <c r="C30" s="225"/>
      <c r="D30" s="253">
        <v>0</v>
      </c>
      <c r="E30" s="223">
        <f t="shared" ca="1" si="2"/>
        <v>0</v>
      </c>
      <c r="F30" s="259" t="str">
        <f t="shared" si="1"/>
        <v>-</v>
      </c>
      <c r="G30" s="292"/>
      <c r="H30" s="262"/>
    </row>
    <row r="31" spans="2:14" ht="14.25">
      <c r="B31" s="81" t="s">
        <v>707</v>
      </c>
      <c r="C31" s="225">
        <f ca="1">IFERROR(Calc_Mercado!C95,0)</f>
        <v>0</v>
      </c>
      <c r="D31" s="133">
        <f>'Conexão '!E21</f>
        <v>0</v>
      </c>
      <c r="E31" s="223">
        <f t="shared" ca="1" si="2"/>
        <v>0</v>
      </c>
      <c r="F31" s="259" t="str">
        <f t="shared" ca="1" si="1"/>
        <v>-</v>
      </c>
      <c r="G31" s="117"/>
      <c r="H31" s="117"/>
    </row>
    <row r="32" spans="2:14" ht="14.25">
      <c r="B32" s="81" t="s">
        <v>708</v>
      </c>
      <c r="C32" s="225">
        <f ca="1">Calc_Mercado!C96</f>
        <v>8624248.0756572969</v>
      </c>
      <c r="D32" s="133">
        <f>CUSD!C3</f>
        <v>9770545.3238976002</v>
      </c>
      <c r="E32" s="223">
        <f t="shared" ca="1" si="2"/>
        <v>1.9054605043345628E-2</v>
      </c>
      <c r="F32" s="259">
        <f t="shared" ca="1" si="1"/>
        <v>0.13291561631625926</v>
      </c>
      <c r="G32" s="292"/>
    </row>
    <row r="33" spans="2:8" ht="14.25">
      <c r="B33" s="1152" t="s">
        <v>120</v>
      </c>
      <c r="C33" s="1148">
        <f ca="1">SUM(Calc_Mercado!C79:C84)</f>
        <v>17848533.31991924</v>
      </c>
      <c r="D33" s="1149">
        <f ca="1">Energia!F23</f>
        <v>15476014.231197888</v>
      </c>
      <c r="E33" s="1150">
        <f t="shared" ca="1" si="0"/>
        <v>-3.9437776076652171E-2</v>
      </c>
      <c r="F33" s="1151">
        <f ca="1">IF(ISERROR(D33/C33-1),"-",D33/C33-1)</f>
        <v>-0.13292515671713956</v>
      </c>
      <c r="G33" s="292"/>
    </row>
    <row r="34" spans="2:8" ht="14.25">
      <c r="B34" s="1153" t="s">
        <v>798</v>
      </c>
      <c r="C34" s="1154">
        <f ca="1">C14+C24+C33</f>
        <v>31039718.640470348</v>
      </c>
      <c r="D34" s="1155">
        <f ca="1">D33+D24+D14</f>
        <v>32321220.34692413</v>
      </c>
      <c r="E34" s="1156">
        <f t="shared" ca="1" si="0"/>
        <v>2.130207406179806E-2</v>
      </c>
      <c r="F34" s="1157">
        <f ca="1">IF(ISERROR(D34/C34-1),"-",D34/C34-1)</f>
        <v>4.1285867352641725E-2</v>
      </c>
      <c r="G34" s="292"/>
    </row>
    <row r="35" spans="2:8" ht="14.25">
      <c r="G35" s="69"/>
      <c r="H35" s="108"/>
    </row>
    <row r="36" spans="2:8" ht="14.25">
      <c r="B36" s="1042" t="s">
        <v>109</v>
      </c>
      <c r="C36" s="824"/>
      <c r="D36" s="824"/>
      <c r="E36" s="1142"/>
      <c r="F36" s="1142"/>
      <c r="G36" s="69"/>
    </row>
    <row r="37" spans="2:8" ht="8.25" customHeight="1">
      <c r="G37" s="69"/>
      <c r="H37" s="142"/>
    </row>
    <row r="38" spans="2:8" ht="15.75" customHeight="1">
      <c r="B38" s="691"/>
      <c r="C38" s="691" t="s">
        <v>771</v>
      </c>
      <c r="D38" s="691" t="s">
        <v>772</v>
      </c>
      <c r="E38" s="1158" t="s">
        <v>779</v>
      </c>
      <c r="F38" s="691" t="s">
        <v>780</v>
      </c>
      <c r="G38" s="69"/>
      <c r="H38" s="143"/>
    </row>
    <row r="39" spans="2:8" ht="15.75" customHeight="1">
      <c r="B39" s="1159" t="s">
        <v>799</v>
      </c>
      <c r="C39" s="1160">
        <f ca="1">LnkTXTRA0-C34</f>
        <v>29118822.85816966</v>
      </c>
      <c r="D39" s="1161">
        <f>IFERROR(IF(CAPA!P1="VERDADEIRO",SMALL(IF(LnkTXTPBReq=0,CAPA!K29,LnkTXTPBReq):LNKTXTLImPB,1),C39*(1+LnkTXTIPCA-CAPA!H42)),0)</f>
        <v>34000000</v>
      </c>
      <c r="E39" s="1162">
        <f ca="1">(D39-C39)/LnkTXTRA0</f>
        <v>8.1138555228116485E-2</v>
      </c>
      <c r="F39" s="1163">
        <f ca="1">IF(ISERROR(D39/C39-1),"-",D39/C39-1)</f>
        <v>0.16762961763960393</v>
      </c>
      <c r="G39" s="69"/>
      <c r="H39" s="142"/>
    </row>
    <row r="40" spans="2:8" ht="14.25">
      <c r="B40" s="736"/>
      <c r="C40" s="737"/>
      <c r="D40" s="738"/>
      <c r="E40" s="736"/>
      <c r="F40" s="736"/>
    </row>
    <row r="41" spans="2:8" ht="14.25">
      <c r="B41" s="1042" t="s">
        <v>800</v>
      </c>
      <c r="C41" s="824"/>
      <c r="D41" s="824"/>
      <c r="E41" s="1142"/>
      <c r="F41" s="1142"/>
    </row>
    <row r="42" spans="2:8" ht="9" customHeight="1">
      <c r="E42" s="75"/>
      <c r="F42" s="75"/>
    </row>
    <row r="43" spans="2:8" ht="15.75" customHeight="1">
      <c r="B43" s="736"/>
      <c r="C43" s="1144" t="s">
        <v>801</v>
      </c>
      <c r="D43" s="1144" t="s">
        <v>779</v>
      </c>
      <c r="E43" s="473" t="s">
        <v>802</v>
      </c>
      <c r="F43" s="473"/>
      <c r="G43" s="473"/>
    </row>
    <row r="44" spans="2:8" ht="15.75" customHeight="1">
      <c r="B44" s="1164" t="s">
        <v>803</v>
      </c>
      <c r="C44" s="1165">
        <f ca="1">SUM(C45:C60)</f>
        <v>-20838049.576567985</v>
      </c>
      <c r="D44" s="1166">
        <f ca="1">C44/Financeiros!D4</f>
        <v>-0.34638555153533879</v>
      </c>
      <c r="E44" s="473">
        <f t="shared" ref="E44:E99" ca="1" si="3">IF(D44=0,0,1)</f>
        <v>1</v>
      </c>
      <c r="F44" s="473"/>
      <c r="G44" s="473"/>
    </row>
    <row r="45" spans="2:8" ht="15.75" customHeight="1">
      <c r="B45" s="82" t="str">
        <f>Financeiros!C9</f>
        <v>Repasse de PIS COFINS</v>
      </c>
      <c r="C45" s="459">
        <f>Financeiros!D9</f>
        <v>1320184.3375018844</v>
      </c>
      <c r="D45" s="478">
        <f ca="1">C45/Financeiros!$D$4</f>
        <v>2.1945085512615519E-2</v>
      </c>
      <c r="E45" s="473">
        <f t="shared" ca="1" si="3"/>
        <v>1</v>
      </c>
      <c r="F45" s="473"/>
      <c r="G45" s="473"/>
    </row>
    <row r="46" spans="2:8" ht="15.75" customHeight="1">
      <c r="B46" s="82" t="s">
        <v>804</v>
      </c>
      <c r="C46" s="459">
        <f ca="1">LnkTXTNeutralidade</f>
        <v>-46079.737896923471</v>
      </c>
      <c r="D46" s="478">
        <f ca="1">C46/Financeiros!$D$4</f>
        <v>-7.6597166003376565E-4</v>
      </c>
      <c r="E46" s="473">
        <f t="shared" ca="1" si="3"/>
        <v>1</v>
      </c>
      <c r="F46" s="473"/>
      <c r="G46" s="473"/>
    </row>
    <row r="47" spans="2:8" ht="15.75" hidden="1" customHeight="1">
      <c r="B47" s="83" t="str">
        <f>Financeiros!C23</f>
        <v>Manual de Contabilidade do Setor Elétrico</v>
      </c>
      <c r="C47" s="460">
        <f>Financeiros!D23</f>
        <v>0</v>
      </c>
      <c r="D47" s="478">
        <f ca="1">C47/Financeiros!$D$4</f>
        <v>0</v>
      </c>
      <c r="E47" s="473">
        <f t="shared" ca="1" si="3"/>
        <v>0</v>
      </c>
      <c r="F47" s="473"/>
      <c r="G47" s="473"/>
    </row>
    <row r="48" spans="2:8" ht="15.75" hidden="1" customHeight="1">
      <c r="B48" s="68" t="str">
        <f>Financeiros!C25</f>
        <v>Ajustes Processos anteriores</v>
      </c>
      <c r="C48" s="459">
        <f>Financeiros!D25</f>
        <v>0</v>
      </c>
      <c r="D48" s="478">
        <f ca="1">C48/Financeiros!$D$4</f>
        <v>0</v>
      </c>
      <c r="E48" s="473">
        <f t="shared" ca="1" si="3"/>
        <v>0</v>
      </c>
      <c r="F48" s="473"/>
      <c r="G48" s="473"/>
    </row>
    <row r="49" spans="2:5" ht="15.75" hidden="1" customHeight="1">
      <c r="B49" s="83" t="str">
        <f>Financeiros!C26</f>
        <v>Ajuste CUST + PISCONFINS Transmissão</v>
      </c>
      <c r="C49" s="460">
        <f>Financeiros!D26</f>
        <v>0</v>
      </c>
      <c r="D49" s="478">
        <f ca="1">C49/Financeiros!$D$4</f>
        <v>0</v>
      </c>
      <c r="E49" s="473">
        <f t="shared" ca="1" si="3"/>
        <v>0</v>
      </c>
    </row>
    <row r="50" spans="2:5" ht="15.75" customHeight="1">
      <c r="B50" s="68" t="str">
        <f>Financeiros!C27</f>
        <v>Compensação DIC FIC</v>
      </c>
      <c r="C50" s="460">
        <f>Financeiros!D27</f>
        <v>-245831.60901239348</v>
      </c>
      <c r="D50" s="478">
        <f ca="1">C50/Financeiros!$D$4</f>
        <v>-4.0863957617381886E-3</v>
      </c>
      <c r="E50" s="473">
        <f t="shared" ca="1" si="3"/>
        <v>1</v>
      </c>
    </row>
    <row r="51" spans="2:5" ht="15.75" customHeight="1">
      <c r="B51" s="68" t="str">
        <f>Financeiros!C28</f>
        <v>Subvenção CDE</v>
      </c>
      <c r="C51" s="460">
        <f ca="1">Financeiros!D28</f>
        <v>-21494204.354071971</v>
      </c>
      <c r="D51" s="478">
        <f ca="1">C51/Financeiros!$D$4</f>
        <v>-0.35729264404719463</v>
      </c>
      <c r="E51" s="473">
        <f t="shared" ca="1" si="3"/>
        <v>1</v>
      </c>
    </row>
    <row r="52" spans="2:5" ht="15.75" customHeight="1">
      <c r="B52" s="68" t="str">
        <f>Financeiros!C29</f>
        <v>Retenção de Adicionais de Bandeiras Tarifárias</v>
      </c>
      <c r="C52" s="460">
        <f>Financeiros!D29</f>
        <v>-586819.51200968993</v>
      </c>
      <c r="D52" s="478">
        <f ca="1">C52/Financeiros!$D$4</f>
        <v>-9.7545501834175284E-3</v>
      </c>
      <c r="E52" s="473">
        <f t="shared" ca="1" si="3"/>
        <v>1</v>
      </c>
    </row>
    <row r="53" spans="2:5" ht="15.75" hidden="1" customHeight="1">
      <c r="B53" s="68" t="str">
        <f>Financeiros!C30</f>
        <v>Multa LPT</v>
      </c>
      <c r="C53" s="460">
        <f>Financeiros!D30</f>
        <v>0</v>
      </c>
      <c r="D53" s="478">
        <f ca="1">C53/Financeiros!$D$4</f>
        <v>0</v>
      </c>
      <c r="E53" s="473">
        <f t="shared" ca="1" si="3"/>
        <v>0</v>
      </c>
    </row>
    <row r="54" spans="2:5" ht="15.75" hidden="1" customHeight="1">
      <c r="B54" s="68" t="str">
        <f>Financeiros!C34</f>
        <v>Ressarcimento P&amp;D</v>
      </c>
      <c r="C54" s="460">
        <f>Financeiros!D34</f>
        <v>0</v>
      </c>
      <c r="D54" s="478">
        <f ca="1">C54/Financeiros!$D$4</f>
        <v>0</v>
      </c>
      <c r="E54" s="473">
        <f t="shared" ca="1" si="3"/>
        <v>0</v>
      </c>
    </row>
    <row r="55" spans="2:5" ht="15.75" hidden="1" customHeight="1">
      <c r="B55" s="68" t="str">
        <f>Financeiros!C31</f>
        <v>Repasse de ICMS</v>
      </c>
      <c r="C55" s="460">
        <f>Financeiros!D31</f>
        <v>0</v>
      </c>
      <c r="D55" s="770">
        <f ca="1">C55/Financeiros!$D$4</f>
        <v>0</v>
      </c>
      <c r="E55" s="473">
        <f t="shared" ca="1" si="3"/>
        <v>0</v>
      </c>
    </row>
    <row r="56" spans="2:5" ht="15.75" customHeight="1">
      <c r="B56" s="68" t="str">
        <f>Financeiros!C36</f>
        <v>Previsão de Risco Hidrologico</v>
      </c>
      <c r="C56" s="460">
        <f ca="1">Financeiros!D36</f>
        <v>214701.29892110906</v>
      </c>
      <c r="D56" s="478">
        <f ca="1">C56/Financeiros!$D$4</f>
        <v>3.5689246044298259E-3</v>
      </c>
      <c r="E56" s="473">
        <f t="shared" ca="1" si="3"/>
        <v>1</v>
      </c>
    </row>
    <row r="57" spans="2:5" ht="15.75" hidden="1" customHeight="1">
      <c r="B57" s="68" t="str">
        <f>Financeiros!C37</f>
        <v>Efeito COVID da Supridora</v>
      </c>
      <c r="C57" s="460">
        <f>Financeiros!D37</f>
        <v>0</v>
      </c>
      <c r="D57" s="478">
        <f ca="1">C57/Financeiros!$D$4</f>
        <v>0</v>
      </c>
      <c r="E57" s="473">
        <f t="shared" ca="1" si="3"/>
        <v>0</v>
      </c>
    </row>
    <row r="58" spans="2:5" ht="15.75" hidden="1" customHeight="1">
      <c r="B58" s="68" t="str">
        <f>Financeiros!C38</f>
        <v>Crédito de Pis Cofins sobre ICMS</v>
      </c>
      <c r="C58" s="460">
        <f>Financeiros!D38</f>
        <v>0</v>
      </c>
      <c r="D58" s="478">
        <f ca="1">C58/Financeiros!$D$4</f>
        <v>0</v>
      </c>
      <c r="E58" s="473">
        <f t="shared" ca="1" si="3"/>
        <v>0</v>
      </c>
    </row>
    <row r="59" spans="2:5" ht="15.75" hidden="1" customHeight="1">
      <c r="B59" s="68" t="str">
        <f>Financeiros!C39</f>
        <v>Diferimento Pis Cofins TUSD</v>
      </c>
      <c r="C59" s="460">
        <f>Financeiros!D39</f>
        <v>0</v>
      </c>
      <c r="D59" s="478">
        <f ca="1">C59/Financeiros!$D$4</f>
        <v>0</v>
      </c>
      <c r="E59" s="473">
        <f t="shared" ca="1" si="3"/>
        <v>0</v>
      </c>
    </row>
    <row r="60" spans="2:5" ht="15.75" hidden="1" customHeight="1">
      <c r="B60" s="68" t="str">
        <f>Financeiros!C40</f>
        <v>Diferimento Pis Cofins TE</v>
      </c>
      <c r="C60" s="460">
        <f>Financeiros!D40</f>
        <v>0</v>
      </c>
      <c r="D60" s="478">
        <f ca="1">C60/Financeiros!$D$4</f>
        <v>0</v>
      </c>
      <c r="E60" s="473">
        <f t="shared" ca="1" si="3"/>
        <v>0</v>
      </c>
    </row>
    <row r="61" spans="2:5" ht="15.75" hidden="1" customHeight="1">
      <c r="B61" s="68" t="str">
        <f>Financeiros!C41</f>
        <v>Financeiros associados ao §7º do Art. 88 da Ren 414/2021</v>
      </c>
      <c r="C61" s="460">
        <f>Financeiros!D41</f>
        <v>0</v>
      </c>
      <c r="D61" s="478">
        <f ca="1">C61/Financeiros!$D$4</f>
        <v>0</v>
      </c>
      <c r="E61" s="473">
        <f t="shared" ca="1" si="3"/>
        <v>0</v>
      </c>
    </row>
    <row r="62" spans="2:5" ht="15.75" hidden="1" customHeight="1">
      <c r="B62" s="68">
        <f>Financeiros!C45</f>
        <v>0</v>
      </c>
      <c r="C62" s="460">
        <f>Financeiros!D45</f>
        <v>0</v>
      </c>
      <c r="D62" s="478">
        <f ca="1">C62/Financeiros!$D$4</f>
        <v>0</v>
      </c>
      <c r="E62" s="473">
        <f t="shared" ca="1" si="3"/>
        <v>0</v>
      </c>
    </row>
    <row r="63" spans="2:5" ht="15.75" hidden="1" customHeight="1">
      <c r="B63" s="68">
        <f>Financeiros!C46</f>
        <v>0</v>
      </c>
      <c r="C63" s="460">
        <f>Financeiros!D46</f>
        <v>0</v>
      </c>
      <c r="D63" s="478">
        <f ca="1">C63/Financeiros!$D$4</f>
        <v>0</v>
      </c>
      <c r="E63" s="473">
        <f t="shared" ca="1" si="3"/>
        <v>0</v>
      </c>
    </row>
    <row r="64" spans="2:5" ht="15.75" hidden="1" customHeight="1">
      <c r="B64" s="68">
        <f>Financeiros!C47</f>
        <v>0</v>
      </c>
      <c r="C64" s="460">
        <f>Financeiros!D47</f>
        <v>0</v>
      </c>
      <c r="D64" s="478">
        <f ca="1">C64/Financeiros!$D$4</f>
        <v>0</v>
      </c>
      <c r="E64" s="473">
        <f t="shared" ca="1" si="3"/>
        <v>0</v>
      </c>
    </row>
    <row r="65" spans="2:5" ht="15.75" hidden="1" customHeight="1">
      <c r="B65" s="68" t="str">
        <f>Financeiros!C48</f>
        <v>CVE ccc</v>
      </c>
      <c r="C65" s="460">
        <f>Financeiros!D48</f>
        <v>0</v>
      </c>
      <c r="D65" s="478">
        <f ca="1">C65/Financeiros!$D$4</f>
        <v>0</v>
      </c>
      <c r="E65" s="473">
        <f t="shared" ca="1" si="3"/>
        <v>0</v>
      </c>
    </row>
    <row r="66" spans="2:5" ht="15.75" hidden="1" customHeight="1">
      <c r="B66" s="68" t="str">
        <f>Financeiros!C49</f>
        <v>CVE cde</v>
      </c>
      <c r="C66" s="460">
        <f>Financeiros!D49</f>
        <v>0</v>
      </c>
      <c r="D66" s="478">
        <f ca="1">C66/Financeiros!$D$4</f>
        <v>0</v>
      </c>
      <c r="E66" s="473">
        <f t="shared" ca="1" si="3"/>
        <v>0</v>
      </c>
    </row>
    <row r="67" spans="2:5" ht="15.75" hidden="1" customHeight="1">
      <c r="B67" s="68" t="str">
        <f>Financeiros!C50</f>
        <v>CVE cde energia</v>
      </c>
      <c r="C67" s="460">
        <f>Financeiros!D50</f>
        <v>0</v>
      </c>
      <c r="D67" s="478">
        <f ca="1">C67/Financeiros!$D$4</f>
        <v>0</v>
      </c>
      <c r="E67" s="473">
        <f t="shared" ca="1" si="3"/>
        <v>0</v>
      </c>
    </row>
    <row r="68" spans="2:5" ht="15.75" hidden="1" customHeight="1">
      <c r="B68" s="68" t="str">
        <f>Financeiros!C51</f>
        <v>CVE RB - Nodal</v>
      </c>
      <c r="C68" s="460">
        <f>Financeiros!D51</f>
        <v>0</v>
      </c>
      <c r="D68" s="478">
        <f ca="1">C68/Financeiros!$D$4</f>
        <v>0</v>
      </c>
      <c r="E68" s="473">
        <f t="shared" ca="1" si="3"/>
        <v>0</v>
      </c>
    </row>
    <row r="69" spans="2:5" ht="15.75" hidden="1" customHeight="1">
      <c r="B69" s="68" t="str">
        <f>Financeiros!C52</f>
        <v>CVE RB - Fronteira</v>
      </c>
      <c r="C69" s="460">
        <f>Financeiros!D52</f>
        <v>0</v>
      </c>
      <c r="D69" s="478">
        <f ca="1">C69/Financeiros!$D$4</f>
        <v>0</v>
      </c>
      <c r="E69" s="473">
        <f t="shared" ca="1" si="3"/>
        <v>0</v>
      </c>
    </row>
    <row r="70" spans="2:5" ht="15.75" hidden="1" customHeight="1">
      <c r="B70" s="68" t="str">
        <f>Financeiros!C53</f>
        <v>CVE RB - TUSDg EXP</v>
      </c>
      <c r="C70" s="460">
        <f>Financeiros!D53</f>
        <v>0</v>
      </c>
      <c r="D70" s="478">
        <f ca="1">C70/Financeiros!$D$4</f>
        <v>0</v>
      </c>
      <c r="E70" s="473">
        <f t="shared" ca="1" si="3"/>
        <v>0</v>
      </c>
    </row>
    <row r="71" spans="2:5" ht="15.75" hidden="1" customHeight="1">
      <c r="B71" s="68" t="str">
        <f>Financeiros!C54</f>
        <v>CVE RB - TUSDg ONS</v>
      </c>
      <c r="C71" s="460">
        <f>Financeiros!D54</f>
        <v>0</v>
      </c>
      <c r="D71" s="478">
        <f ca="1">C71/Financeiros!$D$4</f>
        <v>0</v>
      </c>
      <c r="E71" s="473">
        <f t="shared" ca="1" si="3"/>
        <v>0</v>
      </c>
    </row>
    <row r="72" spans="2:5" ht="15.75" hidden="1" customHeight="1">
      <c r="B72" s="68" t="str">
        <f>Financeiros!C55</f>
        <v>CVE RB - EUST Itaipu</v>
      </c>
      <c r="C72" s="460">
        <f>Financeiros!D55</f>
        <v>0</v>
      </c>
      <c r="D72" s="478">
        <f ca="1">C72/Financeiros!$D$4</f>
        <v>0</v>
      </c>
      <c r="E72" s="473">
        <f t="shared" ca="1" si="3"/>
        <v>0</v>
      </c>
    </row>
    <row r="73" spans="2:5" ht="15.75" hidden="1" customHeight="1">
      <c r="B73" s="68" t="str">
        <f>Financeiros!C56</f>
        <v>CVE- Transporte Itaipu</v>
      </c>
      <c r="C73" s="460">
        <f>Financeiros!D56</f>
        <v>0</v>
      </c>
      <c r="D73" s="478">
        <f ca="1">C73/Financeiros!$D$4</f>
        <v>0</v>
      </c>
      <c r="E73" s="473">
        <f t="shared" ca="1" si="3"/>
        <v>0</v>
      </c>
    </row>
    <row r="74" spans="2:5" ht="15.75" hidden="1" customHeight="1">
      <c r="B74" s="68" t="str">
        <f>Financeiros!C57</f>
        <v>CVE - Energia - Energia de Revenda</v>
      </c>
      <c r="C74" s="460">
        <f ca="1">Financeiros!D57</f>
        <v>0</v>
      </c>
      <c r="D74" s="478">
        <f ca="1">C74/Financeiros!$D$4</f>
        <v>0</v>
      </c>
      <c r="E74" s="473">
        <f t="shared" ca="1" si="3"/>
        <v>0</v>
      </c>
    </row>
    <row r="75" spans="2:5" ht="15.75" hidden="1" customHeight="1">
      <c r="B75" s="68" t="str">
        <f>Financeiros!C58</f>
        <v>CVE - Energia - Perda Não Técnica</v>
      </c>
      <c r="C75" s="460">
        <f ca="1">Financeiros!D58</f>
        <v>0</v>
      </c>
      <c r="D75" s="478">
        <f ca="1">C75/Financeiros!$D$4</f>
        <v>0</v>
      </c>
      <c r="E75" s="473">
        <f t="shared" ca="1" si="3"/>
        <v>0</v>
      </c>
    </row>
    <row r="76" spans="2:5" ht="15.75" hidden="1" customHeight="1">
      <c r="B76" s="68" t="str">
        <f>Financeiros!C59</f>
        <v>CVE - Energia - Perda Técnica</v>
      </c>
      <c r="C76" s="460">
        <f ca="1">Financeiros!D59</f>
        <v>0</v>
      </c>
      <c r="D76" s="478">
        <f ca="1">C76/Financeiros!$D$4</f>
        <v>0</v>
      </c>
      <c r="E76" s="473">
        <f t="shared" ca="1" si="3"/>
        <v>0</v>
      </c>
    </row>
    <row r="77" spans="2:5" ht="15.75" hidden="1" customHeight="1">
      <c r="B77" s="68" t="str">
        <f>Financeiros!C60</f>
        <v>CVE - Energia -  Perda de RB sobre a distribuição</v>
      </c>
      <c r="C77" s="460">
        <f ca="1">Financeiros!D60</f>
        <v>0</v>
      </c>
      <c r="D77" s="478">
        <f ca="1">C77/Financeiros!$D$4</f>
        <v>0</v>
      </c>
      <c r="E77" s="473">
        <f t="shared" ca="1" si="3"/>
        <v>0</v>
      </c>
    </row>
    <row r="78" spans="2:5" ht="15.75" hidden="1" customHeight="1">
      <c r="B78" s="68" t="str">
        <f>Financeiros!C61</f>
        <v>CVE - Energia -  Perda de RB sobre o mercado cativo</v>
      </c>
      <c r="C78" s="460">
        <f ca="1">Financeiros!D61</f>
        <v>0</v>
      </c>
      <c r="D78" s="478">
        <f ca="1">C78/Financeiros!$D$4</f>
        <v>0</v>
      </c>
      <c r="E78" s="473">
        <f t="shared" ca="1" si="3"/>
        <v>0</v>
      </c>
    </row>
    <row r="79" spans="2:5" ht="15.75" hidden="1" customHeight="1">
      <c r="B79" s="68" t="str">
        <f>Financeiros!C62</f>
        <v>CVE - Encargos - PROINFA</v>
      </c>
      <c r="C79" s="460">
        <f ca="1">Financeiros!D62</f>
        <v>0</v>
      </c>
      <c r="D79" s="478">
        <f ca="1">C79/Financeiros!$D$4</f>
        <v>0</v>
      </c>
      <c r="E79" s="473">
        <f t="shared" ca="1" si="3"/>
        <v>0</v>
      </c>
    </row>
    <row r="80" spans="2:5" ht="15.75" hidden="1" customHeight="1">
      <c r="B80" s="68" t="str">
        <f>Financeiros!C63</f>
        <v>CVE - Encargos - CFURH</v>
      </c>
      <c r="C80" s="460">
        <f>Financeiros!D63</f>
        <v>0</v>
      </c>
      <c r="D80" s="478">
        <f ca="1">C80/Financeiros!$D$4</f>
        <v>0</v>
      </c>
      <c r="E80" s="473">
        <f t="shared" ca="1" si="3"/>
        <v>0</v>
      </c>
    </row>
    <row r="81" spans="2:5" ht="15.75" hidden="1" customHeight="1">
      <c r="B81" s="68" t="str">
        <f>Financeiros!C64</f>
        <v>CVE - Encargos - ESS/EER</v>
      </c>
      <c r="C81" s="460">
        <f>Financeiros!D64</f>
        <v>0</v>
      </c>
      <c r="D81" s="478">
        <f ca="1">C81/Financeiros!$D$4</f>
        <v>0</v>
      </c>
      <c r="E81" s="473">
        <f t="shared" ca="1" si="3"/>
        <v>0</v>
      </c>
    </row>
    <row r="82" spans="2:5" ht="15.75" hidden="1" customHeight="1">
      <c r="B82" s="68" t="str">
        <f>Financeiros!C65</f>
        <v>Conta Escassez H. - Importação julho- agosto/2021 - RTA 2022 - Energia de Revenda</v>
      </c>
      <c r="C82" s="460">
        <f ca="1">Financeiros!D65</f>
        <v>0</v>
      </c>
      <c r="D82" s="478">
        <f ca="1">C82/Financeiros!$D$4</f>
        <v>0</v>
      </c>
      <c r="E82" s="473">
        <f t="shared" ca="1" si="3"/>
        <v>0</v>
      </c>
    </row>
    <row r="83" spans="2:5" ht="15.75" hidden="1" customHeight="1">
      <c r="B83" s="68" t="str">
        <f>Financeiros!C66</f>
        <v>Conta Escassez H. - Importação julho- agosto/2021 - RTA 2022 - Perda Não Técnica</v>
      </c>
      <c r="C83" s="460">
        <f ca="1">Financeiros!D66</f>
        <v>0</v>
      </c>
      <c r="D83" s="478">
        <f ca="1">C83/Financeiros!$D$4</f>
        <v>0</v>
      </c>
      <c r="E83" s="473">
        <f t="shared" ca="1" si="3"/>
        <v>0</v>
      </c>
    </row>
    <row r="84" spans="2:5" ht="15.75" hidden="1" customHeight="1">
      <c r="B84" s="68" t="str">
        <f>Financeiros!C67</f>
        <v>Conta Escassez H. - Importação julho- agosto/2021 - RTA 2022 - Perda Técnica</v>
      </c>
      <c r="C84" s="460">
        <f ca="1">Financeiros!D67</f>
        <v>0</v>
      </c>
      <c r="D84" s="478">
        <f ca="1">C84/Financeiros!$D$4</f>
        <v>0</v>
      </c>
      <c r="E84" s="473">
        <f t="shared" ca="1" si="3"/>
        <v>0</v>
      </c>
    </row>
    <row r="85" spans="2:5" ht="15.75" hidden="1" customHeight="1">
      <c r="B85" s="68" t="str">
        <f>Financeiros!C68</f>
        <v>Conta Escassez H. - Importação julho- agosto/2021 - RTA 2022 - Perda RB Perda RB sobre Dist.</v>
      </c>
      <c r="C85" s="460">
        <f ca="1">Financeiros!D68</f>
        <v>0</v>
      </c>
      <c r="D85" s="478">
        <f ca="1">C85/Financeiros!$D$4</f>
        <v>0</v>
      </c>
      <c r="E85" s="473">
        <f t="shared" ca="1" si="3"/>
        <v>0</v>
      </c>
    </row>
    <row r="86" spans="2:5" ht="15.75" hidden="1" customHeight="1">
      <c r="B86" s="68" t="str">
        <f>Financeiros!C69</f>
        <v>Conta Escassez H. - Importação julho- agosto/2021 - RTA 2022 - Perda RB sobre Merc. Cat.</v>
      </c>
      <c r="C86" s="460">
        <f ca="1">Financeiros!D69</f>
        <v>0</v>
      </c>
      <c r="D86" s="478">
        <f ca="1">C86/Financeiros!$D$4</f>
        <v>0</v>
      </c>
      <c r="E86" s="473">
        <f t="shared" ca="1" si="3"/>
        <v>0</v>
      </c>
    </row>
    <row r="87" spans="2:5" ht="15.75" hidden="1" customHeight="1">
      <c r="B87" s="68" t="str">
        <f>Financeiros!C70</f>
        <v>Conta Escassez H. - Bônus Redução Voluntária</v>
      </c>
      <c r="C87" s="460">
        <f>Financeiros!D70</f>
        <v>0</v>
      </c>
      <c r="D87" s="478">
        <f ca="1">C87/Financeiros!$D$4</f>
        <v>0</v>
      </c>
      <c r="E87" s="473">
        <f t="shared" ca="1" si="3"/>
        <v>0</v>
      </c>
    </row>
    <row r="88" spans="2:5" ht="15.75" hidden="1" customHeight="1">
      <c r="B88" s="68" t="str">
        <f>Financeiros!C71</f>
        <v>Conta Escassez H. - Diferimento de energia - RTA 2022 - Energia de Revenda</v>
      </c>
      <c r="C88" s="460">
        <f ca="1">Financeiros!D71</f>
        <v>0</v>
      </c>
      <c r="D88" s="478">
        <f ca="1">C88/Financeiros!$D$4</f>
        <v>0</v>
      </c>
      <c r="E88" s="473">
        <f t="shared" ca="1" si="3"/>
        <v>0</v>
      </c>
    </row>
    <row r="89" spans="2:5" ht="15.75" hidden="1" customHeight="1">
      <c r="B89" s="68" t="str">
        <f>Financeiros!C72</f>
        <v>Conta Escassez H. - Diferimento de energia - RTA 2022 - Perda Não Técnica</v>
      </c>
      <c r="C89" s="460">
        <f ca="1">Financeiros!D72</f>
        <v>0</v>
      </c>
      <c r="D89" s="478">
        <f ca="1">C89/Financeiros!$D$4</f>
        <v>0</v>
      </c>
      <c r="E89" s="473">
        <f t="shared" ca="1" si="3"/>
        <v>0</v>
      </c>
    </row>
    <row r="90" spans="2:5" ht="15.75" hidden="1" customHeight="1">
      <c r="B90" s="68" t="str">
        <f>Financeiros!C73</f>
        <v>Conta Escassez H. - Diferimento de energia - RTA 2022 - Perda Técnica</v>
      </c>
      <c r="C90" s="460">
        <f ca="1">Financeiros!D73</f>
        <v>0</v>
      </c>
      <c r="D90" s="478">
        <f ca="1">C90/Financeiros!$D$4</f>
        <v>0</v>
      </c>
      <c r="E90" s="473">
        <f t="shared" ca="1" si="3"/>
        <v>0</v>
      </c>
    </row>
    <row r="91" spans="2:5" ht="15.75" hidden="1" customHeight="1">
      <c r="B91" s="68" t="str">
        <f>Financeiros!C74</f>
        <v>Conta Escassez H. - Diferimento de energia - RTA 2022 - Perda RB Perda RB sobre Dist.</v>
      </c>
      <c r="C91" s="460">
        <f ca="1">Financeiros!D74</f>
        <v>0</v>
      </c>
      <c r="D91" s="478">
        <f ca="1">C91/Financeiros!$D$4</f>
        <v>0</v>
      </c>
      <c r="E91" s="473">
        <f t="shared" ca="1" si="3"/>
        <v>0</v>
      </c>
    </row>
    <row r="92" spans="2:5" ht="15.75" hidden="1" customHeight="1">
      <c r="B92" s="68" t="str">
        <f>Financeiros!C75</f>
        <v>Conta Escassez H. - Diferimento de energia - RTA 2022 - Perda RB sobre Merc. Cat.</v>
      </c>
      <c r="C92" s="460">
        <f ca="1">Financeiros!D75</f>
        <v>0</v>
      </c>
      <c r="D92" s="478">
        <f ca="1">C92/Financeiros!$D$4</f>
        <v>0</v>
      </c>
      <c r="E92" s="473">
        <f t="shared" ca="1" si="3"/>
        <v>0</v>
      </c>
    </row>
    <row r="93" spans="2:5" ht="15.75" hidden="1" customHeight="1">
      <c r="B93" s="68">
        <f>Financeiros!C76</f>
        <v>0</v>
      </c>
      <c r="C93" s="460">
        <f>Financeiros!D76</f>
        <v>0</v>
      </c>
      <c r="D93" s="478">
        <f ca="1">C93/Financeiros!$D$4</f>
        <v>0</v>
      </c>
      <c r="E93" s="473">
        <f t="shared" ca="1" si="3"/>
        <v>0</v>
      </c>
    </row>
    <row r="94" spans="2:5" ht="15.75" hidden="1" customHeight="1">
      <c r="B94" s="68">
        <f>Financeiros!C77</f>
        <v>0</v>
      </c>
      <c r="C94" s="460">
        <f>Financeiros!D77</f>
        <v>0</v>
      </c>
      <c r="D94" s="478">
        <f ca="1">C94/Financeiros!$D$4</f>
        <v>0</v>
      </c>
      <c r="E94" s="473">
        <f t="shared" ca="1" si="3"/>
        <v>0</v>
      </c>
    </row>
    <row r="95" spans="2:5" ht="15.75" hidden="1" customHeight="1">
      <c r="B95" s="68">
        <f>Financeiros!C78</f>
        <v>0</v>
      </c>
      <c r="C95" s="460">
        <f>Financeiros!D78</f>
        <v>0</v>
      </c>
      <c r="D95" s="478">
        <f ca="1">C95/Financeiros!$D$4</f>
        <v>0</v>
      </c>
      <c r="E95" s="473">
        <f t="shared" ca="1" si="3"/>
        <v>0</v>
      </c>
    </row>
    <row r="96" spans="2:5" ht="15.75" hidden="1" customHeight="1">
      <c r="B96" s="68">
        <f>Financeiros!C79</f>
        <v>0</v>
      </c>
      <c r="C96" s="460">
        <f>Financeiros!D79</f>
        <v>0</v>
      </c>
      <c r="D96" s="478">
        <f ca="1">C96/Financeiros!$D$4</f>
        <v>0</v>
      </c>
      <c r="E96" s="473">
        <f t="shared" ca="1" si="3"/>
        <v>0</v>
      </c>
    </row>
    <row r="97" spans="2:5" ht="15.75" hidden="1" customHeight="1">
      <c r="B97" s="68">
        <f>Financeiros!C80</f>
        <v>0</v>
      </c>
      <c r="C97" s="460">
        <f>Financeiros!D80</f>
        <v>0</v>
      </c>
      <c r="D97" s="478">
        <f ca="1">C97/Financeiros!$D$4</f>
        <v>0</v>
      </c>
      <c r="E97" s="473">
        <f t="shared" ca="1" si="3"/>
        <v>0</v>
      </c>
    </row>
    <row r="98" spans="2:5" ht="15.75" hidden="1" customHeight="1">
      <c r="B98" s="68">
        <f>Financeiros!C81</f>
        <v>0</v>
      </c>
      <c r="C98" s="460">
        <f>Financeiros!D81</f>
        <v>0</v>
      </c>
      <c r="D98" s="478">
        <f ca="1">C98/Financeiros!$D$4</f>
        <v>0</v>
      </c>
      <c r="E98" s="473">
        <f t="shared" ca="1" si="3"/>
        <v>0</v>
      </c>
    </row>
    <row r="99" spans="2:5" ht="15.75" hidden="1" customHeight="1">
      <c r="B99" s="824" t="str">
        <f>Financeiros!C82</f>
        <v>Reversão de Risco Hidrológico</v>
      </c>
      <c r="C99" s="1015">
        <f ca="1">Financeiros!D82</f>
        <v>0</v>
      </c>
      <c r="D99" s="1016">
        <f ca="1">C99/Financeiros!$D$4</f>
        <v>0</v>
      </c>
      <c r="E99" s="473">
        <f t="shared" ca="1" si="3"/>
        <v>0</v>
      </c>
    </row>
    <row r="100" spans="2:5" ht="15.75" customHeight="1">
      <c r="B100" s="736"/>
      <c r="C100" s="1017"/>
      <c r="D100" s="1018"/>
    </row>
    <row r="101" spans="2:5" ht="15.75" customHeight="1">
      <c r="C101" s="460"/>
      <c r="D101" s="478"/>
    </row>
    <row r="102" spans="2:5" ht="15.75" customHeight="1">
      <c r="C102" s="460"/>
      <c r="D102" s="478"/>
    </row>
    <row r="103" spans="2:5" ht="15.75" customHeight="1">
      <c r="C103" s="460"/>
      <c r="D103" s="478"/>
    </row>
    <row r="104" spans="2:5" ht="15.75" customHeight="1">
      <c r="C104" s="460"/>
      <c r="D104" s="478"/>
    </row>
    <row r="105" spans="2:5" ht="15.75" customHeight="1">
      <c r="C105" s="460"/>
      <c r="D105" s="478"/>
    </row>
    <row r="106" spans="2:5" ht="15.75" customHeight="1">
      <c r="C106" s="460"/>
      <c r="D106" s="478"/>
    </row>
    <row r="107" spans="2:5" ht="15.75" customHeight="1">
      <c r="C107" s="460"/>
      <c r="D107" s="478"/>
    </row>
    <row r="108" spans="2:5" ht="15.75" customHeight="1">
      <c r="C108" s="460"/>
      <c r="D108" s="478"/>
    </row>
    <row r="109" spans="2:5" ht="15.75" customHeight="1">
      <c r="C109" s="460"/>
      <c r="D109" s="478"/>
    </row>
    <row r="110" spans="2:5" ht="15.75" customHeight="1">
      <c r="C110" s="460"/>
      <c r="D110" s="478"/>
    </row>
    <row r="111" spans="2:5" ht="15.75" customHeight="1">
      <c r="C111" s="460"/>
      <c r="D111" s="478"/>
    </row>
    <row r="112" spans="2:5" ht="15.75" customHeight="1">
      <c r="C112" s="460"/>
      <c r="D112" s="478"/>
    </row>
    <row r="113" spans="3:4" ht="15.75" customHeight="1">
      <c r="C113" s="460"/>
      <c r="D113" s="47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92"/>
  <sheetViews>
    <sheetView showGridLines="0" topLeftCell="AD137" zoomScale="88" zoomScaleNormal="88" workbookViewId="0">
      <selection activeCell="AD234" sqref="AD234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5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3" t="s">
        <v>805</v>
      </c>
      <c r="E2" s="303" t="s">
        <v>806</v>
      </c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</row>
    <row r="4" spans="2:49" ht="15" customHeight="1">
      <c r="B4" s="304" t="s">
        <v>807</v>
      </c>
    </row>
    <row r="5" spans="2:49" ht="15" customHeight="1">
      <c r="B5" s="304" t="s">
        <v>808</v>
      </c>
      <c r="AC5" s="23" t="str">
        <f ca="1">IF(AW265&gt;AW262,"um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inferior</v>
      </c>
    </row>
    <row r="6" spans="2:49" ht="15" customHeight="1">
      <c r="B6" s="304" t="s">
        <v>809</v>
      </c>
      <c r="K6" s="358" t="s">
        <v>810</v>
      </c>
      <c r="L6" s="308"/>
      <c r="S6" s="358" t="s">
        <v>810</v>
      </c>
      <c r="T6" s="358"/>
      <c r="U6" s="358"/>
      <c r="V6" s="358"/>
      <c r="AC6" s="23" t="str">
        <f>IF(LnkTXTSuprid2="!vazio!","","s")</f>
        <v/>
      </c>
      <c r="AD6" s="23">
        <f>SMALL(N41:N42,1)</f>
        <v>0</v>
      </c>
      <c r="AE6" s="23">
        <f>SMALL(Q41:Q42,1)</f>
        <v>0</v>
      </c>
    </row>
    <row r="7" spans="2:49" ht="18.75" customHeight="1">
      <c r="B7" s="304" t="s">
        <v>811</v>
      </c>
      <c r="K7" s="1167" t="s">
        <v>812</v>
      </c>
      <c r="L7" s="1167" t="s">
        <v>813</v>
      </c>
      <c r="S7" s="1745" t="s">
        <v>814</v>
      </c>
      <c r="T7" s="1745"/>
      <c r="U7" s="1745"/>
      <c r="V7" s="301" t="s">
        <v>815</v>
      </c>
      <c r="W7" s="301" t="s">
        <v>816</v>
      </c>
      <c r="X7" s="60" t="s">
        <v>817</v>
      </c>
    </row>
    <row r="8" spans="2:49" ht="15" customHeight="1">
      <c r="B8" s="306" t="s">
        <v>818</v>
      </c>
      <c r="K8" s="358" t="s">
        <v>819</v>
      </c>
      <c r="L8" s="20">
        <f ca="1">Resultado!E14</f>
        <v>4.1685245095104587E-2</v>
      </c>
      <c r="S8" s="47" t="s">
        <v>820</v>
      </c>
      <c r="T8" s="369">
        <f ca="1">U8/$U$15</f>
        <v>0.41801397118921274</v>
      </c>
      <c r="U8" s="56">
        <f>AU228</f>
        <v>34000000</v>
      </c>
      <c r="V8" s="61" t="s">
        <v>232</v>
      </c>
      <c r="W8" s="62">
        <f ca="1">T12</f>
        <v>0.17733302397334957</v>
      </c>
      <c r="X8" s="62">
        <f ca="1">W8/(1-$W$10)</f>
        <v>0.21748295776362991</v>
      </c>
    </row>
    <row r="9" spans="2:49" ht="15" customHeight="1">
      <c r="B9" s="306" t="s">
        <v>821</v>
      </c>
      <c r="K9" s="365" t="s">
        <v>793</v>
      </c>
      <c r="L9" s="366">
        <f ca="1">Resultado!E24</f>
        <v>1.9054605043345628E-2</v>
      </c>
      <c r="S9" s="47" t="s">
        <v>822</v>
      </c>
      <c r="T9" s="369">
        <f ca="1">U9/$U$15</f>
        <v>0.19027029902834705</v>
      </c>
      <c r="U9" s="56">
        <f ca="1">AU219</f>
        <v>15476014.231197888</v>
      </c>
      <c r="V9" s="47" t="s">
        <v>823</v>
      </c>
      <c r="W9" s="57">
        <f ca="1">T13</f>
        <v>7.2788380462807068E-3</v>
      </c>
      <c r="X9" s="62">
        <f ca="1">W9/(1-$W$10)</f>
        <v>8.9268382838014054E-3</v>
      </c>
      <c r="AD9" s="425"/>
      <c r="AE9" s="425"/>
    </row>
    <row r="10" spans="2:49" ht="27.75" customHeight="1">
      <c r="B10" s="306" t="s">
        <v>824</v>
      </c>
      <c r="K10" s="358" t="s">
        <v>825</v>
      </c>
      <c r="L10" s="25">
        <f ca="1">Resultado!E33</f>
        <v>-3.9437776076652171E-2</v>
      </c>
      <c r="S10" s="47" t="s">
        <v>826</v>
      </c>
      <c r="T10" s="369">
        <f ca="1">U10/$U$15</f>
        <v>0.1201242485743126</v>
      </c>
      <c r="U10" s="56">
        <f>AU221</f>
        <v>9770545.3238976002</v>
      </c>
      <c r="V10" s="1168" t="s">
        <v>827</v>
      </c>
      <c r="W10" s="1169">
        <f ca="1">SUM(W8:W9)</f>
        <v>0.18461186201963029</v>
      </c>
      <c r="X10" s="1169">
        <f ca="1">SUM(X8:X9)</f>
        <v>0.22640979604743133</v>
      </c>
      <c r="AE10" s="425"/>
    </row>
    <row r="11" spans="2:49" ht="15" customHeight="1">
      <c r="B11" s="304" t="s">
        <v>822</v>
      </c>
      <c r="K11" s="358" t="s">
        <v>828</v>
      </c>
      <c r="L11" s="25">
        <f ca="1">Resultado!E39</f>
        <v>8.1138555228116485E-2</v>
      </c>
      <c r="S11" s="1170" t="s">
        <v>819</v>
      </c>
      <c r="T11" s="1171">
        <f ca="1">U11/$U$15</f>
        <v>8.6979619188497379E-2</v>
      </c>
      <c r="U11" s="1172">
        <f ca="1">AU208</f>
        <v>7074660.7918286426</v>
      </c>
      <c r="V11" s="56"/>
      <c r="AE11" s="425"/>
      <c r="AK11" s="358"/>
      <c r="AL11" s="358"/>
      <c r="AP11" s="358"/>
      <c r="AQ11" s="358"/>
      <c r="AR11" s="358"/>
      <c r="AS11" s="358"/>
      <c r="AT11" s="358"/>
      <c r="AU11" s="358"/>
      <c r="AV11" s="358"/>
      <c r="AW11" s="358"/>
    </row>
    <row r="12" spans="2:49" ht="15" customHeight="1">
      <c r="B12" s="306" t="s">
        <v>829</v>
      </c>
      <c r="K12" s="23" t="s">
        <v>800</v>
      </c>
      <c r="L12" s="19">
        <f ca="1">LnkTXTIRTFin</f>
        <v>-0.34639999999999999</v>
      </c>
      <c r="S12" s="47" t="s">
        <v>232</v>
      </c>
      <c r="T12" s="57">
        <f ca="1">Calc_Mercado!J8</f>
        <v>0.17733302397334957</v>
      </c>
      <c r="U12" s="56">
        <f ca="1">T12*U15</f>
        <v>14423735.163542492</v>
      </c>
      <c r="V12" s="56"/>
      <c r="AD12" s="425"/>
      <c r="AE12" s="425"/>
      <c r="AM12" s="358"/>
      <c r="AP12" s="358"/>
      <c r="AQ12" s="358"/>
      <c r="AR12" s="358"/>
      <c r="AS12" s="358"/>
      <c r="AT12" s="358"/>
      <c r="AU12" s="358"/>
      <c r="AV12" s="358"/>
      <c r="AW12" s="358"/>
    </row>
    <row r="13" spans="2:49" ht="15" customHeight="1">
      <c r="B13" s="306" t="s">
        <v>800</v>
      </c>
      <c r="K13" s="23" t="s">
        <v>830</v>
      </c>
      <c r="L13" s="19">
        <f ca="1">LnkTXTERFIN</f>
        <v>0.38319999999999999</v>
      </c>
      <c r="S13" s="47" t="s">
        <v>831</v>
      </c>
      <c r="T13" s="58">
        <f ca="1">Calc_Mercado!J9</f>
        <v>7.2788380462807068E-3</v>
      </c>
      <c r="U13" s="56">
        <f ca="1">T13*U15</f>
        <v>592038.80882135103</v>
      </c>
      <c r="V13" s="56"/>
      <c r="AM13" s="358"/>
      <c r="AP13" s="358"/>
      <c r="AQ13" s="358"/>
      <c r="AR13" s="358"/>
      <c r="AS13" s="358"/>
      <c r="AT13" s="358"/>
      <c r="AU13" s="358"/>
      <c r="AV13" s="358"/>
      <c r="AW13" s="358"/>
    </row>
    <row r="14" spans="2:49" ht="15" customHeight="1">
      <c r="B14" s="306" t="s">
        <v>832</v>
      </c>
      <c r="K14" s="358" t="s">
        <v>833</v>
      </c>
      <c r="L14" s="366">
        <f>LnkTXTEfeito</f>
        <v>0.13924834283945997</v>
      </c>
      <c r="S14" s="47" t="s">
        <v>834</v>
      </c>
      <c r="T14" s="369">
        <f ca="1">SUM(T12:T13)</f>
        <v>0.18461186201963029</v>
      </c>
      <c r="U14" s="56">
        <f ca="1">SUM(U12:U13)</f>
        <v>15015773.972363843</v>
      </c>
      <c r="V14" s="56"/>
      <c r="AD14" s="23" t="s">
        <v>109</v>
      </c>
      <c r="AE14" s="23" t="s">
        <v>120</v>
      </c>
      <c r="AF14" s="23" t="s">
        <v>793</v>
      </c>
      <c r="AG14" s="23" t="s">
        <v>782</v>
      </c>
      <c r="AM14" s="358"/>
      <c r="AP14" s="358"/>
      <c r="AQ14" s="358"/>
      <c r="AR14" s="358"/>
      <c r="AS14" s="358"/>
      <c r="AT14" s="358"/>
      <c r="AU14" s="358"/>
      <c r="AV14" s="358"/>
      <c r="AW14" s="358"/>
    </row>
    <row r="15" spans="2:49" ht="15" customHeight="1">
      <c r="B15" s="63" t="s">
        <v>835</v>
      </c>
      <c r="S15" s="1168" t="s">
        <v>836</v>
      </c>
      <c r="T15" s="1173">
        <f ca="1">SUM(T8:T11)+T14</f>
        <v>1</v>
      </c>
      <c r="U15" s="1174">
        <f ca="1">SUM(U8:U11)/(1-T14)</f>
        <v>81336994.319287971</v>
      </c>
      <c r="V15" s="665"/>
      <c r="AC15" s="23" t="s">
        <v>837</v>
      </c>
      <c r="AD15" s="425">
        <f ca="1">Resultado!C39</f>
        <v>29118822.85816966</v>
      </c>
      <c r="AE15" s="425">
        <f ca="1">Resultado!C33</f>
        <v>17848533.31991924</v>
      </c>
      <c r="AF15" s="425">
        <f ca="1">Resultado!C24</f>
        <v>8624248.0756572969</v>
      </c>
      <c r="AG15" s="425">
        <f ca="1">Resultado!C14</f>
        <v>4566937.2448938135</v>
      </c>
      <c r="AM15" s="358"/>
      <c r="AP15" s="358"/>
      <c r="AQ15" s="358"/>
      <c r="AR15" s="358"/>
      <c r="AS15" s="358"/>
      <c r="AT15" s="358"/>
    </row>
    <row r="16" spans="2:49" ht="15" customHeight="1">
      <c r="B16" s="306" t="s">
        <v>838</v>
      </c>
      <c r="AC16" s="23" t="s">
        <v>839</v>
      </c>
      <c r="AD16" s="425">
        <f>Resultado!D39</f>
        <v>34000000</v>
      </c>
      <c r="AE16" s="425">
        <f ca="1">Resultado!D33</f>
        <v>15476014.231197888</v>
      </c>
      <c r="AF16" s="425">
        <f>Resultado!D24</f>
        <v>9770545.3238976002</v>
      </c>
      <c r="AG16" s="425">
        <f ca="1">Resultado!D14</f>
        <v>7074660.7918286426</v>
      </c>
      <c r="AM16" s="358"/>
      <c r="AP16" s="358"/>
      <c r="AQ16" s="358"/>
      <c r="AR16" s="358"/>
      <c r="AS16" s="358"/>
      <c r="AT16" s="358"/>
    </row>
    <row r="17" spans="2:46" ht="15" customHeight="1">
      <c r="B17" s="306" t="s">
        <v>704</v>
      </c>
      <c r="AM17" s="358"/>
      <c r="AP17" s="358"/>
      <c r="AQ17" s="358"/>
      <c r="AR17" s="358"/>
      <c r="AS17" s="358"/>
      <c r="AT17" s="358"/>
    </row>
    <row r="18" spans="2:46" ht="15" customHeight="1">
      <c r="B18" s="306" t="s">
        <v>75</v>
      </c>
      <c r="AM18" s="358"/>
      <c r="AP18" s="358"/>
      <c r="AQ18" s="358"/>
      <c r="AR18" s="358"/>
      <c r="AS18" s="358"/>
      <c r="AT18" s="358"/>
    </row>
    <row r="19" spans="2:46" ht="15" customHeight="1">
      <c r="B19" s="306" t="s">
        <v>840</v>
      </c>
      <c r="S19" s="358" t="s">
        <v>810</v>
      </c>
      <c r="T19" s="358"/>
      <c r="AM19" s="358"/>
      <c r="AP19" s="358"/>
      <c r="AQ19" s="358"/>
      <c r="AR19" s="358"/>
      <c r="AS19" s="358"/>
      <c r="AT19" s="358"/>
    </row>
    <row r="20" spans="2:46" ht="15" customHeight="1">
      <c r="B20" s="306" t="s">
        <v>701</v>
      </c>
      <c r="S20" s="1743" t="s">
        <v>841</v>
      </c>
      <c r="T20" s="1743"/>
      <c r="AM20" s="358"/>
      <c r="AP20" s="358"/>
      <c r="AQ20" s="358"/>
      <c r="AR20" s="358"/>
      <c r="AS20" s="358"/>
      <c r="AT20" s="358"/>
    </row>
    <row r="21" spans="2:46" ht="15" customHeight="1">
      <c r="S21" s="47" t="s">
        <v>820</v>
      </c>
      <c r="T21" s="55">
        <f ca="1">AX228</f>
        <v>0.51265642915113918</v>
      </c>
      <c r="AL21" s="358"/>
      <c r="AO21" s="358"/>
      <c r="AP21" s="358"/>
      <c r="AQ21" s="358"/>
      <c r="AR21" s="358"/>
      <c r="AS21" s="358"/>
    </row>
    <row r="22" spans="2:46" ht="15" customHeight="1">
      <c r="S22" s="47" t="s">
        <v>822</v>
      </c>
      <c r="T22" s="55">
        <f ca="1">AX219</f>
        <v>0.2333493586252389</v>
      </c>
      <c r="AL22" s="358"/>
      <c r="AO22" s="358"/>
      <c r="AP22" s="358"/>
      <c r="AQ22" s="358"/>
      <c r="AR22" s="358"/>
      <c r="AS22" s="358"/>
    </row>
    <row r="23" spans="2:46" ht="15" customHeight="1">
      <c r="S23" s="47" t="s">
        <v>826</v>
      </c>
      <c r="T23" s="55">
        <f ca="1">AX221</f>
        <v>0.14732155519437365</v>
      </c>
      <c r="Z23" s="30" t="s">
        <v>842</v>
      </c>
      <c r="AL23" s="358"/>
      <c r="AO23" s="358"/>
      <c r="AP23" s="358"/>
      <c r="AQ23" s="358"/>
      <c r="AR23" s="358"/>
      <c r="AS23" s="358"/>
    </row>
    <row r="24" spans="2:46" ht="15" customHeight="1">
      <c r="C24" s="23" t="s">
        <v>843</v>
      </c>
      <c r="S24" s="47" t="s">
        <v>38</v>
      </c>
      <c r="T24" s="55">
        <f ca="1">AX209</f>
        <v>0</v>
      </c>
      <c r="AL24" s="358"/>
      <c r="AO24" s="358"/>
      <c r="AP24" s="358"/>
      <c r="AQ24" s="358"/>
      <c r="AR24" s="358"/>
      <c r="AS24" s="358"/>
    </row>
    <row r="25" spans="2:46" ht="15" customHeight="1">
      <c r="S25" s="47" t="s">
        <v>39</v>
      </c>
      <c r="T25" s="55">
        <f ca="1">AX210</f>
        <v>0</v>
      </c>
      <c r="AJ25" s="358"/>
      <c r="AK25" s="358"/>
      <c r="AL25" s="358"/>
      <c r="AO25" s="358"/>
      <c r="AP25" s="358"/>
      <c r="AQ25" s="358"/>
      <c r="AR25" s="358"/>
      <c r="AS25" s="358"/>
    </row>
    <row r="26" spans="2:46" ht="15" customHeight="1">
      <c r="S26" s="47" t="s">
        <v>47</v>
      </c>
      <c r="T26" s="55">
        <f ca="1">AX216</f>
        <v>1.3782728329159787E-2</v>
      </c>
      <c r="AL26" s="358"/>
    </row>
    <row r="27" spans="2:46" ht="15" customHeight="1">
      <c r="S27" s="47" t="s">
        <v>41</v>
      </c>
      <c r="T27" s="55">
        <f ca="1">AX212</f>
        <v>8.5058545240590214E-2</v>
      </c>
      <c r="AD27" s="47"/>
      <c r="AE27" s="397"/>
      <c r="AF27" s="56"/>
      <c r="AL27" s="358"/>
    </row>
    <row r="28" spans="2:46" ht="15" customHeight="1">
      <c r="S28" s="47" t="s">
        <v>40</v>
      </c>
      <c r="T28" s="55">
        <f ca="1">AX211+AX218+AX213</f>
        <v>2.3019140568711731E-3</v>
      </c>
      <c r="AD28" s="47"/>
      <c r="AE28" s="397"/>
      <c r="AF28" s="56"/>
      <c r="AL28" s="358"/>
    </row>
    <row r="29" spans="2:46" ht="15" customHeight="1">
      <c r="S29" s="47" t="s">
        <v>844</v>
      </c>
      <c r="T29" s="55">
        <f ca="1">AX215</f>
        <v>5.5294694026271421E-3</v>
      </c>
      <c r="AD29" s="47"/>
      <c r="AE29" s="397"/>
      <c r="AF29" s="56"/>
      <c r="AL29" s="358"/>
    </row>
    <row r="30" spans="2:46" ht="15" customHeight="1">
      <c r="S30" s="47" t="s">
        <v>48</v>
      </c>
      <c r="T30" s="55">
        <f ca="1">AX217</f>
        <v>0</v>
      </c>
      <c r="AL30" s="358"/>
    </row>
    <row r="31" spans="2:46" ht="15" customHeight="1">
      <c r="S31" s="1175" t="s">
        <v>845</v>
      </c>
      <c r="T31" s="1176">
        <f ca="1">SUM(T21:T30)</f>
        <v>1</v>
      </c>
    </row>
    <row r="36" spans="1:36" ht="15" customHeight="1">
      <c r="N36" s="664" t="s">
        <v>846</v>
      </c>
      <c r="O36" s="664"/>
      <c r="P36" s="1177">
        <f>VLOOKUP(LnkTXTSigla,Informacoes[],35,FALSE)</f>
        <v>0</v>
      </c>
      <c r="Q36" s="1178">
        <f>DATE(2013,MONTH(DataRevRea),1)</f>
        <v>41456</v>
      </c>
    </row>
    <row r="37" spans="1:36" ht="15" customHeight="1">
      <c r="L37" s="358" t="s">
        <v>810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179"/>
      <c r="M38" s="1180">
        <f t="shared" ref="M38:V38" si="0">DATE(M37,MONTH(DataRevRea),1)</f>
        <v>41456</v>
      </c>
      <c r="N38" s="1180">
        <f t="shared" si="0"/>
        <v>41821</v>
      </c>
      <c r="O38" s="1180">
        <f t="shared" si="0"/>
        <v>42186</v>
      </c>
      <c r="P38" s="1180">
        <f t="shared" si="0"/>
        <v>42552</v>
      </c>
      <c r="Q38" s="1180">
        <f t="shared" si="0"/>
        <v>42917</v>
      </c>
      <c r="R38" s="1180">
        <f t="shared" si="0"/>
        <v>43282</v>
      </c>
      <c r="S38" s="1180">
        <f t="shared" si="0"/>
        <v>43647</v>
      </c>
      <c r="T38" s="1180">
        <f t="shared" si="0"/>
        <v>44013</v>
      </c>
      <c r="U38" s="1180">
        <f t="shared" si="0"/>
        <v>44378</v>
      </c>
      <c r="V38" s="1180">
        <f t="shared" si="0"/>
        <v>44743</v>
      </c>
      <c r="W38" s="1180" t="s">
        <v>780</v>
      </c>
    </row>
    <row r="39" spans="1:36" ht="15" customHeight="1">
      <c r="L39" s="65" t="str">
        <f>CAPA!C9</f>
        <v>Cerfox</v>
      </c>
      <c r="M39" s="410">
        <f>SUMIF(TAbtarifasb1[[#All],[Sigla]],LnkTXTSigla,TAbtarifasb1[[#All],[2013]])</f>
        <v>0</v>
      </c>
      <c r="N39" s="410">
        <f>SUMIF(TAbtarifasb1[[#All],[Sigla]],LnkTXTSigla,TAbtarifasb1[[#All],[2014]])</f>
        <v>0</v>
      </c>
      <c r="O39" s="410">
        <f>SUMIF(TAbtarifasb1[[#All],[Sigla]],LnkTXTSigla,TAbtarifasb1[[#All],[2015]])</f>
        <v>0</v>
      </c>
      <c r="P39" s="422">
        <f>SUMIF(TAbtarifasb1[[#All],[Sigla]],LnkTXTSigla,TAbtarifasb1[[#All],[2016]])</f>
        <v>0</v>
      </c>
      <c r="Q39" s="422">
        <f>SUMIF(TAbtarifasb1[[#All],[Sigla]],LnkTXTSigla,TAbtarifasb1[[#All],[2017]])</f>
        <v>0</v>
      </c>
      <c r="R39" s="790">
        <f>SUMIF(TAbtarifasb1[[#All],[Sigla]],LnkTXTSigla,TAbtarifasb1[[#All],[2018]])</f>
        <v>527.59</v>
      </c>
      <c r="S39" s="790">
        <f>SUMIF(TAbtarifasb1[[#All],[Sigla]],LnkTXTSigla,TAbtarifasb1[[#All],[2019]])</f>
        <v>562.08000000000004</v>
      </c>
      <c r="T39" s="425">
        <f>SUMIF(TAbtarifasb1[[#All],[Sigla]],LnkTXTSigla,TAbtarifasb1[[#All],[2020]])</f>
        <v>611.43999999999994</v>
      </c>
      <c r="U39" s="425">
        <f>SUMIF(TAbtarifasb1[[#All],[Sigla]],LnkTXTSigla,TAbtarifasb1[[#All],[2021]])</f>
        <v>660.43</v>
      </c>
      <c r="V39" s="425">
        <f>Resultado!L6</f>
        <v>726.6</v>
      </c>
      <c r="W39" s="777" t="e">
        <f>V39/M39-1</f>
        <v>#DIV/0!</v>
      </c>
    </row>
    <row r="40" spans="1:36" ht="15" customHeight="1">
      <c r="L40" s="65" t="str">
        <f>LnkTXTSuprid1</f>
        <v>RGE</v>
      </c>
      <c r="M40" s="410">
        <f>SUMIF(TAbtarifasb1[[#All],[Sigla]],LnkTXTSuprid1,TAbtarifasb1[[#All],[2013]])</f>
        <v>284.77999999999997</v>
      </c>
      <c r="N40" s="410">
        <f>SUMIF(TAbtarifasb1[[#All],[Sigla]],LnkTXTSuprid1,TAbtarifasb1[[#All],[2014]])</f>
        <v>350.69</v>
      </c>
      <c r="O40" s="410">
        <f>SUMIF(TAbtarifasb1[[#All],[Sigla]],LnkTXTSuprid1,TAbtarifasb1[[#All],[2015]])</f>
        <v>446.79999999999995</v>
      </c>
      <c r="P40" s="410">
        <f>SUMIF(TAbtarifasb1[[#All],[Sigla]],LnkTXTSuprid1,TAbtarifasb1[[#All],[2016]])</f>
        <v>415.49</v>
      </c>
      <c r="Q40" s="410">
        <f>SUMIF(TAbtarifasb1[[#All],[Sigla]],LnkTXTSuprid1,TAbtarifasb1[[#All],[2017]])</f>
        <v>433.86</v>
      </c>
      <c r="R40" s="410">
        <f>SUMIF(TAbtarifasb1[[#All],[Sigla]],LnkTXTSuprid1,TAbtarifasb1[[#All],[2018]])</f>
        <v>527.58999999999992</v>
      </c>
      <c r="S40" s="410">
        <f>SUMIF(TAbtarifasb1[[#All],[Sigla]],LnkTXTSuprid1,TAbtarifasb1[[#All],[2019]])</f>
        <v>560.27</v>
      </c>
      <c r="T40" s="410">
        <f>SUMIF(TAbtarifasb1[[#All],[Sigla]],LnkTXTSuprid1,TAbtarifasb1[[#All],[2020]])</f>
        <v>589.57000000000005</v>
      </c>
      <c r="U40" s="410">
        <f>SUMIF(TAbtarifasb1[[#All],[Sigla]],LnkTXTSuprid1,TAbtarifasb1[[#All],[2021]])</f>
        <v>643.09</v>
      </c>
      <c r="V40" s="410">
        <f>SUMIF(TAbtarifasb1[[#All],[Sigla]],LnkTXTSuprid1,TAbtarifasb1[[#All],[2022]])</f>
        <v>0</v>
      </c>
      <c r="W40" s="777">
        <f>V40/M40-1</f>
        <v>-1</v>
      </c>
    </row>
    <row r="41" spans="1:36" ht="15" customHeight="1">
      <c r="L41" s="65" t="s">
        <v>847</v>
      </c>
      <c r="M41" s="411">
        <f>M39</f>
        <v>0</v>
      </c>
      <c r="N41" s="411">
        <f>VLOOKUP(DATE(YEAR(O38),MONTH(O38)-1,1),Índices!$B:$F,2,FALSE)/VLOOKUP(DATE(YEAR(Q36),MONTH(Q36)-1,1),Índices!$B:$F,2,FALSE)*M41</f>
        <v>0</v>
      </c>
      <c r="O41" s="411">
        <f>VLOOKUP(DATE(YEAR(O38),MONTH(O38)-1,1),Índices!$B:$F,2,FALSE)/VLOOKUP(DATE(YEAR(N38),MONTH(N38)-1,1),Índices!$B:$F,2,FALSE)*N41</f>
        <v>0</v>
      </c>
      <c r="P41" s="411">
        <f>VLOOKUP(DATE(YEAR(P38),MONTH(P38)-1,1),Índices!$B:$F,2,FALSE)/VLOOKUP(DATE(YEAR(O38),MONTH(O38)-1,1),Índices!$B:$F,2,FALSE)*O41</f>
        <v>0</v>
      </c>
      <c r="Q41" s="411">
        <f>VLOOKUP(DATE(YEAR(Q38),MONTH(Q38)-1,1),Índices!$B:$F,2,FALSE)/VLOOKUP(DATE(YEAR(P38),MONTH(P38)-1,1),Índices!$B:$F,2,FALSE)*P41</f>
        <v>0</v>
      </c>
      <c r="R41" s="368">
        <f>IF(R37=YEAR(CAPA!$C$114),'Tabelas e Gráficos'!R39,(VLOOKUP(DATE(YEAR(R38),MONTH(R38)-1,1),Índices!$B:$F,2,FALSE)/VLOOKUP(DATE(YEAR(Q38),MONTH(Q38)-1,1),Índices!$B:$F,2,FALSE)*Q41))</f>
        <v>527.59</v>
      </c>
      <c r="S41" s="368">
        <f>IF(S37=YEAR(CAPA!$C$114),'Tabelas e Gráficos'!S39,(VLOOKUP(DATE(YEAR(S38),MONTH(S38)-1,1),Índices!$B:$F,2,FALSE)/VLOOKUP(DATE(YEAR(R38),MONTH(R38)-1,1),Índices!$B:$F,2,FALSE)*R41))</f>
        <v>561.93688240223742</v>
      </c>
      <c r="T41" s="368">
        <f>IF(T37=YEAR(CAPA!$C$114),'Tabelas e Gráficos'!T39,(VLOOKUP(DATE(YEAR(T38),MONTH(T38)-1,1),Índices!$B:$F,2,FALSE)/VLOOKUP(DATE(YEAR(S38),MONTH(S38)-1,1),Índices!$B:$F,2,FALSE)*S41))</f>
        <v>603.03686079502415</v>
      </c>
      <c r="U41" s="411">
        <f>VLOOKUP(DATE(YEAR(U38),MONTH(U38)-1,1),Índices!$B:$F,2,FALSE)/VLOOKUP(DATE(YEAR(T38),MONTH(T38)-1,1),Índices!$B:$F,2,FALSE)*T41</f>
        <v>818.63062984016699</v>
      </c>
      <c r="V41" s="411">
        <f>VLOOKUP(DATE(YEAR(V38),MONTH(V38)-1,1),Índices!$B:$F,2,FALSE)/VLOOKUP(DATE(YEAR(U38),MONTH(U38)-1,1),Índices!$B:$F,2,FALSE)*U41</f>
        <v>906.25878514958447</v>
      </c>
      <c r="W41" s="777" t="e">
        <f>V41/M41-1</f>
        <v>#DIV/0!</v>
      </c>
    </row>
    <row r="42" spans="1:36" ht="15" customHeight="1">
      <c r="L42" s="1181" t="s">
        <v>848</v>
      </c>
      <c r="M42" s="1183">
        <f>M39</f>
        <v>0</v>
      </c>
      <c r="N42" s="1183">
        <f>VLOOKUP(DATE(YEAR(N38),MONTH(N38)-1,1),Índices!$B:$F,3,FALSE)/VLOOKUP(DATE(YEAR(Q36),MONTH(Q36)-1,1),Índices!$B:$F,3,FALSE)*M42</f>
        <v>0</v>
      </c>
      <c r="O42" s="1183">
        <f>VLOOKUP(DATE(YEAR(O38),MONTH(O38)-1,1),Índices!$B:$F,3,FALSE)/VLOOKUP(DATE(YEAR(N38),MONTH(N38)-1,1),Índices!$B:$F,3,FALSE)*N42</f>
        <v>0</v>
      </c>
      <c r="P42" s="1183">
        <f>VLOOKUP(DATE(YEAR(P38),MONTH(P38)-1,1),Índices!$B:$F,3,FALSE)/VLOOKUP(DATE(YEAR(O38),MONTH(O38)-1,1),Índices!$B:$F,3,FALSE)*O42</f>
        <v>0</v>
      </c>
      <c r="Q42" s="1183">
        <f>VLOOKUP(DATE(YEAR(Q38),MONTH(Q38)-1,1),Índices!$B:$F,3,FALSE)/VLOOKUP(DATE(YEAR(P38),MONTH(P38)-1,1),Índices!$B:$F,3,FALSE)*P42</f>
        <v>0</v>
      </c>
      <c r="R42" s="1182">
        <f>IF(R37=YEAR(CAPA!$C$114),'Tabelas e Gráficos'!R39,(VLOOKUP(DATE(YEAR(R38),MONTH(R38)-1,1),Índices!$B:$F,3,FALSE)/VLOOKUP(DATE(YEAR(Q38),MONTH(Q38)-1,1),Índices!$B:$F,3,FALSE)*'Tabelas e Gráficos'!Q42))</f>
        <v>527.59</v>
      </c>
      <c r="S42" s="1182">
        <f>IF(S37=YEAR(CAPA!$C$114),'Tabelas e Gráficos'!S39,(VLOOKUP(DATE(YEAR(S38),MONTH(S38)-1,1),Índices!$B:$F,3,FALSE)/VLOOKUP(DATE(YEAR(R38),MONTH(R38)-1,1),Índices!$B:$F,3,FALSE)*'Tabelas e Gráficos'!R42))</f>
        <v>545.35008886977016</v>
      </c>
      <c r="T42" s="1182">
        <f>IF(T37=YEAR(CAPA!$C$114),'Tabelas e Gráficos'!T39,(VLOOKUP(DATE(YEAR(T38),MONTH(T38)-1,1),Índices!$B:$F,3,FALSE)/VLOOKUP(DATE(YEAR(S38),MONTH(S38)-1,1),Índices!$B:$F,3,FALSE)*'Tabelas e Gráficos'!S42))</f>
        <v>556.97922897594594</v>
      </c>
      <c r="U42" s="1183">
        <f>VLOOKUP(DATE(YEAR(U38),MONTH(U38)-1,1),Índices!$B:$F,3,FALSE)/VLOOKUP(DATE(YEAR(T38),MONTH(T38)-1,1),Índices!$B:$F,3,FALSE)*T42</f>
        <v>603.47068827981593</v>
      </c>
      <c r="V42" s="1183">
        <f>VLOOKUP(DATE(YEAR(V38),MONTH(V38)-1,1),Índices!$B:$F,3,FALSE)/VLOOKUP(DATE(YEAR(U38),MONTH(U38)-1,1),Índices!$B:$F,3,FALSE)*U42</f>
        <v>675.20446222192288</v>
      </c>
      <c r="W42" s="777" t="e">
        <f>V42/M42-1</f>
        <v>#DIV/0!</v>
      </c>
    </row>
    <row r="43" spans="1:36" ht="15" customHeight="1">
      <c r="X43" s="23">
        <v>938.62</v>
      </c>
    </row>
    <row r="44" spans="1:36" ht="15" customHeight="1">
      <c r="X44" s="895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3" t="s">
        <v>805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5"/>
      <c r="B49" s="675"/>
      <c r="C49" s="675"/>
      <c r="D49" s="675"/>
      <c r="E49" s="675"/>
      <c r="F49" s="675"/>
      <c r="G49" s="675"/>
      <c r="H49" s="676"/>
      <c r="I49" s="675"/>
      <c r="J49" s="675"/>
      <c r="K49" s="677"/>
      <c r="L49" s="677"/>
      <c r="M49" s="677"/>
      <c r="N49" s="677"/>
      <c r="O49" s="677"/>
      <c r="P49" s="677"/>
      <c r="Q49" s="675"/>
      <c r="R49" s="675"/>
      <c r="S49" s="678"/>
      <c r="T49" s="675"/>
      <c r="U49" s="675"/>
      <c r="V49" s="675"/>
      <c r="W49" s="675"/>
      <c r="X49" s="675"/>
      <c r="Y49" s="675"/>
      <c r="Z49" s="675"/>
      <c r="AA49" s="675"/>
      <c r="AB49" s="675"/>
      <c r="AC49" s="675"/>
      <c r="AD49" s="675"/>
    </row>
    <row r="50" spans="1:47" ht="15" customHeight="1">
      <c r="B50" s="307" t="s">
        <v>807</v>
      </c>
      <c r="C50" s="308" t="s">
        <v>849</v>
      </c>
      <c r="H50" s="23"/>
      <c r="K50" s="49"/>
      <c r="L50" s="358"/>
      <c r="M50" s="358"/>
      <c r="N50" s="358"/>
      <c r="O50" s="49"/>
      <c r="P50" s="49"/>
      <c r="S50" s="315"/>
    </row>
    <row r="51" spans="1:47" ht="15" customHeight="1">
      <c r="B51" s="309" t="s">
        <v>850</v>
      </c>
      <c r="C51" s="309" t="s">
        <v>851</v>
      </c>
      <c r="H51" s="23"/>
      <c r="K51" s="49"/>
      <c r="L51" s="1744"/>
      <c r="M51" s="1744"/>
      <c r="N51" s="1744"/>
      <c r="O51" s="49"/>
      <c r="P51" s="49"/>
    </row>
    <row r="52" spans="1:47" ht="15" customHeight="1">
      <c r="B52" s="310" t="s">
        <v>852</v>
      </c>
      <c r="C52" s="311">
        <f ca="1">Resultado!C5</f>
        <v>66321220.346924126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10" t="s">
        <v>853</v>
      </c>
      <c r="C53" s="311">
        <f ca="1">Resultado!C6</f>
        <v>60158541.498640008</v>
      </c>
      <c r="D53" s="312"/>
      <c r="E53" s="313" t="s">
        <v>138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10" t="str">
        <f>Resultado!B7</f>
        <v>Variação econômica</v>
      </c>
      <c r="C54" s="314">
        <f ca="1">C52/C53-1</f>
        <v>0.10244062928991449</v>
      </c>
      <c r="D54" s="312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10" t="s">
        <v>800</v>
      </c>
      <c r="C55" s="314">
        <f ca="1">Resultado!C8</f>
        <v>-0.34639999999999999</v>
      </c>
      <c r="D55" s="312"/>
      <c r="E55" s="28"/>
      <c r="H55" s="23"/>
      <c r="K55" s="49"/>
      <c r="L55" s="674"/>
      <c r="M55" s="671"/>
      <c r="N55" s="672"/>
      <c r="O55" s="49"/>
      <c r="P55" s="49"/>
    </row>
    <row r="56" spans="1:47" ht="15" customHeight="1">
      <c r="B56" s="1184" t="str">
        <f>Resultado!B9</f>
        <v>Variação econômica e financeira</v>
      </c>
      <c r="C56" s="1185">
        <f ca="1">C54+C55</f>
        <v>-0.2439593707100855</v>
      </c>
      <c r="D56" s="312"/>
      <c r="E56" s="28"/>
      <c r="H56" s="23"/>
    </row>
    <row r="57" spans="1:47" ht="15" customHeight="1">
      <c r="B57" s="312"/>
      <c r="C57" s="312"/>
      <c r="D57" s="312"/>
      <c r="H57" s="23"/>
      <c r="L57" s="530"/>
      <c r="M57" s="530"/>
      <c r="N57" s="530"/>
      <c r="O57" s="530"/>
      <c r="P57" s="530"/>
      <c r="Q57" s="530"/>
      <c r="R57" s="530"/>
      <c r="S57" s="49"/>
    </row>
    <row r="58" spans="1:47" ht="15" customHeight="1">
      <c r="C58" s="315"/>
      <c r="D58" s="312"/>
      <c r="E58" s="307" t="s">
        <v>808</v>
      </c>
      <c r="F58" s="316"/>
      <c r="G58" s="308" t="s">
        <v>849</v>
      </c>
      <c r="H58" s="23"/>
      <c r="L58" s="531"/>
      <c r="M58" s="532"/>
      <c r="N58" s="533"/>
      <c r="O58" s="527"/>
      <c r="P58" s="527"/>
      <c r="Q58" s="528"/>
      <c r="R58" s="529"/>
      <c r="S58" s="49"/>
      <c r="AT58" s="19"/>
      <c r="AU58" s="409"/>
    </row>
    <row r="59" spans="1:47" ht="15" customHeight="1">
      <c r="C59" s="315"/>
      <c r="D59" s="312"/>
      <c r="E59" s="309" t="s">
        <v>854</v>
      </c>
      <c r="F59" s="309" t="s">
        <v>855</v>
      </c>
      <c r="G59" s="309" t="s">
        <v>856</v>
      </c>
      <c r="H59" s="23"/>
      <c r="AT59" s="19"/>
      <c r="AU59" s="409"/>
    </row>
    <row r="60" spans="1:47" ht="15" customHeight="1">
      <c r="B60" s="30"/>
      <c r="C60" s="317"/>
      <c r="D60" s="317"/>
      <c r="E60" s="310" t="s">
        <v>857</v>
      </c>
      <c r="F60" s="311">
        <f ca="1">Calc_Mercado!C8</f>
        <v>62056.817999999977</v>
      </c>
      <c r="G60" s="311">
        <f ca="1">Calc_Mercado!D8</f>
        <v>58361689.566380009</v>
      </c>
      <c r="H60" s="318" t="s">
        <v>858</v>
      </c>
    </row>
    <row r="61" spans="1:47" ht="15" hidden="1" customHeight="1">
      <c r="E61" s="310" t="s">
        <v>859</v>
      </c>
      <c r="F61" s="311">
        <f ca="1">Calc_Mercado!C9</f>
        <v>0</v>
      </c>
      <c r="G61" s="311">
        <f ca="1">Calc_Mercado!D9</f>
        <v>0</v>
      </c>
      <c r="H61" s="318">
        <f t="shared" ref="H61:H69" ca="1" si="1">IF(G61=0,0,1)</f>
        <v>0</v>
      </c>
    </row>
    <row r="62" spans="1:47" ht="15" hidden="1" customHeight="1">
      <c r="B62" s="30"/>
      <c r="E62" s="310" t="s">
        <v>860</v>
      </c>
      <c r="F62" s="311">
        <f ca="1">Calc_Mercado!C10</f>
        <v>0</v>
      </c>
      <c r="G62" s="311">
        <f ca="1">Calc_Mercado!D10</f>
        <v>0</v>
      </c>
      <c r="H62" s="318">
        <f t="shared" ca="1" si="1"/>
        <v>0</v>
      </c>
    </row>
    <row r="63" spans="1:47" ht="15" hidden="1" customHeight="1">
      <c r="B63" s="29"/>
      <c r="C63" s="29"/>
      <c r="D63" s="29"/>
      <c r="E63" s="310" t="s">
        <v>861</v>
      </c>
      <c r="F63" s="311">
        <f ca="1">Calc_Mercado!C11</f>
        <v>0</v>
      </c>
      <c r="G63" s="311">
        <f ca="1">Calc_Mercado!D11</f>
        <v>0</v>
      </c>
      <c r="H63" s="318">
        <f t="shared" ca="1" si="1"/>
        <v>0</v>
      </c>
    </row>
    <row r="64" spans="1:47" ht="15" hidden="1" customHeight="1">
      <c r="C64" s="315"/>
      <c r="D64" s="312"/>
      <c r="E64" s="310" t="s">
        <v>862</v>
      </c>
      <c r="F64" s="311">
        <f ca="1">Calc_Mercado!C12</f>
        <v>0</v>
      </c>
      <c r="G64" s="311">
        <f ca="1">Calc_Mercado!D12</f>
        <v>0</v>
      </c>
      <c r="H64" s="318">
        <f t="shared" ca="1" si="1"/>
        <v>0</v>
      </c>
    </row>
    <row r="65" spans="2:43" ht="15" customHeight="1">
      <c r="C65" s="315"/>
      <c r="D65" s="312"/>
      <c r="E65" s="310" t="s">
        <v>863</v>
      </c>
      <c r="F65" s="311">
        <f ca="1">Calc_Mercado!C13</f>
        <v>6836.9360000000024</v>
      </c>
      <c r="G65" s="311">
        <f ca="1">Calc_Mercado!D13</f>
        <v>6044154.6416399991</v>
      </c>
      <c r="H65" s="318">
        <f t="shared" ca="1" si="1"/>
        <v>1</v>
      </c>
    </row>
    <row r="66" spans="2:43" ht="15" hidden="1" customHeight="1">
      <c r="C66" s="315"/>
      <c r="D66" s="312"/>
      <c r="E66" s="310" t="s">
        <v>864</v>
      </c>
      <c r="F66" s="311">
        <f ca="1">Calc_Mercado!C14</f>
        <v>0</v>
      </c>
      <c r="G66" s="311">
        <f ca="1">Calc_Mercado!D14</f>
        <v>0</v>
      </c>
      <c r="H66" s="318">
        <f t="shared" ca="1" si="1"/>
        <v>0</v>
      </c>
    </row>
    <row r="67" spans="2:43" ht="15" customHeight="1">
      <c r="C67" s="315"/>
      <c r="D67" s="312"/>
      <c r="E67" s="310" t="s">
        <v>865</v>
      </c>
      <c r="F67" s="311">
        <f ca="1">Calc_Mercado!C15</f>
        <v>55219.881999999976</v>
      </c>
      <c r="G67" s="311">
        <f ca="1">Calc_Mercado!D15</f>
        <v>52317534.924740009</v>
      </c>
      <c r="H67" s="318">
        <f t="shared" ca="1" si="1"/>
        <v>1</v>
      </c>
    </row>
    <row r="68" spans="2:43" ht="15" hidden="1" customHeight="1">
      <c r="C68" s="315"/>
      <c r="D68" s="312"/>
      <c r="E68" s="310" t="s">
        <v>866</v>
      </c>
      <c r="F68" s="311">
        <f ca="1">Calc_Mercado!C17</f>
        <v>0</v>
      </c>
      <c r="G68" s="311">
        <f ca="1">Calc_Mercado!D17</f>
        <v>0</v>
      </c>
      <c r="H68" s="318">
        <f t="shared" ca="1" si="1"/>
        <v>0</v>
      </c>
    </row>
    <row r="69" spans="2:43" ht="15" customHeight="1">
      <c r="C69" s="315"/>
      <c r="D69" s="312"/>
      <c r="E69" s="310" t="s">
        <v>867</v>
      </c>
      <c r="F69" s="311">
        <f ca="1">Calc_Mercado!C18</f>
        <v>2888.5129999999999</v>
      </c>
      <c r="G69" s="311">
        <f ca="1">Calc_Mercado!D18</f>
        <v>1457897.5322599998</v>
      </c>
      <c r="H69" s="318">
        <f t="shared" ca="1" si="1"/>
        <v>1</v>
      </c>
    </row>
    <row r="70" spans="2:43" ht="15" customHeight="1">
      <c r="C70" s="315"/>
      <c r="D70" s="312"/>
      <c r="E70" s="1184" t="s">
        <v>845</v>
      </c>
      <c r="F70" s="1186">
        <f ca="1">Calc_Mercado!C25</f>
        <v>64945.330999999976</v>
      </c>
      <c r="G70" s="1186">
        <f ca="1">Calc_Mercado!D25</f>
        <v>60158541.498640008</v>
      </c>
      <c r="AG70" s="49"/>
    </row>
    <row r="71" spans="2:43" ht="15" customHeight="1">
      <c r="B71" s="30"/>
      <c r="C71" s="317"/>
      <c r="D71" s="317"/>
      <c r="E71" s="28"/>
      <c r="I71" s="31"/>
      <c r="J71" s="31"/>
      <c r="K71" s="31"/>
      <c r="AG71" s="49"/>
    </row>
    <row r="72" spans="2:43" ht="15" customHeight="1">
      <c r="I72" s="319" t="s">
        <v>809</v>
      </c>
      <c r="J72" s="316"/>
      <c r="K72" s="308" t="s">
        <v>849</v>
      </c>
      <c r="L72" s="300"/>
      <c r="N72" s="300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1" t="s">
        <v>868</v>
      </c>
      <c r="J73" s="301" t="s">
        <v>869</v>
      </c>
      <c r="K73" s="301" t="s">
        <v>870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746"/>
      <c r="D74" s="1746"/>
      <c r="E74" s="1746"/>
      <c r="I74" s="1187" t="s">
        <v>819</v>
      </c>
      <c r="J74" s="1188">
        <f ca="1">SUM(J75:J83)</f>
        <v>4566937.2448938135</v>
      </c>
      <c r="K74" s="1189">
        <f ca="1">SUM(K75:K83)</f>
        <v>7.5915026048247153E-2</v>
      </c>
      <c r="L74" s="318" t="s">
        <v>858</v>
      </c>
      <c r="N74" s="34"/>
      <c r="AG74" s="49"/>
      <c r="AH74" s="1737"/>
      <c r="AI74" s="1737"/>
      <c r="AJ74" s="1737"/>
      <c r="AK74" s="667"/>
      <c r="AL74" s="49"/>
      <c r="AM74" s="49"/>
      <c r="AN74" s="49"/>
      <c r="AO74" s="49"/>
    </row>
    <row r="75" spans="2:43" ht="15" hidden="1" customHeight="1">
      <c r="B75" s="30"/>
      <c r="C75" s="1741"/>
      <c r="D75" s="1741"/>
      <c r="E75" s="1741"/>
      <c r="I75" s="35" t="str">
        <f>Resultado!B15</f>
        <v>Reserva Global de Reversão – RGR</v>
      </c>
      <c r="J75" s="320">
        <f>0</f>
        <v>0</v>
      </c>
      <c r="K75" s="36">
        <f t="shared" ref="K75:K83" ca="1" si="2">J75/$J$97</f>
        <v>0</v>
      </c>
      <c r="L75" s="318">
        <f>IF(J75=0,0,1)</f>
        <v>0</v>
      </c>
      <c r="N75" s="36"/>
      <c r="AG75" s="49"/>
      <c r="AH75" s="1738"/>
      <c r="AI75" s="1738"/>
      <c r="AJ75" s="1738"/>
      <c r="AK75" s="668"/>
      <c r="AL75" s="429"/>
      <c r="AM75" s="49"/>
      <c r="AN75" s="49"/>
      <c r="AO75" s="49"/>
    </row>
    <row r="76" spans="2:43" ht="15" hidden="1" customHeight="1">
      <c r="B76" s="30"/>
      <c r="C76" s="1741"/>
      <c r="D76" s="1741"/>
      <c r="E76" s="1741"/>
      <c r="I76" s="35" t="str">
        <f>Resultado!B16</f>
        <v>Conta de Consumo de Combustíveis – CCC</v>
      </c>
      <c r="J76" s="320">
        <v>0</v>
      </c>
      <c r="K76" s="36">
        <f t="shared" ca="1" si="2"/>
        <v>0</v>
      </c>
      <c r="L76" s="318">
        <f>IF(J76=0,0,1)</f>
        <v>0</v>
      </c>
      <c r="N76" s="36"/>
      <c r="AG76" s="49"/>
      <c r="AH76" s="49"/>
      <c r="AI76" s="49"/>
      <c r="AJ76" s="49"/>
      <c r="AK76" s="669"/>
      <c r="AL76" s="49"/>
      <c r="AM76" s="49"/>
      <c r="AN76" s="49"/>
      <c r="AO76" s="49"/>
    </row>
    <row r="77" spans="2:43" ht="15" customHeight="1">
      <c r="B77" s="30"/>
      <c r="C77" s="1741"/>
      <c r="D77" s="1741"/>
      <c r="E77" s="1741"/>
      <c r="I77" s="35" t="str">
        <f>Resultado!B17</f>
        <v>Taxa de Fisc. de Serviços de E.E. – TFSEE</v>
      </c>
      <c r="J77" s="320">
        <f ca="1">Mercado_Faturado_Encargo_TFSEE_BRUTO</f>
        <v>132725.67553456523</v>
      </c>
      <c r="K77" s="36">
        <f t="shared" ca="1" si="2"/>
        <v>2.2062648499808751E-3</v>
      </c>
      <c r="L77" s="318">
        <f ca="1">IF(J77=0,0,1)</f>
        <v>1</v>
      </c>
      <c r="N77" s="36"/>
      <c r="AG77" s="49"/>
      <c r="AH77" s="49"/>
      <c r="AI77" s="49"/>
      <c r="AJ77" s="49"/>
      <c r="AK77" s="669"/>
      <c r="AL77" s="49"/>
      <c r="AM77" s="49"/>
      <c r="AN77" s="49"/>
      <c r="AO77" s="49"/>
    </row>
    <row r="78" spans="2:43" ht="15" customHeight="1">
      <c r="B78" s="30"/>
      <c r="C78" s="1741"/>
      <c r="D78" s="1741"/>
      <c r="E78" s="1741"/>
      <c r="I78" s="35" t="str">
        <f>Resultado!B18</f>
        <v>Conta de Desenvolvimento Energético – CDE</v>
      </c>
      <c r="J78" s="320">
        <f ca="1">Mercado_Faturado_Encargo_CDE_BRUTO</f>
        <v>3830051.9038871895</v>
      </c>
      <c r="K78" s="36">
        <f t="shared" ca="1" si="2"/>
        <v>6.366597009293809E-2</v>
      </c>
      <c r="L78" s="318">
        <f t="shared" ref="L78:L94" ca="1" si="3">IF(J78=0,0,1)</f>
        <v>1</v>
      </c>
      <c r="N78" s="36"/>
      <c r="AG78" s="49"/>
      <c r="AH78" s="1738"/>
      <c r="AI78" s="1738"/>
      <c r="AJ78" s="1738"/>
      <c r="AK78" s="668"/>
      <c r="AL78" s="429"/>
      <c r="AM78" s="49"/>
      <c r="AN78" s="49"/>
      <c r="AO78" s="49"/>
    </row>
    <row r="79" spans="2:43" ht="15" hidden="1" customHeight="1">
      <c r="B79" s="30"/>
      <c r="C79" s="1741"/>
      <c r="D79" s="1741"/>
      <c r="E79" s="1741"/>
      <c r="I79" s="35" t="str">
        <f>Resultado!B19</f>
        <v xml:space="preserve"> CDE Conta Covid</v>
      </c>
      <c r="J79" s="320">
        <f ca="1">Mercado_Faturado_Encargo_CFURH_BRUTO</f>
        <v>0</v>
      </c>
      <c r="K79" s="36">
        <f t="shared" ca="1" si="2"/>
        <v>0</v>
      </c>
      <c r="L79" s="318">
        <f t="shared" ca="1" si="3"/>
        <v>0</v>
      </c>
      <c r="N79" s="36"/>
      <c r="AG79" s="49"/>
      <c r="AH79" s="49"/>
      <c r="AI79" s="49"/>
      <c r="AJ79" s="49"/>
      <c r="AK79" s="669"/>
      <c r="AL79" s="49"/>
      <c r="AM79" s="49"/>
      <c r="AN79" s="426"/>
      <c r="AO79" s="426"/>
      <c r="AP79" s="426"/>
      <c r="AQ79" s="426"/>
    </row>
    <row r="80" spans="2:43" ht="15" hidden="1" customHeight="1">
      <c r="B80" s="30"/>
      <c r="C80" s="1741"/>
      <c r="D80" s="1741"/>
      <c r="E80" s="1741"/>
      <c r="I80" s="35" t="str">
        <f>Resultado!B20</f>
        <v>Encargos Serv. Sist. - ESS e Energ. Reserv. – EER</v>
      </c>
      <c r="J80" s="320">
        <f ca="1">Mercado_Faturado_Encargo_ESSERR_BRUTO</f>
        <v>0</v>
      </c>
      <c r="K80" s="36">
        <f t="shared" ca="1" si="2"/>
        <v>0</v>
      </c>
      <c r="L80" s="318">
        <v>0</v>
      </c>
      <c r="N80" s="36"/>
      <c r="AG80" s="49"/>
      <c r="AH80" s="49"/>
      <c r="AI80" s="49"/>
      <c r="AJ80" s="49"/>
      <c r="AK80" s="669"/>
      <c r="AL80" s="49"/>
      <c r="AM80" s="49"/>
      <c r="AN80" s="49"/>
      <c r="AO80" s="49"/>
    </row>
    <row r="81" spans="2:41" ht="15" customHeight="1">
      <c r="B81" s="30"/>
      <c r="C81" s="1741"/>
      <c r="D81" s="1741"/>
      <c r="E81" s="1741"/>
      <c r="I81" s="35" t="str">
        <f>Resultado!B21</f>
        <v>PROINFA</v>
      </c>
      <c r="J81" s="320">
        <f ca="1">Mercado_Faturado_Encargo_PROINFA_BRUTO</f>
        <v>604159.66547205858</v>
      </c>
      <c r="K81" s="36">
        <f t="shared" ca="1" si="2"/>
        <v>1.0042791105328188E-2</v>
      </c>
      <c r="L81" s="318">
        <f t="shared" ca="1" si="3"/>
        <v>1</v>
      </c>
      <c r="N81" s="34"/>
      <c r="AG81" s="49"/>
      <c r="AH81" s="49"/>
      <c r="AI81" s="49"/>
      <c r="AJ81" s="49"/>
      <c r="AK81" s="669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20">
        <f ca="1">Mercado_Faturado_Encargo_PeD_BRUTO</f>
        <v>0</v>
      </c>
      <c r="K82" s="36">
        <f t="shared" ca="1" si="2"/>
        <v>0</v>
      </c>
      <c r="L82" s="318">
        <v>0</v>
      </c>
      <c r="N82" s="34"/>
      <c r="AG82" s="49"/>
      <c r="AH82" s="1738"/>
      <c r="AI82" s="1738"/>
      <c r="AJ82" s="1738"/>
      <c r="AK82" s="668"/>
      <c r="AL82" s="429"/>
      <c r="AM82" s="49"/>
      <c r="AN82" s="49"/>
      <c r="AO82" s="49"/>
    </row>
    <row r="83" spans="2:41" ht="15" hidden="1" customHeight="1">
      <c r="I83" s="35" t="str">
        <f>Resultado!B23</f>
        <v>ONS</v>
      </c>
      <c r="J83" s="320">
        <f ca="1">Mercado_Faturado_Encargo_ONS_BRUTO</f>
        <v>0</v>
      </c>
      <c r="K83" s="36">
        <f t="shared" ca="1" si="2"/>
        <v>0</v>
      </c>
      <c r="L83" s="318">
        <v>0</v>
      </c>
      <c r="N83" s="36"/>
      <c r="AG83" s="49"/>
      <c r="AH83" s="49"/>
      <c r="AI83" s="49"/>
      <c r="AJ83" s="49"/>
      <c r="AK83" s="669"/>
      <c r="AL83" s="49"/>
      <c r="AM83" s="49"/>
      <c r="AN83" s="49"/>
      <c r="AO83" s="49"/>
    </row>
    <row r="84" spans="2:41" ht="15" customHeight="1">
      <c r="I84" s="1187" t="s">
        <v>871</v>
      </c>
      <c r="J84" s="1188">
        <f ca="1">SUM(Calc_Mercado!C79:C85)</f>
        <v>17848533.31991924</v>
      </c>
      <c r="K84" s="1189">
        <f ca="1">SUM(K85)</f>
        <v>0.29669158984385846</v>
      </c>
      <c r="L84" s="318">
        <f t="shared" ca="1" si="3"/>
        <v>1</v>
      </c>
      <c r="N84" s="36"/>
      <c r="AG84" s="49"/>
      <c r="AH84" s="49"/>
      <c r="AI84" s="49"/>
      <c r="AJ84" s="49"/>
      <c r="AK84" s="669"/>
      <c r="AL84" s="49"/>
      <c r="AM84" s="49"/>
      <c r="AN84" s="49"/>
      <c r="AO84" s="49"/>
    </row>
    <row r="85" spans="2:41" ht="15" customHeight="1">
      <c r="B85" s="30"/>
      <c r="I85" s="37" t="s">
        <v>872</v>
      </c>
      <c r="J85" s="320">
        <f ca="1">J84</f>
        <v>17848533.31991924</v>
      </c>
      <c r="K85" s="36">
        <f t="shared" ref="K85:K96" ca="1" si="4">J85/$J$97</f>
        <v>0.29669158984385846</v>
      </c>
      <c r="L85" s="318">
        <f t="shared" ca="1" si="3"/>
        <v>1</v>
      </c>
      <c r="M85" s="38"/>
      <c r="N85" s="38"/>
      <c r="AG85" s="49"/>
      <c r="AH85" s="49"/>
      <c r="AI85" s="49"/>
      <c r="AJ85" s="49"/>
      <c r="AK85" s="563"/>
      <c r="AL85" s="49"/>
      <c r="AM85" s="49"/>
      <c r="AN85" s="49"/>
      <c r="AO85" s="49"/>
    </row>
    <row r="86" spans="2:41" ht="15" customHeight="1">
      <c r="B86" s="1740"/>
      <c r="C86" s="1740"/>
      <c r="D86" s="1740"/>
      <c r="E86" s="1740"/>
      <c r="F86" s="1740"/>
      <c r="G86" s="39"/>
      <c r="I86" s="1187" t="s">
        <v>873</v>
      </c>
      <c r="J86" s="1188">
        <f ca="1">Resultado!C24</f>
        <v>8624248.0756572969</v>
      </c>
      <c r="K86" s="1189">
        <f t="shared" ca="1" si="4"/>
        <v>0.14335866297310854</v>
      </c>
      <c r="L86" s="318">
        <f t="shared" ca="1" si="3"/>
        <v>1</v>
      </c>
      <c r="M86" s="40"/>
      <c r="N86" s="41"/>
      <c r="AG86" s="49"/>
      <c r="AH86" s="49"/>
      <c r="AI86" s="49"/>
      <c r="AJ86" s="49"/>
      <c r="AK86" s="563"/>
      <c r="AL86" s="49"/>
      <c r="AM86" s="49"/>
      <c r="AN86" s="49"/>
      <c r="AO86" s="49"/>
    </row>
    <row r="87" spans="2:41" ht="15" hidden="1" customHeight="1">
      <c r="B87" s="1739"/>
      <c r="C87" s="1739"/>
      <c r="D87" s="1739"/>
      <c r="E87" s="1739"/>
      <c r="F87" s="1739"/>
      <c r="G87" s="42"/>
      <c r="I87" s="37" t="s">
        <v>704</v>
      </c>
      <c r="J87" s="320">
        <f ca="1">Resultado!C25</f>
        <v>0</v>
      </c>
      <c r="K87" s="36">
        <f t="shared" ca="1" si="4"/>
        <v>0</v>
      </c>
      <c r="L87" s="318">
        <f t="shared" ca="1" si="3"/>
        <v>0</v>
      </c>
      <c r="M87" s="321"/>
      <c r="N87" s="41"/>
      <c r="AG87" s="49"/>
      <c r="AH87" s="670"/>
      <c r="AI87" s="671"/>
      <c r="AJ87" s="672"/>
      <c r="AK87" s="673"/>
      <c r="AL87" s="429"/>
      <c r="AM87" s="49"/>
      <c r="AN87" s="49"/>
      <c r="AO87" s="49"/>
    </row>
    <row r="88" spans="2:41" ht="15" hidden="1" customHeight="1">
      <c r="B88" s="302"/>
      <c r="C88" s="302"/>
      <c r="D88" s="302"/>
      <c r="E88" s="302"/>
      <c r="F88" s="302"/>
      <c r="G88" s="42"/>
      <c r="I88" s="37" t="s">
        <v>706</v>
      </c>
      <c r="J88" s="320">
        <f ca="1">Resultado!C26</f>
        <v>0</v>
      </c>
      <c r="K88" s="36">
        <f t="shared" ca="1" si="4"/>
        <v>0</v>
      </c>
      <c r="L88" s="318">
        <f t="shared" ca="1" si="3"/>
        <v>0</v>
      </c>
      <c r="M88" s="321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hidden="1" customHeight="1">
      <c r="B89" s="1739"/>
      <c r="C89" s="1739"/>
      <c r="D89" s="1739"/>
      <c r="E89" s="1739"/>
      <c r="F89" s="1739"/>
      <c r="G89" s="42"/>
      <c r="I89" s="37" t="s">
        <v>794</v>
      </c>
      <c r="J89" s="320">
        <f ca="1">Resultado!C31</f>
        <v>0</v>
      </c>
      <c r="K89" s="36">
        <f t="shared" ca="1" si="4"/>
        <v>0</v>
      </c>
      <c r="L89" s="318">
        <f t="shared" ca="1" si="3"/>
        <v>0</v>
      </c>
      <c r="M89" s="322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2"/>
      <c r="C90" s="302"/>
      <c r="D90" s="302"/>
      <c r="E90" s="302"/>
      <c r="F90" s="302"/>
      <c r="G90" s="42"/>
      <c r="I90" s="37" t="s">
        <v>795</v>
      </c>
      <c r="J90" s="320">
        <f>Resultado!C28</f>
        <v>0</v>
      </c>
      <c r="K90" s="36">
        <f t="shared" ca="1" si="4"/>
        <v>0</v>
      </c>
      <c r="L90" s="318">
        <f t="shared" si="3"/>
        <v>0</v>
      </c>
      <c r="M90" s="322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2"/>
      <c r="C91" s="302"/>
      <c r="D91" s="302"/>
      <c r="E91" s="302"/>
      <c r="F91" s="302"/>
      <c r="G91" s="42"/>
      <c r="I91" s="37" t="s">
        <v>796</v>
      </c>
      <c r="J91" s="320">
        <f>Resultado!C29</f>
        <v>0</v>
      </c>
      <c r="K91" s="36">
        <f t="shared" ca="1" si="4"/>
        <v>0</v>
      </c>
      <c r="L91" s="318">
        <f t="shared" si="3"/>
        <v>0</v>
      </c>
      <c r="M91" s="322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2"/>
      <c r="C92" s="302"/>
      <c r="D92" s="302"/>
      <c r="E92" s="302"/>
      <c r="F92" s="302"/>
      <c r="G92" s="28"/>
      <c r="I92" s="37" t="s">
        <v>797</v>
      </c>
      <c r="J92" s="320">
        <f>Resultado!C30</f>
        <v>0</v>
      </c>
      <c r="K92" s="36">
        <f t="shared" ca="1" si="4"/>
        <v>0</v>
      </c>
      <c r="L92" s="318">
        <f t="shared" si="3"/>
        <v>0</v>
      </c>
      <c r="M92" s="322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302"/>
      <c r="C93" s="302"/>
      <c r="D93" s="302"/>
      <c r="E93" s="302"/>
      <c r="F93" s="302"/>
      <c r="G93" s="42"/>
      <c r="I93" s="37" t="s">
        <v>707</v>
      </c>
      <c r="J93" s="320">
        <f ca="1">Resultado!C31</f>
        <v>0</v>
      </c>
      <c r="K93" s="36">
        <f t="shared" ca="1" si="4"/>
        <v>0</v>
      </c>
      <c r="L93" s="318">
        <f t="shared" ca="1" si="3"/>
        <v>0</v>
      </c>
      <c r="M93" s="322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740"/>
      <c r="C94" s="1740"/>
      <c r="D94" s="1740"/>
      <c r="E94" s="1740"/>
      <c r="F94" s="1740"/>
      <c r="G94" s="42"/>
      <c r="I94" s="37" t="s">
        <v>708</v>
      </c>
      <c r="J94" s="320">
        <f ca="1">Resultado!C32</f>
        <v>8624248.0756572969</v>
      </c>
      <c r="K94" s="36">
        <f t="shared" ca="1" si="4"/>
        <v>0.14335866297310854</v>
      </c>
      <c r="L94" s="318">
        <f t="shared" ca="1" si="3"/>
        <v>1</v>
      </c>
      <c r="M94" s="312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739"/>
      <c r="C95" s="1739"/>
      <c r="D95" s="1739"/>
      <c r="E95" s="1739"/>
      <c r="F95" s="1739"/>
      <c r="I95" s="1187" t="s">
        <v>874</v>
      </c>
      <c r="J95" s="1188">
        <f ca="1">J86+J84+J74</f>
        <v>31039718.640470348</v>
      </c>
      <c r="K95" s="1189">
        <f t="shared" ca="1" si="4"/>
        <v>0.51596527886521415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739"/>
      <c r="C96" s="1739"/>
      <c r="D96" s="1739"/>
      <c r="E96" s="1739"/>
      <c r="F96" s="1739"/>
      <c r="I96" s="1187" t="s">
        <v>875</v>
      </c>
      <c r="J96" s="1188">
        <f ca="1">J97-J95</f>
        <v>29118822.85816966</v>
      </c>
      <c r="K96" s="1189">
        <f t="shared" ca="1" si="4"/>
        <v>0.48403472113478585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740"/>
      <c r="C97" s="1740"/>
      <c r="D97" s="1740"/>
      <c r="E97" s="1740"/>
      <c r="F97" s="1740"/>
      <c r="G97" s="28"/>
      <c r="I97" s="1184" t="s">
        <v>876</v>
      </c>
      <c r="J97" s="1186">
        <f ca="1">Mercado_RA0_Reais</f>
        <v>60158541.498640008</v>
      </c>
      <c r="K97" s="1190">
        <f ca="1">K95+K96</f>
        <v>1</v>
      </c>
      <c r="L97" s="31"/>
      <c r="AG97" s="49"/>
      <c r="AH97" s="666"/>
      <c r="AI97" s="666"/>
      <c r="AJ97" s="666"/>
      <c r="AK97" s="49"/>
      <c r="AL97" s="49"/>
      <c r="AM97" s="49"/>
      <c r="AN97" s="49"/>
      <c r="AO97" s="49"/>
    </row>
    <row r="98" spans="2:41" ht="15" customHeight="1">
      <c r="B98" s="1739"/>
      <c r="C98" s="1739"/>
      <c r="D98" s="1739"/>
      <c r="E98" s="1739"/>
      <c r="F98" s="1739"/>
      <c r="G98" s="42"/>
      <c r="M98" s="307" t="s">
        <v>811</v>
      </c>
      <c r="N98" s="308" t="s">
        <v>849</v>
      </c>
      <c r="AH98" s="430"/>
      <c r="AI98" s="431"/>
      <c r="AJ98" s="431"/>
      <c r="AL98" s="49"/>
      <c r="AM98" s="49"/>
      <c r="AN98" s="49"/>
    </row>
    <row r="99" spans="2:41" ht="15" customHeight="1">
      <c r="B99" s="1739"/>
      <c r="C99" s="1739"/>
      <c r="D99" s="1739"/>
      <c r="E99" s="1739"/>
      <c r="F99" s="1739"/>
      <c r="G99" s="42"/>
      <c r="M99" s="301" t="s">
        <v>819</v>
      </c>
      <c r="N99" s="301" t="s">
        <v>851</v>
      </c>
      <c r="O99" s="323" t="s">
        <v>858</v>
      </c>
      <c r="AH99" s="430"/>
      <c r="AI99" s="431"/>
      <c r="AJ99" s="431"/>
      <c r="AL99" s="49"/>
    </row>
    <row r="100" spans="2:41" ht="15" hidden="1" customHeight="1">
      <c r="B100" s="302"/>
      <c r="C100" s="302"/>
      <c r="D100" s="302"/>
      <c r="E100" s="302"/>
      <c r="F100" s="302"/>
      <c r="G100" s="42"/>
      <c r="M100" s="44" t="str">
        <f>Resultado!B15</f>
        <v>Reserva Global de Reversão – RGR</v>
      </c>
      <c r="N100" s="312">
        <f>Resultado!D15</f>
        <v>0</v>
      </c>
      <c r="O100" s="324">
        <f t="shared" ref="O100:O108" si="5">IF(N100=0,0,1)</f>
        <v>0</v>
      </c>
    </row>
    <row r="101" spans="2:41" ht="15" hidden="1" customHeight="1">
      <c r="B101" s="302"/>
      <c r="C101" s="302"/>
      <c r="D101" s="302"/>
      <c r="E101" s="302"/>
      <c r="F101" s="302"/>
      <c r="G101" s="42"/>
      <c r="M101" s="44" t="str">
        <f>Resultado!B16</f>
        <v>Conta de Consumo de Combustíveis – CCC</v>
      </c>
      <c r="N101" s="312">
        <f>Resultado!D16</f>
        <v>0</v>
      </c>
      <c r="O101" s="324">
        <f t="shared" si="5"/>
        <v>0</v>
      </c>
    </row>
    <row r="102" spans="2:41" ht="15" customHeight="1">
      <c r="B102" s="302"/>
      <c r="C102" s="302"/>
      <c r="D102" s="302"/>
      <c r="E102" s="302"/>
      <c r="F102" s="302"/>
      <c r="G102" s="42"/>
      <c r="M102" s="35" t="str">
        <f>Resultado!B17</f>
        <v>Taxa de Fisc. de Serviços de E.E. – TFSEE</v>
      </c>
      <c r="N102" s="320">
        <f ca="1">Resultado!D17</f>
        <v>152665.74938543511</v>
      </c>
      <c r="O102" s="324">
        <f t="shared" ca="1" si="5"/>
        <v>1</v>
      </c>
    </row>
    <row r="103" spans="2:41" ht="15" customHeight="1">
      <c r="B103" s="302"/>
      <c r="C103" s="302"/>
      <c r="D103" s="302"/>
      <c r="E103" s="302"/>
      <c r="F103" s="302"/>
      <c r="G103" s="42"/>
      <c r="M103" s="35" t="str">
        <f>Resultado!B18</f>
        <v>Conta de Desenvolvimento Energético – CDE</v>
      </c>
      <c r="N103" s="320">
        <f ca="1">Resultado!D18-Encargos!I20</f>
        <v>5641186.5212899977</v>
      </c>
      <c r="O103" s="324">
        <f t="shared" ca="1" si="5"/>
        <v>1</v>
      </c>
    </row>
    <row r="104" spans="2:41" ht="15" hidden="1" customHeight="1">
      <c r="B104" s="1739"/>
      <c r="C104" s="1739"/>
      <c r="D104" s="1739"/>
      <c r="E104" s="1739"/>
      <c r="F104" s="1739"/>
      <c r="G104" s="45"/>
      <c r="M104" s="35" t="s">
        <v>877</v>
      </c>
      <c r="N104" s="320">
        <f>Encargos!I20</f>
        <v>0</v>
      </c>
      <c r="O104" s="324">
        <f t="shared" si="5"/>
        <v>0</v>
      </c>
    </row>
    <row r="105" spans="2:41" ht="15" customHeight="1">
      <c r="B105" s="1739"/>
      <c r="C105" s="1739"/>
      <c r="D105" s="1739"/>
      <c r="E105" s="1739"/>
      <c r="F105" s="1739"/>
      <c r="G105" s="45"/>
      <c r="M105" s="35" t="str">
        <f>Resultado!B20</f>
        <v>Encargos Serv. Sist. - ESS e Energ. Reserv. – EER</v>
      </c>
      <c r="N105" s="320">
        <f ca="1">Resultado!D20</f>
        <v>366721.15865320963</v>
      </c>
      <c r="O105" s="324">
        <f t="shared" ca="1" si="5"/>
        <v>1</v>
      </c>
    </row>
    <row r="106" spans="2:41" ht="15" customHeight="1">
      <c r="B106" s="1740"/>
      <c r="C106" s="1740"/>
      <c r="D106" s="1740"/>
      <c r="E106" s="1740"/>
      <c r="F106" s="1740"/>
      <c r="G106" s="39"/>
      <c r="M106" s="35" t="str">
        <f>Resultado!B21</f>
        <v>PROINFA</v>
      </c>
      <c r="N106" s="320">
        <f ca="1">Resultado!D21</f>
        <v>914087.3624999997</v>
      </c>
      <c r="O106" s="324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20">
        <f>Resultado!D22</f>
        <v>0</v>
      </c>
      <c r="O107" s="324">
        <f t="shared" si="5"/>
        <v>0</v>
      </c>
    </row>
    <row r="108" spans="2:41" ht="15" hidden="1" customHeight="1">
      <c r="M108" s="44" t="str">
        <f>Resultado!B23</f>
        <v>ONS</v>
      </c>
      <c r="N108" s="312">
        <f>Resultado!D23</f>
        <v>0</v>
      </c>
      <c r="O108" s="325">
        <f t="shared" si="5"/>
        <v>0</v>
      </c>
    </row>
    <row r="109" spans="2:41" ht="15" customHeight="1">
      <c r="B109" s="30"/>
      <c r="M109" s="1184" t="s">
        <v>845</v>
      </c>
      <c r="N109" s="1186">
        <f ca="1">SUM(N100:N108)</f>
        <v>7074660.7918286426</v>
      </c>
    </row>
    <row r="110" spans="2:41" ht="15" customHeight="1">
      <c r="B110" s="29"/>
      <c r="C110" s="29"/>
      <c r="D110" s="29"/>
      <c r="P110" s="326" t="s">
        <v>818</v>
      </c>
      <c r="Q110" s="308" t="s">
        <v>849</v>
      </c>
    </row>
    <row r="111" spans="2:41" ht="15" customHeight="1">
      <c r="B111" s="46"/>
      <c r="C111" s="312"/>
      <c r="D111" s="312"/>
      <c r="P111" s="301" t="s">
        <v>854</v>
      </c>
      <c r="Q111" s="301" t="s">
        <v>878</v>
      </c>
    </row>
    <row r="112" spans="2:41" ht="15" customHeight="1">
      <c r="B112" s="46"/>
      <c r="C112" s="312"/>
      <c r="D112" s="312"/>
      <c r="P112" s="35" t="s">
        <v>879</v>
      </c>
      <c r="Q112" s="48">
        <f ca="1">Energia!N15</f>
        <v>0</v>
      </c>
    </row>
    <row r="113" spans="2:44" ht="15" customHeight="1">
      <c r="B113" s="46"/>
      <c r="C113" s="312"/>
      <c r="D113" s="312"/>
      <c r="P113" s="35" t="s">
        <v>743</v>
      </c>
      <c r="Q113" s="1191">
        <f ca="1">Energia!N14</f>
        <v>9.3400000000000011E-2</v>
      </c>
    </row>
    <row r="114" spans="2:44" ht="15" customHeight="1">
      <c r="B114" s="46"/>
      <c r="C114" s="312"/>
      <c r="D114" s="312"/>
      <c r="P114" s="1184" t="s">
        <v>845</v>
      </c>
      <c r="Q114" s="1190">
        <f ca="1">SUM(Q112:Q113)</f>
        <v>9.3400000000000011E-2</v>
      </c>
    </row>
    <row r="115" spans="2:44" ht="15" customHeight="1">
      <c r="B115" s="46"/>
      <c r="C115" s="312"/>
      <c r="D115" s="312"/>
      <c r="P115" s="44"/>
      <c r="Q115" s="312"/>
    </row>
    <row r="116" spans="2:44" ht="15" customHeight="1">
      <c r="B116" s="46"/>
      <c r="C116" s="312"/>
      <c r="D116" s="312"/>
      <c r="P116" s="44"/>
      <c r="Q116" s="312"/>
    </row>
    <row r="117" spans="2:44" ht="15" customHeight="1">
      <c r="B117" s="46"/>
      <c r="C117" s="312"/>
      <c r="D117" s="312"/>
      <c r="P117" s="44"/>
      <c r="Q117" s="312"/>
      <c r="S117" s="307" t="s">
        <v>880</v>
      </c>
      <c r="T117" s="308" t="s">
        <v>849</v>
      </c>
    </row>
    <row r="118" spans="2:44" ht="15" customHeight="1">
      <c r="B118" s="46"/>
      <c r="C118" s="312"/>
      <c r="D118" s="312"/>
      <c r="P118" s="44"/>
      <c r="Q118" s="312"/>
      <c r="S118" s="301" t="s">
        <v>854</v>
      </c>
      <c r="T118" s="301" t="s">
        <v>855</v>
      </c>
    </row>
    <row r="119" spans="2:44" ht="15" customHeight="1">
      <c r="B119" s="46"/>
      <c r="C119" s="312"/>
      <c r="D119" s="312"/>
      <c r="P119" s="44"/>
      <c r="Q119" s="312"/>
      <c r="S119" s="1192" t="s">
        <v>881</v>
      </c>
      <c r="T119" s="1193">
        <f ca="1">SUM(T120:T121)</f>
        <v>62056.817999999977</v>
      </c>
      <c r="U119" s="323" t="s">
        <v>858</v>
      </c>
    </row>
    <row r="120" spans="2:44" ht="15" customHeight="1">
      <c r="B120" s="46"/>
      <c r="C120" s="312"/>
      <c r="D120" s="312"/>
      <c r="P120" s="44"/>
      <c r="Q120" s="312"/>
      <c r="S120" s="47" t="s">
        <v>882</v>
      </c>
      <c r="T120" s="327">
        <f ca="1">Energia!C7</f>
        <v>62056.817999999977</v>
      </c>
      <c r="U120" s="323">
        <f ca="1">IF(T120=0,0,1)</f>
        <v>1</v>
      </c>
    </row>
    <row r="121" spans="2:44" ht="15" hidden="1" customHeight="1">
      <c r="B121" s="46"/>
      <c r="C121" s="312"/>
      <c r="D121" s="312"/>
      <c r="P121" s="44"/>
      <c r="Q121" s="312"/>
      <c r="S121" s="47" t="s">
        <v>883</v>
      </c>
      <c r="T121" s="327">
        <f ca="1">Energia!C8</f>
        <v>0</v>
      </c>
      <c r="U121" s="323">
        <f ca="1">IF(T121=0,0,1)</f>
        <v>0</v>
      </c>
    </row>
    <row r="122" spans="2:44" ht="15" customHeight="1">
      <c r="B122" s="46"/>
      <c r="C122" s="312"/>
      <c r="D122" s="312"/>
      <c r="P122" s="44"/>
      <c r="Q122" s="312"/>
      <c r="S122" s="1192" t="s">
        <v>884</v>
      </c>
      <c r="T122" s="1194">
        <f ca="1">SUM(T123:T124)</f>
        <v>6393.2349450694883</v>
      </c>
      <c r="U122" s="323">
        <v>1</v>
      </c>
    </row>
    <row r="123" spans="2:44" ht="15" hidden="1" customHeight="1">
      <c r="B123" s="46"/>
      <c r="C123" s="312"/>
      <c r="D123" s="312"/>
      <c r="P123" s="44"/>
      <c r="Q123" s="312"/>
      <c r="S123" s="47" t="s">
        <v>885</v>
      </c>
      <c r="T123" s="327">
        <f ca="1">SUM(Energia!C11:C12)</f>
        <v>0</v>
      </c>
      <c r="U123" s="323">
        <f ca="1">IF(T123=0,0,1)</f>
        <v>0</v>
      </c>
    </row>
    <row r="124" spans="2:44" ht="15" customHeight="1">
      <c r="B124" s="46"/>
      <c r="C124" s="312"/>
      <c r="D124" s="312"/>
      <c r="P124" s="44"/>
      <c r="Q124" s="312"/>
      <c r="S124" s="47" t="s">
        <v>886</v>
      </c>
      <c r="T124" s="327">
        <f ca="1">SUM(Energia!C10:C10)</f>
        <v>6393.2349450694883</v>
      </c>
      <c r="U124" s="323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2"/>
      <c r="D125" s="312"/>
      <c r="P125" s="44"/>
      <c r="Q125" s="312"/>
      <c r="S125" s="1184" t="s">
        <v>880</v>
      </c>
      <c r="T125" s="1195">
        <f ca="1">T119+T122</f>
        <v>68450.052945069459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2"/>
      <c r="D126" s="312"/>
      <c r="P126" s="44"/>
      <c r="Q126" s="312"/>
      <c r="S126" s="37"/>
      <c r="T126" s="328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2"/>
      <c r="D127" s="312"/>
      <c r="P127" s="44"/>
      <c r="Q127" s="312"/>
      <c r="S127" s="37"/>
      <c r="T127" s="328"/>
      <c r="V127" s="1196" t="s">
        <v>887</v>
      </c>
      <c r="W127" s="1196"/>
      <c r="X127" s="308" t="s">
        <v>849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2"/>
      <c r="D128" s="312"/>
      <c r="P128" s="44"/>
      <c r="Q128" s="312"/>
      <c r="S128" s="37"/>
      <c r="T128" s="328"/>
      <c r="V128" s="1179" t="s">
        <v>27</v>
      </c>
      <c r="W128" s="1197" t="s">
        <v>77</v>
      </c>
      <c r="X128" s="1179" t="s">
        <v>888</v>
      </c>
      <c r="Y128" s="323" t="s">
        <v>858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2"/>
      <c r="D129" s="312"/>
      <c r="P129" s="44"/>
      <c r="Q129" s="312"/>
      <c r="S129" s="37"/>
      <c r="T129" s="328"/>
      <c r="V129" s="329" t="str">
        <f>Energia!B28</f>
        <v>RGE SUL DISTRIBUIDORA DE ENERGIA S.A.</v>
      </c>
      <c r="W129" s="329" t="str">
        <f>Energia!C28</f>
        <v>A4 (2,3 a 25 kV)</v>
      </c>
      <c r="X129" s="330">
        <f>Energia!H28</f>
        <v>235.54380800000001</v>
      </c>
      <c r="Y129" s="323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hidden="1" customHeight="1">
      <c r="B130" s="46"/>
      <c r="C130" s="312"/>
      <c r="D130" s="312"/>
      <c r="P130" s="44"/>
      <c r="Q130" s="312"/>
      <c r="S130" s="37"/>
      <c r="T130" s="328"/>
      <c r="V130" s="329">
        <f>Energia!B29</f>
        <v>0</v>
      </c>
      <c r="W130" s="329">
        <f>Energia!C29</f>
        <v>0</v>
      </c>
      <c r="X130" s="330" t="str">
        <f>Energia!H29</f>
        <v/>
      </c>
      <c r="Y130" s="323">
        <f>IF(W130=0,0,1)</f>
        <v>0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2"/>
      <c r="D131" s="312"/>
      <c r="P131" s="44"/>
      <c r="Q131" s="312"/>
      <c r="S131" s="37"/>
      <c r="T131" s="328"/>
      <c r="V131" s="329">
        <f>Energia!B30</f>
        <v>0</v>
      </c>
      <c r="W131" s="329">
        <f>Energia!C30</f>
        <v>0</v>
      </c>
      <c r="X131" s="330" t="str">
        <f>Energia!H30</f>
        <v/>
      </c>
      <c r="Y131" s="323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2"/>
      <c r="D132" s="312"/>
      <c r="P132" s="44"/>
      <c r="Q132" s="312"/>
      <c r="S132" s="37"/>
      <c r="T132" s="328"/>
      <c r="V132" s="329">
        <f>Energia!B31</f>
        <v>0</v>
      </c>
      <c r="W132" s="329">
        <f>Energia!C31</f>
        <v>0</v>
      </c>
      <c r="X132" s="330" t="str">
        <f>Energia!H31</f>
        <v/>
      </c>
      <c r="Y132" s="323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2"/>
      <c r="D133" s="312"/>
      <c r="P133" s="44"/>
      <c r="Q133" s="312"/>
      <c r="V133" s="1198">
        <f>Energia!B32</f>
        <v>0</v>
      </c>
      <c r="W133" s="1198">
        <f>Energia!C32</f>
        <v>0</v>
      </c>
      <c r="X133" s="330" t="str">
        <f>Energia!H32</f>
        <v/>
      </c>
      <c r="Y133" s="323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2"/>
      <c r="D134" s="312"/>
      <c r="P134" s="44"/>
      <c r="Q134" s="312"/>
      <c r="V134" s="1199"/>
      <c r="W134" s="1200"/>
      <c r="X134" s="1201"/>
      <c r="Y134" s="331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2"/>
      <c r="D135" s="312"/>
      <c r="P135" s="44"/>
      <c r="Q135" s="312"/>
      <c r="V135" s="332"/>
      <c r="W135" s="333"/>
      <c r="X135" s="330"/>
      <c r="Y135" s="331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2"/>
      <c r="D136" s="312"/>
      <c r="P136" s="44"/>
      <c r="Q136" s="312"/>
      <c r="Z136" s="1196" t="s">
        <v>889</v>
      </c>
      <c r="AA136" s="1196"/>
      <c r="AB136" s="1196"/>
      <c r="AC136" s="308" t="s">
        <v>849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2"/>
      <c r="D137" s="312"/>
      <c r="P137" s="44"/>
      <c r="Q137" s="312"/>
      <c r="Z137" s="301" t="s">
        <v>854</v>
      </c>
      <c r="AA137" s="301" t="s">
        <v>855</v>
      </c>
      <c r="AB137" s="301" t="s">
        <v>888</v>
      </c>
      <c r="AC137" s="301" t="s">
        <v>890</v>
      </c>
      <c r="AD137" s="334" t="s">
        <v>858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2"/>
      <c r="D138" s="312"/>
      <c r="P138" s="44"/>
      <c r="Q138" s="312"/>
      <c r="Z138" s="333" t="str">
        <f>Energia!B28</f>
        <v>RGE SUL DISTRIBUIDORA DE ENERGIA S.A.</v>
      </c>
      <c r="AA138" s="335">
        <f>Energia!E35</f>
        <v>68493.179580000011</v>
      </c>
      <c r="AB138" s="336">
        <f>Energia!G35</f>
        <v>273.92</v>
      </c>
      <c r="AC138" s="337">
        <f>AA138*AB138</f>
        <v>18761651.750553604</v>
      </c>
      <c r="AD138" s="338">
        <f>IF(AA138=0,0,1)</f>
        <v>1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339"/>
    </row>
    <row r="139" spans="2:44" ht="15" hidden="1" customHeight="1">
      <c r="B139" s="46"/>
      <c r="C139" s="312"/>
      <c r="D139" s="312"/>
      <c r="P139" s="44"/>
      <c r="Q139" s="312"/>
      <c r="Z139" s="333" t="str">
        <f>Energia!B18</f>
        <v>Geração Própria</v>
      </c>
      <c r="AA139" s="335">
        <f ca="1">LnkTXTGPM</f>
        <v>0</v>
      </c>
      <c r="AB139" s="336">
        <f>Energia!E18</f>
        <v>0</v>
      </c>
      <c r="AC139" s="337">
        <f ca="1">AA139*AB139</f>
        <v>0</v>
      </c>
      <c r="AD139" s="340">
        <f ca="1">IF(AA139=0,0,1)</f>
        <v>0</v>
      </c>
      <c r="AE139" s="341"/>
      <c r="AF139" s="341"/>
      <c r="AG139" s="341"/>
      <c r="AH139" s="341"/>
      <c r="AI139" s="341"/>
      <c r="AJ139" s="341"/>
      <c r="AK139" s="341"/>
      <c r="AL139" s="341"/>
      <c r="AM139" s="341"/>
      <c r="AN139" s="341"/>
      <c r="AO139" s="341"/>
      <c r="AP139" s="341"/>
      <c r="AQ139" s="341"/>
      <c r="AR139" s="341"/>
    </row>
    <row r="140" spans="2:44" ht="15" customHeight="1">
      <c r="B140" s="46"/>
      <c r="C140" s="312"/>
      <c r="D140" s="312"/>
      <c r="P140" s="44"/>
      <c r="Q140" s="312"/>
      <c r="Z140" s="52" t="str">
        <f>Energia!B19</f>
        <v>PROINFA</v>
      </c>
      <c r="AA140" s="1202">
        <f>Energia!C19</f>
        <v>1118.7514856640885</v>
      </c>
      <c r="AB140" s="1203">
        <f>Energia!D19</f>
        <v>0</v>
      </c>
      <c r="AC140" s="1204">
        <f>AA140*AB140</f>
        <v>0</v>
      </c>
      <c r="AD140" s="338">
        <f>IF(AA140=0,0,1)</f>
        <v>1</v>
      </c>
      <c r="AE140" s="339"/>
      <c r="AF140" s="339"/>
      <c r="AG140" s="339"/>
      <c r="AH140" s="339"/>
      <c r="AI140" s="339"/>
      <c r="AJ140" s="339"/>
      <c r="AK140" s="339"/>
      <c r="AL140" s="339"/>
      <c r="AM140" s="339"/>
      <c r="AN140" s="339"/>
      <c r="AO140" s="339"/>
      <c r="AP140" s="339"/>
      <c r="AQ140" s="339"/>
      <c r="AR140" s="339"/>
    </row>
    <row r="141" spans="2:44" ht="15" customHeight="1">
      <c r="B141" s="46"/>
      <c r="C141" s="312"/>
      <c r="D141" s="312"/>
      <c r="P141" s="44"/>
      <c r="Q141" s="312"/>
      <c r="Z141" s="1192" t="s">
        <v>891</v>
      </c>
      <c r="AA141" s="1205">
        <f ca="1">Energia!N30-Energia!M30</f>
        <v>-2376.0223630404071</v>
      </c>
      <c r="AB141" s="1206">
        <f>Energia!M34</f>
        <v>0</v>
      </c>
      <c r="AC141" s="1206">
        <f ca="1">AA141*AB141</f>
        <v>0</v>
      </c>
      <c r="AD141" s="340">
        <f ca="1">IF(AA141=0,0,1)</f>
        <v>1</v>
      </c>
      <c r="AE141" s="342"/>
      <c r="AF141" s="342"/>
      <c r="AG141" s="342"/>
      <c r="AH141" s="342"/>
      <c r="AI141" s="342"/>
      <c r="AJ141" s="342"/>
      <c r="AK141" s="342"/>
      <c r="AL141" s="342"/>
      <c r="AM141" s="342"/>
      <c r="AN141" s="342"/>
      <c r="AO141" s="342"/>
      <c r="AP141" s="342"/>
      <c r="AQ141" s="342"/>
      <c r="AR141" s="342"/>
    </row>
    <row r="142" spans="2:44" ht="15" customHeight="1">
      <c r="B142" s="46"/>
      <c r="C142" s="312"/>
      <c r="D142" s="312"/>
      <c r="P142" s="44"/>
      <c r="Q142" s="312"/>
      <c r="Z142" s="1184" t="s">
        <v>845</v>
      </c>
      <c r="AA142" s="1207">
        <f ca="1">SUM(AA138:AA141)</f>
        <v>67235.908702623696</v>
      </c>
      <c r="AB142" s="1208">
        <f ca="1">AC142/AA142</f>
        <v>279.0421385324637</v>
      </c>
      <c r="AC142" s="1208">
        <f ca="1">SUM(AC138:AC141)</f>
        <v>18761651.750553604</v>
      </c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</row>
    <row r="143" spans="2:44" ht="15" customHeight="1">
      <c r="B143" s="46"/>
      <c r="C143" s="312"/>
      <c r="D143" s="312"/>
      <c r="P143" s="44"/>
      <c r="Q143" s="312"/>
      <c r="AD143" s="49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49"/>
      <c r="AQ143" s="49"/>
      <c r="AR143" s="49"/>
    </row>
    <row r="144" spans="2:44" ht="15" customHeight="1">
      <c r="B144" s="46"/>
      <c r="C144" s="312"/>
      <c r="D144" s="312"/>
      <c r="P144" s="44"/>
      <c r="Q144" s="312"/>
      <c r="AC144" s="312"/>
      <c r="AD144" s="49"/>
      <c r="AE144" s="1209" t="s">
        <v>829</v>
      </c>
      <c r="AF144" s="1209"/>
      <c r="AG144" s="1209"/>
      <c r="AH144" s="1209"/>
      <c r="AI144" s="1209"/>
      <c r="AJ144" s="1209"/>
      <c r="AK144" s="308" t="s">
        <v>849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2"/>
      <c r="D145" s="312"/>
      <c r="P145" s="44"/>
      <c r="Q145" s="312"/>
      <c r="AE145" s="1179" t="s">
        <v>27</v>
      </c>
      <c r="AF145" s="1179" t="s">
        <v>77</v>
      </c>
      <c r="AG145" s="1179" t="s">
        <v>892</v>
      </c>
      <c r="AH145" s="1179" t="s">
        <v>893</v>
      </c>
      <c r="AI145" s="1179" t="s">
        <v>60</v>
      </c>
      <c r="AJ145" s="1179" t="s">
        <v>894</v>
      </c>
      <c r="AK145" s="1179" t="s">
        <v>890</v>
      </c>
      <c r="AL145" s="323" t="s">
        <v>858</v>
      </c>
    </row>
    <row r="146" spans="2:39" ht="15" customHeight="1">
      <c r="B146" s="46"/>
      <c r="C146" s="312"/>
      <c r="D146" s="312"/>
      <c r="P146" s="44"/>
      <c r="Q146" s="312"/>
      <c r="AC146" s="49"/>
      <c r="AD146" s="49"/>
      <c r="AE146" s="430" t="str">
        <f>CUSD!B6</f>
        <v>RGE SUL DISTRIBUIDORA DE ENERGIA S.A.</v>
      </c>
      <c r="AF146" s="387" t="str">
        <f>CUSD!C6</f>
        <v>A4 (2,3 a 25 kV)</v>
      </c>
      <c r="AG146" s="339" t="str">
        <f>CUSD!F6</f>
        <v>Potência</v>
      </c>
      <c r="AH146" s="339" t="str">
        <f>CUSD!F6</f>
        <v>Potência</v>
      </c>
      <c r="AI146" s="405">
        <f>CUSD!H6</f>
        <v>194319.81999999998</v>
      </c>
      <c r="AJ146" s="406">
        <f>CUSD!J6</f>
        <v>19.98</v>
      </c>
      <c r="AK146" s="339">
        <f>IFERROR(AI146*AJ146,0)</f>
        <v>3882510.0035999995</v>
      </c>
      <c r="AL146" s="407">
        <f t="shared" ref="AL146:AL160" si="6">IF(AE146=0,0,1)</f>
        <v>1</v>
      </c>
      <c r="AM146" s="49"/>
    </row>
    <row r="147" spans="2:39" ht="15" customHeight="1">
      <c r="B147" s="46"/>
      <c r="C147" s="312"/>
      <c r="D147" s="312"/>
      <c r="P147" s="44"/>
      <c r="Q147" s="312"/>
      <c r="AC147" s="49"/>
      <c r="AD147" s="49"/>
      <c r="AE147" s="430" t="str">
        <f>CUSD!B7</f>
        <v>RGE SUL DISTRIBUIDORA DE ENERGIA S.A.</v>
      </c>
      <c r="AF147" s="387" t="str">
        <f>CUSD!C7</f>
        <v>A4 (2,3 a 25 kV)</v>
      </c>
      <c r="AG147" s="339" t="str">
        <f>CUSD!F7</f>
        <v>Potência</v>
      </c>
      <c r="AH147" s="339" t="str">
        <f>CUSD!F7</f>
        <v>Potência</v>
      </c>
      <c r="AI147" s="405">
        <f>CUSD!H7</f>
        <v>188211.39</v>
      </c>
      <c r="AJ147" s="406">
        <f>CUSD!J7</f>
        <v>26.9</v>
      </c>
      <c r="AK147" s="339">
        <f t="shared" ref="AK147:AK153" si="7">IFERROR(AI147*AJ147,0)</f>
        <v>5062886.3909999998</v>
      </c>
      <c r="AL147" s="407">
        <f t="shared" si="6"/>
        <v>1</v>
      </c>
      <c r="AM147" s="49"/>
    </row>
    <row r="148" spans="2:39" ht="15" customHeight="1">
      <c r="B148" s="46"/>
      <c r="C148" s="312"/>
      <c r="D148" s="312"/>
      <c r="P148" s="44"/>
      <c r="Q148" s="312"/>
      <c r="AC148" s="49"/>
      <c r="AD148" s="49"/>
      <c r="AE148" s="430" t="str">
        <f>CUSD!B8</f>
        <v>RGE SUL DISTRIBUIDORA DE ENERGIA S.A.</v>
      </c>
      <c r="AF148" s="387" t="str">
        <f>CUSD!C8</f>
        <v>A4 (2,3 a 25 kV)</v>
      </c>
      <c r="AG148" s="339" t="str">
        <f>CUSD!F8</f>
        <v>Energia</v>
      </c>
      <c r="AH148" s="339" t="str">
        <f>CUSD!F8</f>
        <v>Energia</v>
      </c>
      <c r="AI148" s="405">
        <f>CUSD!H8</f>
        <v>63726.481220000001</v>
      </c>
      <c r="AJ148" s="406">
        <f>CUSD!J8</f>
        <v>11.36</v>
      </c>
      <c r="AK148" s="339">
        <f t="shared" si="7"/>
        <v>723932.82665920001</v>
      </c>
      <c r="AL148" s="407">
        <f>IF(AE148=0,0,1)</f>
        <v>1</v>
      </c>
      <c r="AM148" s="406"/>
    </row>
    <row r="149" spans="2:39" ht="15" customHeight="1">
      <c r="B149" s="46"/>
      <c r="C149" s="312"/>
      <c r="D149" s="312"/>
      <c r="P149" s="44"/>
      <c r="Q149" s="312"/>
      <c r="AC149" s="49"/>
      <c r="AD149" s="49"/>
      <c r="AE149" s="430" t="str">
        <f>CUSD!B9</f>
        <v>RGE SUL DISTRIBUIDORA DE ENERGIA S.A.</v>
      </c>
      <c r="AF149" s="387" t="str">
        <f>CUSD!C9</f>
        <v>A4 (2,3 a 25 kV)</v>
      </c>
      <c r="AG149" s="339" t="str">
        <f>CUSD!F9</f>
        <v>Energia</v>
      </c>
      <c r="AH149" s="339" t="str">
        <f>CUSD!F9</f>
        <v>Energia</v>
      </c>
      <c r="AI149" s="405">
        <f>CUSD!H9</f>
        <v>8909.8681899999992</v>
      </c>
      <c r="AJ149" s="406">
        <f>CUSD!J9</f>
        <v>11.36</v>
      </c>
      <c r="AK149" s="339">
        <f t="shared" si="7"/>
        <v>101216.10263839999</v>
      </c>
      <c r="AL149" s="407">
        <f t="shared" si="6"/>
        <v>1</v>
      </c>
      <c r="AM149" s="406"/>
    </row>
    <row r="150" spans="2:39" ht="15" hidden="1" customHeight="1">
      <c r="B150" s="46"/>
      <c r="C150" s="312"/>
      <c r="D150" s="312"/>
      <c r="P150" s="44"/>
      <c r="Q150" s="312"/>
      <c r="AC150" s="49"/>
      <c r="AD150" s="49"/>
      <c r="AE150" s="387">
        <f>CUSD!B10</f>
        <v>0</v>
      </c>
      <c r="AF150" s="387">
        <f>CUSD!C10</f>
        <v>0</v>
      </c>
      <c r="AG150" s="339" t="str">
        <f>CUSD!F10</f>
        <v/>
      </c>
      <c r="AH150" s="339" t="str">
        <f>CUSD!F10</f>
        <v/>
      </c>
      <c r="AI150" s="405" t="str">
        <f>CUSD!H10</f>
        <v/>
      </c>
      <c r="AJ150" s="406" t="str">
        <f>CUSD!J10</f>
        <v/>
      </c>
      <c r="AK150" s="339">
        <f t="shared" si="7"/>
        <v>0</v>
      </c>
      <c r="AL150" s="407">
        <v>0</v>
      </c>
      <c r="AM150" s="406"/>
    </row>
    <row r="151" spans="2:39" ht="15" hidden="1" customHeight="1">
      <c r="B151" s="46"/>
      <c r="C151" s="312"/>
      <c r="D151" s="312"/>
      <c r="P151" s="44"/>
      <c r="Q151" s="312"/>
      <c r="AC151" s="49"/>
      <c r="AD151" s="49"/>
      <c r="AE151" s="387">
        <f>CUSD!B11</f>
        <v>0</v>
      </c>
      <c r="AF151" s="387">
        <f>CUSD!C11</f>
        <v>0</v>
      </c>
      <c r="AG151" s="339" t="str">
        <f>CUSD!F11</f>
        <v/>
      </c>
      <c r="AH151" s="339" t="str">
        <f>CUSD!F11</f>
        <v/>
      </c>
      <c r="AI151" s="405" t="str">
        <f>CUSD!H11</f>
        <v/>
      </c>
      <c r="AJ151" s="406" t="str">
        <f>CUSD!J11</f>
        <v/>
      </c>
      <c r="AK151" s="339">
        <f t="shared" si="7"/>
        <v>0</v>
      </c>
      <c r="AL151" s="407">
        <v>0</v>
      </c>
      <c r="AM151" s="406"/>
    </row>
    <row r="152" spans="2:39" ht="15" hidden="1" customHeight="1">
      <c r="B152" s="46"/>
      <c r="C152" s="312"/>
      <c r="D152" s="312"/>
      <c r="P152" s="44"/>
      <c r="Q152" s="312"/>
      <c r="AC152" s="49"/>
      <c r="AD152" s="49"/>
      <c r="AE152" s="387">
        <f>CUSD!B12</f>
        <v>0</v>
      </c>
      <c r="AF152" s="387">
        <f>CUSD!C12</f>
        <v>0</v>
      </c>
      <c r="AG152" s="339" t="str">
        <f>CUSD!F12</f>
        <v/>
      </c>
      <c r="AH152" s="339" t="str">
        <f>CUSD!F12</f>
        <v/>
      </c>
      <c r="AI152" s="405" t="str">
        <f>CUSD!H12</f>
        <v/>
      </c>
      <c r="AJ152" s="406" t="str">
        <f>CUSD!J12</f>
        <v/>
      </c>
      <c r="AK152" s="339">
        <f t="shared" si="7"/>
        <v>0</v>
      </c>
      <c r="AL152" s="407">
        <f t="shared" si="6"/>
        <v>0</v>
      </c>
      <c r="AM152" s="406"/>
    </row>
    <row r="153" spans="2:39" ht="15" hidden="1" customHeight="1">
      <c r="B153" s="46"/>
      <c r="C153" s="312"/>
      <c r="D153" s="312"/>
      <c r="P153" s="44"/>
      <c r="Q153" s="312"/>
      <c r="AC153" s="49"/>
      <c r="AD153" s="49"/>
      <c r="AE153" s="387">
        <f>CUSD!B13</f>
        <v>0</v>
      </c>
      <c r="AF153" s="387">
        <f>CUSD!C13</f>
        <v>0</v>
      </c>
      <c r="AG153" s="339" t="str">
        <f>CUSD!F13</f>
        <v/>
      </c>
      <c r="AH153" s="339" t="str">
        <f>CUSD!F13</f>
        <v/>
      </c>
      <c r="AI153" s="405" t="str">
        <f>CUSD!H13</f>
        <v/>
      </c>
      <c r="AJ153" s="406" t="str">
        <f>CUSD!J13</f>
        <v/>
      </c>
      <c r="AK153" s="339">
        <f t="shared" si="7"/>
        <v>0</v>
      </c>
      <c r="AL153" s="407">
        <f t="shared" si="6"/>
        <v>0</v>
      </c>
      <c r="AM153" s="406"/>
    </row>
    <row r="154" spans="2:39" ht="15" hidden="1" customHeight="1">
      <c r="B154" s="46"/>
      <c r="C154" s="312"/>
      <c r="D154" s="312"/>
      <c r="P154" s="44"/>
      <c r="Q154" s="312"/>
      <c r="AC154" s="49"/>
      <c r="AD154" s="49"/>
      <c r="AE154" s="387">
        <f>CUSD!B14</f>
        <v>0</v>
      </c>
      <c r="AF154" s="387">
        <f>CUSD!C14</f>
        <v>0</v>
      </c>
      <c r="AG154" s="339" t="str">
        <f>CUSD!F14</f>
        <v/>
      </c>
      <c r="AH154" s="339" t="str">
        <f>CUSD!F14</f>
        <v/>
      </c>
      <c r="AI154" s="405" t="str">
        <f>CUSD!H14</f>
        <v/>
      </c>
      <c r="AJ154" s="406" t="str">
        <f>CUSD!J14</f>
        <v/>
      </c>
      <c r="AK154" s="339">
        <f t="shared" ref="AK154:AK160" si="8">IFERROR(AI154*AJ154,0)</f>
        <v>0</v>
      </c>
      <c r="AL154" s="407">
        <f t="shared" si="6"/>
        <v>0</v>
      </c>
      <c r="AM154" s="406"/>
    </row>
    <row r="155" spans="2:39" ht="15" hidden="1" customHeight="1">
      <c r="B155" s="46"/>
      <c r="C155" s="312"/>
      <c r="D155" s="312"/>
      <c r="P155" s="44"/>
      <c r="Q155" s="312"/>
      <c r="AC155" s="49"/>
      <c r="AD155" s="49"/>
      <c r="AE155" s="387">
        <f>CUSD!B15</f>
        <v>0</v>
      </c>
      <c r="AF155" s="387">
        <f>CUSD!C15</f>
        <v>0</v>
      </c>
      <c r="AG155" s="339" t="str">
        <f>CUSD!F15</f>
        <v/>
      </c>
      <c r="AH155" s="339" t="str">
        <f>CUSD!F15</f>
        <v/>
      </c>
      <c r="AI155" s="405" t="str">
        <f>CUSD!H15</f>
        <v/>
      </c>
      <c r="AJ155" s="406" t="str">
        <f>CUSD!J15</f>
        <v/>
      </c>
      <c r="AK155" s="339">
        <f t="shared" si="8"/>
        <v>0</v>
      </c>
      <c r="AL155" s="407">
        <f t="shared" si="6"/>
        <v>0</v>
      </c>
      <c r="AM155" s="406"/>
    </row>
    <row r="156" spans="2:39" ht="15" hidden="1" customHeight="1">
      <c r="B156" s="46"/>
      <c r="C156" s="312"/>
      <c r="D156" s="312"/>
      <c r="P156" s="44"/>
      <c r="Q156" s="312"/>
      <c r="AC156" s="49"/>
      <c r="AD156" s="49"/>
      <c r="AE156" s="387">
        <f>CUSD!B16</f>
        <v>0</v>
      </c>
      <c r="AF156" s="387">
        <f>CUSD!C16</f>
        <v>0</v>
      </c>
      <c r="AG156" s="339" t="str">
        <f>CUSD!F16</f>
        <v/>
      </c>
      <c r="AH156" s="339" t="str">
        <f>CUSD!F16</f>
        <v/>
      </c>
      <c r="AI156" s="405" t="str">
        <f>CUSD!H16</f>
        <v/>
      </c>
      <c r="AJ156" s="406" t="str">
        <f>CUSD!J16</f>
        <v/>
      </c>
      <c r="AK156" s="339">
        <f t="shared" si="8"/>
        <v>0</v>
      </c>
      <c r="AL156" s="407">
        <f t="shared" si="6"/>
        <v>0</v>
      </c>
      <c r="AM156" s="406"/>
    </row>
    <row r="157" spans="2:39" ht="15" hidden="1" customHeight="1">
      <c r="B157" s="46"/>
      <c r="C157" s="312"/>
      <c r="D157" s="312"/>
      <c r="P157" s="44"/>
      <c r="Q157" s="312"/>
      <c r="AC157" s="49"/>
      <c r="AD157" s="49"/>
      <c r="AE157" s="387">
        <f>CUSD!B17</f>
        <v>0</v>
      </c>
      <c r="AF157" s="387">
        <f>CUSD!C17</f>
        <v>0</v>
      </c>
      <c r="AG157" s="339" t="str">
        <f>CUSD!F17</f>
        <v/>
      </c>
      <c r="AH157" s="339" t="str">
        <f>CUSD!F17</f>
        <v/>
      </c>
      <c r="AI157" s="405" t="str">
        <f>CUSD!H17</f>
        <v/>
      </c>
      <c r="AJ157" s="406" t="str">
        <f>CUSD!J17</f>
        <v/>
      </c>
      <c r="AK157" s="339">
        <f t="shared" si="8"/>
        <v>0</v>
      </c>
      <c r="AL157" s="407">
        <v>0</v>
      </c>
      <c r="AM157" s="406"/>
    </row>
    <row r="158" spans="2:39" ht="15" hidden="1" customHeight="1">
      <c r="B158" s="46"/>
      <c r="C158" s="312"/>
      <c r="D158" s="312"/>
      <c r="P158" s="44"/>
      <c r="Q158" s="312"/>
      <c r="AC158" s="49"/>
      <c r="AD158" s="49"/>
      <c r="AE158" s="387">
        <f>CUSD!B18</f>
        <v>0</v>
      </c>
      <c r="AF158" s="387">
        <f>CUSD!C18</f>
        <v>0</v>
      </c>
      <c r="AG158" s="339" t="str">
        <f>CUSD!F18</f>
        <v/>
      </c>
      <c r="AH158" s="339" t="str">
        <f>CUSD!F18</f>
        <v/>
      </c>
      <c r="AI158" s="405" t="str">
        <f>CUSD!H18</f>
        <v/>
      </c>
      <c r="AJ158" s="406" t="str">
        <f>CUSD!J18</f>
        <v/>
      </c>
      <c r="AK158" s="339">
        <f t="shared" si="8"/>
        <v>0</v>
      </c>
      <c r="AL158" s="407">
        <f t="shared" si="6"/>
        <v>0</v>
      </c>
      <c r="AM158" s="406"/>
    </row>
    <row r="159" spans="2:39" ht="15" hidden="1" customHeight="1">
      <c r="B159" s="46"/>
      <c r="C159" s="312"/>
      <c r="D159" s="312"/>
      <c r="P159" s="44"/>
      <c r="Q159" s="312"/>
      <c r="AC159" s="49"/>
      <c r="AD159" s="49"/>
      <c r="AE159" s="387">
        <f>CUSD!B19</f>
        <v>0</v>
      </c>
      <c r="AF159" s="387">
        <f>CUSD!C19</f>
        <v>0</v>
      </c>
      <c r="AG159" s="339" t="str">
        <f>CUSD!F19</f>
        <v/>
      </c>
      <c r="AH159" s="339" t="str">
        <f>CUSD!F19</f>
        <v/>
      </c>
      <c r="AI159" s="405" t="str">
        <f>CUSD!H19</f>
        <v/>
      </c>
      <c r="AJ159" s="406" t="str">
        <f>CUSD!J19</f>
        <v/>
      </c>
      <c r="AK159" s="339">
        <f t="shared" si="8"/>
        <v>0</v>
      </c>
      <c r="AL159" s="407">
        <f t="shared" si="6"/>
        <v>0</v>
      </c>
      <c r="AM159" s="406"/>
    </row>
    <row r="160" spans="2:39" ht="15" hidden="1" customHeight="1">
      <c r="B160" s="46"/>
      <c r="C160" s="312"/>
      <c r="D160" s="312"/>
      <c r="P160" s="44"/>
      <c r="Q160" s="312"/>
      <c r="AC160" s="49"/>
      <c r="AD160" s="49"/>
      <c r="AE160" s="387">
        <f>CUSD!B20</f>
        <v>0</v>
      </c>
      <c r="AF160" s="387">
        <f>CUSD!C20</f>
        <v>0</v>
      </c>
      <c r="AG160" s="339" t="str">
        <f>CUSD!F20</f>
        <v/>
      </c>
      <c r="AH160" s="339" t="str">
        <f>CUSD!F20</f>
        <v/>
      </c>
      <c r="AI160" s="405" t="str">
        <f>CUSD!H20</f>
        <v/>
      </c>
      <c r="AJ160" s="406" t="str">
        <f>CUSD!J20</f>
        <v/>
      </c>
      <c r="AK160" s="339">
        <f t="shared" si="8"/>
        <v>0</v>
      </c>
      <c r="AL160" s="407">
        <f t="shared" si="6"/>
        <v>0</v>
      </c>
      <c r="AM160" s="49"/>
    </row>
    <row r="161" spans="2:42" ht="15" customHeight="1">
      <c r="B161" s="46"/>
      <c r="C161" s="312"/>
      <c r="D161" s="312"/>
      <c r="P161" s="44"/>
      <c r="Q161" s="312"/>
      <c r="AE161" s="1184" t="s">
        <v>895</v>
      </c>
      <c r="AF161" s="1184"/>
      <c r="AG161" s="1184"/>
      <c r="AH161" s="1184"/>
      <c r="AI161" s="1210">
        <f>SUM(AI146:AI160)</f>
        <v>455167.55940999999</v>
      </c>
      <c r="AJ161" s="1186"/>
      <c r="AK161" s="1186">
        <f>SUM(AK146:AK160)</f>
        <v>9770545.3238976002</v>
      </c>
    </row>
    <row r="162" spans="2:42" ht="15" customHeight="1">
      <c r="B162" s="46"/>
      <c r="C162" s="312"/>
      <c r="D162" s="312"/>
      <c r="P162" s="44"/>
      <c r="Q162" s="312"/>
    </row>
    <row r="163" spans="2:42" ht="15" customHeight="1">
      <c r="B163" s="46"/>
      <c r="C163" s="312"/>
      <c r="D163" s="312"/>
      <c r="P163" s="44"/>
      <c r="Q163" s="312"/>
      <c r="AM163" s="1209" t="s">
        <v>896</v>
      </c>
      <c r="AN163" s="308" t="s">
        <v>849</v>
      </c>
    </row>
    <row r="164" spans="2:42" ht="15" customHeight="1">
      <c r="B164" s="46"/>
      <c r="C164" s="312"/>
      <c r="D164" s="312"/>
      <c r="P164" s="44"/>
      <c r="Q164" s="312"/>
      <c r="AM164" s="1211" t="s">
        <v>800</v>
      </c>
      <c r="AN164" s="1179" t="s">
        <v>851</v>
      </c>
      <c r="AO164" s="23" t="s">
        <v>858</v>
      </c>
      <c r="AP164" s="681" t="s">
        <v>897</v>
      </c>
    </row>
    <row r="165" spans="2:42" ht="15" customHeight="1">
      <c r="B165" s="46"/>
      <c r="C165" s="312"/>
      <c r="D165" s="312"/>
      <c r="P165" s="44"/>
      <c r="Q165" s="312"/>
      <c r="AM165" s="53" t="str">
        <f>Financeiros!C9</f>
        <v>Repasse de PIS COFINS</v>
      </c>
      <c r="AN165" s="890">
        <f>LnkTXTPISCOFINS</f>
        <v>1320184.3375018844</v>
      </c>
      <c r="AO165" s="23">
        <f t="shared" ref="AO165:AO196" si="9">IF(AN165=0,0,1)</f>
        <v>1</v>
      </c>
      <c r="AP165" s="681"/>
    </row>
    <row r="166" spans="2:42" ht="15" customHeight="1">
      <c r="B166" s="46"/>
      <c r="C166" s="312"/>
      <c r="D166" s="312"/>
      <c r="P166" s="44"/>
      <c r="Q166" s="312"/>
      <c r="AM166" s="53" t="s">
        <v>804</v>
      </c>
      <c r="AN166" s="890">
        <f ca="1">SUM(Financeiros!D12:D17)</f>
        <v>-46079.737896923471</v>
      </c>
      <c r="AO166" s="23">
        <f t="shared" ca="1" si="9"/>
        <v>1</v>
      </c>
      <c r="AP166" s="681"/>
    </row>
    <row r="167" spans="2:42" ht="15" hidden="1" customHeight="1">
      <c r="B167" s="46"/>
      <c r="C167" s="312"/>
      <c r="D167" s="312"/>
      <c r="P167" s="44"/>
      <c r="Q167" s="312"/>
      <c r="AM167" s="23" t="s">
        <v>2270</v>
      </c>
      <c r="AN167" s="425">
        <f ca="1">Financeiros!D18+Financeiros!D19</f>
        <v>0</v>
      </c>
      <c r="AO167" s="23">
        <f t="shared" ca="1" si="9"/>
        <v>0</v>
      </c>
      <c r="AP167" s="681"/>
    </row>
    <row r="168" spans="2:42" ht="15" hidden="1" customHeight="1">
      <c r="B168" s="46"/>
      <c r="C168" s="312"/>
      <c r="D168" s="312"/>
      <c r="P168" s="44"/>
      <c r="Q168" s="312"/>
      <c r="AM168" s="23" t="s">
        <v>2270</v>
      </c>
      <c r="AN168" s="425"/>
      <c r="AO168" s="681">
        <f>IF(AN168=0,0,1)</f>
        <v>0</v>
      </c>
      <c r="AP168" s="681"/>
    </row>
    <row r="169" spans="2:42" ht="15" hidden="1" customHeight="1">
      <c r="B169" s="46"/>
      <c r="C169" s="312"/>
      <c r="D169" s="312"/>
      <c r="P169" s="44"/>
      <c r="Q169" s="312"/>
      <c r="AM169" s="53" t="str">
        <f>Financeiros!C25</f>
        <v>Ajustes Processos anteriores</v>
      </c>
      <c r="AN169" s="890">
        <f>Financeiros!D25</f>
        <v>0</v>
      </c>
      <c r="AO169" s="23">
        <f t="shared" si="9"/>
        <v>0</v>
      </c>
      <c r="AP169" s="681"/>
    </row>
    <row r="170" spans="2:42" ht="15" hidden="1" customHeight="1">
      <c r="B170" s="46"/>
      <c r="C170" s="312"/>
      <c r="D170" s="312"/>
      <c r="P170" s="44"/>
      <c r="Q170" s="312"/>
      <c r="AM170" s="53" t="str">
        <f>Financeiros!C26</f>
        <v>Ajuste CUST + PISCONFINS Transmissão</v>
      </c>
      <c r="AN170" s="890">
        <f>Financeiros!D26</f>
        <v>0</v>
      </c>
      <c r="AO170" s="23">
        <f t="shared" si="9"/>
        <v>0</v>
      </c>
      <c r="AP170" s="681"/>
    </row>
    <row r="171" spans="2:42" ht="15" customHeight="1">
      <c r="B171" s="46"/>
      <c r="C171" s="312"/>
      <c r="D171" s="312"/>
      <c r="P171" s="44"/>
      <c r="Q171" s="312"/>
      <c r="AM171" s="53" t="str">
        <f>Financeiros!C27</f>
        <v>Compensação DIC FIC</v>
      </c>
      <c r="AN171" s="890">
        <f>LnkTXTDICFIC</f>
        <v>-245831.60901239348</v>
      </c>
      <c r="AO171" s="23">
        <f t="shared" si="9"/>
        <v>1</v>
      </c>
      <c r="AP171" s="681"/>
    </row>
    <row r="172" spans="2:42" ht="15" customHeight="1">
      <c r="B172" s="46"/>
      <c r="C172" s="312"/>
      <c r="D172" s="312"/>
      <c r="P172" s="44"/>
      <c r="Q172" s="312"/>
      <c r="AM172" s="53" t="str">
        <f>Financeiros!C28</f>
        <v>Subvenção CDE</v>
      </c>
      <c r="AN172" s="890">
        <f ca="1">LnkTxTSubvencaoCDE</f>
        <v>-21494204.354071971</v>
      </c>
      <c r="AO172" s="23">
        <f t="shared" ca="1" si="9"/>
        <v>1</v>
      </c>
      <c r="AP172" s="681"/>
    </row>
    <row r="173" spans="2:42" ht="15" customHeight="1">
      <c r="B173" s="46"/>
      <c r="C173" s="312"/>
      <c r="D173" s="312"/>
      <c r="P173" s="44"/>
      <c r="Q173" s="312"/>
      <c r="AM173" s="53" t="str">
        <f>Financeiros!C29</f>
        <v>Retenção de Adicionais de Bandeiras Tarifárias</v>
      </c>
      <c r="AN173" s="890">
        <f>Financeiros!D29</f>
        <v>-586819.51200968993</v>
      </c>
      <c r="AO173" s="23">
        <f t="shared" si="9"/>
        <v>1</v>
      </c>
      <c r="AP173" s="681"/>
    </row>
    <row r="174" spans="2:42" ht="15" hidden="1" customHeight="1">
      <c r="B174" s="46"/>
      <c r="C174" s="312"/>
      <c r="D174" s="312"/>
      <c r="P174" s="44"/>
      <c r="Q174" s="312"/>
      <c r="AM174" s="53" t="s">
        <v>898</v>
      </c>
      <c r="AN174" s="890">
        <f>Financeiros!D35</f>
        <v>0</v>
      </c>
      <c r="AO174" s="23">
        <f t="shared" si="9"/>
        <v>0</v>
      </c>
      <c r="AP174" s="681"/>
    </row>
    <row r="175" spans="2:42" ht="15" hidden="1" customHeight="1">
      <c r="B175" s="46"/>
      <c r="C175" s="312"/>
      <c r="D175" s="312"/>
      <c r="P175" s="44"/>
      <c r="Q175" s="312"/>
      <c r="AM175" s="53" t="str">
        <f>Financeiros!C31</f>
        <v>Repasse de ICMS</v>
      </c>
      <c r="AN175" s="890">
        <f>Financeiros!D31</f>
        <v>0</v>
      </c>
      <c r="AO175" s="681">
        <f>IF(AN175=0,0,1)</f>
        <v>0</v>
      </c>
      <c r="AP175" s="681"/>
    </row>
    <row r="176" spans="2:42" ht="15" hidden="1" customHeight="1">
      <c r="B176" s="46"/>
      <c r="C176" s="312"/>
      <c r="D176" s="312"/>
      <c r="P176" s="44"/>
      <c r="Q176" s="312"/>
      <c r="AM176" s="53" t="s">
        <v>899</v>
      </c>
      <c r="AN176" s="890">
        <f>Financeiros!D38</f>
        <v>0</v>
      </c>
      <c r="AO176" s="23">
        <f t="shared" si="9"/>
        <v>0</v>
      </c>
      <c r="AP176" s="681"/>
    </row>
    <row r="177" spans="2:42" ht="15" customHeight="1">
      <c r="B177" s="46"/>
      <c r="C177" s="312"/>
      <c r="D177" s="312"/>
      <c r="P177" s="44"/>
      <c r="Q177" s="312"/>
      <c r="AM177" s="53" t="str">
        <f>Financeiros!C36</f>
        <v>Previsão de Risco Hidrologico</v>
      </c>
      <c r="AN177" s="891">
        <f ca="1">Financeiros!D36</f>
        <v>214701.29892110906</v>
      </c>
      <c r="AO177" s="23">
        <f t="shared" ca="1" si="9"/>
        <v>1</v>
      </c>
      <c r="AP177" s="681"/>
    </row>
    <row r="178" spans="2:42" ht="15" hidden="1" customHeight="1">
      <c r="B178" s="46"/>
      <c r="C178" s="312"/>
      <c r="D178" s="312"/>
      <c r="P178" s="44"/>
      <c r="Q178" s="312"/>
      <c r="AM178" s="53" t="str">
        <f>Financeiros!C37</f>
        <v>Efeito COVID da Supridora</v>
      </c>
      <c r="AN178" s="890">
        <f>Financeiros!D37</f>
        <v>0</v>
      </c>
      <c r="AO178" s="23">
        <f t="shared" si="9"/>
        <v>0</v>
      </c>
      <c r="AP178" s="681"/>
    </row>
    <row r="179" spans="2:42" ht="15" hidden="1" customHeight="1">
      <c r="B179" s="46"/>
      <c r="C179" s="312"/>
      <c r="D179" s="312"/>
      <c r="P179" s="44"/>
      <c r="Q179" s="312"/>
      <c r="AM179" s="53" t="s">
        <v>900</v>
      </c>
      <c r="AN179" s="890">
        <f>Financeiros!D39+Financeiros!D40</f>
        <v>0</v>
      </c>
      <c r="AO179" s="23">
        <f t="shared" si="9"/>
        <v>0</v>
      </c>
      <c r="AP179" s="681"/>
    </row>
    <row r="180" spans="2:42" ht="15" hidden="1" customHeight="1">
      <c r="B180" s="46"/>
      <c r="C180" s="312"/>
      <c r="D180" s="312"/>
      <c r="P180" s="44"/>
      <c r="Q180" s="312"/>
      <c r="AM180" s="53" t="str">
        <f>Financeiros!C41</f>
        <v>Financeiros associados ao §7º do Art. 88 da Ren 414/2021</v>
      </c>
      <c r="AN180" s="890">
        <f>Financeiros!D41</f>
        <v>0</v>
      </c>
      <c r="AO180" s="23">
        <f t="shared" si="9"/>
        <v>0</v>
      </c>
      <c r="AP180" s="681"/>
    </row>
    <row r="181" spans="2:42" ht="15" hidden="1" customHeight="1">
      <c r="B181" s="46"/>
      <c r="C181" s="312"/>
      <c r="D181" s="312"/>
      <c r="P181" s="44"/>
      <c r="Q181" s="312"/>
      <c r="AM181" s="53">
        <f>Financeiros!C42</f>
        <v>0</v>
      </c>
      <c r="AN181" s="890">
        <f>Financeiros!D42</f>
        <v>0</v>
      </c>
      <c r="AO181" s="23">
        <f t="shared" ref="AO181:AO186" si="10">IF(AN181=0,0,1)</f>
        <v>0</v>
      </c>
      <c r="AP181" s="681"/>
    </row>
    <row r="182" spans="2:42" ht="15" hidden="1" customHeight="1">
      <c r="B182" s="46"/>
      <c r="C182" s="312"/>
      <c r="D182" s="312"/>
      <c r="P182" s="44"/>
      <c r="Q182" s="312"/>
      <c r="AM182" s="53">
        <f>Financeiros!C43</f>
        <v>0</v>
      </c>
      <c r="AN182" s="890">
        <f>Financeiros!D43</f>
        <v>0</v>
      </c>
      <c r="AO182" s="23">
        <f t="shared" si="10"/>
        <v>0</v>
      </c>
      <c r="AP182" s="681"/>
    </row>
    <row r="183" spans="2:42" ht="15" hidden="1" customHeight="1">
      <c r="B183" s="46"/>
      <c r="C183" s="312"/>
      <c r="D183" s="312"/>
      <c r="P183" s="44"/>
      <c r="Q183" s="312"/>
      <c r="AM183" s="53">
        <f>Financeiros!C44</f>
        <v>0</v>
      </c>
      <c r="AN183" s="890">
        <f>Financeiros!D44</f>
        <v>0</v>
      </c>
      <c r="AO183" s="23">
        <f t="shared" si="10"/>
        <v>0</v>
      </c>
      <c r="AP183" s="681"/>
    </row>
    <row r="184" spans="2:42" ht="15" hidden="1" customHeight="1">
      <c r="B184" s="46"/>
      <c r="C184" s="312"/>
      <c r="D184" s="312"/>
      <c r="P184" s="44"/>
      <c r="Q184" s="312"/>
      <c r="AM184" s="53">
        <f>Financeiros!C45</f>
        <v>0</v>
      </c>
      <c r="AN184" s="890">
        <f>Financeiros!D45</f>
        <v>0</v>
      </c>
      <c r="AO184" s="23">
        <f t="shared" si="10"/>
        <v>0</v>
      </c>
      <c r="AP184" s="681"/>
    </row>
    <row r="185" spans="2:42" ht="15" hidden="1" customHeight="1">
      <c r="B185" s="46"/>
      <c r="C185" s="312"/>
      <c r="D185" s="312"/>
      <c r="P185" s="44"/>
      <c r="Q185" s="312"/>
      <c r="AM185" s="53">
        <f>Financeiros!C46</f>
        <v>0</v>
      </c>
      <c r="AN185" s="890">
        <f>Financeiros!D46</f>
        <v>0</v>
      </c>
      <c r="AO185" s="23">
        <f t="shared" si="10"/>
        <v>0</v>
      </c>
      <c r="AP185" s="1019"/>
    </row>
    <row r="186" spans="2:42" ht="15" hidden="1" customHeight="1">
      <c r="B186" s="46"/>
      <c r="C186" s="312"/>
      <c r="D186" s="312"/>
      <c r="P186" s="44"/>
      <c r="Q186" s="312"/>
      <c r="AM186" s="53">
        <f>Financeiros!C47</f>
        <v>0</v>
      </c>
      <c r="AN186" s="890">
        <f>Financeiros!D47</f>
        <v>0</v>
      </c>
      <c r="AO186" s="23">
        <f t="shared" si="10"/>
        <v>0</v>
      </c>
      <c r="AP186" s="1019"/>
    </row>
    <row r="187" spans="2:42" ht="15" hidden="1" customHeight="1">
      <c r="B187" s="46"/>
      <c r="C187" s="312"/>
      <c r="D187" s="312"/>
      <c r="P187" s="44"/>
      <c r="Q187" s="312"/>
      <c r="AM187" s="53" t="s">
        <v>2288</v>
      </c>
      <c r="AN187" s="890">
        <f ca="1">SUM(Financeiros!D57:D61)</f>
        <v>0</v>
      </c>
      <c r="AO187" s="23">
        <f t="shared" ca="1" si="9"/>
        <v>0</v>
      </c>
      <c r="AP187" s="681"/>
    </row>
    <row r="188" spans="2:42" ht="15" hidden="1" customHeight="1">
      <c r="B188" s="46"/>
      <c r="C188" s="312"/>
      <c r="D188" s="312"/>
      <c r="P188" s="44"/>
      <c r="Q188" s="312"/>
      <c r="AM188" s="53" t="s">
        <v>2298</v>
      </c>
      <c r="AN188" s="890">
        <f>Financeiros!D64</f>
        <v>0</v>
      </c>
      <c r="AO188" s="23">
        <f t="shared" si="9"/>
        <v>0</v>
      </c>
      <c r="AP188" s="681"/>
    </row>
    <row r="189" spans="2:42" ht="15" hidden="1" customHeight="1">
      <c r="B189" s="46"/>
      <c r="C189" s="312"/>
      <c r="D189" s="312"/>
      <c r="P189" s="44"/>
      <c r="Q189" s="312"/>
      <c r="AM189" s="53" t="s">
        <v>2299</v>
      </c>
      <c r="AN189" s="890">
        <f ca="1">SUM(Financeiros!D65:D75)</f>
        <v>0</v>
      </c>
      <c r="AO189" s="23">
        <f ca="1">IF(AN189=0,0,1)</f>
        <v>0</v>
      </c>
      <c r="AP189" s="681"/>
    </row>
    <row r="190" spans="2:42" ht="15" hidden="1" customHeight="1">
      <c r="B190" s="46"/>
      <c r="C190" s="312"/>
      <c r="D190" s="312"/>
      <c r="P190" s="44"/>
      <c r="Q190" s="312"/>
      <c r="AM190" s="53"/>
      <c r="AN190" s="890"/>
      <c r="AO190" s="23">
        <f t="shared" si="9"/>
        <v>0</v>
      </c>
      <c r="AP190" s="681"/>
    </row>
    <row r="191" spans="2:42" ht="15" hidden="1" customHeight="1">
      <c r="B191" s="46"/>
      <c r="C191" s="312"/>
      <c r="D191" s="312"/>
      <c r="P191" s="44"/>
      <c r="Q191" s="312"/>
      <c r="AM191" s="53"/>
      <c r="AN191" s="890"/>
      <c r="AO191" s="23">
        <f t="shared" si="9"/>
        <v>0</v>
      </c>
      <c r="AP191" s="681"/>
    </row>
    <row r="192" spans="2:42" ht="15" hidden="1" customHeight="1">
      <c r="B192" s="46"/>
      <c r="C192" s="312"/>
      <c r="D192" s="312"/>
      <c r="P192" s="44"/>
      <c r="Q192" s="312"/>
      <c r="AM192" s="53"/>
      <c r="AN192" s="890"/>
      <c r="AO192" s="23">
        <f t="shared" si="9"/>
        <v>0</v>
      </c>
      <c r="AP192" s="681"/>
    </row>
    <row r="193" spans="2:54" ht="15" hidden="1" customHeight="1">
      <c r="B193" s="46"/>
      <c r="C193" s="312"/>
      <c r="D193" s="312"/>
      <c r="P193" s="44"/>
      <c r="Q193" s="312"/>
      <c r="AM193" s="53"/>
      <c r="AN193" s="890"/>
      <c r="AO193" s="23">
        <f t="shared" si="9"/>
        <v>0</v>
      </c>
      <c r="AP193" s="681"/>
    </row>
    <row r="194" spans="2:54" ht="15" hidden="1" customHeight="1">
      <c r="B194" s="46"/>
      <c r="C194" s="312"/>
      <c r="D194" s="312"/>
      <c r="P194" s="44"/>
      <c r="Q194" s="312"/>
      <c r="AM194" s="53"/>
      <c r="AN194" s="890"/>
      <c r="AO194" s="23">
        <f t="shared" si="9"/>
        <v>0</v>
      </c>
      <c r="AP194" s="681"/>
    </row>
    <row r="195" spans="2:54" ht="15" hidden="1" customHeight="1">
      <c r="B195" s="46"/>
      <c r="C195" s="312"/>
      <c r="D195" s="312"/>
      <c r="P195" s="44"/>
      <c r="Q195" s="312"/>
      <c r="AM195" s="53"/>
      <c r="AN195" s="890"/>
      <c r="AO195" s="23">
        <f t="shared" si="9"/>
        <v>0</v>
      </c>
      <c r="AP195" s="681"/>
    </row>
    <row r="196" spans="2:54" ht="15" hidden="1" customHeight="1">
      <c r="B196" s="46"/>
      <c r="C196" s="312"/>
      <c r="D196" s="312"/>
      <c r="P196" s="44"/>
      <c r="Q196" s="312"/>
      <c r="AM196" s="53"/>
      <c r="AN196" s="890"/>
      <c r="AO196" s="23">
        <f t="shared" si="9"/>
        <v>0</v>
      </c>
      <c r="AP196" s="681"/>
    </row>
    <row r="197" spans="2:54" ht="15" customHeight="1">
      <c r="B197" s="46"/>
      <c r="C197" s="312"/>
      <c r="D197" s="312"/>
      <c r="P197" s="44"/>
      <c r="Q197" s="312"/>
      <c r="AM197" s="1184" t="s">
        <v>803</v>
      </c>
      <c r="AN197" s="1212">
        <f ca="1">SUM(AN165:AN186)</f>
        <v>-20838049.576567985</v>
      </c>
      <c r="AP197" s="24"/>
    </row>
    <row r="198" spans="2:54" ht="15" customHeight="1">
      <c r="B198" s="46"/>
      <c r="C198" s="312"/>
      <c r="D198" s="312"/>
      <c r="P198" s="44"/>
      <c r="Q198" s="312"/>
    </row>
    <row r="199" spans="2:54" ht="15" customHeight="1">
      <c r="B199" s="46"/>
      <c r="C199" s="312"/>
      <c r="D199" s="312"/>
      <c r="P199" s="44"/>
      <c r="Q199" s="312"/>
    </row>
    <row r="200" spans="2:54" ht="15" customHeight="1">
      <c r="B200" s="46"/>
      <c r="C200" s="312"/>
      <c r="D200" s="312"/>
      <c r="P200" s="44"/>
      <c r="Q200" s="312"/>
      <c r="AM200" s="53"/>
      <c r="AN200" s="344"/>
      <c r="AP200" s="1209" t="s">
        <v>901</v>
      </c>
      <c r="AQ200" s="308" t="s">
        <v>849</v>
      </c>
    </row>
    <row r="201" spans="2:54" ht="15" customHeight="1">
      <c r="B201" s="46"/>
      <c r="C201" s="312"/>
      <c r="D201" s="312"/>
      <c r="P201" s="44"/>
      <c r="Q201" s="312"/>
      <c r="AM201" s="53"/>
      <c r="AN201" s="344"/>
      <c r="AP201" s="1197" t="s">
        <v>902</v>
      </c>
      <c r="AQ201" s="1179" t="s">
        <v>903</v>
      </c>
    </row>
    <row r="202" spans="2:54" ht="15" customHeight="1">
      <c r="B202" s="46"/>
      <c r="C202" s="312"/>
      <c r="D202" s="312"/>
      <c r="P202" s="44"/>
      <c r="Q202" s="312"/>
      <c r="AM202" s="53"/>
      <c r="AN202" s="344"/>
      <c r="AP202" s="305" t="s">
        <v>904</v>
      </c>
      <c r="AQ202" s="230">
        <f>LnkTXTEfeitoAT</f>
        <v>8.2779420907789447E-2</v>
      </c>
    </row>
    <row r="203" spans="2:54" ht="15" customHeight="1">
      <c r="B203" s="46"/>
      <c r="C203" s="312"/>
      <c r="D203" s="312"/>
      <c r="P203" s="44"/>
      <c r="Q203" s="312"/>
      <c r="AM203" s="53"/>
      <c r="AN203" s="344"/>
      <c r="AP203" s="305" t="s">
        <v>905</v>
      </c>
      <c r="AQ203" s="230">
        <f>LnkTXTEfeitoBT</f>
        <v>0.14803139370930296</v>
      </c>
    </row>
    <row r="204" spans="2:54" ht="15" customHeight="1">
      <c r="B204" s="46"/>
      <c r="C204" s="312"/>
      <c r="D204" s="312"/>
      <c r="P204" s="44"/>
      <c r="Q204" s="312"/>
      <c r="AM204" s="53"/>
      <c r="AN204" s="344"/>
      <c r="AP204" s="1184" t="s">
        <v>906</v>
      </c>
      <c r="AQ204" s="1190">
        <f>LnkTXTEfeito</f>
        <v>0.13924834283945997</v>
      </c>
    </row>
    <row r="205" spans="2:54" ht="15" customHeight="1">
      <c r="B205" s="46"/>
      <c r="C205" s="312"/>
      <c r="D205" s="312"/>
      <c r="P205" s="44"/>
      <c r="Q205" s="312"/>
      <c r="AM205" s="53"/>
      <c r="AN205" s="344"/>
      <c r="AW205" s="425"/>
    </row>
    <row r="206" spans="2:54" ht="15" customHeight="1">
      <c r="B206" s="46"/>
      <c r="C206" s="312"/>
      <c r="D206" s="312"/>
      <c r="P206" s="44"/>
      <c r="Q206" s="312"/>
      <c r="AM206" s="53"/>
      <c r="AN206" s="344"/>
      <c r="AS206" s="1209" t="s">
        <v>907</v>
      </c>
      <c r="AT206" s="30"/>
      <c r="AU206" s="30"/>
      <c r="AV206" s="30"/>
      <c r="AW206" s="30"/>
      <c r="AX206" s="308" t="s">
        <v>849</v>
      </c>
    </row>
    <row r="207" spans="2:54" ht="39" customHeight="1" thickBot="1">
      <c r="B207" s="54"/>
      <c r="C207" s="322"/>
      <c r="D207" s="54"/>
      <c r="AS207" s="1021" t="s">
        <v>908</v>
      </c>
      <c r="AT207" s="1021" t="s">
        <v>869</v>
      </c>
      <c r="AU207" s="1021" t="s">
        <v>909</v>
      </c>
      <c r="AV207" s="1021" t="s">
        <v>910</v>
      </c>
      <c r="AW207" s="1021" t="s">
        <v>911</v>
      </c>
      <c r="AX207" s="1021" t="s">
        <v>912</v>
      </c>
      <c r="AY207" s="323" t="s">
        <v>858</v>
      </c>
      <c r="BB207" s="412"/>
    </row>
    <row r="208" spans="2:54" ht="15" customHeight="1" thickTop="1">
      <c r="B208" s="54"/>
      <c r="C208" s="322"/>
      <c r="D208" s="54"/>
      <c r="AS208" s="1213" t="s">
        <v>913</v>
      </c>
      <c r="AT208" s="1214">
        <f ca="1">SUM(AT209:AT218)</f>
        <v>4566937.2448938135</v>
      </c>
      <c r="AU208" s="1214">
        <f ca="1">SUM(AU209:AU218)</f>
        <v>7074660.7918286426</v>
      </c>
      <c r="AV208" s="1215">
        <f ca="1">IF(AU208=0,0,ROUND(AU208/AT208-1,4))</f>
        <v>0.54910000000000003</v>
      </c>
      <c r="AW208" s="1215">
        <f ca="1">SUM(AW209:AW218)</f>
        <v>4.1685245095104587E-2</v>
      </c>
      <c r="AX208" s="1215">
        <f t="shared" ref="AX208:AX213" ca="1" si="11">AU208/$AU$226</f>
        <v>0.10667265702924832</v>
      </c>
      <c r="AY208" s="323">
        <v>1</v>
      </c>
    </row>
    <row r="209" spans="2:51" ht="15" hidden="1" customHeight="1">
      <c r="AS209" s="1022" t="str">
        <f t="shared" ref="AS209:AT212" si="12">I75</f>
        <v>Reserva Global de Reversão – RGR</v>
      </c>
      <c r="AT209" s="1023">
        <f t="shared" si="12"/>
        <v>0</v>
      </c>
      <c r="AU209" s="1023">
        <f>Resultado!D15</f>
        <v>0</v>
      </c>
      <c r="AV209" s="1024">
        <f t="shared" ref="AV209:AV224" si="13">IF(AU209=0,0,ROUND(AU209/AT209-1,3))</f>
        <v>0</v>
      </c>
      <c r="AW209" s="1024">
        <f ca="1">(AU209-AT209)/$AT$226</f>
        <v>0</v>
      </c>
      <c r="AX209" s="1024">
        <f t="shared" ca="1" si="11"/>
        <v>0</v>
      </c>
      <c r="AY209" s="323">
        <f ca="1">IF(AW209=0,0,1)</f>
        <v>0</v>
      </c>
    </row>
    <row r="210" spans="2:51" ht="15" hidden="1" customHeight="1">
      <c r="H210" s="23"/>
      <c r="AS210" s="1022" t="str">
        <f t="shared" si="12"/>
        <v>Conta de Consumo de Combustíveis – CCC</v>
      </c>
      <c r="AT210" s="1023">
        <f t="shared" si="12"/>
        <v>0</v>
      </c>
      <c r="AU210" s="1023">
        <f>Resultado!D16</f>
        <v>0</v>
      </c>
      <c r="AV210" s="1024">
        <f t="shared" si="13"/>
        <v>0</v>
      </c>
      <c r="AW210" s="1024">
        <f ca="1">(AU210-AT210)/$AT$226</f>
        <v>0</v>
      </c>
      <c r="AX210" s="1024">
        <f t="shared" ca="1" si="11"/>
        <v>0</v>
      </c>
      <c r="AY210" s="323">
        <f t="shared" ref="AY210:AY264" ca="1" si="14">IF(AW210=0,0,1)</f>
        <v>0</v>
      </c>
    </row>
    <row r="211" spans="2:51" ht="15" customHeight="1">
      <c r="B211" s="29"/>
      <c r="C211" s="39"/>
      <c r="H211" s="23"/>
      <c r="AS211" s="1022" t="str">
        <f t="shared" si="12"/>
        <v>Taxa de Fisc. de Serviços de E.E. – TFSEE</v>
      </c>
      <c r="AT211" s="1023">
        <f t="shared" ca="1" si="12"/>
        <v>132725.67553456523</v>
      </c>
      <c r="AU211" s="1023">
        <f ca="1">Resultado!D17</f>
        <v>152665.74938543511</v>
      </c>
      <c r="AV211" s="1024">
        <f ca="1">IF(AU211=0,0,ROUND(AU211/AT211-1,4))</f>
        <v>0.1502</v>
      </c>
      <c r="AW211" s="1024">
        <f ca="1">(AU211-AT211)/$AT$226</f>
        <v>3.3145873144748117E-4</v>
      </c>
      <c r="AX211" s="1024">
        <f t="shared" ca="1" si="11"/>
        <v>2.3019140568711731E-3</v>
      </c>
      <c r="AY211" s="323">
        <f t="shared" ca="1" si="14"/>
        <v>1</v>
      </c>
    </row>
    <row r="212" spans="2:51" ht="15" customHeight="1">
      <c r="C212" s="28"/>
      <c r="H212" s="23"/>
      <c r="AS212" s="1022" t="str">
        <f t="shared" si="12"/>
        <v>Conta de Desenvolvimento Energético – CDE</v>
      </c>
      <c r="AT212" s="1023">
        <f t="shared" ca="1" si="12"/>
        <v>3830051.9038871895</v>
      </c>
      <c r="AU212" s="1023">
        <f ca="1">Resultado!D18-Encargos!I20</f>
        <v>5641186.5212899977</v>
      </c>
      <c r="AV212" s="1024">
        <f ca="1">IF(AU212=0,0,ROUND(AU212/AT212-1,4))</f>
        <v>0.47289999999999999</v>
      </c>
      <c r="AW212" s="1024">
        <f ca="1">(AU212-AT212)/$AT$226</f>
        <v>3.0106026048582847E-2</v>
      </c>
      <c r="AX212" s="1024">
        <f t="shared" ca="1" si="11"/>
        <v>8.5058545240590214E-2</v>
      </c>
      <c r="AY212" s="323">
        <f t="shared" ca="1" si="14"/>
        <v>1</v>
      </c>
    </row>
    <row r="213" spans="2:51" ht="15" hidden="1" customHeight="1">
      <c r="C213" s="28"/>
      <c r="H213" s="23"/>
      <c r="AS213" s="1022" t="s">
        <v>914</v>
      </c>
      <c r="AT213" s="1023">
        <f ca="1">J79</f>
        <v>0</v>
      </c>
      <c r="AU213" s="1023">
        <f>Encargos!I20</f>
        <v>0</v>
      </c>
      <c r="AV213" s="1024">
        <v>1</v>
      </c>
      <c r="AW213" s="1024">
        <f ca="1">(AU213-AT213)/$AT$226</f>
        <v>0</v>
      </c>
      <c r="AX213" s="1024">
        <f t="shared" ca="1" si="11"/>
        <v>0</v>
      </c>
      <c r="AY213" s="323">
        <f t="shared" ca="1" si="14"/>
        <v>0</v>
      </c>
    </row>
    <row r="214" spans="2:51" ht="15" hidden="1" customHeight="1">
      <c r="C214" s="28"/>
      <c r="H214" s="23"/>
      <c r="AS214" s="1022" t="s">
        <v>2217</v>
      </c>
      <c r="AT214" s="1023"/>
      <c r="AU214" s="1023">
        <f>Encargos!I21</f>
        <v>0</v>
      </c>
      <c r="AV214" s="1024"/>
      <c r="AW214" s="1024"/>
      <c r="AX214" s="1024"/>
      <c r="AY214" s="1013">
        <f>IF(AW214=0,0,1)</f>
        <v>0</v>
      </c>
    </row>
    <row r="215" spans="2:51" ht="12.75">
      <c r="C215" s="28"/>
      <c r="H215" s="23"/>
      <c r="AS215" s="1022" t="str">
        <f t="shared" ref="AS215:AT218" si="15">I80</f>
        <v>Encargos Serv. Sist. - ESS e Energ. Reserv. – EER</v>
      </c>
      <c r="AT215" s="1023">
        <f t="shared" ca="1" si="15"/>
        <v>0</v>
      </c>
      <c r="AU215" s="1023">
        <f ca="1">Resultado!D20</f>
        <v>366721.15865320963</v>
      </c>
      <c r="AV215" s="1024">
        <v>1</v>
      </c>
      <c r="AW215" s="1024">
        <f ca="1">(AU215-AT215)/$AT$226</f>
        <v>6.0959117278715945E-3</v>
      </c>
      <c r="AX215" s="1024">
        <f t="shared" ref="AX215:AX228" ca="1" si="16">AU215/$AU$226</f>
        <v>5.5294694026271421E-3</v>
      </c>
      <c r="AY215" s="323">
        <f ca="1">IF(AW215=0,0,1)</f>
        <v>1</v>
      </c>
    </row>
    <row r="216" spans="2:51" ht="15" customHeight="1">
      <c r="C216" s="28"/>
      <c r="H216" s="23"/>
      <c r="AS216" s="1022" t="str">
        <f t="shared" si="15"/>
        <v>PROINFA</v>
      </c>
      <c r="AT216" s="1023">
        <f t="shared" ca="1" si="15"/>
        <v>604159.66547205858</v>
      </c>
      <c r="AU216" s="1023">
        <f ca="1">Resultado!D21</f>
        <v>914087.3624999997</v>
      </c>
      <c r="AV216" s="1024">
        <f ca="1">IF(AU216=0,0,ROUND(AU216/AT216-1,4))</f>
        <v>0.51300000000000001</v>
      </c>
      <c r="AW216" s="1024">
        <f ca="1">(AU216-AT216)/$AT$226</f>
        <v>5.1518485872026603E-3</v>
      </c>
      <c r="AX216" s="1024">
        <f t="shared" ca="1" si="16"/>
        <v>1.3782728329159787E-2</v>
      </c>
      <c r="AY216" s="323">
        <f t="shared" ca="1" si="14"/>
        <v>1</v>
      </c>
    </row>
    <row r="217" spans="2:51" ht="15" hidden="1" customHeight="1">
      <c r="B217" s="29"/>
      <c r="C217" s="39"/>
      <c r="H217" s="23"/>
      <c r="AS217" s="1022" t="str">
        <f t="shared" si="15"/>
        <v>P&amp;D e Eficiência Energética</v>
      </c>
      <c r="AT217" s="1023">
        <f t="shared" ca="1" si="15"/>
        <v>0</v>
      </c>
      <c r="AU217" s="1023">
        <f>Resultado!D22</f>
        <v>0</v>
      </c>
      <c r="AV217" s="1024">
        <f>IF(AU217=0,0,ROUND(AU217/AT217-1,4))</f>
        <v>0</v>
      </c>
      <c r="AW217" s="1024">
        <f ca="1">(AU217-AT217)/$AT$226</f>
        <v>0</v>
      </c>
      <c r="AX217" s="1024">
        <f t="shared" ca="1" si="16"/>
        <v>0</v>
      </c>
      <c r="AY217" s="323">
        <v>0</v>
      </c>
    </row>
    <row r="218" spans="2:51" ht="15" hidden="1" customHeight="1">
      <c r="C218" s="345"/>
      <c r="H218" s="23"/>
      <c r="AS218" s="1022" t="str">
        <f t="shared" si="15"/>
        <v>ONS</v>
      </c>
      <c r="AT218" s="1023">
        <f t="shared" ca="1" si="15"/>
        <v>0</v>
      </c>
      <c r="AU218" s="1023">
        <f>Resultado!D23</f>
        <v>0</v>
      </c>
      <c r="AV218" s="1024">
        <f t="shared" si="13"/>
        <v>0</v>
      </c>
      <c r="AW218" s="1024">
        <f ca="1">(AU218-AT218)/$AT$226</f>
        <v>0</v>
      </c>
      <c r="AX218" s="1024">
        <f t="shared" ca="1" si="16"/>
        <v>0</v>
      </c>
      <c r="AY218" s="323">
        <v>0</v>
      </c>
    </row>
    <row r="219" spans="2:51" ht="15" customHeight="1">
      <c r="C219" s="312"/>
      <c r="H219" s="23"/>
      <c r="AS219" s="1213" t="s">
        <v>915</v>
      </c>
      <c r="AT219" s="1214">
        <f ca="1">AT220</f>
        <v>17848533.31991924</v>
      </c>
      <c r="AU219" s="1214">
        <f ca="1">AU220</f>
        <v>15476014.231197888</v>
      </c>
      <c r="AV219" s="1215">
        <f ca="1">IF(AU219=0,0,ROUND(AU219/AT219-1,4))</f>
        <v>-0.13289999999999999</v>
      </c>
      <c r="AW219" s="1215">
        <f ca="1">AW220</f>
        <v>-3.9437776076652171E-2</v>
      </c>
      <c r="AX219" s="1215">
        <f t="shared" ca="1" si="16"/>
        <v>0.2333493586252389</v>
      </c>
      <c r="AY219" s="323">
        <f t="shared" ca="1" si="14"/>
        <v>1</v>
      </c>
    </row>
    <row r="220" spans="2:51" ht="15" customHeight="1">
      <c r="C220" s="312"/>
      <c r="H220" s="23"/>
      <c r="AS220" s="1022" t="s">
        <v>872</v>
      </c>
      <c r="AT220" s="1023">
        <f ca="1">J85</f>
        <v>17848533.31991924</v>
      </c>
      <c r="AU220" s="1023">
        <f ca="1">Resultado!D33</f>
        <v>15476014.231197888</v>
      </c>
      <c r="AV220" s="1024">
        <f ca="1">IF(AU220=0,0,ROUND(AU220/AT220-1,4))</f>
        <v>-0.13289999999999999</v>
      </c>
      <c r="AW220" s="1024">
        <f ca="1">(AU220-AT220)/$AT$226</f>
        <v>-3.9437776076652171E-2</v>
      </c>
      <c r="AX220" s="1024">
        <f t="shared" ca="1" si="16"/>
        <v>0.2333493586252389</v>
      </c>
      <c r="AY220" s="323">
        <f t="shared" ca="1" si="14"/>
        <v>1</v>
      </c>
    </row>
    <row r="221" spans="2:51" ht="15" customHeight="1">
      <c r="AS221" s="1213" t="s">
        <v>916</v>
      </c>
      <c r="AT221" s="1214">
        <f ca="1">SUM(AT222:AT225)</f>
        <v>8624248.0756572969</v>
      </c>
      <c r="AU221" s="1214">
        <f>SUM(AU222:AU225)</f>
        <v>9770545.3238976002</v>
      </c>
      <c r="AV221" s="1215">
        <f ca="1">IF(AU221=0,0,ROUND(AU221/AT221-1,4))</f>
        <v>0.13289999999999999</v>
      </c>
      <c r="AW221" s="1215">
        <f ca="1">SUM(AW222:AW225)</f>
        <v>1.9054605043345628E-2</v>
      </c>
      <c r="AX221" s="1215">
        <f t="shared" ca="1" si="16"/>
        <v>0.14732155519437365</v>
      </c>
      <c r="AY221" s="323">
        <f t="shared" ca="1" si="14"/>
        <v>1</v>
      </c>
    </row>
    <row r="222" spans="2:51" ht="15" hidden="1" customHeight="1">
      <c r="AS222" s="1022" t="str">
        <f>Resultado!B25</f>
        <v>Rede Básica</v>
      </c>
      <c r="AT222" s="1023">
        <f ca="1">J87</f>
        <v>0</v>
      </c>
      <c r="AU222" s="1023">
        <f>Resultado!D25</f>
        <v>0</v>
      </c>
      <c r="AV222" s="1024"/>
      <c r="AW222" s="1024">
        <f ca="1">(AU222-AT222)/$AT$226</f>
        <v>0</v>
      </c>
      <c r="AX222" s="1024">
        <f t="shared" ca="1" si="16"/>
        <v>0</v>
      </c>
      <c r="AY222" s="323">
        <f t="shared" ca="1" si="14"/>
        <v>0</v>
      </c>
    </row>
    <row r="223" spans="2:51" ht="15" hidden="1" customHeight="1">
      <c r="AS223" s="1022" t="str">
        <f>Resultado!B26</f>
        <v>Rede Básica Fronteira</v>
      </c>
      <c r="AT223" s="1023">
        <f ca="1">J88</f>
        <v>0</v>
      </c>
      <c r="AU223" s="1023">
        <f>Resultado!D26</f>
        <v>0</v>
      </c>
      <c r="AV223" s="1024"/>
      <c r="AW223" s="1024">
        <f ca="1">(AU223-AT223)/$AT$226</f>
        <v>0</v>
      </c>
      <c r="AX223" s="1024">
        <f t="shared" ca="1" si="16"/>
        <v>0</v>
      </c>
      <c r="AY223" s="323">
        <f t="shared" ca="1" si="14"/>
        <v>0</v>
      </c>
    </row>
    <row r="224" spans="2:51" ht="15" hidden="1" customHeight="1">
      <c r="H224" s="23"/>
      <c r="AS224" s="1022" t="str">
        <f>Resultado!B31</f>
        <v>Conexão</v>
      </c>
      <c r="AT224" s="1023">
        <f ca="1">J93</f>
        <v>0</v>
      </c>
      <c r="AU224" s="1023">
        <f>Resultado!D31</f>
        <v>0</v>
      </c>
      <c r="AV224" s="1024">
        <f t="shared" si="13"/>
        <v>0</v>
      </c>
      <c r="AW224" s="1024">
        <f ca="1">(AU224-AT224)/$AT$226</f>
        <v>0</v>
      </c>
      <c r="AX224" s="1024">
        <f t="shared" ca="1" si="16"/>
        <v>0</v>
      </c>
      <c r="AY224" s="323">
        <f t="shared" ca="1" si="14"/>
        <v>0</v>
      </c>
    </row>
    <row r="225" spans="2:51" ht="15" customHeight="1">
      <c r="H225" s="23"/>
      <c r="AS225" s="1022" t="str">
        <f>Resultado!B32</f>
        <v>Uso do sistema de distribuição</v>
      </c>
      <c r="AT225" s="1023">
        <f ca="1">J94</f>
        <v>8624248.0756572969</v>
      </c>
      <c r="AU225" s="1023">
        <f>Resultado!D32</f>
        <v>9770545.3238976002</v>
      </c>
      <c r="AV225" s="1024">
        <f ca="1">IF(AU225=0,0,ROUND(AU225/AT225-1,4))</f>
        <v>0.13289999999999999</v>
      </c>
      <c r="AW225" s="1024">
        <f ca="1">(AU225-AT225)/$AT$226</f>
        <v>1.9054605043345628E-2</v>
      </c>
      <c r="AX225" s="1024">
        <f t="shared" ca="1" si="16"/>
        <v>0.14732155519437365</v>
      </c>
      <c r="AY225" s="323">
        <f t="shared" ca="1" si="14"/>
        <v>1</v>
      </c>
    </row>
    <row r="226" spans="2:51" ht="15" hidden="1" customHeight="1">
      <c r="C226" s="19"/>
      <c r="AS226" s="1213" t="s">
        <v>917</v>
      </c>
      <c r="AT226" s="1214">
        <f ca="1">Mercado_RA0_Reais</f>
        <v>60158541.498640008</v>
      </c>
      <c r="AU226" s="1214">
        <f ca="1">AU208+AU219+AU221+AU228</f>
        <v>66321220.346924126</v>
      </c>
      <c r="AV226" s="1216"/>
      <c r="AW226" s="1216"/>
      <c r="AX226" s="1215">
        <f t="shared" ca="1" si="16"/>
        <v>1</v>
      </c>
      <c r="AY226" s="323">
        <f t="shared" si="14"/>
        <v>0</v>
      </c>
    </row>
    <row r="227" spans="2:51" ht="15" customHeight="1">
      <c r="C227" s="19"/>
      <c r="AS227" s="1217" t="s">
        <v>918</v>
      </c>
      <c r="AT227" s="1218">
        <f ca="1">AT208+AT219+AT221</f>
        <v>31039718.640470352</v>
      </c>
      <c r="AU227" s="1218">
        <f ca="1">AU208+AU219+AU221</f>
        <v>32321220.34692413</v>
      </c>
      <c r="AV227" s="1219">
        <f ca="1">IF(AU227=0,0,ROUND(AU227/AT227-1,4))</f>
        <v>4.1300000000000003E-2</v>
      </c>
      <c r="AW227" s="1219">
        <f ca="1">(AU227-AT227)/AT226</f>
        <v>2.1302074061797998E-2</v>
      </c>
      <c r="AX227" s="1219">
        <f t="shared" ca="1" si="16"/>
        <v>0.48734357084886087</v>
      </c>
      <c r="AY227" s="323">
        <f t="shared" ca="1" si="14"/>
        <v>1</v>
      </c>
    </row>
    <row r="228" spans="2:51" ht="15" customHeight="1">
      <c r="B228" s="28"/>
      <c r="C228" s="19"/>
      <c r="AS228" s="1217" t="s">
        <v>919</v>
      </c>
      <c r="AT228" s="1218">
        <f ca="1">AT226-AT227</f>
        <v>29118822.858169656</v>
      </c>
      <c r="AU228" s="1218">
        <f>Resultado!D39</f>
        <v>34000000</v>
      </c>
      <c r="AV228" s="1219">
        <f ca="1">IF(AU228=0,0,ROUND(AU228/AT228-1,4))</f>
        <v>0.1676</v>
      </c>
      <c r="AW228" s="1219">
        <f ca="1">(AU228-AT228)/AT226</f>
        <v>8.1138555228116555E-2</v>
      </c>
      <c r="AX228" s="1219">
        <f t="shared" ca="1" si="16"/>
        <v>0.51265642915113918</v>
      </c>
      <c r="AY228" s="323">
        <f t="shared" ca="1" si="14"/>
        <v>1</v>
      </c>
    </row>
    <row r="229" spans="2:51" ht="15" customHeight="1">
      <c r="AS229" s="1220" t="str">
        <f>Resultado!B7</f>
        <v>Variação econômica</v>
      </c>
      <c r="AT229" s="1220"/>
      <c r="AU229" s="1220"/>
      <c r="AV229" s="1221"/>
      <c r="AW229" s="1222">
        <f ca="1">ROUND((AU228+AU227)/(AT227+AT228)-1,4)</f>
        <v>0.1024</v>
      </c>
      <c r="AX229" s="1221"/>
      <c r="AY229" s="323">
        <v>1</v>
      </c>
    </row>
    <row r="230" spans="2:51" ht="15" hidden="1" customHeight="1">
      <c r="AS230" s="1025"/>
      <c r="AT230" s="1025"/>
      <c r="AU230" s="1025"/>
      <c r="AV230" s="1026"/>
      <c r="AW230" s="1027"/>
      <c r="AX230" s="1027"/>
      <c r="AY230" s="323">
        <f t="shared" si="14"/>
        <v>0</v>
      </c>
    </row>
    <row r="231" spans="2:51" ht="15" customHeight="1">
      <c r="AS231" s="1213" t="s">
        <v>920</v>
      </c>
      <c r="AT231" s="1223"/>
      <c r="AU231" s="1223"/>
      <c r="AV231" s="1224"/>
      <c r="AW231" s="1215" t="s">
        <v>921</v>
      </c>
      <c r="AX231" s="1215"/>
      <c r="AY231" s="323">
        <v>1</v>
      </c>
    </row>
    <row r="232" spans="2:51" ht="15" customHeight="1">
      <c r="AS232" s="1028" t="str">
        <f>Financeiros!C9</f>
        <v>Repasse de PIS COFINS</v>
      </c>
      <c r="AT232" s="1028"/>
      <c r="AU232" s="1029">
        <f>LnkTXTPISCOFINS</f>
        <v>1320184.3375018844</v>
      </c>
      <c r="AV232" s="1030"/>
      <c r="AW232" s="1030">
        <f ca="1">LnkTXTPISCOFINSPer</f>
        <v>2.1945085512615519E-2</v>
      </c>
      <c r="AX232" s="1027"/>
      <c r="AY232" s="323">
        <f ca="1">IF(AW232=0,0,1)</f>
        <v>1</v>
      </c>
    </row>
    <row r="233" spans="2:51" ht="15" customHeight="1">
      <c r="B233" s="346"/>
      <c r="C233" s="347"/>
      <c r="D233" s="347"/>
      <c r="E233" s="347"/>
      <c r="F233" s="347"/>
      <c r="G233" s="347"/>
      <c r="H233" s="347"/>
      <c r="AS233" s="1028" t="str">
        <f>AM166</f>
        <v>Neutralidade Encargos Setoriais</v>
      </c>
      <c r="AT233" s="1028"/>
      <c r="AU233" s="1029">
        <f ca="1">LnkTXTNeutralidade</f>
        <v>-46079.737896923471</v>
      </c>
      <c r="AV233" s="1030"/>
      <c r="AW233" s="1024">
        <f ca="1">AU233/Financeiros!$D$4</f>
        <v>-7.6597166003376565E-4</v>
      </c>
      <c r="AX233" s="1027"/>
      <c r="AY233" s="323">
        <f t="shared" ref="AY233:AY241" ca="1" si="17">IF(AW233=0,0,1)</f>
        <v>1</v>
      </c>
    </row>
    <row r="234" spans="2:51" ht="15" hidden="1" customHeight="1">
      <c r="B234" s="348"/>
      <c r="C234" s="349"/>
      <c r="D234" s="349"/>
      <c r="E234" s="349"/>
      <c r="F234" s="350"/>
      <c r="G234" s="350"/>
      <c r="H234" s="350"/>
      <c r="AS234" s="1031" t="str">
        <f>AM167</f>
        <v>Neutralidade Financeiros e Encargos Conta Covid</v>
      </c>
      <c r="AT234" s="1031"/>
      <c r="AU234" s="1032">
        <f ca="1">AN167</f>
        <v>0</v>
      </c>
      <c r="AV234" s="1031"/>
      <c r="AW234" s="1024">
        <f ca="1">AU234/Financeiros!$D$4</f>
        <v>0</v>
      </c>
      <c r="AX234" s="1027"/>
      <c r="AY234" s="323">
        <f t="shared" ca="1" si="17"/>
        <v>0</v>
      </c>
    </row>
    <row r="235" spans="2:51" ht="15" hidden="1" customHeight="1">
      <c r="B235" s="348"/>
      <c r="C235" s="349"/>
      <c r="D235" s="349"/>
      <c r="E235" s="349"/>
      <c r="F235" s="350"/>
      <c r="G235" s="350"/>
      <c r="H235" s="350"/>
      <c r="AS235" s="1031" t="str">
        <f t="shared" ref="AS235:AS246" si="18">AM169</f>
        <v>Ajustes Processos anteriores</v>
      </c>
      <c r="AT235" s="1031"/>
      <c r="AU235" s="1032">
        <f t="shared" ref="AU235:AU246" si="19">AN169</f>
        <v>0</v>
      </c>
      <c r="AV235" s="1030"/>
      <c r="AW235" s="1024">
        <f ca="1">AU235/Financeiros!$D$4</f>
        <v>0</v>
      </c>
      <c r="AX235" s="1027"/>
      <c r="AY235" s="323">
        <f t="shared" ca="1" si="17"/>
        <v>0</v>
      </c>
    </row>
    <row r="236" spans="2:51" ht="15" hidden="1" customHeight="1">
      <c r="B236" s="348"/>
      <c r="C236" s="349"/>
      <c r="D236" s="349"/>
      <c r="E236" s="349"/>
      <c r="F236" s="350"/>
      <c r="G236" s="350"/>
      <c r="H236" s="350"/>
      <c r="AS236" s="1031" t="str">
        <f t="shared" si="18"/>
        <v>Ajuste CUST + PISCONFINS Transmissão</v>
      </c>
      <c r="AT236" s="1031"/>
      <c r="AU236" s="1032">
        <f t="shared" si="19"/>
        <v>0</v>
      </c>
      <c r="AV236" s="1030"/>
      <c r="AW236" s="1024">
        <f ca="1">AU236/Financeiros!$D$4</f>
        <v>0</v>
      </c>
      <c r="AX236" s="1027"/>
      <c r="AY236" s="323">
        <f t="shared" ca="1" si="17"/>
        <v>0</v>
      </c>
    </row>
    <row r="237" spans="2:51" ht="15" customHeight="1">
      <c r="B237" s="348"/>
      <c r="C237" s="349"/>
      <c r="D237" s="349"/>
      <c r="E237" s="349"/>
      <c r="F237" s="350"/>
      <c r="G237" s="350"/>
      <c r="H237" s="350"/>
      <c r="AS237" s="1031" t="str">
        <f t="shared" si="18"/>
        <v>Compensação DIC FIC</v>
      </c>
      <c r="AT237" s="1031"/>
      <c r="AU237" s="1032">
        <f t="shared" si="19"/>
        <v>-245831.60901239348</v>
      </c>
      <c r="AV237" s="1030"/>
      <c r="AW237" s="1024">
        <f ca="1">AU237/Financeiros!$D$4</f>
        <v>-4.0863957617381886E-3</v>
      </c>
      <c r="AX237" s="1027"/>
      <c r="AY237" s="323">
        <f t="shared" ca="1" si="17"/>
        <v>1</v>
      </c>
    </row>
    <row r="238" spans="2:51" ht="15" customHeight="1">
      <c r="B238" s="348"/>
      <c r="C238" s="349"/>
      <c r="D238" s="349"/>
      <c r="E238" s="349"/>
      <c r="F238" s="350"/>
      <c r="G238" s="350"/>
      <c r="H238" s="350"/>
      <c r="AS238" s="1031" t="str">
        <f t="shared" si="18"/>
        <v>Subvenção CDE</v>
      </c>
      <c r="AT238" s="1031"/>
      <c r="AU238" s="1032">
        <f t="shared" ca="1" si="19"/>
        <v>-21494204.354071971</v>
      </c>
      <c r="AV238" s="1030"/>
      <c r="AW238" s="1024">
        <f ca="1">AU238/Financeiros!$D$4</f>
        <v>-0.35729264404719463</v>
      </c>
      <c r="AX238" s="1027"/>
      <c r="AY238" s="323">
        <f t="shared" ca="1" si="17"/>
        <v>1</v>
      </c>
    </row>
    <row r="239" spans="2:51" ht="15" customHeight="1">
      <c r="B239" s="348"/>
      <c r="C239" s="349"/>
      <c r="D239" s="349"/>
      <c r="E239" s="349"/>
      <c r="F239" s="350"/>
      <c r="G239" s="350"/>
      <c r="H239" s="350"/>
      <c r="AS239" s="1031" t="str">
        <f t="shared" si="18"/>
        <v>Retenção de Adicionais de Bandeiras Tarifárias</v>
      </c>
      <c r="AT239" s="1031"/>
      <c r="AU239" s="1032">
        <f t="shared" si="19"/>
        <v>-586819.51200968993</v>
      </c>
      <c r="AV239" s="1030"/>
      <c r="AW239" s="1024">
        <f ca="1">AU239/Financeiros!$D$4</f>
        <v>-9.7545501834175284E-3</v>
      </c>
      <c r="AX239" s="1027"/>
      <c r="AY239" s="323">
        <f t="shared" ca="1" si="17"/>
        <v>1</v>
      </c>
    </row>
    <row r="240" spans="2:51" ht="15" hidden="1" customHeight="1">
      <c r="B240" s="348"/>
      <c r="C240" s="349"/>
      <c r="D240" s="349"/>
      <c r="E240" s="349"/>
      <c r="F240" s="350"/>
      <c r="G240" s="350"/>
      <c r="H240" s="350"/>
      <c r="AS240" s="1031" t="str">
        <f t="shared" si="18"/>
        <v>Conta Covid-19</v>
      </c>
      <c r="AT240" s="1031"/>
      <c r="AU240" s="1032">
        <f t="shared" si="19"/>
        <v>0</v>
      </c>
      <c r="AV240" s="1030"/>
      <c r="AW240" s="1024">
        <f ca="1">AU240/Financeiros!$D$4</f>
        <v>0</v>
      </c>
      <c r="AX240" s="1027"/>
      <c r="AY240" s="323">
        <f t="shared" ca="1" si="17"/>
        <v>0</v>
      </c>
    </row>
    <row r="241" spans="2:51" ht="15" hidden="1" customHeight="1">
      <c r="B241" s="348"/>
      <c r="C241" s="349"/>
      <c r="D241" s="349"/>
      <c r="E241" s="349"/>
      <c r="F241" s="350"/>
      <c r="G241" s="350"/>
      <c r="H241" s="350"/>
      <c r="AS241" s="1031" t="str">
        <f t="shared" si="18"/>
        <v>Repasse de ICMS</v>
      </c>
      <c r="AT241" s="1031"/>
      <c r="AU241" s="1032">
        <f t="shared" si="19"/>
        <v>0</v>
      </c>
      <c r="AV241" s="1030"/>
      <c r="AW241" s="1024">
        <f ca="1">AU241/Financeiros!$D$4</f>
        <v>0</v>
      </c>
      <c r="AX241" s="1027"/>
      <c r="AY241" s="323">
        <f t="shared" ca="1" si="17"/>
        <v>0</v>
      </c>
    </row>
    <row r="242" spans="2:51" ht="15" hidden="1" customHeight="1">
      <c r="B242" s="348"/>
      <c r="C242" s="349"/>
      <c r="D242" s="349"/>
      <c r="E242" s="349"/>
      <c r="F242" s="350"/>
      <c r="G242" s="350"/>
      <c r="H242" s="350"/>
      <c r="AS242" s="1031" t="str">
        <f t="shared" si="18"/>
        <v>Crédito Pis Cofins sobre ICMS</v>
      </c>
      <c r="AT242" s="1031"/>
      <c r="AU242" s="1032">
        <f t="shared" si="19"/>
        <v>0</v>
      </c>
      <c r="AV242" s="1030"/>
      <c r="AW242" s="1024">
        <f ca="1">AU242/Financeiros!$D$4</f>
        <v>0</v>
      </c>
      <c r="AX242" s="1027"/>
      <c r="AY242" s="1013">
        <f ca="1">IF(AW242=0,0,1)</f>
        <v>0</v>
      </c>
    </row>
    <row r="243" spans="2:51" ht="15" customHeight="1">
      <c r="B243" s="348"/>
      <c r="C243" s="349"/>
      <c r="D243" s="349"/>
      <c r="E243" s="349"/>
      <c r="F243" s="350"/>
      <c r="G243" s="350"/>
      <c r="H243" s="350"/>
      <c r="AS243" s="1031" t="str">
        <f t="shared" si="18"/>
        <v>Previsão de Risco Hidrologico</v>
      </c>
      <c r="AT243" s="1031"/>
      <c r="AU243" s="1032">
        <f t="shared" ca="1" si="19"/>
        <v>214701.29892110906</v>
      </c>
      <c r="AV243" s="1030"/>
      <c r="AW243" s="1024">
        <f ca="1">AU243/Financeiros!$D$4</f>
        <v>3.5689246044298259E-3</v>
      </c>
      <c r="AX243" s="1027"/>
      <c r="AY243" s="1013">
        <f t="shared" ref="AY243:AY245" ca="1" si="20">IF(AW243=0,0,1)</f>
        <v>1</v>
      </c>
    </row>
    <row r="244" spans="2:51" ht="15" hidden="1" customHeight="1">
      <c r="B244" s="348"/>
      <c r="C244" s="349"/>
      <c r="D244" s="349"/>
      <c r="E244" s="349"/>
      <c r="F244" s="350"/>
      <c r="G244" s="350"/>
      <c r="H244" s="350"/>
      <c r="AS244" s="1031" t="str">
        <f t="shared" si="18"/>
        <v>Efeito COVID da Supridora</v>
      </c>
      <c r="AT244" s="1031"/>
      <c r="AU244" s="1032">
        <f t="shared" si="19"/>
        <v>0</v>
      </c>
      <c r="AV244" s="1030"/>
      <c r="AW244" s="1024">
        <f ca="1">AU244/Financeiros!$D$4</f>
        <v>0</v>
      </c>
      <c r="AX244" s="1027"/>
      <c r="AY244" s="1013">
        <f t="shared" ca="1" si="20"/>
        <v>0</v>
      </c>
    </row>
    <row r="245" spans="2:51" ht="15" hidden="1" customHeight="1">
      <c r="B245" s="348"/>
      <c r="C245" s="349"/>
      <c r="D245" s="349"/>
      <c r="E245" s="349"/>
      <c r="F245" s="350"/>
      <c r="G245" s="350"/>
      <c r="H245" s="350"/>
      <c r="AS245" s="1031" t="str">
        <f t="shared" si="18"/>
        <v>Diferimento Pis Cofins</v>
      </c>
      <c r="AT245" s="1031"/>
      <c r="AU245" s="1032">
        <f t="shared" si="19"/>
        <v>0</v>
      </c>
      <c r="AV245" s="1030"/>
      <c r="AW245" s="1024">
        <f ca="1">AU245/Financeiros!$D$4</f>
        <v>0</v>
      </c>
      <c r="AX245" s="1027"/>
      <c r="AY245" s="1013">
        <f t="shared" ca="1" si="20"/>
        <v>0</v>
      </c>
    </row>
    <row r="246" spans="2:51" ht="15" hidden="1" customHeight="1">
      <c r="B246" s="348"/>
      <c r="C246" s="349"/>
      <c r="D246" s="349"/>
      <c r="E246" s="349"/>
      <c r="F246" s="350"/>
      <c r="G246" s="350"/>
      <c r="H246" s="350"/>
      <c r="AS246" s="1031" t="str">
        <f t="shared" si="18"/>
        <v>Financeiros associados ao §7º do Art. 88 da Ren 414/2021</v>
      </c>
      <c r="AT246" s="1031"/>
      <c r="AU246" s="1032">
        <f t="shared" si="19"/>
        <v>0</v>
      </c>
      <c r="AV246" s="1030"/>
      <c r="AW246" s="1024">
        <f ca="1">AU246/Financeiros!$D$4</f>
        <v>0</v>
      </c>
      <c r="AX246" s="1027"/>
      <c r="AY246" s="1013">
        <f t="shared" ref="AY246:AY250" ca="1" si="21">IF(AW246=0,0,1)</f>
        <v>0</v>
      </c>
    </row>
    <row r="247" spans="2:51" ht="15" hidden="1" customHeight="1">
      <c r="B247" s="348"/>
      <c r="C247" s="349"/>
      <c r="D247" s="349"/>
      <c r="E247" s="349"/>
      <c r="F247" s="350"/>
      <c r="G247" s="350"/>
      <c r="H247" s="350"/>
      <c r="AS247" s="1031">
        <f t="shared" ref="AS247:AS249" si="22">AM181</f>
        <v>0</v>
      </c>
      <c r="AT247" s="1031"/>
      <c r="AU247" s="1032">
        <f t="shared" ref="AU247:AU249" si="23">AN181</f>
        <v>0</v>
      </c>
      <c r="AV247" s="1030"/>
      <c r="AW247" s="1024">
        <f ca="1">AU247/Financeiros!$D$4</f>
        <v>0</v>
      </c>
      <c r="AX247" s="1027"/>
      <c r="AY247" s="1013">
        <f t="shared" ref="AY247:AY249" ca="1" si="24">IF(AW247=0,0,1)</f>
        <v>0</v>
      </c>
    </row>
    <row r="248" spans="2:51" ht="15" hidden="1" customHeight="1">
      <c r="B248" s="348"/>
      <c r="C248" s="349"/>
      <c r="D248" s="349"/>
      <c r="E248" s="349"/>
      <c r="F248" s="350"/>
      <c r="G248" s="350"/>
      <c r="H248" s="350"/>
      <c r="AS248" s="1031">
        <f t="shared" si="22"/>
        <v>0</v>
      </c>
      <c r="AT248" s="1031"/>
      <c r="AU248" s="1032">
        <f t="shared" si="23"/>
        <v>0</v>
      </c>
      <c r="AV248" s="1030"/>
      <c r="AW248" s="1024">
        <f ca="1">AU248/Financeiros!$D$4</f>
        <v>0</v>
      </c>
      <c r="AX248" s="1027"/>
      <c r="AY248" s="1013">
        <f t="shared" ca="1" si="24"/>
        <v>0</v>
      </c>
    </row>
    <row r="249" spans="2:51" ht="15" hidden="1" customHeight="1">
      <c r="B249" s="348"/>
      <c r="C249" s="349"/>
      <c r="D249" s="349"/>
      <c r="E249" s="349"/>
      <c r="F249" s="350"/>
      <c r="G249" s="350"/>
      <c r="H249" s="350"/>
      <c r="AS249" s="1031">
        <f t="shared" si="22"/>
        <v>0</v>
      </c>
      <c r="AT249" s="1031"/>
      <c r="AU249" s="1032">
        <f t="shared" si="23"/>
        <v>0</v>
      </c>
      <c r="AV249" s="1030"/>
      <c r="AW249" s="1024">
        <f ca="1">AU249/Financeiros!$D$4</f>
        <v>0</v>
      </c>
      <c r="AX249" s="1027"/>
      <c r="AY249" s="1013">
        <f t="shared" ca="1" si="24"/>
        <v>0</v>
      </c>
    </row>
    <row r="250" spans="2:51" ht="15" hidden="1" customHeight="1">
      <c r="B250" s="348"/>
      <c r="C250" s="349"/>
      <c r="D250" s="349"/>
      <c r="E250" s="349"/>
      <c r="F250" s="350"/>
      <c r="G250" s="350"/>
      <c r="H250" s="350"/>
      <c r="AS250" s="1031">
        <f>AM184</f>
        <v>0</v>
      </c>
      <c r="AT250" s="1031"/>
      <c r="AU250" s="1032">
        <f>AN184</f>
        <v>0</v>
      </c>
      <c r="AV250" s="1030"/>
      <c r="AW250" s="1024">
        <f ca="1">AU250/Financeiros!$D$4</f>
        <v>0</v>
      </c>
      <c r="AX250" s="1027"/>
      <c r="AY250" s="1013">
        <f t="shared" ca="1" si="21"/>
        <v>0</v>
      </c>
    </row>
    <row r="251" spans="2:51" ht="15" hidden="1" customHeight="1">
      <c r="B251" s="348"/>
      <c r="C251" s="349"/>
      <c r="D251" s="349"/>
      <c r="E251" s="349"/>
      <c r="F251" s="350"/>
      <c r="G251" s="350"/>
      <c r="H251" s="350"/>
      <c r="AS251" s="1031">
        <f>AM185</f>
        <v>0</v>
      </c>
      <c r="AT251" s="1031"/>
      <c r="AU251" s="1032">
        <f>AN185</f>
        <v>0</v>
      </c>
      <c r="AV251" s="1030"/>
      <c r="AW251" s="1024">
        <f ca="1">AU251/Financeiros!$D$4</f>
        <v>0</v>
      </c>
      <c r="AX251" s="1027"/>
      <c r="AY251" s="1020">
        <f t="shared" ref="AY251:AY252" ca="1" si="25">IF(AW251=0,0,1)</f>
        <v>0</v>
      </c>
    </row>
    <row r="252" spans="2:51" ht="15" hidden="1" customHeight="1">
      <c r="B252" s="348"/>
      <c r="C252" s="349"/>
      <c r="D252" s="349"/>
      <c r="E252" s="349"/>
      <c r="F252" s="350"/>
      <c r="G252" s="350"/>
      <c r="H252" s="350"/>
      <c r="AS252" s="1031">
        <f>AM186</f>
        <v>0</v>
      </c>
      <c r="AT252" s="1031"/>
      <c r="AU252" s="1032">
        <f>AN186</f>
        <v>0</v>
      </c>
      <c r="AV252" s="1030"/>
      <c r="AW252" s="1024">
        <f ca="1">AU252/Financeiros!$D$4</f>
        <v>0</v>
      </c>
      <c r="AX252" s="1027"/>
      <c r="AY252" s="1020">
        <f t="shared" ca="1" si="25"/>
        <v>0</v>
      </c>
    </row>
    <row r="253" spans="2:51" ht="15" hidden="1" customHeight="1">
      <c r="B253" s="348"/>
      <c r="C253" s="349"/>
      <c r="D253" s="349"/>
      <c r="E253" s="349"/>
      <c r="F253" s="350"/>
      <c r="G253" s="350"/>
      <c r="H253" s="350"/>
      <c r="AS253" s="1031" t="str">
        <f t="shared" ref="AS253:AS260" si="26">AM187</f>
        <v>CVE Energia</v>
      </c>
      <c r="AT253" s="1031"/>
      <c r="AU253" s="1032">
        <f t="shared" ref="AU253:AU260" ca="1" si="27">AN187</f>
        <v>0</v>
      </c>
      <c r="AV253" s="1030"/>
      <c r="AW253" s="1024">
        <f ca="1">AU253/Financeiros!$D$4</f>
        <v>0</v>
      </c>
      <c r="AX253" s="1027"/>
      <c r="AY253" s="1020">
        <f t="shared" ref="AY253:AY260" ca="1" si="28">IF(AW253=0,0,1)</f>
        <v>0</v>
      </c>
    </row>
    <row r="254" spans="2:51" ht="15" hidden="1" customHeight="1">
      <c r="B254" s="348"/>
      <c r="C254" s="349"/>
      <c r="D254" s="349"/>
      <c r="E254" s="349"/>
      <c r="F254" s="350"/>
      <c r="G254" s="350"/>
      <c r="H254" s="350"/>
      <c r="AS254" s="1031" t="str">
        <f t="shared" si="26"/>
        <v>CVE Encargos</v>
      </c>
      <c r="AT254" s="1031"/>
      <c r="AU254" s="1032">
        <f t="shared" si="27"/>
        <v>0</v>
      </c>
      <c r="AV254" s="1030"/>
      <c r="AW254" s="1024">
        <f ca="1">AU254/Financeiros!$D$4</f>
        <v>0</v>
      </c>
      <c r="AX254" s="1027"/>
      <c r="AY254" s="1020">
        <f t="shared" ca="1" si="28"/>
        <v>0</v>
      </c>
    </row>
    <row r="255" spans="2:51" ht="15" hidden="1" customHeight="1">
      <c r="B255" s="348"/>
      <c r="C255" s="349"/>
      <c r="D255" s="349"/>
      <c r="E255" s="349"/>
      <c r="F255" s="350"/>
      <c r="G255" s="350"/>
      <c r="H255" s="350"/>
      <c r="AS255" s="1031" t="str">
        <f t="shared" si="26"/>
        <v>Conta Escassez Hídrica</v>
      </c>
      <c r="AT255" s="1031"/>
      <c r="AU255" s="1032">
        <f t="shared" ca="1" si="27"/>
        <v>0</v>
      </c>
      <c r="AV255" s="1030"/>
      <c r="AW255" s="1024">
        <f ca="1">AU255/Financeiros!$D$4</f>
        <v>0</v>
      </c>
      <c r="AX255" s="1027"/>
      <c r="AY255" s="1020">
        <f t="shared" ca="1" si="28"/>
        <v>0</v>
      </c>
    </row>
    <row r="256" spans="2:51" ht="15" hidden="1" customHeight="1">
      <c r="B256" s="348"/>
      <c r="C256" s="349"/>
      <c r="D256" s="349"/>
      <c r="E256" s="349"/>
      <c r="F256" s="350"/>
      <c r="G256" s="350"/>
      <c r="H256" s="350"/>
      <c r="AS256" s="1031">
        <f t="shared" si="26"/>
        <v>0</v>
      </c>
      <c r="AT256" s="1031"/>
      <c r="AU256" s="1032">
        <f t="shared" si="27"/>
        <v>0</v>
      </c>
      <c r="AV256" s="1030"/>
      <c r="AW256" s="1024">
        <f ca="1">AU256/Financeiros!$D$4</f>
        <v>0</v>
      </c>
      <c r="AX256" s="1027"/>
      <c r="AY256" s="1020">
        <f t="shared" ca="1" si="28"/>
        <v>0</v>
      </c>
    </row>
    <row r="257" spans="2:84" ht="15" hidden="1" customHeight="1">
      <c r="B257" s="348"/>
      <c r="C257" s="349"/>
      <c r="D257" s="349"/>
      <c r="E257" s="349"/>
      <c r="F257" s="350"/>
      <c r="G257" s="350"/>
      <c r="H257" s="350"/>
      <c r="AS257" s="1031">
        <f t="shared" si="26"/>
        <v>0</v>
      </c>
      <c r="AT257" s="1031"/>
      <c r="AU257" s="1032">
        <f t="shared" si="27"/>
        <v>0</v>
      </c>
      <c r="AV257" s="1030"/>
      <c r="AW257" s="1024">
        <f ca="1">AU257/Financeiros!$D$4</f>
        <v>0</v>
      </c>
      <c r="AX257" s="1027"/>
      <c r="AY257" s="1020">
        <f t="shared" ca="1" si="28"/>
        <v>0</v>
      </c>
    </row>
    <row r="258" spans="2:84" ht="15" hidden="1" customHeight="1">
      <c r="B258" s="348"/>
      <c r="C258" s="349"/>
      <c r="D258" s="349"/>
      <c r="E258" s="349"/>
      <c r="F258" s="350"/>
      <c r="G258" s="350"/>
      <c r="H258" s="350"/>
      <c r="AS258" s="1031">
        <f t="shared" si="26"/>
        <v>0</v>
      </c>
      <c r="AT258" s="1031"/>
      <c r="AU258" s="1032">
        <f t="shared" si="27"/>
        <v>0</v>
      </c>
      <c r="AV258" s="1030"/>
      <c r="AW258" s="1024">
        <f ca="1">AU258/Financeiros!$D$4</f>
        <v>0</v>
      </c>
      <c r="AX258" s="1027"/>
      <c r="AY258" s="1020">
        <f t="shared" ca="1" si="28"/>
        <v>0</v>
      </c>
    </row>
    <row r="259" spans="2:84" ht="15" hidden="1" customHeight="1">
      <c r="B259" s="348"/>
      <c r="C259" s="349"/>
      <c r="D259" s="349"/>
      <c r="E259" s="349"/>
      <c r="F259" s="350"/>
      <c r="G259" s="350"/>
      <c r="H259" s="350"/>
      <c r="AS259" s="1031">
        <f t="shared" si="26"/>
        <v>0</v>
      </c>
      <c r="AT259" s="1031"/>
      <c r="AU259" s="1032">
        <f t="shared" si="27"/>
        <v>0</v>
      </c>
      <c r="AV259" s="1030"/>
      <c r="AW259" s="1024">
        <f ca="1">AU259/Financeiros!$D$4</f>
        <v>0</v>
      </c>
      <c r="AX259" s="1027"/>
      <c r="AY259" s="1020">
        <f t="shared" ca="1" si="28"/>
        <v>0</v>
      </c>
    </row>
    <row r="260" spans="2:84" ht="15" hidden="1" customHeight="1">
      <c r="B260" s="348"/>
      <c r="C260" s="349"/>
      <c r="D260" s="349"/>
      <c r="E260" s="349"/>
      <c r="F260" s="350"/>
      <c r="G260" s="350"/>
      <c r="H260" s="350"/>
      <c r="AS260" s="1031">
        <f t="shared" si="26"/>
        <v>0</v>
      </c>
      <c r="AT260" s="1031"/>
      <c r="AU260" s="1032">
        <f t="shared" si="27"/>
        <v>0</v>
      </c>
      <c r="AV260" s="1030"/>
      <c r="AW260" s="1024">
        <f ca="1">AU260/Financeiros!$D$4</f>
        <v>0</v>
      </c>
      <c r="AX260" s="1027"/>
      <c r="AY260" s="1020">
        <f t="shared" ca="1" si="28"/>
        <v>0</v>
      </c>
    </row>
    <row r="261" spans="2:84" ht="15" customHeight="1">
      <c r="B261" s="348"/>
      <c r="C261" s="351"/>
      <c r="D261" s="351"/>
      <c r="E261" s="349"/>
      <c r="F261" s="350"/>
      <c r="G261" s="350"/>
      <c r="H261" s="350"/>
      <c r="AS261" s="1220" t="s">
        <v>922</v>
      </c>
      <c r="AT261" s="1220"/>
      <c r="AU261" s="1225">
        <f ca="1">SUM(AU232:AU252)</f>
        <v>-20838049.576567985</v>
      </c>
      <c r="AV261" s="1226"/>
      <c r="AW261" s="1226">
        <f ca="1">ROUND(SUM(AW232:AW252),4)</f>
        <v>-0.34639999999999999</v>
      </c>
      <c r="AX261" s="1226"/>
      <c r="AY261" s="323">
        <v>1</v>
      </c>
    </row>
    <row r="262" spans="2:84" ht="15" customHeight="1">
      <c r="B262" s="348"/>
      <c r="C262" s="349"/>
      <c r="D262" s="349"/>
      <c r="E262" s="349"/>
      <c r="F262" s="350"/>
      <c r="G262" s="350"/>
      <c r="H262" s="350"/>
      <c r="AS262" s="1227" t="str">
        <f>Resultado!B9</f>
        <v>Variação econômica e financeira</v>
      </c>
      <c r="AT262" s="1227"/>
      <c r="AU262" s="1227"/>
      <c r="AV262" s="1228"/>
      <c r="AW262" s="1228">
        <f ca="1">ROUND(AW229+AW261,4)</f>
        <v>-0.24399999999999999</v>
      </c>
      <c r="AX262" s="1228"/>
      <c r="AY262" s="323">
        <v>1</v>
      </c>
    </row>
    <row r="263" spans="2:84" ht="15" customHeight="1">
      <c r="B263" s="348"/>
      <c r="C263" s="352"/>
      <c r="D263" s="348"/>
      <c r="E263" s="349"/>
      <c r="F263" s="350"/>
      <c r="G263" s="350"/>
      <c r="H263" s="353"/>
      <c r="AS263" s="1220" t="s">
        <v>923</v>
      </c>
      <c r="AT263" s="1220"/>
      <c r="AU263" s="1220"/>
      <c r="AV263" s="1220"/>
      <c r="AW263" s="1229">
        <f ca="1">ROUND(AW265-AW262,4)</f>
        <v>0.38319999999999999</v>
      </c>
      <c r="AX263" s="1229"/>
      <c r="AY263" s="323">
        <v>1</v>
      </c>
    </row>
    <row r="264" spans="2:84" ht="26.25" hidden="1" customHeight="1">
      <c r="B264" s="348"/>
      <c r="C264" s="352"/>
      <c r="D264" s="348"/>
      <c r="E264" s="349"/>
      <c r="F264" s="350"/>
      <c r="G264" s="350"/>
      <c r="H264" s="353"/>
      <c r="AS264" s="1230" t="s">
        <v>924</v>
      </c>
      <c r="AT264" s="1230"/>
      <c r="AU264" s="1225"/>
      <c r="AV264" s="1225"/>
      <c r="AW264" s="1231">
        <v>0</v>
      </c>
      <c r="AX264" s="1232"/>
      <c r="AY264" s="323">
        <f t="shared" si="14"/>
        <v>0</v>
      </c>
      <c r="BA264" s="806"/>
    </row>
    <row r="265" spans="2:84" ht="15" customHeight="1">
      <c r="B265" s="348"/>
      <c r="C265" s="352"/>
      <c r="D265" s="352"/>
      <c r="E265" s="349"/>
      <c r="F265" s="350"/>
      <c r="G265" s="350"/>
      <c r="H265" s="354"/>
      <c r="AS265" s="1742" t="s">
        <v>925</v>
      </c>
      <c r="AT265" s="1742"/>
      <c r="AU265" s="1742"/>
      <c r="AV265" s="1742"/>
      <c r="AW265" s="1228">
        <f>Resultado!L5</f>
        <v>0.13924834283945997</v>
      </c>
      <c r="AX265" s="1228"/>
      <c r="AY265" s="323"/>
    </row>
    <row r="266" spans="2:84" ht="15" customHeight="1">
      <c r="AW266" s="808">
        <v>-0.1116</v>
      </c>
      <c r="BA266" s="1209" t="s">
        <v>926</v>
      </c>
      <c r="BB266" s="30" t="s">
        <v>927</v>
      </c>
      <c r="BC266" s="30"/>
      <c r="BD266" s="30"/>
      <c r="BE266" s="30"/>
      <c r="BF266" s="30"/>
      <c r="BG266" s="30"/>
      <c r="BH266" s="308" t="s">
        <v>849</v>
      </c>
      <c r="BI266" s="308" t="s">
        <v>849</v>
      </c>
    </row>
    <row r="267" spans="2:84" ht="45" customHeight="1">
      <c r="AU267" s="425"/>
      <c r="BA267" s="1033" t="s">
        <v>928</v>
      </c>
      <c r="BB267" s="1033" t="str">
        <f>"Cobertura "&amp;YEAR(CAPA!C14)&amp;"/"&amp;YEAR(CAPA!C14)+1</f>
        <v>Cobertura 2021/2022</v>
      </c>
      <c r="BC267" s="1033" t="str">
        <f>"Cobertura "&amp;YEAR(CAPA!C14)&amp;"/"&amp;YEAR(CAPA!C14)+1&amp;" Atualizada"</f>
        <v>Cobertura 2021/2022 Atualizada</v>
      </c>
      <c r="BD267" s="1033" t="s">
        <v>929</v>
      </c>
      <c r="BE267" s="1033" t="s">
        <v>930</v>
      </c>
      <c r="BF267" s="1033" t="s">
        <v>931</v>
      </c>
      <c r="BG267" s="1033" t="str">
        <f>"Previsão "&amp;YEAR(CAPA!C14)+1&amp;"/"&amp;YEAR(CAPA!C14)+2</f>
        <v>Previsão 2022/2023</v>
      </c>
      <c r="BH267" s="1033" t="str">
        <f>"Previsão "&amp;YEAR(CAPA!C14)+1&amp;"/"&amp;YEAR(CAPA!C14)+2&amp;" + Diferença"</f>
        <v>Previsão 2022/2023 + Diferença</v>
      </c>
      <c r="BI267" s="355" t="str">
        <f>"Previsão "&amp;YEAR(CAPA!C14)+1&amp;"/"&amp;YEAR(CAPA!C14)+2&amp;" Atualizada"&amp;" + Diferença (Mensal)"</f>
        <v>Previsão 2022/2023 Atualizada + Diferença (Mensal)</v>
      </c>
      <c r="BJ267" s="420" t="s">
        <v>802</v>
      </c>
    </row>
    <row r="268" spans="2:84" ht="15" customHeight="1">
      <c r="B268" s="356"/>
      <c r="C268" s="356"/>
      <c r="D268" s="356"/>
      <c r="E268" s="356"/>
      <c r="BA268" s="448" t="str">
        <f>BO288</f>
        <v>Subsidio Carga Fonte Incentivda</v>
      </c>
      <c r="BB268" s="1034" t="e">
        <f>Indexador!#REF!</f>
        <v>#REF!</v>
      </c>
      <c r="BC268" s="1034" t="e">
        <f>Indexador!#REF!</f>
        <v>#REF!</v>
      </c>
      <c r="BD268" s="1034" t="e">
        <f>Indexador!#REF!</f>
        <v>#REF!</v>
      </c>
      <c r="BE268" s="1034" t="e">
        <f>Indexador!#REF!</f>
        <v>#REF!</v>
      </c>
      <c r="BF268" s="1034">
        <f>BP288</f>
        <v>12651.808164246459</v>
      </c>
      <c r="BG268" s="1034">
        <f t="shared" ref="BG268:BH273" si="29">BQ288</f>
        <v>47358.150775342605</v>
      </c>
      <c r="BH268" s="1034">
        <f t="shared" si="29"/>
        <v>60009.958939589065</v>
      </c>
      <c r="BI268" s="357" t="e">
        <f>Indexador!#REF!</f>
        <v>#REF!</v>
      </c>
      <c r="BJ268" s="338">
        <f t="shared" ref="BJ268:BJ274" si="30">IF(BH268=0,0,1)</f>
        <v>1</v>
      </c>
    </row>
    <row r="269" spans="2:84" ht="15" customHeight="1">
      <c r="B269" s="348"/>
      <c r="C269" s="349"/>
      <c r="D269" s="349"/>
      <c r="E269" s="21"/>
      <c r="AZ269" s="358"/>
      <c r="BA269" s="448" t="str">
        <f t="shared" ref="BA269:BA273" si="31">BO289</f>
        <v>Subsidio Geração Fonte Incentivda</v>
      </c>
      <c r="BB269" s="1034" t="e">
        <f>Indexador!#REF!</f>
        <v>#REF!</v>
      </c>
      <c r="BC269" s="1034" t="e">
        <f>Indexador!#REF!</f>
        <v>#REF!</v>
      </c>
      <c r="BD269" s="1034" t="e">
        <f>Indexador!#REF!</f>
        <v>#REF!</v>
      </c>
      <c r="BE269" s="1034" t="e">
        <f>Indexador!#REF!</f>
        <v>#REF!</v>
      </c>
      <c r="BF269" s="1035">
        <f t="shared" ref="BF269:BF273" si="32">BP289</f>
        <v>-3.3084629926676521</v>
      </c>
      <c r="BG269" s="1035">
        <f t="shared" si="29"/>
        <v>6412.2097886095244</v>
      </c>
      <c r="BH269" s="1035">
        <f t="shared" si="29"/>
        <v>6408.9013256168564</v>
      </c>
      <c r="BI269" s="357" t="e">
        <f>Indexador!#REF!</f>
        <v>#REF!</v>
      </c>
      <c r="BJ269" s="338">
        <f t="shared" si="30"/>
        <v>1</v>
      </c>
      <c r="BK269" s="359"/>
      <c r="BL269" s="359"/>
      <c r="BM269" s="359"/>
      <c r="BN269" s="359"/>
      <c r="BO269" s="359"/>
      <c r="BP269" s="359"/>
      <c r="BQ269" s="359"/>
      <c r="BR269" s="359"/>
      <c r="BS269" s="359"/>
      <c r="BT269" s="359"/>
      <c r="BU269" s="358"/>
      <c r="BV269" s="358"/>
      <c r="BW269" s="358"/>
      <c r="BX269" s="358"/>
      <c r="BY269" s="358"/>
      <c r="BZ269" s="358"/>
      <c r="CA269" s="358"/>
      <c r="CB269" s="358"/>
      <c r="CC269" s="358"/>
      <c r="CD269" s="358"/>
      <c r="CE269" s="358"/>
      <c r="CF269" s="358"/>
    </row>
    <row r="270" spans="2:84" ht="15" hidden="1" customHeight="1">
      <c r="B270" s="348"/>
      <c r="C270" s="349"/>
      <c r="D270" s="349"/>
      <c r="E270" s="21"/>
      <c r="AZ270" s="358"/>
      <c r="BA270" s="448" t="str">
        <f t="shared" si="31"/>
        <v>Subsidio Distribuição</v>
      </c>
      <c r="BB270" s="1034" t="e">
        <f>Indexador!#REF!</f>
        <v>#REF!</v>
      </c>
      <c r="BC270" s="1034" t="e">
        <f>Indexador!#REF!</f>
        <v>#REF!</v>
      </c>
      <c r="BD270" s="1034" t="e">
        <f>Indexador!#REF!</f>
        <v>#REF!</v>
      </c>
      <c r="BE270" s="1034" t="e">
        <f>Indexador!#REF!</f>
        <v>#REF!</v>
      </c>
      <c r="BF270" s="1035">
        <f t="shared" si="32"/>
        <v>0</v>
      </c>
      <c r="BG270" s="1035">
        <f t="shared" si="29"/>
        <v>0</v>
      </c>
      <c r="BH270" s="1035">
        <f t="shared" si="29"/>
        <v>0</v>
      </c>
      <c r="BI270" s="357" t="e">
        <f>Indexador!#REF!</f>
        <v>#REF!</v>
      </c>
      <c r="BJ270" s="338">
        <f t="shared" si="30"/>
        <v>0</v>
      </c>
      <c r="BK270" s="358"/>
      <c r="BL270" s="358"/>
      <c r="BM270" s="358"/>
      <c r="BN270" s="358"/>
      <c r="BO270" s="358"/>
      <c r="BP270" s="358"/>
      <c r="BQ270" s="358"/>
      <c r="BR270" s="358"/>
      <c r="BS270" s="358"/>
      <c r="BT270" s="358"/>
      <c r="BU270" s="358"/>
      <c r="BV270" s="358"/>
      <c r="BW270" s="358"/>
      <c r="BX270" s="358"/>
      <c r="BY270" s="358"/>
      <c r="BZ270" s="358"/>
      <c r="CA270" s="358"/>
      <c r="CB270" s="358"/>
      <c r="CC270" s="358"/>
      <c r="CD270" s="358"/>
      <c r="CE270" s="358"/>
      <c r="CF270" s="358"/>
    </row>
    <row r="271" spans="2:84" ht="15" customHeight="1">
      <c r="B271" s="348"/>
      <c r="D271" s="22"/>
      <c r="AW271" s="25"/>
      <c r="AZ271" s="358"/>
      <c r="BA271" s="448" t="str">
        <f t="shared" si="31"/>
        <v>Subsidio Água, Esgoto e Saneamento</v>
      </c>
      <c r="BB271" s="1034" t="e">
        <f>Indexador!#REF!</f>
        <v>#REF!</v>
      </c>
      <c r="BC271" s="1034" t="e">
        <f>Indexador!#REF!</f>
        <v>#REF!</v>
      </c>
      <c r="BD271" s="1034" t="e">
        <f>Indexador!#REF!</f>
        <v>#REF!</v>
      </c>
      <c r="BE271" s="1034" t="e">
        <f>Indexador!#REF!</f>
        <v>#REF!</v>
      </c>
      <c r="BF271" s="1035">
        <f t="shared" si="32"/>
        <v>-91.56683497461654</v>
      </c>
      <c r="BG271" s="1035">
        <f t="shared" si="29"/>
        <v>1142.5907462017967</v>
      </c>
      <c r="BH271" s="1035">
        <f t="shared" si="29"/>
        <v>1051.0239112271802</v>
      </c>
      <c r="BI271" s="357" t="e">
        <f>Indexador!#REF!</f>
        <v>#REF!</v>
      </c>
      <c r="BJ271" s="338">
        <f t="shared" si="30"/>
        <v>1</v>
      </c>
      <c r="BK271" s="358"/>
      <c r="BL271" s="358"/>
      <c r="BM271" s="358"/>
      <c r="BN271" s="358"/>
      <c r="BO271" s="358"/>
      <c r="BP271" s="358"/>
      <c r="BQ271" s="358"/>
      <c r="BR271" s="358"/>
      <c r="BS271" s="358"/>
      <c r="BT271" s="358"/>
      <c r="BU271" s="358"/>
      <c r="BV271" s="358"/>
      <c r="BW271" s="358"/>
      <c r="BX271" s="358"/>
      <c r="BY271" s="358"/>
      <c r="BZ271" s="358"/>
      <c r="CA271" s="358"/>
      <c r="CB271" s="358"/>
      <c r="CC271" s="358"/>
      <c r="CD271" s="358"/>
      <c r="CE271" s="358"/>
      <c r="CF271" s="358"/>
    </row>
    <row r="272" spans="2:84" ht="15" customHeight="1">
      <c r="B272" s="348"/>
      <c r="C272" s="349"/>
      <c r="D272" s="349"/>
      <c r="E272" s="21"/>
      <c r="AU272" s="425"/>
      <c r="AZ272" s="358"/>
      <c r="BA272" s="448" t="str">
        <f t="shared" si="31"/>
        <v>Subsidio Rural</v>
      </c>
      <c r="BB272" s="1034" t="e">
        <f>Indexador!#REF!</f>
        <v>#REF!</v>
      </c>
      <c r="BC272" s="1034" t="e">
        <f>Indexador!#REF!</f>
        <v>#REF!</v>
      </c>
      <c r="BD272" s="1034" t="e">
        <f>Indexador!#REF!</f>
        <v>#REF!</v>
      </c>
      <c r="BE272" s="1034" t="e">
        <f>Indexador!#REF!</f>
        <v>#REF!</v>
      </c>
      <c r="BF272" s="1035">
        <f t="shared" si="32"/>
        <v>-16603.010471540812</v>
      </c>
      <c r="BG272" s="1035">
        <f t="shared" si="29"/>
        <v>132939.74203722089</v>
      </c>
      <c r="BH272" s="1035">
        <f t="shared" si="29"/>
        <v>116336.73156568008</v>
      </c>
      <c r="BI272" s="357" t="e">
        <f>Indexador!#REF!</f>
        <v>#REF!</v>
      </c>
      <c r="BJ272" s="338">
        <f t="shared" si="30"/>
        <v>1</v>
      </c>
      <c r="BK272" s="358"/>
      <c r="BL272" s="358"/>
      <c r="BM272" s="358"/>
      <c r="BN272" s="358"/>
      <c r="BO272" s="358"/>
      <c r="BP272" s="358"/>
      <c r="BQ272" s="358"/>
      <c r="BR272" s="358"/>
      <c r="BS272" s="358"/>
      <c r="BT272" s="358"/>
      <c r="BU272" s="358"/>
      <c r="BV272" s="358"/>
      <c r="BW272" s="358"/>
      <c r="BX272" s="358"/>
      <c r="BY272" s="358"/>
      <c r="BZ272" s="358"/>
      <c r="CA272" s="358"/>
      <c r="CB272" s="358"/>
      <c r="CC272" s="358"/>
      <c r="CD272" s="358"/>
      <c r="CE272" s="358"/>
      <c r="CF272" s="358"/>
    </row>
    <row r="273" spans="2:84" ht="15" hidden="1" customHeight="1">
      <c r="AU273" s="425"/>
      <c r="AZ273" s="358"/>
      <c r="BA273" s="448" t="str">
        <f t="shared" si="31"/>
        <v>Subsidio - Irrigante/Aquicultor</v>
      </c>
      <c r="BB273" s="1034" t="e">
        <f>Indexador!#REF!</f>
        <v>#REF!</v>
      </c>
      <c r="BC273" s="1034" t="e">
        <f>Indexador!#REF!</f>
        <v>#REF!</v>
      </c>
      <c r="BD273" s="1034" t="e">
        <f>Indexador!#REF!</f>
        <v>#REF!</v>
      </c>
      <c r="BE273" s="1034" t="e">
        <f>Indexador!#REF!</f>
        <v>#REF!</v>
      </c>
      <c r="BF273" s="1035">
        <f t="shared" si="32"/>
        <v>0</v>
      </c>
      <c r="BG273" s="1035">
        <f t="shared" si="29"/>
        <v>0</v>
      </c>
      <c r="BH273" s="1035">
        <f t="shared" si="29"/>
        <v>0</v>
      </c>
      <c r="BI273" s="357" t="e">
        <f>Indexador!#REF!</f>
        <v>#REF!</v>
      </c>
      <c r="BJ273" s="338">
        <f t="shared" si="30"/>
        <v>0</v>
      </c>
      <c r="BK273" s="358"/>
      <c r="BL273" s="358"/>
      <c r="BM273" s="358"/>
      <c r="BN273" s="358"/>
      <c r="BO273" s="358"/>
      <c r="BP273" s="358"/>
      <c r="BQ273" s="358"/>
      <c r="BR273" s="358"/>
      <c r="BS273" s="358"/>
      <c r="BT273" s="358"/>
      <c r="BU273" s="358"/>
      <c r="BV273" s="358"/>
      <c r="BW273" s="358"/>
      <c r="BX273" s="358"/>
      <c r="BY273" s="358"/>
      <c r="BZ273" s="358"/>
      <c r="CA273" s="358"/>
      <c r="CB273" s="358"/>
      <c r="CC273" s="358"/>
      <c r="CD273" s="358"/>
      <c r="CE273" s="358"/>
      <c r="CF273" s="358"/>
    </row>
    <row r="274" spans="2:84" ht="15" customHeight="1">
      <c r="AU274" s="425"/>
      <c r="AW274" s="425"/>
      <c r="AZ274" s="358"/>
      <c r="BA274" s="1220" t="s">
        <v>836</v>
      </c>
      <c r="BB274" s="1233" t="e">
        <f t="shared" ref="BB274:BI274" si="33">SUM(BB268:BB273)</f>
        <v>#REF!</v>
      </c>
      <c r="BC274" s="1233" t="e">
        <f t="shared" si="33"/>
        <v>#REF!</v>
      </c>
      <c r="BD274" s="1233" t="e">
        <f t="shared" si="33"/>
        <v>#REF!</v>
      </c>
      <c r="BE274" s="1233" t="e">
        <f t="shared" si="33"/>
        <v>#REF!</v>
      </c>
      <c r="BF274" s="1234">
        <f t="shared" si="33"/>
        <v>-4046.0776052616384</v>
      </c>
      <c r="BG274" s="1234">
        <f t="shared" si="33"/>
        <v>187852.69334737479</v>
      </c>
      <c r="BH274" s="1234">
        <f t="shared" si="33"/>
        <v>183806.61574211318</v>
      </c>
      <c r="BI274" s="1235" t="e">
        <f t="shared" si="33"/>
        <v>#REF!</v>
      </c>
      <c r="BJ274" s="340">
        <f t="shared" si="30"/>
        <v>1</v>
      </c>
      <c r="BK274" s="358"/>
      <c r="BL274" s="358"/>
      <c r="BM274" s="358"/>
      <c r="BN274" s="358"/>
      <c r="BO274" s="358"/>
      <c r="BP274" s="358"/>
      <c r="BQ274" s="358"/>
      <c r="BR274" s="358"/>
      <c r="BS274" s="358"/>
      <c r="BT274" s="358"/>
      <c r="BU274" s="358"/>
      <c r="BV274" s="358"/>
      <c r="BW274" s="358"/>
      <c r="BX274" s="358"/>
      <c r="BY274" s="358"/>
      <c r="BZ274" s="358"/>
      <c r="CA274" s="358"/>
      <c r="CB274" s="358"/>
      <c r="CC274" s="358"/>
      <c r="CD274" s="358"/>
      <c r="CE274" s="358"/>
      <c r="CF274" s="358"/>
    </row>
    <row r="275" spans="2:84" ht="15" customHeight="1">
      <c r="B275" s="356"/>
      <c r="C275" s="356"/>
      <c r="AZ275" s="358"/>
      <c r="BC275" s="358"/>
      <c r="BD275" s="358"/>
      <c r="BE275" s="358"/>
      <c r="BF275" s="358"/>
      <c r="BG275" s="358"/>
      <c r="BH275" s="358"/>
      <c r="BI275" s="358"/>
      <c r="BK275" s="1209" t="s">
        <v>704</v>
      </c>
      <c r="BL275" s="358"/>
      <c r="BM275" s="308" t="s">
        <v>849</v>
      </c>
      <c r="BN275" s="358"/>
      <c r="BO275" s="358"/>
      <c r="BP275" s="358"/>
      <c r="BQ275" s="358"/>
      <c r="BR275" s="358"/>
      <c r="BS275" s="358"/>
      <c r="BT275" s="358"/>
      <c r="BU275" s="358"/>
      <c r="BV275" s="358"/>
      <c r="BW275" s="358"/>
      <c r="BX275" s="358"/>
      <c r="BY275" s="358"/>
      <c r="BZ275" s="358"/>
      <c r="CA275" s="358"/>
      <c r="CB275" s="358"/>
      <c r="CC275" s="358"/>
      <c r="CD275" s="358"/>
      <c r="CE275" s="358"/>
      <c r="CF275" s="358"/>
    </row>
    <row r="276" spans="2:84" ht="15" customHeight="1">
      <c r="B276" s="312"/>
      <c r="C276" s="312"/>
      <c r="AZ276" s="358"/>
      <c r="BC276" s="358"/>
      <c r="BD276" s="358"/>
      <c r="BE276" s="358"/>
      <c r="BF276" s="358"/>
      <c r="BG276" s="358"/>
      <c r="BH276" s="358"/>
      <c r="BI276" s="358"/>
      <c r="BJ276" s="358"/>
      <c r="BK276" s="1236" t="s">
        <v>932</v>
      </c>
      <c r="BL276" s="1236" t="s">
        <v>869</v>
      </c>
      <c r="BM276" s="1236" t="s">
        <v>909</v>
      </c>
      <c r="BN276" s="474" t="s">
        <v>802</v>
      </c>
      <c r="BO276" s="358"/>
      <c r="BP276" s="358"/>
      <c r="BQ276" s="358"/>
      <c r="BR276" s="358"/>
      <c r="BS276" s="358"/>
      <c r="BT276" s="358"/>
      <c r="BU276" s="358"/>
      <c r="BV276" s="358"/>
      <c r="BW276" s="358"/>
      <c r="BX276" s="358"/>
      <c r="BY276" s="358"/>
      <c r="BZ276" s="358"/>
      <c r="CA276" s="358"/>
      <c r="CB276" s="358"/>
      <c r="CC276" s="358"/>
      <c r="CD276" s="358"/>
      <c r="CE276" s="358"/>
      <c r="CF276" s="358"/>
    </row>
    <row r="277" spans="2:84" ht="15" hidden="1" customHeight="1">
      <c r="B277" s="312"/>
      <c r="C277" s="312"/>
      <c r="AZ277" s="358"/>
      <c r="BC277" s="358"/>
      <c r="BD277" s="358"/>
      <c r="BE277" s="358"/>
      <c r="BF277" s="358"/>
      <c r="BG277" s="358"/>
      <c r="BH277" s="358"/>
      <c r="BI277" s="358"/>
      <c r="BJ277" s="358"/>
      <c r="BK277" s="65" t="s">
        <v>704</v>
      </c>
      <c r="BL277" s="360">
        <f ca="1">Resultado!C25</f>
        <v>0</v>
      </c>
      <c r="BM277" s="360">
        <f>Resultado!D25</f>
        <v>0</v>
      </c>
      <c r="BN277" s="338">
        <f t="shared" ref="BN277:BN284" si="34">IF(BM277=0,0,1)</f>
        <v>0</v>
      </c>
      <c r="BO277" s="358"/>
      <c r="BP277" s="358"/>
      <c r="BQ277" s="358"/>
      <c r="BR277" s="358"/>
      <c r="BS277" s="358"/>
      <c r="BT277" s="358"/>
      <c r="BU277" s="358"/>
      <c r="BV277" s="358"/>
      <c r="BW277" s="358"/>
      <c r="BX277" s="358"/>
      <c r="BY277" s="358"/>
      <c r="BZ277" s="358"/>
      <c r="CA277" s="358"/>
      <c r="CB277" s="358"/>
      <c r="CC277" s="358"/>
      <c r="CD277" s="358"/>
      <c r="CE277" s="358"/>
      <c r="CF277" s="358"/>
    </row>
    <row r="278" spans="2:84" ht="15" hidden="1" customHeight="1">
      <c r="B278" s="312"/>
      <c r="C278" s="312"/>
      <c r="AZ278" s="358"/>
      <c r="BC278" s="358"/>
      <c r="BD278" s="358"/>
      <c r="BE278" s="358"/>
      <c r="BF278" s="358"/>
      <c r="BG278" s="358"/>
      <c r="BH278" s="358"/>
      <c r="BI278" s="358"/>
      <c r="BJ278" s="358"/>
      <c r="BK278" s="65" t="s">
        <v>706</v>
      </c>
      <c r="BL278" s="360">
        <f ca="1">Resultado!C26</f>
        <v>0</v>
      </c>
      <c r="BM278" s="360">
        <f>Resultado!D26</f>
        <v>0</v>
      </c>
      <c r="BN278" s="338">
        <f t="shared" si="34"/>
        <v>0</v>
      </c>
      <c r="BO278" s="358"/>
      <c r="BP278" s="358"/>
      <c r="BQ278" s="358"/>
      <c r="BR278" s="358"/>
      <c r="BS278" s="358"/>
      <c r="BT278" s="358"/>
      <c r="BU278" s="358"/>
      <c r="BV278" s="358"/>
      <c r="BW278" s="358"/>
      <c r="BX278" s="358"/>
      <c r="BY278" s="358"/>
      <c r="BZ278" s="358"/>
      <c r="CA278" s="358"/>
      <c r="CB278" s="358"/>
      <c r="CC278" s="358"/>
      <c r="CD278" s="358"/>
      <c r="CE278" s="358"/>
      <c r="CF278" s="358"/>
    </row>
    <row r="279" spans="2:84" ht="15" hidden="1" customHeight="1">
      <c r="B279" s="312"/>
      <c r="C279" s="312"/>
      <c r="H279" s="23"/>
      <c r="AZ279" s="358"/>
      <c r="BC279" s="358"/>
      <c r="BD279" s="358"/>
      <c r="BE279" s="358"/>
      <c r="BF279" s="358"/>
      <c r="BG279" s="358"/>
      <c r="BH279" s="358"/>
      <c r="BI279" s="358"/>
      <c r="BJ279" s="358"/>
      <c r="BK279" s="65" t="s">
        <v>794</v>
      </c>
      <c r="BL279" s="360"/>
      <c r="BM279" s="360"/>
      <c r="BN279" s="338">
        <f t="shared" si="34"/>
        <v>0</v>
      </c>
      <c r="BO279" s="358"/>
      <c r="BP279" s="358"/>
      <c r="BQ279" s="358"/>
      <c r="BR279" s="358"/>
      <c r="BS279" s="358"/>
      <c r="BT279" s="358"/>
      <c r="BU279" s="358"/>
      <c r="BV279" s="358"/>
      <c r="BW279" s="358"/>
      <c r="BX279" s="358"/>
      <c r="BY279" s="358"/>
      <c r="BZ279" s="358"/>
      <c r="CA279" s="358"/>
      <c r="CB279" s="358"/>
      <c r="CC279" s="358"/>
      <c r="CD279" s="358"/>
      <c r="CE279" s="358"/>
      <c r="CF279" s="358"/>
    </row>
    <row r="280" spans="2:84" ht="15" hidden="1" customHeight="1">
      <c r="B280" s="312"/>
      <c r="C280" s="312"/>
      <c r="H280" s="23"/>
      <c r="AZ280" s="358"/>
      <c r="BC280" s="358"/>
      <c r="BD280" s="358"/>
      <c r="BE280" s="358"/>
      <c r="BF280" s="358"/>
      <c r="BG280" s="358"/>
      <c r="BH280" s="358"/>
      <c r="BI280" s="358"/>
      <c r="BJ280" s="358"/>
      <c r="BK280" s="65" t="s">
        <v>795</v>
      </c>
      <c r="BL280" s="360"/>
      <c r="BM280" s="360"/>
      <c r="BN280" s="338">
        <f t="shared" si="34"/>
        <v>0</v>
      </c>
      <c r="BO280" s="358"/>
      <c r="BP280" s="358"/>
      <c r="BQ280" s="358"/>
      <c r="BR280" s="358"/>
      <c r="BS280" s="358"/>
      <c r="BT280" s="358"/>
      <c r="BU280" s="358"/>
      <c r="BV280" s="358"/>
      <c r="BW280" s="358"/>
      <c r="BX280" s="358"/>
      <c r="BY280" s="358"/>
      <c r="BZ280" s="358"/>
      <c r="CA280" s="358"/>
      <c r="CB280" s="358"/>
      <c r="CC280" s="358"/>
      <c r="CD280" s="358"/>
      <c r="CE280" s="358"/>
      <c r="CF280" s="358"/>
    </row>
    <row r="281" spans="2:84" ht="15" hidden="1" customHeight="1">
      <c r="B281" s="312"/>
      <c r="C281" s="312"/>
      <c r="H281" s="23"/>
      <c r="AZ281" s="358"/>
      <c r="BC281" s="358"/>
      <c r="BD281" s="358"/>
      <c r="BE281" s="358"/>
      <c r="BF281" s="358"/>
      <c r="BG281" s="358"/>
      <c r="BH281" s="358"/>
      <c r="BI281" s="358"/>
      <c r="BJ281" s="358"/>
      <c r="BK281" s="65" t="s">
        <v>796</v>
      </c>
      <c r="BL281" s="360"/>
      <c r="BM281" s="360"/>
      <c r="BN281" s="338">
        <f t="shared" si="34"/>
        <v>0</v>
      </c>
      <c r="BO281" s="358"/>
      <c r="BP281" s="358"/>
      <c r="BQ281" s="358"/>
      <c r="BR281" s="358"/>
      <c r="BS281" s="358"/>
      <c r="BT281" s="358"/>
      <c r="BU281" s="358"/>
      <c r="BV281" s="358"/>
      <c r="BW281" s="358"/>
      <c r="BX281" s="358"/>
      <c r="BY281" s="358"/>
      <c r="BZ281" s="358"/>
      <c r="CA281" s="358"/>
      <c r="CB281" s="358"/>
      <c r="CC281" s="358"/>
      <c r="CD281" s="358"/>
      <c r="CE281" s="358"/>
      <c r="CF281" s="358"/>
    </row>
    <row r="282" spans="2:84" ht="15" hidden="1" customHeight="1">
      <c r="B282" s="312"/>
      <c r="C282" s="312"/>
      <c r="H282" s="23"/>
      <c r="AZ282" s="358"/>
      <c r="BC282" s="358"/>
      <c r="BD282" s="358"/>
      <c r="BE282" s="358"/>
      <c r="BF282" s="358"/>
      <c r="BG282" s="358"/>
      <c r="BH282" s="358"/>
      <c r="BI282" s="358"/>
      <c r="BJ282" s="358"/>
      <c r="BK282" s="65" t="s">
        <v>797</v>
      </c>
      <c r="BL282" s="360"/>
      <c r="BM282" s="360"/>
      <c r="BN282" s="338">
        <f t="shared" si="34"/>
        <v>0</v>
      </c>
      <c r="BO282" s="358"/>
      <c r="BP282" s="358"/>
      <c r="BQ282" s="358"/>
      <c r="BR282" s="358"/>
      <c r="BS282" s="358"/>
      <c r="BT282" s="358"/>
      <c r="BU282" s="358"/>
      <c r="BV282" s="358"/>
      <c r="BW282" s="358"/>
      <c r="BX282" s="358"/>
      <c r="BY282" s="358"/>
      <c r="BZ282" s="358"/>
      <c r="CA282" s="358"/>
      <c r="CB282" s="358"/>
      <c r="CC282" s="358"/>
      <c r="CD282" s="358"/>
      <c r="CE282" s="358"/>
      <c r="CF282" s="358"/>
    </row>
    <row r="283" spans="2:84" ht="15" hidden="1" customHeight="1">
      <c r="B283" s="312"/>
      <c r="C283" s="312"/>
      <c r="H283" s="23"/>
      <c r="AZ283" s="358"/>
      <c r="BC283" s="358"/>
      <c r="BD283" s="358"/>
      <c r="BE283" s="358"/>
      <c r="BF283" s="358"/>
      <c r="BG283" s="358"/>
      <c r="BH283" s="358"/>
      <c r="BI283" s="358"/>
      <c r="BJ283" s="358"/>
      <c r="BK283" s="65" t="s">
        <v>707</v>
      </c>
      <c r="BL283" s="360">
        <f ca="1">Resultado!C31</f>
        <v>0</v>
      </c>
      <c r="BM283" s="360">
        <f>Resultado!D31</f>
        <v>0</v>
      </c>
      <c r="BN283" s="338">
        <f t="shared" si="34"/>
        <v>0</v>
      </c>
      <c r="BO283" s="358"/>
      <c r="BP283" s="358"/>
      <c r="BQ283" s="358"/>
      <c r="BR283" s="358"/>
      <c r="BS283" s="358"/>
      <c r="BT283" s="358"/>
      <c r="BU283" s="358"/>
      <c r="BV283" s="358"/>
      <c r="BW283" s="358"/>
      <c r="BX283" s="358"/>
      <c r="BY283" s="358"/>
      <c r="BZ283" s="358"/>
      <c r="CA283" s="358"/>
      <c r="CB283" s="358"/>
      <c r="CC283" s="358"/>
      <c r="CD283" s="358"/>
      <c r="CE283" s="358"/>
      <c r="CF283" s="358"/>
    </row>
    <row r="284" spans="2:84" ht="15" hidden="1" customHeight="1">
      <c r="B284" s="312"/>
      <c r="C284" s="312"/>
      <c r="H284" s="23"/>
      <c r="AZ284" s="358"/>
      <c r="BC284" s="358"/>
      <c r="BD284" s="358"/>
      <c r="BE284" s="358"/>
      <c r="BF284" s="358"/>
      <c r="BG284" s="358"/>
      <c r="BH284" s="358"/>
      <c r="BI284" s="358"/>
      <c r="BJ284" s="358"/>
      <c r="BK284" s="65" t="s">
        <v>708</v>
      </c>
      <c r="BL284" s="360">
        <f>Resultado!DJ283</f>
        <v>0</v>
      </c>
      <c r="BM284" s="360">
        <f>Resultado!DK283</f>
        <v>0</v>
      </c>
      <c r="BN284" s="340">
        <f t="shared" si="34"/>
        <v>0</v>
      </c>
      <c r="BO284" s="358"/>
      <c r="BP284" s="358"/>
      <c r="BQ284" s="358"/>
      <c r="BR284" s="358"/>
      <c r="BS284" s="358"/>
      <c r="BT284" s="358"/>
      <c r="BU284" s="358"/>
      <c r="BV284" s="358"/>
      <c r="BW284" s="358"/>
      <c r="BX284" s="358"/>
      <c r="BY284" s="358"/>
      <c r="BZ284" s="358"/>
      <c r="CA284" s="358"/>
      <c r="CB284" s="358"/>
      <c r="CC284" s="358"/>
      <c r="CD284" s="358"/>
      <c r="CE284" s="358"/>
      <c r="CF284" s="358"/>
    </row>
    <row r="285" spans="2:84" ht="15" customHeight="1">
      <c r="B285" s="312"/>
      <c r="C285" s="312"/>
      <c r="H285" s="23"/>
      <c r="AU285" s="315"/>
      <c r="AZ285" s="358"/>
      <c r="BA285" s="358"/>
      <c r="BB285" s="358"/>
      <c r="BC285" s="358"/>
      <c r="BD285" s="358"/>
      <c r="BE285" s="358"/>
      <c r="BF285" s="358"/>
      <c r="BG285" s="358"/>
      <c r="BH285" s="358"/>
      <c r="BI285" s="358"/>
      <c r="BJ285" s="358"/>
      <c r="BK285" s="1237" t="s">
        <v>933</v>
      </c>
      <c r="BL285" s="1235">
        <f ca="1">SUM(BL277:BL284)</f>
        <v>0</v>
      </c>
      <c r="BM285" s="1235">
        <f>SUM(BM277:BM284)</f>
        <v>0</v>
      </c>
      <c r="BN285" s="338">
        <f ca="1">IF(BL285=0,0,1)</f>
        <v>0</v>
      </c>
      <c r="BO285" s="1209" t="s">
        <v>934</v>
      </c>
      <c r="BP285" s="358"/>
      <c r="BQ285" s="358"/>
      <c r="BR285" s="308" t="s">
        <v>849</v>
      </c>
      <c r="BS285" s="358"/>
      <c r="BT285" s="358"/>
      <c r="BU285" s="358"/>
      <c r="BV285" s="358"/>
      <c r="BW285" s="358"/>
      <c r="BX285" s="358"/>
      <c r="BY285" s="358"/>
      <c r="BZ285" s="358"/>
      <c r="CA285" s="358"/>
      <c r="CB285" s="358"/>
      <c r="CC285" s="358"/>
      <c r="CD285" s="358"/>
      <c r="CE285" s="358"/>
      <c r="CF285" s="358"/>
    </row>
    <row r="286" spans="2:84" ht="15" customHeight="1">
      <c r="B286" s="312"/>
      <c r="C286" s="312"/>
      <c r="H286" s="23"/>
      <c r="AZ286" s="358"/>
      <c r="BA286" s="358"/>
      <c r="BB286" s="358"/>
      <c r="BC286" s="358"/>
      <c r="BD286" s="358"/>
      <c r="BE286" s="358"/>
      <c r="BF286" s="358"/>
      <c r="BG286" s="358"/>
      <c r="BH286" s="358"/>
      <c r="BI286" s="358"/>
      <c r="BJ286" s="358"/>
      <c r="BN286" s="358"/>
      <c r="BO286" s="361" t="str">
        <f>"TABELA 9 – VALOR MENSAL DA SUBVENÇÃO DA CDE PARA CUSTEAR DESCONTOS TARIFÁRIOS ("&amp;LnkTXTSigla&amp;")."</f>
        <v>TABELA 9 – VALOR MENSAL DA SUBVENÇÃO DA CDE PARA CUSTEAR DESCONTOS TARIFÁRIOS (Cerfox).</v>
      </c>
      <c r="BP286" s="362"/>
      <c r="BQ286" s="362"/>
      <c r="BR286" s="362"/>
      <c r="BS286" s="290"/>
      <c r="BU286" s="358"/>
      <c r="BV286" s="358"/>
      <c r="BW286" s="358"/>
      <c r="BX286" s="358"/>
      <c r="BY286" s="358"/>
      <c r="BZ286" s="358"/>
      <c r="CA286" s="358"/>
      <c r="CB286" s="358"/>
      <c r="CC286" s="358"/>
      <c r="CD286" s="358"/>
      <c r="CE286" s="358"/>
      <c r="CF286" s="358"/>
    </row>
    <row r="287" spans="2:84" ht="12.75">
      <c r="B287" s="312"/>
      <c r="C287" s="312"/>
      <c r="H287" s="23"/>
      <c r="AZ287" s="358"/>
      <c r="BA287" s="358"/>
      <c r="BB287" s="358"/>
      <c r="BC287" s="358"/>
      <c r="BD287" s="358"/>
      <c r="BE287" s="358"/>
      <c r="BF287" s="358"/>
      <c r="BG287" s="358"/>
      <c r="BH287" s="358"/>
      <c r="BI287" s="358"/>
      <c r="BJ287" s="358"/>
      <c r="BN287" s="358"/>
      <c r="BO287" s="1238" t="s">
        <v>935</v>
      </c>
      <c r="BP287" s="1238" t="s">
        <v>936</v>
      </c>
      <c r="BQ287" s="1238" t="s">
        <v>937</v>
      </c>
      <c r="BR287" s="1239" t="s">
        <v>938</v>
      </c>
      <c r="BS287" s="413" t="s">
        <v>802</v>
      </c>
      <c r="BU287" s="358"/>
      <c r="BV287" s="358"/>
      <c r="BW287" s="308" t="s">
        <v>849</v>
      </c>
      <c r="BX287" s="358"/>
      <c r="BY287" s="358"/>
      <c r="BZ287" s="358"/>
      <c r="CA287" s="358"/>
      <c r="CB287" s="358"/>
      <c r="CC287" s="358"/>
      <c r="CD287" s="358"/>
      <c r="CE287" s="358"/>
      <c r="CF287" s="358"/>
    </row>
    <row r="288" spans="2:84" ht="12.75">
      <c r="B288" s="312"/>
      <c r="C288" s="312"/>
      <c r="H288" s="23"/>
      <c r="AU288" s="425"/>
      <c r="AZ288" s="358"/>
      <c r="BA288" s="358"/>
      <c r="BB288" s="358"/>
      <c r="BC288" s="358"/>
      <c r="BD288" s="358"/>
      <c r="BE288" s="358"/>
      <c r="BF288" s="358"/>
      <c r="BG288" s="358"/>
      <c r="BH288" s="358"/>
      <c r="BI288" s="358"/>
      <c r="BJ288" s="358"/>
      <c r="BK288" s="358"/>
      <c r="BL288" s="358"/>
      <c r="BM288" s="358"/>
      <c r="BN288" s="358"/>
      <c r="BO288" s="1240" t="s">
        <v>939</v>
      </c>
      <c r="BP288" s="1241">
        <f>IFERROR(Aj.Subsídio!L5,0)</f>
        <v>12651.808164246459</v>
      </c>
      <c r="BQ288" s="1241">
        <f>IFERROR(Aj.Subsídio!M5,0)</f>
        <v>47358.150775342605</v>
      </c>
      <c r="BR288" s="1241">
        <f t="shared" ref="BR288:BR294" si="35">BP288+BQ288</f>
        <v>60009.958939589065</v>
      </c>
      <c r="BS288" s="414">
        <f t="shared" ref="BS288:BS294" si="36">IF(BR288=0,0,1)</f>
        <v>1</v>
      </c>
      <c r="BU288" s="358"/>
      <c r="BV288" s="358"/>
      <c r="BW288" s="358"/>
      <c r="BX288" s="358"/>
      <c r="BY288" s="358"/>
      <c r="BZ288" s="358"/>
      <c r="CA288" s="358"/>
      <c r="CB288" s="358"/>
      <c r="CC288" s="358"/>
      <c r="CD288" s="358"/>
      <c r="CE288" s="358"/>
      <c r="CF288" s="358"/>
    </row>
    <row r="289" spans="2:84" ht="12.75">
      <c r="B289" s="312"/>
      <c r="C289" s="312"/>
      <c r="H289" s="23"/>
      <c r="AZ289" s="358"/>
      <c r="BA289" s="358"/>
      <c r="BB289" s="358"/>
      <c r="BC289" s="358"/>
      <c r="BD289" s="358"/>
      <c r="BE289" s="358"/>
      <c r="BF289" s="358"/>
      <c r="BG289" s="358"/>
      <c r="BH289" s="358"/>
      <c r="BI289" s="358"/>
      <c r="BJ289" s="358"/>
      <c r="BK289" s="358"/>
      <c r="BL289" s="358"/>
      <c r="BM289" s="358"/>
      <c r="BN289" s="358"/>
      <c r="BO289" s="1240" t="s">
        <v>940</v>
      </c>
      <c r="BP289" s="1241">
        <f>IFERROR(Aj.Subsídio!L6,0)</f>
        <v>-3.3084629926676521</v>
      </c>
      <c r="BQ289" s="1241">
        <f>IFERROR(Aj.Subsídio!M6,0)</f>
        <v>6412.2097886095244</v>
      </c>
      <c r="BR289" s="1242">
        <f t="shared" si="35"/>
        <v>6408.9013256168564</v>
      </c>
      <c r="BS289" s="363">
        <f t="shared" si="36"/>
        <v>1</v>
      </c>
      <c r="BU289" s="358"/>
      <c r="BV289" s="358"/>
      <c r="BW289" s="358"/>
      <c r="BX289" s="358"/>
      <c r="BY289" s="358"/>
      <c r="BZ289" s="358"/>
      <c r="CA289" s="358"/>
      <c r="CB289" s="358"/>
      <c r="CC289" s="358"/>
      <c r="CD289" s="358"/>
      <c r="CE289" s="358"/>
      <c r="CF289" s="358"/>
    </row>
    <row r="290" spans="2:84" ht="12.75">
      <c r="B290" s="312"/>
      <c r="C290" s="312"/>
      <c r="H290" s="23"/>
      <c r="AZ290" s="358"/>
      <c r="BB290" s="358"/>
      <c r="BC290" s="358"/>
      <c r="BD290" s="358"/>
      <c r="BE290" s="358"/>
      <c r="BF290" s="358"/>
      <c r="BG290" s="358"/>
      <c r="BH290" s="358"/>
      <c r="BI290" s="358"/>
      <c r="BJ290" s="358"/>
      <c r="BK290" s="358"/>
      <c r="BL290" s="358"/>
      <c r="BM290" s="358"/>
      <c r="BN290" s="358"/>
      <c r="BO290" s="1240" t="s">
        <v>941</v>
      </c>
      <c r="BP290" s="1241">
        <f>IFERROR(Aj.Subsídio!L7,0)</f>
        <v>0</v>
      </c>
      <c r="BQ290" s="1241">
        <f>IFERROR(Aj.Subsídio!M7,0)</f>
        <v>0</v>
      </c>
      <c r="BR290" s="1242">
        <f t="shared" si="35"/>
        <v>0</v>
      </c>
      <c r="BS290" s="363">
        <f t="shared" si="36"/>
        <v>0</v>
      </c>
      <c r="BU290" s="358"/>
      <c r="BV290" s="358"/>
      <c r="BW290" s="358"/>
      <c r="BX290" s="358"/>
      <c r="BY290" s="358"/>
      <c r="BZ290" s="358"/>
      <c r="CA290" s="358"/>
      <c r="CB290" s="358"/>
      <c r="CC290" s="358"/>
      <c r="CD290" s="358"/>
      <c r="CE290" s="358"/>
      <c r="CF290" s="358"/>
    </row>
    <row r="291" spans="2:84" ht="12.75">
      <c r="B291" s="312"/>
      <c r="C291" s="312"/>
      <c r="H291" s="23"/>
      <c r="AZ291" s="358"/>
      <c r="BA291" s="358"/>
      <c r="BB291" s="358"/>
      <c r="BC291" s="358"/>
      <c r="BD291" s="358"/>
      <c r="BE291" s="358"/>
      <c r="BF291" s="358"/>
      <c r="BG291" s="358"/>
      <c r="BH291" s="358"/>
      <c r="BI291" s="358"/>
      <c r="BJ291" s="358"/>
      <c r="BK291" s="358"/>
      <c r="BL291" s="358"/>
      <c r="BM291" s="358"/>
      <c r="BN291" s="358"/>
      <c r="BO291" s="1240" t="s">
        <v>942</v>
      </c>
      <c r="BP291" s="1241">
        <f>IFERROR(Aj.Subsídio!L8,0)</f>
        <v>-91.56683497461654</v>
      </c>
      <c r="BQ291" s="1241">
        <f>IFERROR(Aj.Subsídio!M8,0)</f>
        <v>1142.5907462017967</v>
      </c>
      <c r="BR291" s="1242">
        <f t="shared" si="35"/>
        <v>1051.0239112271802</v>
      </c>
      <c r="BS291" s="363">
        <f t="shared" si="36"/>
        <v>1</v>
      </c>
      <c r="BU291" s="358"/>
      <c r="BV291" s="358"/>
      <c r="BW291" s="358"/>
      <c r="BX291" s="358"/>
      <c r="BY291" s="358"/>
      <c r="BZ291" s="358"/>
      <c r="CA291" s="358"/>
      <c r="CB291" s="358"/>
      <c r="CC291" s="358"/>
      <c r="CD291" s="358"/>
      <c r="CE291" s="358"/>
      <c r="CF291" s="358"/>
    </row>
    <row r="292" spans="2:84" ht="12.75">
      <c r="B292" s="312"/>
      <c r="C292" s="312"/>
      <c r="H292" s="23"/>
      <c r="AZ292" s="358"/>
      <c r="BA292" s="358"/>
      <c r="BB292" s="358"/>
      <c r="BC292" s="358"/>
      <c r="BD292" s="358"/>
      <c r="BE292" s="358"/>
      <c r="BF292" s="358"/>
      <c r="BG292" s="358"/>
      <c r="BH292" s="358"/>
      <c r="BI292" s="358"/>
      <c r="BJ292" s="358"/>
      <c r="BK292" s="358"/>
      <c r="BL292" s="358"/>
      <c r="BM292" s="358"/>
      <c r="BN292" s="358"/>
      <c r="BO292" s="1240" t="s">
        <v>943</v>
      </c>
      <c r="BP292" s="1241">
        <f>IFERROR(Aj.Subsídio!L9,0)</f>
        <v>-16603.010471540812</v>
      </c>
      <c r="BQ292" s="1241">
        <f>IFERROR(Aj.Subsídio!M9,0)</f>
        <v>132939.74203722089</v>
      </c>
      <c r="BR292" s="1242">
        <f t="shared" si="35"/>
        <v>116336.73156568008</v>
      </c>
      <c r="BS292" s="363">
        <f t="shared" si="36"/>
        <v>1</v>
      </c>
      <c r="BU292" s="358"/>
      <c r="BV292" s="358"/>
      <c r="BW292" s="358"/>
      <c r="BX292" s="358"/>
      <c r="BY292" s="359"/>
      <c r="BZ292" s="359"/>
      <c r="CA292" s="359"/>
      <c r="CB292" s="359"/>
      <c r="CC292" s="359"/>
      <c r="CD292" s="359"/>
      <c r="CE292" s="359"/>
      <c r="CF292" s="358"/>
    </row>
    <row r="293" spans="2:84" ht="12.75">
      <c r="B293" s="312"/>
      <c r="C293" s="312"/>
      <c r="H293" s="23"/>
      <c r="AZ293" s="358"/>
      <c r="BA293" s="358"/>
      <c r="BB293" s="358"/>
      <c r="BC293" s="358"/>
      <c r="BD293" s="358"/>
      <c r="BE293" s="358"/>
      <c r="BF293" s="358"/>
      <c r="BG293" s="358"/>
      <c r="BH293" s="358"/>
      <c r="BI293" s="358"/>
      <c r="BJ293" s="358"/>
      <c r="BK293" s="358"/>
      <c r="BL293" s="358"/>
      <c r="BM293" s="358"/>
      <c r="BN293" s="358"/>
      <c r="BO293" s="1240" t="s">
        <v>944</v>
      </c>
      <c r="BP293" s="1241">
        <f>IFERROR(Aj.Subsídio!L10,0)</f>
        <v>0</v>
      </c>
      <c r="BQ293" s="1241">
        <f>IFERROR(Aj.Subsídio!M10,0)</f>
        <v>0</v>
      </c>
      <c r="BR293" s="1242">
        <f t="shared" si="35"/>
        <v>0</v>
      </c>
      <c r="BS293" s="363">
        <f t="shared" si="36"/>
        <v>0</v>
      </c>
      <c r="BU293" s="358"/>
      <c r="BV293" s="358"/>
      <c r="BW293" s="358"/>
      <c r="BX293" s="358"/>
      <c r="BY293" s="358"/>
      <c r="BZ293" s="358"/>
      <c r="CA293" s="358"/>
      <c r="CB293" s="358"/>
      <c r="CC293" s="358"/>
      <c r="CD293" s="358"/>
      <c r="CE293" s="358"/>
      <c r="CF293" s="358"/>
    </row>
    <row r="294" spans="2:84" ht="12.75">
      <c r="B294" s="312"/>
      <c r="C294" s="312"/>
      <c r="H294" s="23"/>
      <c r="AZ294" s="358"/>
      <c r="BA294" s="358"/>
      <c r="BB294" s="358"/>
      <c r="BC294" s="358"/>
      <c r="BD294" s="358"/>
      <c r="BE294" s="358"/>
      <c r="BF294" s="358"/>
      <c r="BG294" s="358"/>
      <c r="BH294" s="358"/>
      <c r="BI294" s="358"/>
      <c r="BJ294" s="358"/>
      <c r="BK294" s="358"/>
      <c r="BL294" s="358"/>
      <c r="BM294" s="358"/>
      <c r="BN294" s="358"/>
      <c r="BO294" s="1243" t="s">
        <v>845</v>
      </c>
      <c r="BP294" s="1241">
        <f>SUM(BP288:BP293)</f>
        <v>-4046.0776052616384</v>
      </c>
      <c r="BQ294" s="1241">
        <f>SUM(BQ288:BQ293)</f>
        <v>187852.69334737479</v>
      </c>
      <c r="BR294" s="1242">
        <f t="shared" si="35"/>
        <v>183806.61574211315</v>
      </c>
      <c r="BS294" s="414">
        <f t="shared" si="36"/>
        <v>1</v>
      </c>
      <c r="BU294" s="358"/>
      <c r="BY294" s="358"/>
      <c r="BZ294" s="358"/>
      <c r="CA294" s="358"/>
      <c r="CB294" s="358"/>
      <c r="CC294" s="358"/>
      <c r="CD294" s="358"/>
      <c r="CE294" s="358"/>
      <c r="CF294" s="358"/>
    </row>
    <row r="295" spans="2:84" ht="12.75">
      <c r="B295" s="312"/>
      <c r="C295" s="312"/>
      <c r="H295" s="23"/>
      <c r="AZ295" s="358"/>
      <c r="BA295" s="358"/>
      <c r="BB295" s="358"/>
      <c r="BC295" s="358"/>
      <c r="BD295" s="358"/>
      <c r="BE295" s="358"/>
      <c r="BF295" s="358"/>
      <c r="BG295" s="358"/>
      <c r="BH295" s="358"/>
      <c r="BI295" s="358"/>
      <c r="BJ295" s="358"/>
      <c r="BK295" s="358"/>
      <c r="BL295" s="358"/>
      <c r="BM295" s="358"/>
      <c r="BN295" s="358"/>
      <c r="BO295" s="358"/>
      <c r="BP295" s="358"/>
      <c r="BQ295" s="358"/>
      <c r="BR295" s="358"/>
      <c r="BS295" s="415"/>
      <c r="BT295" s="679" t="s">
        <v>945</v>
      </c>
      <c r="BU295" s="358"/>
      <c r="BY295" s="358"/>
      <c r="BZ295" s="358"/>
      <c r="CA295" s="358"/>
      <c r="CB295" s="358"/>
      <c r="CC295" s="358"/>
      <c r="CD295" s="358"/>
      <c r="CE295" s="358"/>
      <c r="CF295" s="358"/>
    </row>
    <row r="296" spans="2:84" ht="25.5">
      <c r="B296" s="312"/>
      <c r="C296" s="312"/>
      <c r="H296" s="23"/>
      <c r="AZ296" s="358"/>
      <c r="BA296" s="358"/>
      <c r="BB296" s="358"/>
      <c r="BC296" s="358"/>
      <c r="BD296" s="358"/>
      <c r="BE296" s="358"/>
      <c r="BF296" s="358"/>
      <c r="BG296" s="358"/>
      <c r="BH296" s="358"/>
      <c r="BI296" s="358"/>
      <c r="BJ296" s="358"/>
      <c r="BK296" s="358"/>
      <c r="BL296" s="358"/>
      <c r="BM296" s="358"/>
      <c r="BN296" s="358"/>
      <c r="BO296" s="358"/>
      <c r="BP296" s="358"/>
      <c r="BQ296" s="358"/>
      <c r="BR296" s="49"/>
      <c r="BS296" s="358"/>
      <c r="BT296" s="60" t="s">
        <v>27</v>
      </c>
      <c r="BU296" s="60" t="s">
        <v>21</v>
      </c>
      <c r="BV296" s="60" t="s">
        <v>946</v>
      </c>
      <c r="BW296" s="60" t="s">
        <v>947</v>
      </c>
      <c r="BY296" s="23" t="s">
        <v>802</v>
      </c>
      <c r="BZ296" s="681" t="s">
        <v>948</v>
      </c>
      <c r="CA296" s="358"/>
      <c r="CB296" s="358"/>
      <c r="CC296" s="358"/>
      <c r="CD296" s="358"/>
      <c r="CE296" s="358"/>
      <c r="CF296" s="358"/>
    </row>
    <row r="297" spans="2:84" ht="15" customHeight="1">
      <c r="B297" s="312"/>
      <c r="C297" s="312"/>
      <c r="H297" s="23"/>
      <c r="AZ297" s="358"/>
      <c r="BA297" s="358"/>
      <c r="BB297" s="358"/>
      <c r="BC297" s="358"/>
      <c r="BD297" s="358"/>
      <c r="BE297" s="358"/>
      <c r="BF297" s="358"/>
      <c r="BG297" s="358"/>
      <c r="BH297" s="358"/>
      <c r="BI297" s="358"/>
      <c r="BJ297" s="358"/>
      <c r="BK297" s="358"/>
      <c r="BL297" s="358"/>
      <c r="BM297" s="358"/>
      <c r="BN297" s="358"/>
      <c r="BO297" s="358"/>
      <c r="BP297" s="358"/>
      <c r="BQ297" s="358"/>
      <c r="BR297" s="358"/>
      <c r="BS297" s="358"/>
      <c r="BT297" s="310" t="str">
        <f>Energia!B28</f>
        <v>RGE SUL DISTRIBUIDORA DE ENERGIA S.A.</v>
      </c>
      <c r="BU297" s="311" t="str">
        <f>Energia!C28</f>
        <v>A4 (2,3 a 25 kV)</v>
      </c>
      <c r="BV297" s="432">
        <f>Energia!I28</f>
        <v>0.1401</v>
      </c>
      <c r="BW297" s="432">
        <f>Energia!F28</f>
        <v>0.1401</v>
      </c>
      <c r="BY297" s="23">
        <f t="shared" ref="BY297:BY303" si="37">IF(BU297=0,0,1)</f>
        <v>1</v>
      </c>
      <c r="BZ297" s="680"/>
      <c r="CA297" s="358"/>
      <c r="CB297" s="358"/>
      <c r="CC297" s="358"/>
      <c r="CD297" s="358"/>
      <c r="CE297" s="358"/>
      <c r="CF297" s="358"/>
    </row>
    <row r="298" spans="2:84" ht="15" hidden="1" customHeight="1">
      <c r="B298" s="312"/>
      <c r="C298" s="312"/>
      <c r="H298" s="23"/>
      <c r="AZ298" s="358"/>
      <c r="BA298" s="358"/>
      <c r="BB298" s="358"/>
      <c r="BC298" s="358"/>
      <c r="BD298" s="358"/>
      <c r="BE298" s="358"/>
      <c r="BF298" s="358"/>
      <c r="BG298" s="358"/>
      <c r="BH298" s="358"/>
      <c r="BI298" s="358"/>
      <c r="BJ298" s="358"/>
      <c r="BK298" s="358"/>
      <c r="BL298" s="358"/>
      <c r="BM298" s="358"/>
      <c r="BN298" s="358"/>
      <c r="BO298" s="358"/>
      <c r="BP298" s="358"/>
      <c r="BQ298" s="358"/>
      <c r="BR298" s="358"/>
      <c r="BS298" s="358"/>
      <c r="BT298" s="310">
        <f>Energia!B29</f>
        <v>0</v>
      </c>
      <c r="BU298" s="311">
        <f>Energia!C29</f>
        <v>0</v>
      </c>
      <c r="BV298" s="432" t="str">
        <f>Energia!I29</f>
        <v/>
      </c>
      <c r="BW298" s="432" t="str">
        <f>Energia!F29</f>
        <v/>
      </c>
      <c r="BY298" s="23">
        <f t="shared" si="37"/>
        <v>0</v>
      </c>
      <c r="BZ298" s="680"/>
    </row>
    <row r="299" spans="2:84" ht="15" hidden="1" customHeight="1">
      <c r="B299" s="312"/>
      <c r="C299" s="312"/>
      <c r="H299" s="23"/>
      <c r="AZ299" s="358"/>
      <c r="BA299" s="358"/>
      <c r="BB299" s="358"/>
      <c r="BC299" s="358"/>
      <c r="BD299" s="358"/>
      <c r="BE299" s="358"/>
      <c r="BF299" s="358"/>
      <c r="BG299" s="358"/>
      <c r="BH299" s="358"/>
      <c r="BI299" s="358"/>
      <c r="BJ299" s="358"/>
      <c r="BK299" s="358"/>
      <c r="BL299" s="358"/>
      <c r="BM299" s="358"/>
      <c r="BN299" s="358"/>
      <c r="BO299" s="358"/>
      <c r="BP299" s="358"/>
      <c r="BQ299" s="358"/>
      <c r="BR299" s="358"/>
      <c r="BS299" s="358"/>
      <c r="BT299" s="310">
        <f>Energia!B30</f>
        <v>0</v>
      </c>
      <c r="BU299" s="311">
        <f>Energia!C30</f>
        <v>0</v>
      </c>
      <c r="BV299" s="432" t="str">
        <f>Energia!I30</f>
        <v/>
      </c>
      <c r="BW299" s="432" t="str">
        <f>Energia!F30</f>
        <v/>
      </c>
      <c r="BY299" s="23">
        <f t="shared" si="37"/>
        <v>0</v>
      </c>
      <c r="BZ299" s="680"/>
    </row>
    <row r="300" spans="2:84" ht="15" hidden="1" customHeight="1">
      <c r="B300" s="312"/>
      <c r="C300" s="312"/>
      <c r="H300" s="23"/>
      <c r="AZ300" s="358"/>
      <c r="BA300" s="358"/>
      <c r="BB300" s="358"/>
      <c r="BC300" s="358"/>
      <c r="BD300" s="358"/>
      <c r="BE300" s="358"/>
      <c r="BF300" s="358"/>
      <c r="BG300" s="358"/>
      <c r="BH300" s="358"/>
      <c r="BI300" s="358"/>
      <c r="BJ300" s="358"/>
      <c r="BK300" s="358"/>
      <c r="BL300" s="358"/>
      <c r="BM300" s="358"/>
      <c r="BN300" s="358"/>
      <c r="BO300" s="358"/>
      <c r="BP300" s="358"/>
      <c r="BQ300" s="358"/>
      <c r="BR300" s="358"/>
      <c r="BS300" s="358"/>
      <c r="BT300" s="310">
        <f>Energia!B31</f>
        <v>0</v>
      </c>
      <c r="BU300" s="311">
        <f>Energia!C31</f>
        <v>0</v>
      </c>
      <c r="BV300" s="432" t="str">
        <f>Energia!I31</f>
        <v/>
      </c>
      <c r="BW300" s="432" t="str">
        <f>Energia!F31</f>
        <v/>
      </c>
      <c r="BY300" s="23">
        <f t="shared" si="37"/>
        <v>0</v>
      </c>
      <c r="BZ300" s="680"/>
    </row>
    <row r="301" spans="2:84" ht="15" hidden="1" customHeight="1">
      <c r="B301" s="312"/>
      <c r="C301" s="312"/>
      <c r="H301" s="23"/>
      <c r="AZ301" s="358"/>
      <c r="BA301" s="358"/>
      <c r="BB301" s="358"/>
      <c r="BC301" s="358"/>
      <c r="BD301" s="358"/>
      <c r="BE301" s="358"/>
      <c r="BF301" s="358"/>
      <c r="BG301" s="358"/>
      <c r="BH301" s="358"/>
      <c r="BI301" s="358"/>
      <c r="BJ301" s="358"/>
      <c r="BK301" s="358"/>
      <c r="BL301" s="358"/>
      <c r="BM301" s="358"/>
      <c r="BN301" s="358"/>
      <c r="BO301" s="358"/>
      <c r="BP301" s="358"/>
      <c r="BQ301" s="358"/>
      <c r="BR301" s="358"/>
      <c r="BS301" s="358"/>
      <c r="BT301" s="310">
        <f>Energia!B32</f>
        <v>0</v>
      </c>
      <c r="BU301" s="311">
        <f>Energia!C32</f>
        <v>0</v>
      </c>
      <c r="BV301" s="432" t="str">
        <f>Energia!I32</f>
        <v/>
      </c>
      <c r="BW301" s="432" t="str">
        <f>Energia!F32</f>
        <v/>
      </c>
      <c r="BY301" s="23">
        <f t="shared" si="37"/>
        <v>0</v>
      </c>
      <c r="BZ301" s="680"/>
    </row>
    <row r="302" spans="2:84" ht="15" hidden="1" customHeight="1">
      <c r="B302" s="312"/>
      <c r="C302" s="312"/>
      <c r="H302" s="23"/>
      <c r="AZ302" s="358"/>
      <c r="BA302" s="358"/>
      <c r="BB302" s="358"/>
      <c r="BC302" s="358"/>
      <c r="BD302" s="358"/>
      <c r="BE302" s="358"/>
      <c r="BF302" s="358"/>
      <c r="BG302" s="358"/>
      <c r="BH302" s="358"/>
      <c r="BI302" s="358"/>
      <c r="BJ302" s="358"/>
      <c r="BK302" s="358"/>
      <c r="BL302" s="358"/>
      <c r="BM302" s="358"/>
      <c r="BN302" s="358"/>
      <c r="BO302" s="358"/>
      <c r="BP302" s="358"/>
      <c r="BQ302" s="358"/>
      <c r="BR302" s="358"/>
      <c r="BS302" s="358"/>
      <c r="BT302" s="310">
        <f>Energia!B34</f>
        <v>0</v>
      </c>
      <c r="BU302" s="311">
        <f>Energia!C34</f>
        <v>0</v>
      </c>
      <c r="BV302" s="432" t="str">
        <f>Energia!I34</f>
        <v/>
      </c>
      <c r="BW302" s="432" t="str">
        <f>Energia!F34</f>
        <v/>
      </c>
      <c r="BY302" s="23">
        <f t="shared" si="37"/>
        <v>0</v>
      </c>
      <c r="BZ302" s="680"/>
    </row>
    <row r="303" spans="2:84" ht="15" hidden="1" customHeight="1">
      <c r="B303" s="312"/>
      <c r="C303" s="312"/>
      <c r="H303" s="23"/>
      <c r="AZ303" s="358"/>
      <c r="BA303" s="358"/>
      <c r="BB303" s="358"/>
      <c r="BC303" s="358"/>
      <c r="BD303" s="358"/>
      <c r="BE303" s="358"/>
      <c r="BF303" s="358"/>
      <c r="BG303" s="358"/>
      <c r="BH303" s="358"/>
      <c r="BI303" s="358"/>
      <c r="BJ303" s="358"/>
      <c r="BK303" s="358"/>
      <c r="BL303" s="358"/>
      <c r="BM303" s="358"/>
      <c r="BN303" s="358"/>
      <c r="BO303" s="358"/>
      <c r="BP303" s="358"/>
      <c r="BQ303" s="358"/>
      <c r="BR303" s="358"/>
      <c r="BS303" s="358"/>
      <c r="BT303" s="310" t="e">
        <f>Energia!#REF!</f>
        <v>#REF!</v>
      </c>
      <c r="BU303" s="311" t="e">
        <f>Energia!#REF!</f>
        <v>#REF!</v>
      </c>
      <c r="BV303" s="432" t="e">
        <f>Energia!#REF!</f>
        <v>#REF!</v>
      </c>
      <c r="BW303" s="432" t="e">
        <f>Energia!#REF!</f>
        <v>#REF!</v>
      </c>
      <c r="BY303" s="23" t="e">
        <f t="shared" si="37"/>
        <v>#REF!</v>
      </c>
      <c r="BZ303" s="682" t="s">
        <v>701</v>
      </c>
      <c r="CB303" s="308" t="s">
        <v>849</v>
      </c>
    </row>
    <row r="304" spans="2:84" ht="15" customHeight="1">
      <c r="B304" s="312"/>
      <c r="C304" s="312"/>
      <c r="H304" s="23"/>
      <c r="AZ304" s="358"/>
      <c r="BA304" s="358"/>
      <c r="BB304" s="358"/>
      <c r="BC304" s="358"/>
      <c r="BD304" s="358"/>
      <c r="BE304" s="358"/>
      <c r="BF304" s="358"/>
      <c r="BG304" s="358"/>
      <c r="BH304" s="358"/>
      <c r="BI304" s="358"/>
      <c r="BJ304" s="358"/>
      <c r="BK304" s="358"/>
      <c r="BL304" s="358"/>
      <c r="BM304" s="358"/>
      <c r="BN304" s="358"/>
      <c r="BO304" s="358"/>
      <c r="BP304" s="358"/>
      <c r="BQ304" s="358"/>
      <c r="BR304" s="358"/>
      <c r="BS304" s="358"/>
      <c r="BZ304" s="1244" t="s">
        <v>701</v>
      </c>
      <c r="CA304" s="1245">
        <f>SUM(CA305:CA306)</f>
        <v>0</v>
      </c>
    </row>
    <row r="305" spans="2:79" ht="15" customHeight="1">
      <c r="B305" s="312"/>
      <c r="C305" s="312"/>
      <c r="H305" s="23"/>
      <c r="AZ305" s="358"/>
      <c r="BA305" s="358"/>
      <c r="BB305" s="358"/>
      <c r="BC305" s="358"/>
      <c r="BD305" s="358"/>
      <c r="BE305" s="358"/>
      <c r="BF305" s="358"/>
      <c r="BG305" s="358"/>
      <c r="BH305" s="358"/>
      <c r="BI305" s="358"/>
      <c r="BJ305" s="358"/>
      <c r="BK305" s="358"/>
      <c r="BL305" s="358"/>
      <c r="BM305" s="358"/>
      <c r="BN305" s="358"/>
      <c r="BO305" s="358"/>
      <c r="BP305" s="358"/>
      <c r="BQ305" s="358"/>
      <c r="BR305" s="358"/>
      <c r="BS305" s="358"/>
      <c r="BZ305" s="433" t="s">
        <v>949</v>
      </c>
      <c r="CA305" s="434">
        <f>CAPA!H42</f>
        <v>0</v>
      </c>
    </row>
    <row r="306" spans="2:79" ht="15" customHeight="1">
      <c r="B306" s="312"/>
      <c r="C306" s="312"/>
      <c r="H306" s="23"/>
      <c r="AZ306" s="358"/>
      <c r="BA306" s="358"/>
      <c r="BB306" s="358"/>
      <c r="BC306" s="358"/>
      <c r="BD306" s="358"/>
      <c r="BE306" s="358"/>
      <c r="BF306" s="358"/>
      <c r="BG306" s="358"/>
      <c r="BH306" s="358"/>
      <c r="BI306" s="358"/>
      <c r="BJ306" s="358"/>
      <c r="BK306" s="358"/>
      <c r="BL306" s="358"/>
      <c r="BM306" s="358"/>
      <c r="BN306" s="358"/>
      <c r="BO306" s="358"/>
      <c r="BP306" s="358"/>
      <c r="BQ306" s="358"/>
      <c r="BR306" s="358"/>
      <c r="BS306" s="358"/>
      <c r="BZ306" s="1246" t="s">
        <v>950</v>
      </c>
      <c r="CA306" s="1247">
        <f>CAPA!H44</f>
        <v>0</v>
      </c>
    </row>
    <row r="307" spans="2:79" ht="15" customHeight="1">
      <c r="B307" s="312"/>
      <c r="C307" s="312"/>
      <c r="H307" s="23"/>
      <c r="AZ307" s="358"/>
      <c r="BA307" s="358"/>
      <c r="BB307" s="358"/>
      <c r="BC307" s="358"/>
      <c r="BD307" s="358"/>
      <c r="BE307" s="358"/>
      <c r="BF307" s="358"/>
      <c r="BG307" s="358"/>
      <c r="BH307" s="358"/>
      <c r="BI307" s="358"/>
      <c r="BJ307" s="358"/>
      <c r="BK307" s="358"/>
      <c r="BL307" s="358"/>
      <c r="BM307" s="358"/>
      <c r="BN307" s="358"/>
      <c r="BO307" s="358"/>
      <c r="BP307" s="358"/>
      <c r="BQ307" s="358"/>
      <c r="BR307" s="358"/>
      <c r="BS307" s="358"/>
      <c r="BW307" s="311">
        <v>0</v>
      </c>
    </row>
    <row r="308" spans="2:79" ht="15" customHeight="1">
      <c r="B308" s="312"/>
      <c r="C308" s="312"/>
      <c r="H308" s="23"/>
      <c r="AZ308" s="358"/>
      <c r="BA308" s="358"/>
      <c r="BB308" s="358"/>
      <c r="BC308" s="358"/>
      <c r="BD308" s="358"/>
      <c r="BE308" s="358"/>
      <c r="BF308" s="358"/>
      <c r="BG308" s="358"/>
      <c r="BH308" s="358"/>
      <c r="BI308" s="358"/>
      <c r="BJ308" s="358"/>
      <c r="BK308" s="358"/>
      <c r="BL308" s="358"/>
      <c r="BM308" s="358"/>
      <c r="BN308" s="358"/>
      <c r="BO308" s="358"/>
      <c r="BP308" s="358"/>
      <c r="BQ308" s="358"/>
      <c r="BR308" s="358"/>
      <c r="BS308" s="358"/>
    </row>
    <row r="309" spans="2:79" ht="15" customHeight="1">
      <c r="B309" s="312"/>
      <c r="C309" s="312"/>
      <c r="H309" s="23"/>
      <c r="AZ309" s="358"/>
      <c r="BA309" s="358"/>
      <c r="BB309" s="358"/>
      <c r="BC309" s="358"/>
      <c r="BD309" s="358"/>
      <c r="BE309" s="358"/>
      <c r="BF309" s="358"/>
      <c r="BG309" s="358"/>
      <c r="BH309" s="358"/>
      <c r="BI309" s="358"/>
      <c r="BJ309" s="358"/>
      <c r="BK309" s="358"/>
      <c r="BL309" s="358"/>
      <c r="BM309" s="358"/>
      <c r="BN309" s="358"/>
      <c r="BO309" s="358"/>
      <c r="BP309" s="358"/>
      <c r="BQ309" s="358"/>
      <c r="BR309" s="358"/>
      <c r="BS309" s="358"/>
    </row>
    <row r="310" spans="2:79" ht="15" customHeight="1">
      <c r="B310" s="312"/>
      <c r="C310" s="312"/>
      <c r="H310" s="23"/>
      <c r="AZ310" s="358"/>
      <c r="BA310" s="358"/>
      <c r="BB310" s="358"/>
      <c r="BC310" s="358"/>
      <c r="BD310" s="358"/>
      <c r="BE310" s="358"/>
      <c r="BF310" s="358"/>
      <c r="BG310" s="358"/>
      <c r="BH310" s="358"/>
      <c r="BI310" s="358"/>
      <c r="BJ310" s="358"/>
      <c r="BK310" s="358"/>
      <c r="BL310" s="358"/>
      <c r="BM310" s="358"/>
      <c r="BN310" s="358"/>
      <c r="BO310" s="358"/>
      <c r="BP310" s="358"/>
      <c r="BQ310" s="358"/>
      <c r="BR310" s="358"/>
      <c r="BS310" s="358"/>
    </row>
    <row r="311" spans="2:79" ht="15" customHeight="1">
      <c r="B311" s="356"/>
      <c r="C311" s="364"/>
      <c r="H311" s="23"/>
    </row>
    <row r="312" spans="2:79" ht="15" customHeight="1">
      <c r="H312" s="23"/>
    </row>
    <row r="313" spans="2:79" ht="15" customHeight="1">
      <c r="H313" s="23"/>
    </row>
    <row r="314" spans="2:79" ht="15" customHeight="1">
      <c r="H314" s="23"/>
    </row>
    <row r="315" spans="2:79" ht="15" customHeight="1">
      <c r="B315" s="1736"/>
      <c r="C315" s="1736"/>
      <c r="H315" s="23"/>
    </row>
    <row r="316" spans="2:79" ht="15" customHeight="1">
      <c r="C316" s="24"/>
      <c r="H316" s="23"/>
    </row>
    <row r="317" spans="2:79" ht="15" customHeight="1">
      <c r="C317" s="312"/>
      <c r="H317" s="23"/>
    </row>
    <row r="318" spans="2:79" ht="15" customHeight="1">
      <c r="C318" s="25"/>
      <c r="H318" s="23"/>
    </row>
    <row r="319" spans="2:79" ht="15" customHeight="1">
      <c r="C319" s="25"/>
      <c r="H319" s="23"/>
    </row>
    <row r="320" spans="2:79" ht="15" customHeight="1">
      <c r="C320" s="25"/>
      <c r="H320" s="23"/>
    </row>
    <row r="321" spans="2:8" ht="15" customHeight="1">
      <c r="B321" s="1736"/>
      <c r="C321" s="1736"/>
      <c r="H321" s="23"/>
    </row>
    <row r="322" spans="2:8" ht="15" customHeight="1">
      <c r="B322" s="367"/>
      <c r="C322" s="368"/>
      <c r="H322" s="23"/>
    </row>
    <row r="323" spans="2:8" ht="15" customHeight="1">
      <c r="C323" s="312"/>
      <c r="H323" s="23"/>
    </row>
    <row r="324" spans="2:8" ht="15" customHeight="1">
      <c r="C324" s="312"/>
      <c r="H324" s="23"/>
    </row>
    <row r="325" spans="2:8" ht="15" customHeight="1">
      <c r="C325" s="312"/>
      <c r="H325" s="23"/>
    </row>
    <row r="326" spans="2:8" ht="15" customHeight="1">
      <c r="C326" s="312"/>
      <c r="H326" s="23"/>
    </row>
    <row r="327" spans="2:8" ht="15" customHeight="1">
      <c r="B327" s="367"/>
      <c r="C327" s="26"/>
      <c r="H327" s="23"/>
    </row>
    <row r="328" spans="2:8" ht="15" customHeight="1">
      <c r="B328" s="367"/>
      <c r="C328" s="26"/>
      <c r="H328" s="23"/>
    </row>
    <row r="329" spans="2:8" ht="15" customHeight="1">
      <c r="B329" s="367"/>
      <c r="C329" s="368"/>
      <c r="H329" s="23"/>
    </row>
    <row r="330" spans="2:8" ht="15" customHeight="1">
      <c r="B330" s="1736"/>
      <c r="C330" s="1736"/>
      <c r="H330" s="23"/>
    </row>
    <row r="331" spans="2:8" ht="15" customHeight="1">
      <c r="C331" s="26"/>
      <c r="H331" s="23"/>
    </row>
    <row r="332" spans="2:8" ht="15" customHeight="1">
      <c r="C332" s="26"/>
      <c r="H332" s="23"/>
    </row>
    <row r="333" spans="2:8" ht="15" customHeight="1">
      <c r="C333" s="315"/>
      <c r="H333" s="23"/>
    </row>
    <row r="334" spans="2:8" ht="15" customHeight="1">
      <c r="C334" s="26"/>
      <c r="H334" s="23"/>
    </row>
    <row r="335" spans="2:8" ht="15" customHeight="1">
      <c r="C335" s="26"/>
      <c r="H335" s="23"/>
    </row>
    <row r="336" spans="2:8" ht="15" customHeight="1">
      <c r="C336" s="26"/>
      <c r="H336" s="23"/>
    </row>
    <row r="337" spans="2:8" ht="15" customHeight="1">
      <c r="B337" s="367"/>
      <c r="C337" s="26"/>
      <c r="H337" s="23"/>
    </row>
    <row r="338" spans="2:8" ht="15" customHeight="1">
      <c r="B338" s="367"/>
      <c r="C338" s="26"/>
      <c r="H338" s="23"/>
    </row>
    <row r="339" spans="2:8" ht="15" customHeight="1">
      <c r="H339" s="23"/>
    </row>
    <row r="340" spans="2:8" ht="15" customHeight="1">
      <c r="H340" s="23"/>
    </row>
    <row r="341" spans="2:8" ht="15" customHeight="1">
      <c r="H341" s="23"/>
    </row>
    <row r="342" spans="2:8" ht="15" customHeight="1">
      <c r="H342" s="23"/>
    </row>
    <row r="343" spans="2:8" ht="30" customHeight="1">
      <c r="B343" s="370"/>
      <c r="C343" s="371"/>
      <c r="H343" s="23"/>
    </row>
    <row r="344" spans="2:8" ht="15" customHeight="1">
      <c r="B344" s="372"/>
      <c r="C344" s="27"/>
      <c r="H344" s="23"/>
    </row>
    <row r="345" spans="2:8" ht="15" customHeight="1">
      <c r="B345" s="372"/>
      <c r="C345" s="27"/>
      <c r="H345" s="23"/>
    </row>
    <row r="346" spans="2:8" ht="15" customHeight="1">
      <c r="B346" s="372"/>
      <c r="C346" s="27"/>
      <c r="H346" s="23"/>
    </row>
    <row r="347" spans="2:8" ht="15" customHeight="1">
      <c r="B347" s="372"/>
      <c r="C347" s="27"/>
      <c r="H347" s="23"/>
    </row>
    <row r="348" spans="2:8" ht="15" customHeight="1">
      <c r="B348" s="372"/>
      <c r="C348" s="373"/>
      <c r="H348" s="23"/>
    </row>
    <row r="349" spans="2:8" ht="15" customHeight="1">
      <c r="B349" s="372"/>
      <c r="C349" s="27"/>
      <c r="H349" s="23"/>
    </row>
    <row r="350" spans="2:8" ht="15" customHeight="1">
      <c r="B350" s="372"/>
      <c r="C350" s="373"/>
      <c r="H350" s="23"/>
    </row>
    <row r="376" ht="31.5" customHeight="1"/>
    <row r="377" ht="15.75" customHeight="1"/>
    <row r="387" spans="72:74" ht="15" customHeight="1">
      <c r="BT387" s="430"/>
      <c r="BU387" s="431"/>
      <c r="BV387" s="431"/>
    </row>
    <row r="388" spans="72:74" ht="15" customHeight="1">
      <c r="BT388" s="430"/>
      <c r="BU388" s="431"/>
      <c r="BV388" s="431"/>
    </row>
    <row r="389" spans="72:74" ht="15" customHeight="1">
      <c r="BT389" s="430"/>
      <c r="BU389" s="431"/>
      <c r="BV389" s="431"/>
    </row>
    <row r="390" spans="72:74" ht="15" customHeight="1">
      <c r="BT390" s="430"/>
      <c r="BU390" s="431"/>
      <c r="BV390" s="431"/>
    </row>
    <row r="391" spans="72:74" ht="15" customHeight="1">
      <c r="BT391" s="430"/>
      <c r="BU391" s="431"/>
      <c r="BV391" s="431"/>
    </row>
    <row r="392" spans="72:74" ht="15" customHeight="1">
      <c r="BT392" s="430"/>
      <c r="BU392" s="431"/>
      <c r="BV392" s="431"/>
    </row>
  </sheetData>
  <mergeCells count="31">
    <mergeCell ref="S7:U7"/>
    <mergeCell ref="C75:E75"/>
    <mergeCell ref="C76:E76"/>
    <mergeCell ref="C77:E77"/>
    <mergeCell ref="C78:E78"/>
    <mergeCell ref="C74:E74"/>
    <mergeCell ref="AS265:AV265"/>
    <mergeCell ref="S20:T20"/>
    <mergeCell ref="L51:N51"/>
    <mergeCell ref="B321:C321"/>
    <mergeCell ref="B89:F89"/>
    <mergeCell ref="B94:F94"/>
    <mergeCell ref="B95:F95"/>
    <mergeCell ref="C80:E80"/>
    <mergeCell ref="C81:E81"/>
    <mergeCell ref="B86:F86"/>
    <mergeCell ref="B87:F87"/>
    <mergeCell ref="B330:C330"/>
    <mergeCell ref="B315:C315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</mergeCells>
  <conditionalFormatting sqref="AN178:AN196">
    <cfRule type="cellIs" dxfId="439" priority="1" operator="greaterThan">
      <formula>0</formula>
    </cfRule>
  </conditionalFormatting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200" location="'Tabelas e Gráficos'!A1" display="Voltar" xr:uid="{00000000-0004-0000-0300-00000A000000}"/>
    <hyperlink ref="AX206" location="'Tabelas e Gráficos'!A1" display="Voltar" xr:uid="{00000000-0004-0000-0300-00000B000000}"/>
    <hyperlink ref="BI266" location="'Tabelas e Gráficos '!A1" display="Voltar" xr:uid="{00000000-0004-0000-0300-00000C000000}"/>
    <hyperlink ref="BM275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66" location="'Tabelas e Gráficos'!A1" display="Voltar" xr:uid="{00000000-0004-0000-0300-00001D000000}"/>
    <hyperlink ref="B19" location="'Tabelas e Gráficos'!BT256" display="Descontos na TE" xr:uid="{00000000-0004-0000-0300-00001E000000}"/>
    <hyperlink ref="BR285" location="'Tabelas e Gráficos'!A1" display="Voltar" xr:uid="{00000000-0004-0000-0300-00001F000000}"/>
    <hyperlink ref="BW287" location="'Tabelas e Gráficos'!A1" display="Voltar" xr:uid="{00000000-0004-0000-0300-000020000000}"/>
    <hyperlink ref="CB303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09:AX210 AX235:AX237 AS233:AT233 AV233 AX233 AS263:AV263 AX238 AX234 AB142 AS232:AT232 AV232:AX232 AX239 AX240:AX241 AS261:AT261 AX261 AV261 AS224:AX224 AS222:AU222 AW222:AX222 AS223:AU223 AW223:AX223 AS267 AS265:AV265 AT264 AX264 AS215:AU215 AS212:AT212 AX212 AS208 AU208:AV208 AS229:AX231 AS228 AU228:AX228 AS227:AV227 AS226:AT226 AV226:AX226 AX227 AX208 AS262:AV262 AX262 AX263 AS211:AV211 AX211 AS217:AX218 AS216:AV216 AX216 AS221:AV221 AS219:AV219 AX219 AS220:AV220 AX220 AX221 AS225:AV225 AX225 K84 AT213 AW213:AX213 AV212 AW219:AW221 AW215:AX215 AX265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13" zoomScale="90" zoomScaleNormal="90" workbookViewId="0">
      <selection activeCell="D49" sqref="D49"/>
    </sheetView>
  </sheetViews>
  <sheetFormatPr defaultColWidth="9.140625" defaultRowHeight="12.75" customHeight="1"/>
  <cols>
    <col min="1" max="1" width="4.7109375" style="95" customWidth="1"/>
    <col min="2" max="2" width="18.28515625" style="95" bestFit="1" customWidth="1"/>
    <col min="3" max="3" width="16.140625" style="95" customWidth="1"/>
    <col min="4" max="4" width="21.7109375" style="95" customWidth="1"/>
    <col min="5" max="5" width="10.28515625" style="95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5.57031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7.285156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1038" t="s">
        <v>951</v>
      </c>
      <c r="C1" s="1135"/>
      <c r="D1" s="1039"/>
      <c r="E1" s="1039"/>
      <c r="F1" s="1039"/>
      <c r="G1" s="1248" t="s">
        <v>952</v>
      </c>
      <c r="H1" s="1249">
        <f ca="1">LnkTXTIRTEco</f>
        <v>0.1024</v>
      </c>
      <c r="I1" s="70"/>
      <c r="J1" s="70"/>
      <c r="P1" s="1250" t="s">
        <v>953</v>
      </c>
      <c r="Q1" s="1251"/>
      <c r="S1" s="1252" t="s">
        <v>954</v>
      </c>
      <c r="T1" s="1251" t="s">
        <v>955</v>
      </c>
      <c r="W1" s="1250" t="s">
        <v>954</v>
      </c>
      <c r="X1" s="1251" t="s">
        <v>955</v>
      </c>
    </row>
    <row r="2" spans="2:24" ht="14.25">
      <c r="B2" s="138" t="str">
        <f>CAPA!C9</f>
        <v>Cerfox</v>
      </c>
      <c r="C2" s="70"/>
      <c r="D2" s="70"/>
      <c r="G2" s="121" t="s">
        <v>956</v>
      </c>
      <c r="H2" s="122">
        <f ca="1">LnkTXTIRTTotal</f>
        <v>-0.24399999999999999</v>
      </c>
      <c r="P2" s="1253">
        <f>DATE(YEAR(P4),MONTH(P4)-1,1)</f>
        <v>44378</v>
      </c>
      <c r="Q2" s="693"/>
      <c r="S2" s="692" t="s">
        <v>957</v>
      </c>
      <c r="T2" s="693" t="s">
        <v>958</v>
      </c>
      <c r="W2" s="692" t="s">
        <v>959</v>
      </c>
      <c r="X2" s="693" t="s">
        <v>958</v>
      </c>
    </row>
    <row r="3" spans="2:24" ht="14.25">
      <c r="P3" s="1250" t="s">
        <v>953</v>
      </c>
      <c r="Q3" s="1251"/>
      <c r="S3" s="1252" t="s">
        <v>954</v>
      </c>
      <c r="T3" s="1251" t="s">
        <v>955</v>
      </c>
      <c r="W3" s="1250" t="s">
        <v>954</v>
      </c>
      <c r="X3" s="1251" t="s">
        <v>955</v>
      </c>
    </row>
    <row r="4" spans="2:24" ht="14.25">
      <c r="P4" s="1253">
        <f>DATE(YEAR(P6),MONTH(P6)-1,1)</f>
        <v>44409</v>
      </c>
      <c r="Q4" s="693"/>
      <c r="S4" s="692" t="s">
        <v>601</v>
      </c>
      <c r="T4" s="693" t="s">
        <v>958</v>
      </c>
      <c r="W4" s="692" t="s">
        <v>959</v>
      </c>
      <c r="X4" s="693" t="s">
        <v>958</v>
      </c>
    </row>
    <row r="5" spans="2:24" ht="14.25">
      <c r="P5" s="1250" t="s">
        <v>953</v>
      </c>
      <c r="Q5" s="1251"/>
      <c r="S5" s="1250" t="s">
        <v>954</v>
      </c>
      <c r="T5" s="1251" t="s">
        <v>955</v>
      </c>
      <c r="V5" s="96"/>
      <c r="W5" s="1250" t="s">
        <v>954</v>
      </c>
      <c r="X5" s="1251" t="s">
        <v>955</v>
      </c>
    </row>
    <row r="6" spans="2:24" ht="14.25">
      <c r="B6" s="112" t="s">
        <v>960</v>
      </c>
      <c r="F6" s="112" t="s">
        <v>961</v>
      </c>
      <c r="I6" s="112" t="s">
        <v>962</v>
      </c>
      <c r="P6" s="1253">
        <f>DATE(YEAR(P8),MONTH(P8)-1,1)</f>
        <v>44440</v>
      </c>
      <c r="Q6" s="693"/>
      <c r="S6" s="692" t="str">
        <f>"=A3"</f>
        <v>=A3</v>
      </c>
      <c r="T6" s="693" t="s">
        <v>958</v>
      </c>
      <c r="W6" s="692" t="s">
        <v>959</v>
      </c>
      <c r="X6" s="693" t="s">
        <v>958</v>
      </c>
    </row>
    <row r="7" spans="2:24" ht="14.25">
      <c r="B7" s="1254" t="s">
        <v>854</v>
      </c>
      <c r="C7" s="1254" t="s">
        <v>120</v>
      </c>
      <c r="D7" s="1254" t="s">
        <v>963</v>
      </c>
      <c r="E7" s="97"/>
      <c r="F7" s="1254" t="s">
        <v>854</v>
      </c>
      <c r="G7" s="1254" t="s">
        <v>963</v>
      </c>
      <c r="I7" s="1255" t="s">
        <v>854</v>
      </c>
      <c r="J7" s="1255" t="s">
        <v>964</v>
      </c>
      <c r="L7" s="428" t="s">
        <v>965</v>
      </c>
      <c r="M7" s="428"/>
      <c r="N7" s="428" t="s">
        <v>801</v>
      </c>
      <c r="P7" s="1250" t="s">
        <v>953</v>
      </c>
      <c r="Q7" s="1251"/>
      <c r="S7" s="1250" t="s">
        <v>954</v>
      </c>
      <c r="T7" s="1251" t="s">
        <v>955</v>
      </c>
      <c r="W7" s="1250" t="s">
        <v>954</v>
      </c>
      <c r="X7" s="1251" t="s">
        <v>955</v>
      </c>
    </row>
    <row r="8" spans="2:24" ht="14.25">
      <c r="B8" s="1256" t="s">
        <v>966</v>
      </c>
      <c r="C8" s="1257">
        <f ca="1">SUM(C9:C15)</f>
        <v>62056.817999999977</v>
      </c>
      <c r="D8" s="1258">
        <f ca="1">SUM(D9:D15)</f>
        <v>58361689.566380009</v>
      </c>
      <c r="E8" s="97"/>
      <c r="F8" s="97" t="s">
        <v>967</v>
      </c>
      <c r="G8" s="116">
        <f t="shared" ref="G8:G14" ca="1" si="0">SUM(INDIRECT("dados_Mercadobase["&amp;F8&amp;"]"))</f>
        <v>0</v>
      </c>
      <c r="I8" s="229" t="s">
        <v>232</v>
      </c>
      <c r="J8" s="117">
        <f ca="1">SUM(INDIRECT("dados_MercadoBase[ICMS]"))/SUM(INDIRECT("dados_MercadoBase[[PisPasep]:[ICMS]]"),INDIRECT("dados_MercadoBase[FinTotAj]"))</f>
        <v>0.17733302397334957</v>
      </c>
      <c r="L8" s="1259" t="s">
        <v>968</v>
      </c>
      <c r="M8" s="1260"/>
      <c r="N8" s="1261">
        <f>DSUM('BD MERCADO'!A2:AAA999998,"Total",S27:S28)</f>
        <v>8703692.692499999</v>
      </c>
      <c r="P8" s="1253">
        <f>DATE(YEAR(P10),MONTH(P10)-1,1)</f>
        <v>44470</v>
      </c>
      <c r="Q8" s="693"/>
      <c r="S8" s="692" t="str">
        <f>"=A3a"</f>
        <v>=A3a</v>
      </c>
      <c r="T8" s="693" t="s">
        <v>958</v>
      </c>
      <c r="W8" s="692" t="s">
        <v>959</v>
      </c>
      <c r="X8" s="693" t="s">
        <v>958</v>
      </c>
    </row>
    <row r="9" spans="2:24" ht="14.25">
      <c r="B9" s="113" t="s">
        <v>957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49</v>
      </c>
      <c r="G9" s="116">
        <f t="shared" ca="1" si="0"/>
        <v>0</v>
      </c>
      <c r="I9" s="1262" t="s">
        <v>831</v>
      </c>
      <c r="J9" s="1263">
        <f ca="1">SUM(INDIRECT("dados_MercadoBase[[PisPasep]:[Cofins]]"))/SUM(INDIRECT("dados_MercadoBase[[PisPasep]:[ICMS]]"),INDIRECT("dados_MercadoBase[FinTotAj]"))</f>
        <v>7.2788380462807068E-3</v>
      </c>
      <c r="L9" s="97" t="s">
        <v>969</v>
      </c>
      <c r="M9" s="427"/>
      <c r="N9" s="116">
        <f>DSUM('BD MERCADO'!A2:AAA999998,"Total",S29:S30)</f>
        <v>4693496.2040100023</v>
      </c>
      <c r="P9" s="1250" t="s">
        <v>953</v>
      </c>
      <c r="Q9" s="1251"/>
      <c r="S9" s="1250" t="s">
        <v>954</v>
      </c>
      <c r="T9" s="1251" t="s">
        <v>955</v>
      </c>
      <c r="X9" s="98"/>
    </row>
    <row r="10" spans="2:24" ht="14.25">
      <c r="B10" s="113" t="s">
        <v>601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970</v>
      </c>
      <c r="G10" s="116">
        <f t="shared" ca="1" si="0"/>
        <v>0</v>
      </c>
      <c r="L10" s="97" t="s">
        <v>971</v>
      </c>
      <c r="M10" s="427"/>
      <c r="N10" s="116">
        <f>DSUM('BD MERCADO'!A2:AAA999998,"Total",S31:S32)</f>
        <v>5838224.700339999</v>
      </c>
      <c r="P10" s="1253">
        <f>DATE(YEAR(P12),MONTH(P12)-1,1)</f>
        <v>44501</v>
      </c>
      <c r="Q10" s="693"/>
      <c r="S10" s="692" t="s">
        <v>596</v>
      </c>
      <c r="T10" s="693" t="s">
        <v>958</v>
      </c>
      <c r="U10" s="95" t="s">
        <v>972</v>
      </c>
      <c r="X10" s="98"/>
    </row>
    <row r="11" spans="2:24" ht="14.25">
      <c r="B11" s="113" t="s">
        <v>598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47</v>
      </c>
      <c r="G11" s="116">
        <f t="shared" ca="1" si="0"/>
        <v>604159.6654720587</v>
      </c>
      <c r="L11" s="97" t="s">
        <v>973</v>
      </c>
      <c r="M11" s="427"/>
      <c r="N11" s="116">
        <f>DSUM('BD MERCADO'!A2:AAA999998,"Total",S33:S34)</f>
        <v>36537015.264599994</v>
      </c>
      <c r="P11" s="1250" t="s">
        <v>953</v>
      </c>
      <c r="Q11" s="1251"/>
      <c r="S11" s="1250" t="s">
        <v>954</v>
      </c>
      <c r="T11" s="1251" t="s">
        <v>955</v>
      </c>
      <c r="X11" s="98"/>
    </row>
    <row r="12" spans="2:24" ht="14.25">
      <c r="B12" s="113" t="s">
        <v>600</v>
      </c>
      <c r="C12" s="99">
        <f t="shared" ca="1" si="2"/>
        <v>0</v>
      </c>
      <c r="D12" s="114">
        <f t="shared" ca="1" si="1"/>
        <v>0</v>
      </c>
      <c r="E12" s="97"/>
      <c r="F12" s="97" t="s">
        <v>41</v>
      </c>
      <c r="G12" s="116">
        <f t="shared" ca="1" si="0"/>
        <v>3830051.9038871895</v>
      </c>
      <c r="I12" s="112" t="s">
        <v>974</v>
      </c>
      <c r="L12" s="97" t="s">
        <v>975</v>
      </c>
      <c r="M12" s="427"/>
      <c r="N12" s="116">
        <f>DSUM('BD MERCADO'!A2:AAA999998,"Total",S35:S36)</f>
        <v>1329098.0034999999</v>
      </c>
      <c r="P12" s="1253">
        <f>DATE(YEAR(P14),MONTH(P14)-1,1)</f>
        <v>44531</v>
      </c>
      <c r="Q12" s="693"/>
      <c r="S12" s="692" t="s">
        <v>976</v>
      </c>
      <c r="T12" s="693" t="s">
        <v>958</v>
      </c>
      <c r="X12" s="98"/>
    </row>
    <row r="13" spans="2:24" ht="14.25">
      <c r="B13" s="113" t="s">
        <v>596</v>
      </c>
      <c r="C13" s="99">
        <f t="shared" ca="1" si="2"/>
        <v>6836.9360000000024</v>
      </c>
      <c r="D13" s="114">
        <f t="shared" ca="1" si="1"/>
        <v>6044154.6416399991</v>
      </c>
      <c r="E13" s="97"/>
      <c r="F13" s="97" t="s">
        <v>40</v>
      </c>
      <c r="G13" s="116">
        <f t="shared" ca="1" si="0"/>
        <v>132725.67553456512</v>
      </c>
      <c r="I13" s="1255" t="s">
        <v>854</v>
      </c>
      <c r="J13" s="1255" t="s">
        <v>977</v>
      </c>
      <c r="L13" s="97" t="s">
        <v>978</v>
      </c>
      <c r="M13" s="427"/>
      <c r="N13" s="116">
        <f>DSUM('BD MERCADO'!A2:AAA999998,"Total",S37:S38)</f>
        <v>2122780.4153399998</v>
      </c>
      <c r="P13" s="1250" t="s">
        <v>953</v>
      </c>
      <c r="Q13" s="1251"/>
      <c r="S13" s="1250" t="s">
        <v>954</v>
      </c>
      <c r="T13" s="1251" t="s">
        <v>955</v>
      </c>
      <c r="X13" s="98"/>
    </row>
    <row r="14" spans="2:24" ht="14.25">
      <c r="B14" s="113" t="s">
        <v>979</v>
      </c>
      <c r="C14" s="99">
        <f t="shared" ca="1" si="2"/>
        <v>0</v>
      </c>
      <c r="D14" s="114">
        <f t="shared" ca="1" si="1"/>
        <v>0</v>
      </c>
      <c r="E14" s="97"/>
      <c r="F14" s="97" t="s">
        <v>126</v>
      </c>
      <c r="G14" s="116">
        <f t="shared" ca="1" si="0"/>
        <v>0</v>
      </c>
      <c r="I14" s="1264" t="s">
        <v>980</v>
      </c>
      <c r="J14" s="1265">
        <f>CAPA!D41</f>
        <v>64311.973000000005</v>
      </c>
      <c r="L14" s="97" t="s">
        <v>981</v>
      </c>
      <c r="M14" s="427"/>
      <c r="N14" s="116">
        <f>DSUM('BD MERCADO'!A2:AAA999998,"Total",S39:S40)</f>
        <v>585819.02701000019</v>
      </c>
      <c r="P14" s="1253">
        <f>DATE(YEAR(P16),MONTH(P16)-1,1)</f>
        <v>44562</v>
      </c>
      <c r="Q14" s="693"/>
      <c r="S14" s="692" t="s">
        <v>959</v>
      </c>
      <c r="T14" s="693" t="s">
        <v>958</v>
      </c>
      <c r="X14" s="98"/>
    </row>
    <row r="15" spans="2:24" ht="14.25">
      <c r="B15" s="113" t="s">
        <v>603</v>
      </c>
      <c r="C15" s="99">
        <f t="shared" ca="1" si="2"/>
        <v>55219.881999999976</v>
      </c>
      <c r="D15" s="114">
        <f t="shared" ca="1" si="1"/>
        <v>52317534.924740009</v>
      </c>
      <c r="E15" s="97"/>
      <c r="F15" s="97" t="s">
        <v>120</v>
      </c>
      <c r="G15" s="116">
        <f ca="1">SUM(C79:C84)</f>
        <v>17848533.31991924</v>
      </c>
      <c r="I15" s="1266" t="s">
        <v>910</v>
      </c>
      <c r="J15" s="1267">
        <f ca="1">IFERROR(Mercado_RA0_MWh/J14-1,0)</f>
        <v>9.8482128669878932E-3</v>
      </c>
      <c r="L15" s="1268" t="s">
        <v>982</v>
      </c>
      <c r="M15" s="1269"/>
      <c r="N15" s="1270">
        <f ca="1">D25-SUM(N8:N14)</f>
        <v>348415.19134001434</v>
      </c>
      <c r="P15" s="1250" t="s">
        <v>953</v>
      </c>
      <c r="Q15" s="1251"/>
      <c r="S15" s="1250" t="s">
        <v>983</v>
      </c>
      <c r="T15" s="1251" t="s">
        <v>955</v>
      </c>
      <c r="X15" s="98"/>
    </row>
    <row r="16" spans="2:24" ht="14.25">
      <c r="B16" s="1256" t="s">
        <v>984</v>
      </c>
      <c r="C16" s="1271">
        <f ca="1">DSUM(MercadoBase,"TUSD_E",INDIRECT("Mercado_CriterioResBr"))</f>
        <v>254.08099999999996</v>
      </c>
      <c r="D16" s="1272">
        <f ca="1">DSUM(MercadoBase,"Total",INDIRECT("Mercado_CriterioResBr"))</f>
        <v>227778.53487999996</v>
      </c>
      <c r="E16" s="97"/>
      <c r="F16" s="97" t="s">
        <v>985</v>
      </c>
      <c r="G16" s="116">
        <f ca="1">SUM(C87:C97)</f>
        <v>37743230.528104797</v>
      </c>
      <c r="P16" s="1253">
        <f>DATE(YEAR(P18),MONTH(P18)-1,1)</f>
        <v>44593</v>
      </c>
      <c r="Q16" s="693"/>
      <c r="S16" s="692" t="s">
        <v>986</v>
      </c>
      <c r="T16" s="693" t="s">
        <v>958</v>
      </c>
      <c r="X16" s="98"/>
    </row>
    <row r="17" spans="2:24" ht="14.25">
      <c r="B17" s="1256" t="s">
        <v>987</v>
      </c>
      <c r="C17" s="1271">
        <f ca="1">DSUM(MercadoBase,"TUSD_E",INDIRECT("Mercado_Criterio"&amp;$B17))</f>
        <v>0</v>
      </c>
      <c r="D17" s="1272">
        <f ca="1">DSUM(MercadoBase,"Total",INDIRECT("Mercado_Criterio"&amp;$B17))</f>
        <v>0</v>
      </c>
      <c r="E17" s="97"/>
      <c r="F17" s="1273" t="s">
        <v>836</v>
      </c>
      <c r="G17" s="1274">
        <f ca="1">SUM(G8:G16)</f>
        <v>60158701.092917852</v>
      </c>
      <c r="I17" s="228" t="str">
        <f>"Dado referente à "&amp;TEXT(P20,"mmmm/aaaa")</f>
        <v>Dado referente à abril/2022</v>
      </c>
      <c r="L17" s="79"/>
      <c r="P17" s="1250" t="s">
        <v>953</v>
      </c>
      <c r="Q17" s="1251"/>
      <c r="S17" s="1250" t="s">
        <v>955</v>
      </c>
      <c r="T17" s="1251"/>
      <c r="X17" s="98"/>
    </row>
    <row r="18" spans="2:24" ht="14.25">
      <c r="B18" s="1256" t="s">
        <v>988</v>
      </c>
      <c r="C18" s="1271">
        <f ca="1">DSUM(MercadoBase,"TUSD_E",INDIRECT("Mercado_Criterio"&amp;$B18))</f>
        <v>2888.5129999999999</v>
      </c>
      <c r="D18" s="1272">
        <f ca="1">DSUM(MercadoBase,"Total",INDIRECT("Mercado_Criterio"&amp;$B18))</f>
        <v>1457897.5322599998</v>
      </c>
      <c r="E18" s="97"/>
      <c r="I18" s="1275" t="s">
        <v>989</v>
      </c>
      <c r="J18" s="1276">
        <f>DSUM('BD MERCADO'!B2:BU724,"UC",C101:C102)</f>
        <v>16043</v>
      </c>
      <c r="L18" s="79"/>
      <c r="P18" s="1253">
        <f>DATE(YEAR(P20),MONTH(P20)-1,1)</f>
        <v>44621</v>
      </c>
      <c r="Q18" s="693"/>
      <c r="S18" s="692" t="s">
        <v>866</v>
      </c>
      <c r="T18" s="693"/>
      <c r="X18" s="98"/>
    </row>
    <row r="19" spans="2:24" ht="14.25">
      <c r="B19" s="115" t="s">
        <v>990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50" t="s">
        <v>953</v>
      </c>
      <c r="Q19" s="1251"/>
      <c r="S19" s="1250" t="s">
        <v>955</v>
      </c>
      <c r="T19" s="1251" t="s">
        <v>954</v>
      </c>
      <c r="X19" s="98"/>
    </row>
    <row r="20" spans="2:24" ht="14.25">
      <c r="B20" s="115" t="s">
        <v>991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253">
        <f>DATE(YEAR(P22),MONTH(P22)-1,1)</f>
        <v>44652</v>
      </c>
      <c r="Q20" s="693"/>
      <c r="S20" s="692" t="s">
        <v>988</v>
      </c>
      <c r="T20" s="693" t="s">
        <v>957</v>
      </c>
    </row>
    <row r="21" spans="2:24" ht="14.25">
      <c r="B21" s="115" t="s">
        <v>992</v>
      </c>
      <c r="C21" s="99"/>
      <c r="D21" s="114">
        <f ca="1">DSUM(MercadoBase,"Total",INDIRECT("Mercado_Criterio"&amp;$B21))</f>
        <v>338954.40000000008</v>
      </c>
      <c r="E21" s="632"/>
      <c r="F21" s="633"/>
      <c r="G21" s="631"/>
      <c r="L21" s="79"/>
      <c r="P21" s="1250" t="s">
        <v>953</v>
      </c>
      <c r="Q21" s="1251"/>
      <c r="S21" s="1250" t="s">
        <v>955</v>
      </c>
      <c r="T21" s="1251"/>
    </row>
    <row r="22" spans="2:24" ht="14.25">
      <c r="B22" s="115" t="s">
        <v>993</v>
      </c>
      <c r="C22" s="99">
        <f ca="1">C18-C19</f>
        <v>2888.5129999999999</v>
      </c>
      <c r="D22" s="114">
        <f ca="1">D18-D19</f>
        <v>1457897.5322599998</v>
      </c>
      <c r="F22" s="634"/>
      <c r="G22" s="635"/>
      <c r="L22" s="79"/>
      <c r="M22" s="101"/>
      <c r="N22" s="98"/>
      <c r="O22" s="98"/>
      <c r="P22" s="1253">
        <f>DATE(YEAR(P24),MONTH(P24)-1,1)</f>
        <v>44682</v>
      </c>
      <c r="Q22" s="693"/>
      <c r="S22" s="692" t="s">
        <v>828</v>
      </c>
      <c r="T22" s="693"/>
      <c r="X22" s="98"/>
    </row>
    <row r="23" spans="2:24" ht="14.25">
      <c r="B23" s="1256" t="s">
        <v>994</v>
      </c>
      <c r="C23" s="1271">
        <v>0</v>
      </c>
      <c r="D23" s="1272">
        <v>0</v>
      </c>
      <c r="E23" s="632"/>
      <c r="F23" s="634"/>
      <c r="G23" s="635"/>
      <c r="L23" s="79"/>
      <c r="M23" s="101"/>
      <c r="N23" s="98"/>
      <c r="O23" s="98"/>
      <c r="P23" s="1250" t="s">
        <v>953</v>
      </c>
      <c r="Q23" s="1251"/>
      <c r="S23" s="1250" t="s">
        <v>955</v>
      </c>
      <c r="T23" s="1251"/>
      <c r="X23" s="98"/>
    </row>
    <row r="24" spans="2:24" ht="14.25">
      <c r="B24" s="1256" t="s">
        <v>995</v>
      </c>
      <c r="C24" s="1277"/>
      <c r="D24" s="1278"/>
      <c r="E24" s="632"/>
      <c r="F24" s="634"/>
      <c r="G24" s="635"/>
      <c r="L24" s="79"/>
      <c r="P24" s="1253">
        <f>SAS_RA0_DataFim</f>
        <v>44713</v>
      </c>
      <c r="Q24" s="693"/>
      <c r="S24" s="692" t="s">
        <v>992</v>
      </c>
      <c r="T24" s="693"/>
      <c r="X24" s="98"/>
    </row>
    <row r="25" spans="2:24" ht="14.25">
      <c r="B25" s="1279" t="s">
        <v>836</v>
      </c>
      <c r="C25" s="1280">
        <f ca="1">C18+C8+C24+C20+C21+SuprimentoE</f>
        <v>64945.330999999976</v>
      </c>
      <c r="D25" s="1281">
        <f ca="1">D18+D8+D24+D20+D21+D17</f>
        <v>60158541.498640008</v>
      </c>
      <c r="E25" s="632"/>
      <c r="N25" s="69">
        <f>SUMIFS('BD MERCADO'!$P$3:$P$6000,'BD MERCADO'!$D$3:$D$6000,"A4",'BD MERCADO'!$I$3:$I$6000,U10)</f>
        <v>463.39300000000003</v>
      </c>
      <c r="S25" s="102" t="s">
        <v>955</v>
      </c>
      <c r="T25" s="103"/>
      <c r="X25" s="98"/>
    </row>
    <row r="26" spans="2:24" ht="14.25">
      <c r="F26" s="634"/>
      <c r="G26" s="635"/>
      <c r="S26" s="692" t="s">
        <v>996</v>
      </c>
      <c r="T26" s="693"/>
      <c r="X26" s="98"/>
    </row>
    <row r="27" spans="2:24" ht="14.25">
      <c r="F27" s="634"/>
      <c r="G27" s="635"/>
      <c r="I27" s="98"/>
      <c r="S27" s="1282" t="s">
        <v>587</v>
      </c>
      <c r="T27" s="1283"/>
      <c r="X27" s="98"/>
    </row>
    <row r="28" spans="2:24" ht="14.25">
      <c r="F28" s="228"/>
      <c r="G28" s="636"/>
      <c r="I28" s="98"/>
      <c r="S28" s="1284" t="s">
        <v>968</v>
      </c>
      <c r="T28" s="1285"/>
      <c r="X28" s="98"/>
    </row>
    <row r="29" spans="2:24" ht="14.25">
      <c r="I29" s="98"/>
      <c r="S29" s="1282" t="s">
        <v>587</v>
      </c>
      <c r="T29" s="1283"/>
    </row>
    <row r="30" spans="2:24" ht="14.25">
      <c r="I30" s="98"/>
      <c r="S30" s="1284" t="s">
        <v>969</v>
      </c>
      <c r="T30" s="1285"/>
    </row>
    <row r="31" spans="2:24" ht="16.5">
      <c r="B31"/>
      <c r="C31"/>
      <c r="H31" s="98"/>
      <c r="I31" s="98"/>
      <c r="S31" s="1282" t="s">
        <v>587</v>
      </c>
      <c r="T31" s="1283"/>
      <c r="X31" s="98"/>
    </row>
    <row r="32" spans="2:24" ht="14.25">
      <c r="H32" s="98"/>
      <c r="I32" s="98"/>
      <c r="S32" s="1284" t="s">
        <v>997</v>
      </c>
      <c r="T32" s="1285"/>
      <c r="X32" s="98"/>
    </row>
    <row r="33" spans="2:24" ht="16.5">
      <c r="B33" s="1704" t="s">
        <v>998</v>
      </c>
      <c r="C33" s="68" t="s">
        <v>999</v>
      </c>
      <c r="D33"/>
      <c r="S33" s="1282" t="s">
        <v>587</v>
      </c>
      <c r="T33" s="1283"/>
      <c r="X33" s="98"/>
    </row>
    <row r="34" spans="2:24" ht="16.5">
      <c r="B34" s="1705">
        <v>44378</v>
      </c>
      <c r="C34" s="93">
        <v>5042.2000000000007</v>
      </c>
      <c r="D34"/>
      <c r="S34" s="1284" t="s">
        <v>973</v>
      </c>
      <c r="T34" s="1285"/>
      <c r="X34" s="98"/>
    </row>
    <row r="35" spans="2:24" ht="16.5">
      <c r="B35" s="1705">
        <v>44409</v>
      </c>
      <c r="C35" s="93">
        <v>4937.3329999999996</v>
      </c>
      <c r="D35"/>
      <c r="S35" s="1282" t="s">
        <v>587</v>
      </c>
      <c r="T35" s="1283"/>
    </row>
    <row r="36" spans="2:24" ht="16.5">
      <c r="B36" s="1705">
        <v>44440</v>
      </c>
      <c r="C36" s="93">
        <v>4935.8160000000016</v>
      </c>
      <c r="D36"/>
      <c r="M36" s="98"/>
      <c r="S36" s="1284" t="s">
        <v>975</v>
      </c>
      <c r="T36" s="1285"/>
    </row>
    <row r="37" spans="2:24" ht="16.5">
      <c r="B37" s="1705">
        <v>44470</v>
      </c>
      <c r="C37" s="93">
        <v>5156.9850000000006</v>
      </c>
      <c r="D37"/>
      <c r="M37" s="98"/>
      <c r="S37" s="1282" t="s">
        <v>587</v>
      </c>
      <c r="T37" s="1283"/>
    </row>
    <row r="38" spans="2:24" ht="16.5">
      <c r="B38" s="1705">
        <v>44501</v>
      </c>
      <c r="C38" s="93">
        <v>5101.13</v>
      </c>
      <c r="D38"/>
      <c r="M38" s="98"/>
      <c r="S38" s="1284" t="s">
        <v>978</v>
      </c>
      <c r="T38" s="1285"/>
    </row>
    <row r="39" spans="2:24" ht="16.5">
      <c r="B39" s="1705">
        <v>44531</v>
      </c>
      <c r="C39" s="93">
        <v>5190.2499999999991</v>
      </c>
      <c r="D39"/>
      <c r="S39" s="1282" t="s">
        <v>587</v>
      </c>
      <c r="T39" s="1283"/>
    </row>
    <row r="40" spans="2:24" ht="16.5">
      <c r="B40" s="1705">
        <v>44562</v>
      </c>
      <c r="C40" s="93">
        <v>5860.722999999999</v>
      </c>
      <c r="D40"/>
      <c r="S40" s="1284" t="s">
        <v>1000</v>
      </c>
      <c r="T40" s="1285"/>
    </row>
    <row r="41" spans="2:24" ht="16.5">
      <c r="B41" s="1705">
        <v>44593</v>
      </c>
      <c r="C41" s="93">
        <v>6257.8519999999999</v>
      </c>
      <c r="D41"/>
      <c r="N41" s="98"/>
      <c r="O41" s="98"/>
      <c r="P41" s="98"/>
      <c r="Q41" s="98"/>
      <c r="R41" s="98"/>
      <c r="S41" s="1282" t="s">
        <v>587</v>
      </c>
      <c r="T41" s="1283"/>
    </row>
    <row r="42" spans="2:24" ht="16.5">
      <c r="B42" s="1705">
        <v>44621</v>
      </c>
      <c r="C42" s="93">
        <v>6125.3340000000007</v>
      </c>
      <c r="D42"/>
      <c r="N42" s="98"/>
      <c r="O42" s="98"/>
      <c r="P42" s="98"/>
      <c r="Q42" s="98"/>
      <c r="R42" s="98"/>
      <c r="S42" s="1284" t="s">
        <v>1001</v>
      </c>
      <c r="T42" s="1285"/>
    </row>
    <row r="43" spans="2:24" ht="16.5">
      <c r="B43" s="1705">
        <v>44652</v>
      </c>
      <c r="C43" s="93">
        <v>5524.5910000000003</v>
      </c>
      <c r="D43"/>
      <c r="N43" s="98"/>
      <c r="O43" s="98"/>
      <c r="P43" s="98"/>
      <c r="Q43" s="98"/>
      <c r="R43" s="98"/>
      <c r="S43" s="1250" t="s">
        <v>954</v>
      </c>
      <c r="T43" s="1251" t="s">
        <v>955</v>
      </c>
    </row>
    <row r="44" spans="2:24" ht="16.5">
      <c r="B44" s="1705">
        <v>44682</v>
      </c>
      <c r="C44" s="93">
        <v>5186.0649999999987</v>
      </c>
      <c r="D44"/>
      <c r="S44" s="692" t="s">
        <v>601</v>
      </c>
      <c r="T44" s="693" t="s">
        <v>988</v>
      </c>
    </row>
    <row r="45" spans="2:24" ht="16.5">
      <c r="B45" s="1705">
        <v>44713</v>
      </c>
      <c r="C45" s="93">
        <v>5627.0520000000024</v>
      </c>
      <c r="D45"/>
      <c r="S45" s="1250" t="s">
        <v>954</v>
      </c>
      <c r="T45" s="1251" t="s">
        <v>955</v>
      </c>
    </row>
    <row r="46" spans="2:24" ht="16.5">
      <c r="B46" s="1705" t="s">
        <v>1002</v>
      </c>
      <c r="C46" s="93">
        <v>64945.331000000013</v>
      </c>
      <c r="D46"/>
      <c r="S46" s="692" t="s">
        <v>598</v>
      </c>
      <c r="T46" s="693" t="s">
        <v>988</v>
      </c>
    </row>
    <row r="47" spans="2:24" ht="16.5">
      <c r="B47"/>
      <c r="C47"/>
      <c r="D47"/>
      <c r="S47" s="1250" t="s">
        <v>954</v>
      </c>
      <c r="T47" s="1251" t="s">
        <v>955</v>
      </c>
    </row>
    <row r="48" spans="2:24" ht="16.5">
      <c r="B48"/>
      <c r="C48"/>
      <c r="D48"/>
      <c r="S48" s="692" t="s">
        <v>600</v>
      </c>
      <c r="T48" s="693" t="s">
        <v>988</v>
      </c>
    </row>
    <row r="49" spans="2:21" ht="16.5">
      <c r="B49"/>
      <c r="C49"/>
      <c r="D49"/>
      <c r="S49" s="1250" t="s">
        <v>954</v>
      </c>
      <c r="T49" s="1251" t="s">
        <v>955</v>
      </c>
    </row>
    <row r="50" spans="2:21" ht="16.5">
      <c r="B50"/>
      <c r="C50"/>
      <c r="D50"/>
      <c r="S50" s="692" t="s">
        <v>596</v>
      </c>
      <c r="T50" s="693" t="s">
        <v>988</v>
      </c>
    </row>
    <row r="51" spans="2:21" ht="16.5">
      <c r="B51"/>
      <c r="C51"/>
      <c r="S51" s="1250" t="s">
        <v>954</v>
      </c>
      <c r="T51" s="1251" t="s">
        <v>955</v>
      </c>
    </row>
    <row r="52" spans="2:21" ht="16.5">
      <c r="B52"/>
      <c r="C52"/>
      <c r="S52" s="692" t="s">
        <v>959</v>
      </c>
      <c r="T52" s="693" t="s">
        <v>988</v>
      </c>
    </row>
    <row r="53" spans="2:21" ht="16.5">
      <c r="B53"/>
      <c r="C53"/>
      <c r="S53" s="1250" t="s">
        <v>954</v>
      </c>
      <c r="T53" s="1251" t="s">
        <v>955</v>
      </c>
    </row>
    <row r="54" spans="2:21" ht="14.25">
      <c r="S54" s="692" t="s">
        <v>976</v>
      </c>
      <c r="T54" s="693" t="s">
        <v>988</v>
      </c>
    </row>
    <row r="55" spans="2:21" ht="14.25"/>
    <row r="56" spans="2:21" ht="14.25"/>
    <row r="57" spans="2:21" ht="14.25"/>
    <row r="58" spans="2:21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5" t="s">
        <v>1003</v>
      </c>
      <c r="K61" s="68"/>
    </row>
    <row r="62" spans="2:21" ht="14.25">
      <c r="B62" s="1286" t="s">
        <v>1004</v>
      </c>
      <c r="C62" s="1286"/>
      <c r="D62" s="1286" t="s">
        <v>967</v>
      </c>
      <c r="E62" s="1286" t="s">
        <v>49</v>
      </c>
      <c r="F62" s="1286" t="s">
        <v>970</v>
      </c>
      <c r="G62" s="1286" t="s">
        <v>47</v>
      </c>
      <c r="H62" s="1286" t="s">
        <v>41</v>
      </c>
      <c r="I62" s="1286" t="s">
        <v>40</v>
      </c>
      <c r="J62" s="1286" t="s">
        <v>126</v>
      </c>
      <c r="K62" s="1286" t="s">
        <v>1005</v>
      </c>
      <c r="L62" s="1286" t="s">
        <v>1006</v>
      </c>
      <c r="M62" s="1286" t="s">
        <v>1007</v>
      </c>
      <c r="N62" s="1286" t="s">
        <v>1008</v>
      </c>
      <c r="O62" s="1286" t="s">
        <v>1009</v>
      </c>
      <c r="P62" s="1286" t="s">
        <v>1010</v>
      </c>
      <c r="Q62" s="1286" t="s">
        <v>1011</v>
      </c>
      <c r="R62" s="1286" t="s">
        <v>1012</v>
      </c>
      <c r="S62" s="1286" t="s">
        <v>2169</v>
      </c>
      <c r="T62" s="1286" t="s">
        <v>1132</v>
      </c>
      <c r="U62" s="1286" t="s">
        <v>2251</v>
      </c>
    </row>
    <row r="63" spans="2:21" ht="14.25">
      <c r="B63" s="119">
        <f t="shared" ref="B63:B73" si="3">DATE(YEAR(B64),MONTH(B64)-1,1)</f>
        <v>44378</v>
      </c>
      <c r="C63" s="104"/>
      <c r="D63" s="104">
        <f t="shared" ref="D63:U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0</v>
      </c>
      <c r="G63" s="104">
        <f t="shared" ca="1" si="4"/>
        <v>46827.249957416519</v>
      </c>
      <c r="H63" s="104">
        <f t="shared" ca="1" si="4"/>
        <v>296793.9598089428</v>
      </c>
      <c r="I63" s="104">
        <f t="shared" ca="1" si="4"/>
        <v>10278.169558032292</v>
      </c>
      <c r="J63" s="104">
        <f t="shared" ca="1" si="4"/>
        <v>0</v>
      </c>
      <c r="K63" s="104">
        <f t="shared" ca="1" si="4"/>
        <v>33455.982130000004</v>
      </c>
      <c r="L63" s="104">
        <f t="shared" ca="1" si="4"/>
        <v>4654</v>
      </c>
      <c r="M63" s="104">
        <f t="shared" ca="1" si="4"/>
        <v>0</v>
      </c>
      <c r="N63" s="104">
        <f t="shared" ca="1" si="4"/>
        <v>2160.8440860000019</v>
      </c>
      <c r="O63" s="104">
        <f t="shared" ca="1" si="4"/>
        <v>229514.89708879995</v>
      </c>
      <c r="P63" s="104">
        <f t="shared" ca="1" si="4"/>
        <v>0</v>
      </c>
      <c r="Q63" s="104">
        <f t="shared" ca="1" si="4"/>
        <v>3236.4956300000003</v>
      </c>
      <c r="R63" s="104">
        <f t="shared" ca="1" si="4"/>
        <v>2244195.3077355619</v>
      </c>
      <c r="S63" s="104">
        <f ca="1">DSUM(MercadoBase,S$62,INDIRECT("P"&amp;5+2*(ROW()-65)&amp;":P"&amp;6+2*(ROW()-65)))</f>
        <v>0</v>
      </c>
      <c r="T63" s="104">
        <f t="shared" ca="1" si="4"/>
        <v>-1507369.1393867042</v>
      </c>
      <c r="U63" s="104">
        <f t="shared" ca="1" si="4"/>
        <v>0</v>
      </c>
    </row>
    <row r="64" spans="2:21" ht="14.25">
      <c r="B64" s="119">
        <f t="shared" si="3"/>
        <v>44409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0</v>
      </c>
      <c r="G64" s="104">
        <f t="shared" ca="1" si="4"/>
        <v>45902.026513287754</v>
      </c>
      <c r="H64" s="104">
        <f t="shared" ca="1" si="4"/>
        <v>291015.43750227749</v>
      </c>
      <c r="I64" s="104">
        <f t="shared" ca="1" si="4"/>
        <v>10084.854093878046</v>
      </c>
      <c r="J64" s="104">
        <f t="shared" ca="1" si="4"/>
        <v>0</v>
      </c>
      <c r="K64" s="104">
        <f t="shared" ca="1" si="4"/>
        <v>34584.571209999995</v>
      </c>
      <c r="L64" s="104">
        <f t="shared" ca="1" si="4"/>
        <v>4654</v>
      </c>
      <c r="M64" s="104">
        <f t="shared" ca="1" si="4"/>
        <v>0</v>
      </c>
      <c r="N64" s="104">
        <f t="shared" ca="1" si="4"/>
        <v>2085.6867096000024</v>
      </c>
      <c r="O64" s="104">
        <f t="shared" ca="1" si="4"/>
        <v>227387.40555039991</v>
      </c>
      <c r="P64" s="104">
        <f t="shared" ca="1" si="4"/>
        <v>0</v>
      </c>
      <c r="Q64" s="104">
        <f t="shared" ca="1" si="4"/>
        <v>3143.6255700000002</v>
      </c>
      <c r="R64" s="104">
        <f t="shared" ca="1" si="4"/>
        <v>2208999.5155105595</v>
      </c>
      <c r="S64" s="104">
        <f t="shared" ca="1" si="4"/>
        <v>0</v>
      </c>
      <c r="T64" s="104">
        <f t="shared" ca="1" si="4"/>
        <v>-1483729.0173111586</v>
      </c>
      <c r="U64" s="104">
        <f t="shared" ca="1" si="4"/>
        <v>0</v>
      </c>
    </row>
    <row r="65" spans="2:21" ht="14.25">
      <c r="B65" s="119">
        <f t="shared" si="3"/>
        <v>44440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0</v>
      </c>
      <c r="G65" s="104">
        <f t="shared" ca="1" si="4"/>
        <v>45872.944416622544</v>
      </c>
      <c r="H65" s="104">
        <f t="shared" ca="1" si="4"/>
        <v>291004.61119613645</v>
      </c>
      <c r="I65" s="104">
        <f t="shared" ca="1" si="4"/>
        <v>10095.956836324995</v>
      </c>
      <c r="J65" s="104">
        <f t="shared" ca="1" si="4"/>
        <v>0</v>
      </c>
      <c r="K65" s="104">
        <f t="shared" ca="1" si="4"/>
        <v>34801.897944999997</v>
      </c>
      <c r="L65" s="104">
        <f t="shared" ca="1" si="4"/>
        <v>4654</v>
      </c>
      <c r="M65" s="104">
        <f t="shared" ca="1" si="4"/>
        <v>0</v>
      </c>
      <c r="N65" s="104">
        <f t="shared" ca="1" si="4"/>
        <v>1951.8793944000022</v>
      </c>
      <c r="O65" s="104">
        <f t="shared" ca="1" si="4"/>
        <v>232203.48123679991</v>
      </c>
      <c r="P65" s="104">
        <f t="shared" ca="1" si="4"/>
        <v>0</v>
      </c>
      <c r="Q65" s="104">
        <f t="shared" ca="1" si="4"/>
        <v>3174.9731800000004</v>
      </c>
      <c r="R65" s="104">
        <f t="shared" ca="1" si="4"/>
        <v>2217465.9726961479</v>
      </c>
      <c r="S65" s="104">
        <f t="shared" ca="1" si="4"/>
        <v>0</v>
      </c>
      <c r="T65" s="104">
        <f t="shared" ca="1" si="4"/>
        <v>-1489415.7221347119</v>
      </c>
      <c r="U65" s="104">
        <f t="shared" ca="1" si="4"/>
        <v>0</v>
      </c>
    </row>
    <row r="66" spans="2:21" ht="14.25">
      <c r="B66" s="119">
        <f t="shared" si="3"/>
        <v>44470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0</v>
      </c>
      <c r="G66" s="104">
        <f t="shared" ca="1" si="4"/>
        <v>47994.302264604179</v>
      </c>
      <c r="H66" s="104">
        <f t="shared" ca="1" si="4"/>
        <v>302976.0633989856</v>
      </c>
      <c r="I66" s="104">
        <f t="shared" ca="1" si="4"/>
        <v>10404.546700158211</v>
      </c>
      <c r="J66" s="104">
        <f t="shared" ca="1" si="4"/>
        <v>0</v>
      </c>
      <c r="K66" s="104">
        <f t="shared" ca="1" si="4"/>
        <v>36757.472889999997</v>
      </c>
      <c r="L66" s="104">
        <f t="shared" ca="1" si="4"/>
        <v>4654</v>
      </c>
      <c r="M66" s="104">
        <f t="shared" ca="1" si="4"/>
        <v>0</v>
      </c>
      <c r="N66" s="104">
        <f t="shared" ca="1" si="4"/>
        <v>2213.5235484</v>
      </c>
      <c r="O66" s="104">
        <f t="shared" ca="1" si="4"/>
        <v>230776.36962879993</v>
      </c>
      <c r="P66" s="104">
        <f t="shared" ca="1" si="4"/>
        <v>0</v>
      </c>
      <c r="Q66" s="104">
        <f t="shared" ca="1" si="4"/>
        <v>3317.8506200000002</v>
      </c>
      <c r="R66" s="104">
        <f t="shared" ca="1" si="4"/>
        <v>2250390.0235859323</v>
      </c>
      <c r="S66" s="104">
        <f t="shared" ca="1" si="4"/>
        <v>0</v>
      </c>
      <c r="T66" s="104">
        <f t="shared" ca="1" si="4"/>
        <v>-1511529.9731019924</v>
      </c>
      <c r="U66" s="104">
        <f t="shared" ca="1" si="4"/>
        <v>0</v>
      </c>
    </row>
    <row r="67" spans="2:21" ht="14.25">
      <c r="B67" s="119">
        <f t="shared" si="3"/>
        <v>44501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0</v>
      </c>
      <c r="G67" s="104">
        <f t="shared" ca="1" si="4"/>
        <v>47546.817766339525</v>
      </c>
      <c r="H67" s="104">
        <f t="shared" ca="1" si="4"/>
        <v>300864.58145156724</v>
      </c>
      <c r="I67" s="104">
        <f t="shared" ca="1" si="4"/>
        <v>10382.192381692288</v>
      </c>
      <c r="J67" s="104">
        <f t="shared" ca="1" si="4"/>
        <v>0</v>
      </c>
      <c r="K67" s="104">
        <f t="shared" ca="1" si="4"/>
        <v>39749.512774999996</v>
      </c>
      <c r="L67" s="104">
        <f t="shared" ca="1" si="4"/>
        <v>4654</v>
      </c>
      <c r="M67" s="104">
        <f t="shared" ca="1" si="4"/>
        <v>0</v>
      </c>
      <c r="N67" s="104">
        <f t="shared" ca="1" si="4"/>
        <v>2147.8783007999973</v>
      </c>
      <c r="O67" s="104">
        <f t="shared" ca="1" si="4"/>
        <v>217605.5748663999</v>
      </c>
      <c r="P67" s="104">
        <f t="shared" ca="1" si="4"/>
        <v>0</v>
      </c>
      <c r="Q67" s="104">
        <f t="shared" ca="1" si="4"/>
        <v>3302.8804400000004</v>
      </c>
      <c r="R67" s="104">
        <f t="shared" ca="1" si="4"/>
        <v>2290099.2192082349</v>
      </c>
      <c r="S67" s="104">
        <f t="shared" ca="1" si="4"/>
        <v>0</v>
      </c>
      <c r="T67" s="104">
        <f t="shared" ca="1" si="4"/>
        <v>-1538201.633908255</v>
      </c>
      <c r="U67" s="104">
        <f t="shared" ca="1" si="4"/>
        <v>0</v>
      </c>
    </row>
    <row r="68" spans="2:21" ht="14.25">
      <c r="B68" s="119">
        <f t="shared" si="3"/>
        <v>44531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0</v>
      </c>
      <c r="G68" s="104">
        <f t="shared" ca="1" si="4"/>
        <v>48356.769697937023</v>
      </c>
      <c r="H68" s="104">
        <f t="shared" ca="1" si="4"/>
        <v>306596.56496542692</v>
      </c>
      <c r="I68" s="104">
        <f t="shared" ca="1" si="4"/>
        <v>10623.77973586068</v>
      </c>
      <c r="J68" s="104">
        <f t="shared" ca="1" si="4"/>
        <v>0</v>
      </c>
      <c r="K68" s="104">
        <f t="shared" ca="1" si="4"/>
        <v>38580.572694999995</v>
      </c>
      <c r="L68" s="104">
        <f t="shared" ca="1" si="4"/>
        <v>4654</v>
      </c>
      <c r="M68" s="104">
        <f t="shared" ca="1" si="4"/>
        <v>0</v>
      </c>
      <c r="N68" s="104">
        <f t="shared" ca="1" si="4"/>
        <v>2602.2656903999991</v>
      </c>
      <c r="O68" s="104">
        <f t="shared" ca="1" si="4"/>
        <v>227110.78657719991</v>
      </c>
      <c r="P68" s="104">
        <f t="shared" ca="1" si="4"/>
        <v>0</v>
      </c>
      <c r="Q68" s="104">
        <f t="shared" ca="1" si="4"/>
        <v>3565.3427500000003</v>
      </c>
      <c r="R68" s="104">
        <f t="shared" ca="1" si="4"/>
        <v>2359558.705326221</v>
      </c>
      <c r="S68" s="104">
        <f t="shared" ca="1" si="4"/>
        <v>0</v>
      </c>
      <c r="T68" s="104">
        <f t="shared" ca="1" si="4"/>
        <v>-1584855.8112211719</v>
      </c>
      <c r="U68" s="104">
        <f t="shared" ca="1" si="4"/>
        <v>0</v>
      </c>
    </row>
    <row r="69" spans="2:21" ht="14.25">
      <c r="B69" s="119">
        <f t="shared" si="3"/>
        <v>44562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0</v>
      </c>
      <c r="G69" s="104">
        <f t="shared" ca="1" si="4"/>
        <v>54560.894086289183</v>
      </c>
      <c r="H69" s="104">
        <f t="shared" ca="1" si="4"/>
        <v>346714.8608991591</v>
      </c>
      <c r="I69" s="104">
        <f t="shared" ca="1" si="4"/>
        <v>12060.798621255462</v>
      </c>
      <c r="J69" s="104">
        <f t="shared" ca="1" si="4"/>
        <v>0</v>
      </c>
      <c r="K69" s="104">
        <f t="shared" ca="1" si="4"/>
        <v>33665.435765000002</v>
      </c>
      <c r="L69" s="104">
        <f t="shared" ca="1" si="4"/>
        <v>4654</v>
      </c>
      <c r="M69" s="104">
        <f t="shared" ca="1" si="4"/>
        <v>0</v>
      </c>
      <c r="N69" s="104">
        <f t="shared" ca="1" si="4"/>
        <v>1731.8159777999974</v>
      </c>
      <c r="O69" s="104">
        <f t="shared" ca="1" si="4"/>
        <v>270090.9334051999</v>
      </c>
      <c r="P69" s="104">
        <f t="shared" ca="1" si="4"/>
        <v>0</v>
      </c>
      <c r="Q69" s="104">
        <f t="shared" ca="1" si="4"/>
        <v>3696.8246300000001</v>
      </c>
      <c r="R69" s="104">
        <f t="shared" ca="1" si="4"/>
        <v>2650040.0794134862</v>
      </c>
      <c r="S69" s="104">
        <f t="shared" ca="1" si="4"/>
        <v>0</v>
      </c>
      <c r="T69" s="104">
        <f t="shared" ca="1" si="4"/>
        <v>-1779964.7918684937</v>
      </c>
      <c r="U69" s="104">
        <f t="shared" ca="1" si="4"/>
        <v>0</v>
      </c>
    </row>
    <row r="70" spans="2:21" ht="14.25">
      <c r="B70" s="119">
        <f t="shared" si="3"/>
        <v>44593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0</v>
      </c>
      <c r="G70" s="104">
        <f t="shared" ca="1" si="4"/>
        <v>58414.550844571517</v>
      </c>
      <c r="H70" s="104">
        <f t="shared" ca="1" si="4"/>
        <v>372154.18753216788</v>
      </c>
      <c r="I70" s="104">
        <f t="shared" ca="1" si="4"/>
        <v>13011.521337214541</v>
      </c>
      <c r="J70" s="104">
        <f t="shared" ca="1" si="4"/>
        <v>0</v>
      </c>
      <c r="K70" s="104">
        <f t="shared" ca="1" si="4"/>
        <v>35328.266394999999</v>
      </c>
      <c r="L70" s="104">
        <f t="shared" ca="1" si="4"/>
        <v>4654</v>
      </c>
      <c r="M70" s="104">
        <f t="shared" ca="1" si="4"/>
        <v>0</v>
      </c>
      <c r="N70" s="104">
        <f t="shared" ca="1" si="4"/>
        <v>1766.4728219999995</v>
      </c>
      <c r="O70" s="104">
        <f t="shared" ca="1" si="4"/>
        <v>298066.93526759988</v>
      </c>
      <c r="P70" s="104">
        <f t="shared" ca="1" si="4"/>
        <v>0</v>
      </c>
      <c r="Q70" s="104">
        <f t="shared" ca="1" si="4"/>
        <v>4045.5700200000001</v>
      </c>
      <c r="R70" s="104">
        <f t="shared" ca="1" si="4"/>
        <v>2868244.9171472369</v>
      </c>
      <c r="S70" s="104">
        <f t="shared" ca="1" si="4"/>
        <v>0</v>
      </c>
      <c r="T70" s="104">
        <f t="shared" ca="1" si="4"/>
        <v>-1926527.4539197844</v>
      </c>
      <c r="U70" s="104">
        <f t="shared" ca="1" si="4"/>
        <v>0</v>
      </c>
    </row>
    <row r="71" spans="2:21" ht="14.25">
      <c r="B71" s="119">
        <f t="shared" si="3"/>
        <v>44621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0</v>
      </c>
      <c r="G71" s="104">
        <f t="shared" ca="1" si="4"/>
        <v>57015.337886630143</v>
      </c>
      <c r="H71" s="104">
        <f t="shared" ca="1" si="4"/>
        <v>361215.51489477925</v>
      </c>
      <c r="I71" s="104">
        <f t="shared" ca="1" si="4"/>
        <v>12498.429969686851</v>
      </c>
      <c r="J71" s="104">
        <f t="shared" ca="1" si="4"/>
        <v>0</v>
      </c>
      <c r="K71" s="104">
        <f t="shared" ca="1" si="4"/>
        <v>48151.578710000002</v>
      </c>
      <c r="L71" s="104">
        <f t="shared" ca="1" si="4"/>
        <v>4654</v>
      </c>
      <c r="M71" s="104">
        <f t="shared" ca="1" si="4"/>
        <v>0</v>
      </c>
      <c r="N71" s="104">
        <f t="shared" ca="1" si="4"/>
        <v>1836.7839533999997</v>
      </c>
      <c r="O71" s="104">
        <f t="shared" ca="1" si="4"/>
        <v>273304.64504679985</v>
      </c>
      <c r="P71" s="104">
        <f t="shared" ca="1" si="4"/>
        <v>0</v>
      </c>
      <c r="Q71" s="104">
        <f t="shared" ca="1" si="4"/>
        <v>5261.5038100000002</v>
      </c>
      <c r="R71" s="104">
        <f t="shared" ca="1" si="4"/>
        <v>2737119.3715580031</v>
      </c>
      <c r="S71" s="104">
        <f t="shared" ca="1" si="4"/>
        <v>0</v>
      </c>
      <c r="T71" s="104">
        <f t="shared" ca="1" si="4"/>
        <v>-1838453.7465534264</v>
      </c>
      <c r="U71" s="104">
        <f t="shared" ca="1" si="4"/>
        <v>0</v>
      </c>
    </row>
    <row r="72" spans="2:21" ht="14.25">
      <c r="B72" s="119">
        <f t="shared" si="3"/>
        <v>44652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0</v>
      </c>
      <c r="G72" s="104">
        <f t="shared" ca="1" si="4"/>
        <v>51345.542256181441</v>
      </c>
      <c r="H72" s="104">
        <f t="shared" ca="1" si="4"/>
        <v>325408.432220018</v>
      </c>
      <c r="I72" s="104">
        <f t="shared" ca="1" si="4"/>
        <v>11276.908249900403</v>
      </c>
      <c r="J72" s="104">
        <f t="shared" ca="1" si="4"/>
        <v>0</v>
      </c>
      <c r="K72" s="104">
        <f t="shared" ca="1" si="4"/>
        <v>44288.512924602001</v>
      </c>
      <c r="L72" s="104">
        <f t="shared" ca="1" si="4"/>
        <v>4654</v>
      </c>
      <c r="M72" s="104">
        <f t="shared" ca="1" si="4"/>
        <v>0</v>
      </c>
      <c r="N72" s="104">
        <f t="shared" ca="1" si="4"/>
        <v>1648.1403948</v>
      </c>
      <c r="O72" s="104">
        <f t="shared" ca="1" si="4"/>
        <v>245951.23326799995</v>
      </c>
      <c r="P72" s="104">
        <f t="shared" ca="1" si="4"/>
        <v>0</v>
      </c>
      <c r="Q72" s="104">
        <f t="shared" ca="1" si="4"/>
        <v>5246.0592200000001</v>
      </c>
      <c r="R72" s="104">
        <f t="shared" ca="1" si="4"/>
        <v>2478439.3110056976</v>
      </c>
      <c r="S72" s="104">
        <f t="shared" ca="1" si="4"/>
        <v>0</v>
      </c>
      <c r="T72" s="104">
        <f t="shared" ca="1" si="4"/>
        <v>-1664704.9026327643</v>
      </c>
      <c r="U72" s="104">
        <f t="shared" ca="1" si="4"/>
        <v>0</v>
      </c>
    </row>
    <row r="73" spans="2:21" ht="14.25">
      <c r="B73" s="119">
        <f t="shared" si="3"/>
        <v>44682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0</v>
      </c>
      <c r="G73" s="104">
        <f t="shared" ca="1" si="4"/>
        <v>48083.158576879992</v>
      </c>
      <c r="H73" s="104">
        <f t="shared" ca="1" si="4"/>
        <v>303957.4943925679</v>
      </c>
      <c r="I73" s="104">
        <f t="shared" ca="1" si="4"/>
        <v>10489.69206008997</v>
      </c>
      <c r="J73" s="104">
        <f t="shared" ca="1" si="4"/>
        <v>0</v>
      </c>
      <c r="K73" s="104">
        <f t="shared" ca="1" si="4"/>
        <v>44660.604845000002</v>
      </c>
      <c r="L73" s="104">
        <f t="shared" ca="1" si="4"/>
        <v>4654</v>
      </c>
      <c r="M73" s="104">
        <f t="shared" ca="1" si="4"/>
        <v>0</v>
      </c>
      <c r="N73" s="104">
        <f t="shared" ca="1" si="4"/>
        <v>2286.2447213999976</v>
      </c>
      <c r="O73" s="104">
        <f t="shared" ca="1" si="4"/>
        <v>215401.64054959989</v>
      </c>
      <c r="P73" s="104">
        <f t="shared" ca="1" si="4"/>
        <v>0</v>
      </c>
      <c r="Q73" s="104">
        <f t="shared" ca="1" si="4"/>
        <v>5400.2139999999999</v>
      </c>
      <c r="R73" s="104">
        <f t="shared" ca="1" si="4"/>
        <v>2300246.1683255103</v>
      </c>
      <c r="S73" s="104">
        <f t="shared" ca="1" si="4"/>
        <v>0</v>
      </c>
      <c r="T73" s="104">
        <f t="shared" ca="1" si="4"/>
        <v>-1545017.0825929518</v>
      </c>
      <c r="U73" s="104">
        <f t="shared" ca="1" si="4"/>
        <v>0</v>
      </c>
    </row>
    <row r="74" spans="2:21" ht="14.25">
      <c r="B74" s="119">
        <f>SAS_RA0_DataFim</f>
        <v>44713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0</v>
      </c>
      <c r="G74" s="104">
        <f t="shared" ca="1" si="4"/>
        <v>52240.071205298897</v>
      </c>
      <c r="H74" s="104">
        <f t="shared" ca="1" si="4"/>
        <v>331350.195625161</v>
      </c>
      <c r="I74" s="104">
        <f t="shared" ca="1" si="4"/>
        <v>11518.825990471483</v>
      </c>
      <c r="J74" s="104">
        <f t="shared" ca="1" si="4"/>
        <v>0</v>
      </c>
      <c r="K74" s="104">
        <f t="shared" ca="1" si="4"/>
        <v>38977.835370000001</v>
      </c>
      <c r="L74" s="104">
        <f t="shared" ca="1" si="4"/>
        <v>4654</v>
      </c>
      <c r="M74" s="104">
        <f t="shared" ca="1" si="4"/>
        <v>0</v>
      </c>
      <c r="N74" s="104">
        <f t="shared" ca="1" si="4"/>
        <v>2571.4051116000023</v>
      </c>
      <c r="O74" s="104">
        <f t="shared" ca="1" si="4"/>
        <v>233128.44566399991</v>
      </c>
      <c r="P74" s="104">
        <f t="shared" ca="1" si="4"/>
        <v>0</v>
      </c>
      <c r="Q74" s="104">
        <f t="shared" ca="1" si="4"/>
        <v>5650.1152199999997</v>
      </c>
      <c r="R74" s="104">
        <f t="shared" ca="1" si="4"/>
        <v>2514183.8609349034</v>
      </c>
      <c r="S74" s="104">
        <f t="shared" ca="1" si="4"/>
        <v>0</v>
      </c>
      <c r="T74" s="104">
        <f t="shared" ca="1" si="4"/>
        <v>-1688713.6113573706</v>
      </c>
      <c r="U74" s="104">
        <f t="shared" ca="1" si="4"/>
        <v>0</v>
      </c>
    </row>
    <row r="75" spans="2:21" ht="14.25">
      <c r="B75" s="1287" t="s">
        <v>1013</v>
      </c>
      <c r="C75" s="1288"/>
      <c r="D75" s="1288">
        <f t="shared" ref="D75:Q75" ca="1" si="5">SUM(D63:D74)</f>
        <v>0</v>
      </c>
      <c r="E75" s="1288">
        <f t="shared" ca="1" si="5"/>
        <v>0</v>
      </c>
      <c r="F75" s="1288">
        <f t="shared" ca="1" si="5"/>
        <v>0</v>
      </c>
      <c r="G75" s="1288">
        <f t="shared" ca="1" si="5"/>
        <v>604159.66547205858</v>
      </c>
      <c r="H75" s="1288">
        <f t="shared" ca="1" si="5"/>
        <v>3830051.9038871895</v>
      </c>
      <c r="I75" s="1288">
        <f t="shared" ca="1" si="5"/>
        <v>132725.67553456523</v>
      </c>
      <c r="J75" s="1288">
        <f t="shared" ca="1" si="5"/>
        <v>0</v>
      </c>
      <c r="K75" s="1288">
        <f t="shared" ca="1" si="5"/>
        <v>463002.24365460203</v>
      </c>
      <c r="L75" s="1288">
        <f t="shared" ca="1" si="5"/>
        <v>55848</v>
      </c>
      <c r="M75" s="1288">
        <f t="shared" ca="1" si="5"/>
        <v>0</v>
      </c>
      <c r="N75" s="1288">
        <f t="shared" ca="1" si="5"/>
        <v>25002.9407106</v>
      </c>
      <c r="O75" s="1288">
        <f t="shared" ca="1" si="5"/>
        <v>2900542.3481495986</v>
      </c>
      <c r="P75" s="1288">
        <f t="shared" ca="1" si="5"/>
        <v>0</v>
      </c>
      <c r="Q75" s="1288">
        <f t="shared" ca="1" si="5"/>
        <v>49041.455090000003</v>
      </c>
      <c r="R75" s="1288">
        <f t="shared" ref="R75:S75" ca="1" si="6">SUM(R63:R74)</f>
        <v>29118982.452447493</v>
      </c>
      <c r="S75" s="1288">
        <f t="shared" ca="1" si="6"/>
        <v>0</v>
      </c>
      <c r="T75" s="1288">
        <f t="shared" ref="T75:U75" ca="1" si="7">SUM(T63:T74)</f>
        <v>-19558482.885988787</v>
      </c>
      <c r="U75" s="1288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5" t="s">
        <v>1014</v>
      </c>
    </row>
    <row r="78" spans="2:21" ht="14.25">
      <c r="J78" s="95" t="s">
        <v>1015</v>
      </c>
      <c r="K78" s="1289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290" t="s">
        <v>1016</v>
      </c>
      <c r="C79" s="1291">
        <f t="shared" ref="C79:C84" ca="1" si="8">SUM(INDIRECT("dados_MercadoBase["&amp;B79&amp;"]"))</f>
        <v>15632461.50791274</v>
      </c>
      <c r="J79" s="95" t="s">
        <v>1017</v>
      </c>
      <c r="K79" s="1292"/>
      <c r="L79" s="1292"/>
      <c r="M79" s="1292">
        <f>SUMIFS(M63:M74,$B$63:$B$74,42826)</f>
        <v>0</v>
      </c>
      <c r="N79" s="1292">
        <f>SUMIFS(N63:N74,$B$63:$B$74,42826)</f>
        <v>0</v>
      </c>
      <c r="O79" s="1292">
        <f>SUMIFS(O63:O74,$B$63:$B$74,42826)</f>
        <v>0</v>
      </c>
      <c r="P79" s="1292">
        <f>SUMIFS(P63:P74,$B$63:$B$74,42826)</f>
        <v>0</v>
      </c>
      <c r="Q79" s="1292">
        <f>SUMIFS(Q63:Q74,$B$63:$B$74,42826)</f>
        <v>0</v>
      </c>
    </row>
    <row r="80" spans="2:21" ht="14.25">
      <c r="B80" s="118" t="s">
        <v>1018</v>
      </c>
      <c r="C80" s="104">
        <f t="shared" ca="1" si="8"/>
        <v>92602.152761034435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1019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1020</v>
      </c>
      <c r="C82" s="104">
        <f t="shared" ca="1" si="8"/>
        <v>0</v>
      </c>
    </row>
    <row r="83" spans="2:13" ht="14.25">
      <c r="B83" s="118" t="s">
        <v>1021</v>
      </c>
      <c r="C83" s="104">
        <f t="shared" ca="1" si="8"/>
        <v>2123469.6592454645</v>
      </c>
    </row>
    <row r="84" spans="2:13" ht="14.25">
      <c r="B84" s="118" t="s">
        <v>1020</v>
      </c>
      <c r="C84" s="104">
        <f t="shared" ca="1" si="8"/>
        <v>0</v>
      </c>
    </row>
    <row r="85" spans="2:13" ht="14.25">
      <c r="B85" s="1293"/>
      <c r="C85" s="1294"/>
    </row>
    <row r="86" spans="2:13" ht="14.25"/>
    <row r="87" spans="2:13" ht="14.25">
      <c r="B87" s="1290" t="s">
        <v>1022</v>
      </c>
      <c r="C87" s="1291">
        <f t="shared" ref="C87:C97" ca="1" si="9">SUM(INDIRECT("dados_MercadoBase["&amp;B87&amp;"]"))</f>
        <v>0</v>
      </c>
    </row>
    <row r="88" spans="2:13" ht="14.25">
      <c r="B88" s="118" t="s">
        <v>1023</v>
      </c>
      <c r="C88" s="104">
        <f t="shared" ca="1" si="9"/>
        <v>0</v>
      </c>
    </row>
    <row r="89" spans="2:13" ht="14.25">
      <c r="B89" s="118" t="s">
        <v>1024</v>
      </c>
      <c r="C89" s="104">
        <f t="shared" ca="1" si="9"/>
        <v>0</v>
      </c>
    </row>
    <row r="90" spans="2:13" ht="14.25">
      <c r="B90" s="118" t="s">
        <v>1025</v>
      </c>
      <c r="C90" s="104">
        <f t="shared" ca="1" si="9"/>
        <v>0</v>
      </c>
    </row>
    <row r="91" spans="2:13" ht="14.25">
      <c r="B91" s="118" t="s">
        <v>1026</v>
      </c>
      <c r="C91" s="104">
        <f t="shared" ca="1" si="9"/>
        <v>0</v>
      </c>
    </row>
    <row r="92" spans="2:13" ht="14.25">
      <c r="B92" s="118" t="s">
        <v>1027</v>
      </c>
      <c r="C92" s="104">
        <f t="shared" ca="1" si="9"/>
        <v>0</v>
      </c>
      <c r="G92" s="105"/>
    </row>
    <row r="93" spans="2:13" ht="14.25">
      <c r="B93" s="118" t="s">
        <v>1028</v>
      </c>
      <c r="C93" s="104">
        <f t="shared" ca="1" si="9"/>
        <v>0</v>
      </c>
      <c r="E93" s="106"/>
      <c r="G93" s="79"/>
    </row>
    <row r="94" spans="2:13" ht="14.25">
      <c r="B94" s="118" t="s">
        <v>1029</v>
      </c>
      <c r="C94" s="104">
        <f t="shared" ca="1" si="9"/>
        <v>0</v>
      </c>
      <c r="E94" s="106"/>
      <c r="G94" s="106"/>
    </row>
    <row r="95" spans="2:13" ht="14.25">
      <c r="B95" s="118" t="s">
        <v>1030</v>
      </c>
      <c r="C95" s="104">
        <f t="shared" ca="1" si="9"/>
        <v>0</v>
      </c>
      <c r="E95" s="106"/>
      <c r="G95" s="106"/>
    </row>
    <row r="96" spans="2:13" ht="14.25">
      <c r="B96" s="118" t="s">
        <v>1031</v>
      </c>
      <c r="C96" s="104">
        <f ca="1">SUM(INDIRECT("dados_MercadoBase["&amp;B96&amp;"]"))</f>
        <v>8624248.0756572969</v>
      </c>
      <c r="E96" s="106"/>
      <c r="G96" s="106"/>
    </row>
    <row r="97" spans="1:7" ht="14.25">
      <c r="B97" s="1293" t="s">
        <v>1032</v>
      </c>
      <c r="C97" s="1294">
        <f t="shared" ca="1" si="9"/>
        <v>29118982.452447496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2"/>
      <c r="B99" s="232"/>
      <c r="C99" s="232"/>
      <c r="D99" s="233"/>
      <c r="E99" s="106"/>
      <c r="G99" s="252"/>
    </row>
    <row r="100" spans="1:7" ht="12.75" customHeight="1">
      <c r="A100" s="232"/>
      <c r="B100" s="231" t="s">
        <v>1033</v>
      </c>
      <c r="C100" s="231"/>
      <c r="D100" s="232"/>
      <c r="E100" s="106"/>
      <c r="G100" s="252"/>
    </row>
    <row r="101" spans="1:7" ht="12.75" customHeight="1">
      <c r="A101" s="232"/>
      <c r="B101" s="1282" t="s">
        <v>1034</v>
      </c>
      <c r="C101" s="1283" t="s">
        <v>953</v>
      </c>
      <c r="D101" s="232"/>
    </row>
    <row r="102" spans="1:7" ht="12.75" customHeight="1">
      <c r="A102" s="232"/>
      <c r="B102" s="1284" t="s">
        <v>1035</v>
      </c>
      <c r="C102" s="1295">
        <f>SAS_RA0_DataFim</f>
        <v>44713</v>
      </c>
      <c r="D102" s="232"/>
    </row>
    <row r="103" spans="1:7" ht="12.75" customHeight="1">
      <c r="A103" s="232"/>
      <c r="B103" s="232"/>
      <c r="C103" s="232"/>
      <c r="D103" s="232"/>
      <c r="G103" s="250"/>
    </row>
    <row r="104" spans="1:7" ht="12.75" customHeight="1">
      <c r="G104" s="251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1036</v>
      </c>
      <c r="E109" s="111"/>
    </row>
    <row r="111" spans="1:7" ht="12.75" customHeight="1">
      <c r="B111" s="1254" t="s">
        <v>854</v>
      </c>
      <c r="C111" s="1254" t="s">
        <v>120</v>
      </c>
      <c r="D111" s="1254" t="s">
        <v>963</v>
      </c>
    </row>
    <row r="112" spans="1:7" ht="12.75" customHeight="1">
      <c r="B112" s="1256" t="s">
        <v>988</v>
      </c>
      <c r="C112" s="1257"/>
      <c r="D112" s="1258"/>
    </row>
    <row r="113" spans="2:4" ht="12.75" customHeight="1">
      <c r="B113" s="113"/>
      <c r="C113" s="99"/>
      <c r="D113" s="114"/>
    </row>
    <row r="114" spans="2:4" ht="12.75" customHeight="1">
      <c r="B114" s="113" t="s">
        <v>601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598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600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596</v>
      </c>
      <c r="C117" s="99">
        <f ca="1">DSUM(MercadoBase,"TUSD_E",INDIRECT("Mercado_Livre"&amp;$B117))</f>
        <v>2888.5129999999999</v>
      </c>
      <c r="D117" s="114">
        <f t="shared" ca="1" si="11"/>
        <v>1457897.5322599998</v>
      </c>
    </row>
    <row r="118" spans="2:4" ht="12.75" customHeight="1">
      <c r="B118" s="113" t="s">
        <v>976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603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279" t="s">
        <v>845</v>
      </c>
      <c r="C120" s="1280">
        <f ca="1">SUM(C114:C119)</f>
        <v>2888.5129999999999</v>
      </c>
      <c r="D120" s="1281">
        <f ca="1">SUM(D114:D119)</f>
        <v>1457897.5322599998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topLeftCell="M1" zoomScaleNormal="100" workbookViewId="0">
      <pane ySplit="2" topLeftCell="A3" activePane="bottomLeft" state="frozen"/>
      <selection pane="bottomLeft" activeCell="M15" sqref="M15"/>
    </sheetView>
  </sheetViews>
  <sheetFormatPr defaultColWidth="9.140625" defaultRowHeight="15.75"/>
  <cols>
    <col min="1" max="1" width="11.140625" style="266" customWidth="1"/>
    <col min="2" max="2" width="23" style="266" bestFit="1" customWidth="1"/>
    <col min="3" max="3" width="15.42578125" style="266" bestFit="1" customWidth="1"/>
    <col min="4" max="4" width="9.28515625" style="266" customWidth="1"/>
    <col min="5" max="5" width="16.85546875" style="266" bestFit="1" customWidth="1"/>
    <col min="6" max="6" width="16.85546875" style="266" customWidth="1"/>
    <col min="7" max="7" width="17.7109375" style="266" customWidth="1"/>
    <col min="8" max="8" width="14.140625" style="266" customWidth="1"/>
    <col min="9" max="9" width="12.7109375" style="266" bestFit="1" customWidth="1"/>
    <col min="10" max="10" width="14.5703125" style="266" bestFit="1" customWidth="1"/>
    <col min="11" max="11" width="15.5703125" style="498" bestFit="1" customWidth="1"/>
    <col min="12" max="12" width="14.7109375" style="291" customWidth="1"/>
    <col min="13" max="13" width="19.28515625" style="291" customWidth="1"/>
    <col min="14" max="14" width="20.7109375" style="291" customWidth="1"/>
    <col min="15" max="15" width="21.85546875" style="291" bestFit="1" customWidth="1"/>
    <col min="16" max="16" width="20.28515625" style="291" customWidth="1"/>
    <col min="17" max="17" width="18" style="291" bestFit="1" customWidth="1"/>
    <col min="18" max="18" width="21.28515625" style="266" bestFit="1" customWidth="1"/>
    <col min="19" max="19" width="23.7109375" style="266" bestFit="1" customWidth="1"/>
    <col min="20" max="20" width="23.5703125" style="266" bestFit="1" customWidth="1"/>
    <col min="21" max="21" width="20.7109375" style="266" bestFit="1" customWidth="1"/>
    <col min="22" max="22" width="20.5703125" style="266" bestFit="1" customWidth="1"/>
    <col min="23" max="23" width="19.5703125" style="266" bestFit="1" customWidth="1"/>
    <col min="24" max="24" width="16.42578125" style="266" bestFit="1" customWidth="1"/>
    <col min="25" max="25" width="13.42578125" style="266" bestFit="1" customWidth="1"/>
    <col min="26" max="26" width="21.85546875" style="266" bestFit="1" customWidth="1"/>
    <col min="27" max="28" width="11.85546875" style="266" bestFit="1" customWidth="1"/>
    <col min="29" max="29" width="15.5703125" style="266" bestFit="1" customWidth="1"/>
    <col min="30" max="30" width="14.42578125" style="266" bestFit="1" customWidth="1"/>
    <col min="31" max="31" width="17.85546875" style="266" bestFit="1" customWidth="1"/>
    <col min="32" max="32" width="32.28515625" style="266" bestFit="1" customWidth="1"/>
    <col min="33" max="33" width="15.5703125" style="266" bestFit="1" customWidth="1"/>
    <col min="34" max="34" width="14" style="266" bestFit="1" customWidth="1"/>
    <col min="35" max="36" width="13.42578125" style="266" bestFit="1" customWidth="1"/>
    <col min="37" max="37" width="15" style="266" bestFit="1" customWidth="1"/>
    <col min="38" max="38" width="17.85546875" style="266" bestFit="1" customWidth="1"/>
    <col min="39" max="39" width="13.42578125" style="266" bestFit="1" customWidth="1"/>
    <col min="40" max="40" width="14.85546875" style="266" bestFit="1" customWidth="1"/>
    <col min="41" max="42" width="15.5703125" style="266" bestFit="1" customWidth="1"/>
    <col min="43" max="43" width="14" style="266" bestFit="1" customWidth="1"/>
    <col min="44" max="45" width="11.85546875" style="266" bestFit="1" customWidth="1"/>
    <col min="46" max="46" width="14" style="266" bestFit="1" customWidth="1"/>
    <col min="47" max="47" width="11.85546875" style="266" bestFit="1" customWidth="1"/>
    <col min="48" max="48" width="15.5703125" style="266" bestFit="1" customWidth="1"/>
    <col min="49" max="49" width="15" style="266" bestFit="1" customWidth="1"/>
    <col min="50" max="50" width="13.42578125" style="266" bestFit="1" customWidth="1"/>
    <col min="51" max="51" width="16.42578125" style="266" bestFit="1" customWidth="1"/>
    <col min="52" max="52" width="14.42578125" style="266" bestFit="1" customWidth="1"/>
    <col min="53" max="53" width="13.7109375" style="266" bestFit="1" customWidth="1"/>
    <col min="54" max="54" width="16.140625" style="266" bestFit="1" customWidth="1"/>
    <col min="55" max="55" width="18" style="266" bestFit="1" customWidth="1"/>
    <col min="56" max="56" width="17.7109375" style="266" bestFit="1" customWidth="1"/>
    <col min="57" max="57" width="18.140625" style="266" bestFit="1" customWidth="1"/>
    <col min="58" max="58" width="14" style="266" bestFit="1" customWidth="1"/>
    <col min="59" max="59" width="26.28515625" style="266" bestFit="1" customWidth="1"/>
    <col min="60" max="60" width="9.85546875" style="266" bestFit="1" customWidth="1"/>
    <col min="61" max="61" width="17.85546875" style="266" bestFit="1" customWidth="1"/>
    <col min="62" max="62" width="15" style="266" bestFit="1" customWidth="1"/>
    <col min="63" max="63" width="17.85546875" style="266" bestFit="1" customWidth="1"/>
    <col min="64" max="64" width="14.28515625" style="266" bestFit="1" customWidth="1"/>
    <col min="65" max="65" width="19" style="266" bestFit="1" customWidth="1"/>
    <col min="66" max="67" width="22.7109375" style="266" bestFit="1" customWidth="1"/>
    <col min="68" max="68" width="20.140625" style="266" bestFit="1" customWidth="1"/>
    <col min="69" max="69" width="32.5703125" style="266" bestFit="1" customWidth="1"/>
    <col min="70" max="70" width="35.140625" style="291" bestFit="1" customWidth="1"/>
    <col min="71" max="71" width="24.85546875" style="291" bestFit="1" customWidth="1"/>
    <col min="72" max="72" width="29.42578125" style="291" bestFit="1" customWidth="1"/>
    <col min="73" max="73" width="34.42578125" style="291" bestFit="1" customWidth="1"/>
    <col min="74" max="74" width="19.85546875" style="291" bestFit="1" customWidth="1"/>
    <col min="75" max="75" width="10.28515625" style="266" bestFit="1" customWidth="1"/>
    <col min="76" max="76" width="9.28515625" style="266" bestFit="1" customWidth="1"/>
    <col min="77" max="77" width="10.28515625" style="266" bestFit="1" customWidth="1"/>
    <col min="78" max="86" width="9.28515625" style="266" bestFit="1" customWidth="1"/>
    <col min="87" max="87" width="19.5703125" style="266" bestFit="1" customWidth="1"/>
    <col min="88" max="88" width="15.5703125" style="291" bestFit="1" customWidth="1"/>
    <col min="89" max="90" width="9.28515625" style="266" bestFit="1" customWidth="1"/>
    <col min="91" max="91" width="10.7109375" style="266" bestFit="1" customWidth="1"/>
    <col min="92" max="92" width="15.5703125" style="266" bestFit="1" customWidth="1"/>
    <col min="93" max="94" width="15.7109375" style="291" bestFit="1" customWidth="1"/>
    <col min="95" max="95" width="11.140625" style="291" bestFit="1" customWidth="1"/>
    <col min="96" max="96" width="13.42578125" style="291" bestFit="1" customWidth="1"/>
    <col min="97" max="102" width="10.42578125" style="291" bestFit="1" customWidth="1"/>
    <col min="103" max="103" width="11" style="291" bestFit="1" customWidth="1"/>
    <col min="104" max="104" width="10.42578125" style="291" bestFit="1" customWidth="1"/>
    <col min="105" max="105" width="10.28515625" style="291" bestFit="1" customWidth="1"/>
    <col min="106" max="106" width="11.42578125" style="291" bestFit="1" customWidth="1"/>
    <col min="107" max="107" width="13.42578125" style="291" bestFit="1" customWidth="1"/>
    <col min="108" max="108" width="11" style="291" bestFit="1" customWidth="1"/>
    <col min="109" max="109" width="10.28515625" style="291" bestFit="1" customWidth="1"/>
    <col min="110" max="110" width="10.5703125" style="291" bestFit="1" customWidth="1"/>
    <col min="111" max="111" width="11.5703125" style="291" bestFit="1" customWidth="1"/>
    <col min="112" max="113" width="14.5703125" style="291" bestFit="1" customWidth="1"/>
    <col min="114" max="116" width="10.28515625" style="291" bestFit="1" customWidth="1"/>
    <col min="117" max="117" width="11.5703125" style="291" bestFit="1" customWidth="1"/>
    <col min="118" max="118" width="11.28515625" style="291" bestFit="1" customWidth="1"/>
    <col min="119" max="119" width="12.28515625" style="291" bestFit="1" customWidth="1"/>
    <col min="120" max="120" width="16.42578125" style="291" bestFit="1" customWidth="1"/>
    <col min="121" max="121" width="10" style="291" bestFit="1" customWidth="1"/>
    <col min="122" max="122" width="11.140625" style="291" bestFit="1" customWidth="1"/>
    <col min="123" max="123" width="11.28515625" style="291" bestFit="1" customWidth="1"/>
    <col min="124" max="124" width="11.85546875" style="266" bestFit="1" customWidth="1"/>
    <col min="125" max="125" width="11.7109375" style="266" bestFit="1" customWidth="1"/>
    <col min="126" max="126" width="12.7109375" style="266" bestFit="1" customWidth="1"/>
    <col min="127" max="127" width="9.7109375" style="266" bestFit="1" customWidth="1"/>
    <col min="128" max="128" width="9.42578125" style="266" bestFit="1" customWidth="1"/>
    <col min="129" max="129" width="13.5703125" style="291" bestFit="1" customWidth="1"/>
    <col min="130" max="130" width="10.140625" style="266" bestFit="1" customWidth="1"/>
    <col min="131" max="132" width="9.42578125" style="266" bestFit="1" customWidth="1"/>
    <col min="133" max="133" width="31.7109375" style="291" customWidth="1"/>
    <col min="134" max="134" width="9.42578125" style="266" bestFit="1" customWidth="1"/>
    <col min="135" max="135" width="9.5703125" style="266" bestFit="1" customWidth="1"/>
    <col min="136" max="136" width="9.42578125" style="266" bestFit="1" customWidth="1"/>
    <col min="137" max="137" width="9.5703125" style="266" bestFit="1" customWidth="1"/>
    <col min="138" max="138" width="10.85546875" style="266" bestFit="1" customWidth="1"/>
    <col min="139" max="140" width="9.5703125" style="266" bestFit="1" customWidth="1"/>
    <col min="141" max="142" width="9.28515625" style="266" bestFit="1" customWidth="1"/>
    <col min="143" max="145" width="9.42578125" style="266" bestFit="1" customWidth="1"/>
    <col min="146" max="146" width="17.28515625" style="291" bestFit="1" customWidth="1"/>
    <col min="147" max="149" width="9.28515625" style="266" bestFit="1" customWidth="1"/>
    <col min="150" max="150" width="9.140625" style="266"/>
    <col min="151" max="151" width="9.28515625" style="266" bestFit="1" customWidth="1"/>
    <col min="152" max="155" width="9.140625" style="266"/>
    <col min="156" max="158" width="9.28515625" style="266" bestFit="1" customWidth="1"/>
    <col min="159" max="159" width="18.140625" style="266" customWidth="1"/>
    <col min="160" max="16384" width="9.140625" style="266"/>
  </cols>
  <sheetData>
    <row r="1" spans="1:165" s="9" customFormat="1">
      <c r="K1" s="17"/>
      <c r="L1" s="235"/>
      <c r="M1" s="235"/>
      <c r="N1" s="235"/>
      <c r="O1" s="235"/>
      <c r="P1" s="235"/>
      <c r="Q1" s="235"/>
      <c r="R1" s="503"/>
      <c r="S1" s="503"/>
      <c r="T1" s="503"/>
      <c r="BR1" s="235"/>
      <c r="BS1" s="235"/>
      <c r="BT1" s="235"/>
      <c r="BU1" s="235"/>
      <c r="BV1" s="235"/>
      <c r="CJ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  <c r="DY1" s="235"/>
      <c r="EC1" s="235"/>
      <c r="EP1" s="235"/>
    </row>
    <row r="2" spans="1:165">
      <c r="A2" s="266" t="s">
        <v>1037</v>
      </c>
      <c r="B2" s="264" t="s">
        <v>1034</v>
      </c>
      <c r="C2" s="265" t="s">
        <v>58</v>
      </c>
      <c r="D2" s="264" t="s">
        <v>954</v>
      </c>
      <c r="E2" s="265" t="s">
        <v>587</v>
      </c>
      <c r="F2" s="265" t="s">
        <v>983</v>
      </c>
      <c r="G2" s="265" t="s">
        <v>1038</v>
      </c>
      <c r="H2" s="265" t="s">
        <v>1039</v>
      </c>
      <c r="I2" s="265" t="s">
        <v>1040</v>
      </c>
      <c r="J2" s="265" t="s">
        <v>1041</v>
      </c>
      <c r="K2" s="498" t="s">
        <v>953</v>
      </c>
      <c r="L2" s="291" t="s">
        <v>1042</v>
      </c>
      <c r="M2" s="291" t="s">
        <v>1043</v>
      </c>
      <c r="N2" s="291" t="s">
        <v>1044</v>
      </c>
      <c r="O2" s="291" t="s">
        <v>1045</v>
      </c>
      <c r="P2" s="291" t="s">
        <v>1046</v>
      </c>
      <c r="Q2" s="291" t="s">
        <v>1047</v>
      </c>
      <c r="R2" s="265" t="s">
        <v>1048</v>
      </c>
      <c r="S2" s="265" t="s">
        <v>1049</v>
      </c>
      <c r="T2" s="265" t="s">
        <v>1050</v>
      </c>
      <c r="U2" s="265" t="s">
        <v>1051</v>
      </c>
      <c r="V2" s="265" t="s">
        <v>1052</v>
      </c>
      <c r="W2" s="265" t="s">
        <v>845</v>
      </c>
      <c r="X2" s="265" t="s">
        <v>1053</v>
      </c>
      <c r="Y2" s="265" t="s">
        <v>39</v>
      </c>
      <c r="Z2" s="265" t="s">
        <v>41</v>
      </c>
      <c r="AA2" s="265" t="s">
        <v>126</v>
      </c>
      <c r="AB2" s="265" t="s">
        <v>1029</v>
      </c>
      <c r="AC2" s="265" t="s">
        <v>1030</v>
      </c>
      <c r="AD2" s="265" t="s">
        <v>1031</v>
      </c>
      <c r="AE2" s="265" t="s">
        <v>1032</v>
      </c>
      <c r="AF2" s="265" t="s">
        <v>1016</v>
      </c>
      <c r="AG2" s="265" t="s">
        <v>970</v>
      </c>
      <c r="AH2" s="265" t="s">
        <v>1054</v>
      </c>
      <c r="AI2" s="265" t="s">
        <v>49</v>
      </c>
      <c r="AJ2" s="265" t="s">
        <v>1028</v>
      </c>
      <c r="AK2" s="265" t="s">
        <v>967</v>
      </c>
      <c r="AL2" s="265" t="s">
        <v>47</v>
      </c>
      <c r="AM2" s="265" t="s">
        <v>38</v>
      </c>
      <c r="AN2" s="265" t="s">
        <v>40</v>
      </c>
      <c r="AO2" s="265" t="s">
        <v>1024</v>
      </c>
      <c r="AP2" s="265" t="s">
        <v>1026</v>
      </c>
      <c r="AQ2" s="265" t="s">
        <v>1025</v>
      </c>
      <c r="AR2" s="265" t="s">
        <v>1022</v>
      </c>
      <c r="AS2" s="265" t="s">
        <v>1023</v>
      </c>
      <c r="AT2" s="265" t="s">
        <v>1027</v>
      </c>
      <c r="AU2" s="265" t="s">
        <v>1055</v>
      </c>
      <c r="AV2" s="265" t="s">
        <v>1056</v>
      </c>
      <c r="AW2" s="265" t="s">
        <v>1057</v>
      </c>
      <c r="AX2" s="265" t="s">
        <v>1058</v>
      </c>
      <c r="AY2" s="265" t="s">
        <v>1059</v>
      </c>
      <c r="AZ2" s="265" t="s">
        <v>1060</v>
      </c>
      <c r="BA2" s="265" t="s">
        <v>1061</v>
      </c>
      <c r="BB2" s="265" t="s">
        <v>1062</v>
      </c>
      <c r="BC2" s="265" t="s">
        <v>1063</v>
      </c>
      <c r="BD2" s="265" t="s">
        <v>1064</v>
      </c>
      <c r="BE2" s="265" t="s">
        <v>1065</v>
      </c>
      <c r="BF2" s="265" t="s">
        <v>1066</v>
      </c>
      <c r="BG2" s="265" t="s">
        <v>1067</v>
      </c>
      <c r="BH2" s="265" t="s">
        <v>1068</v>
      </c>
      <c r="BI2" s="265" t="s">
        <v>1069</v>
      </c>
      <c r="BJ2" s="265" t="s">
        <v>1070</v>
      </c>
      <c r="BK2" s="265" t="s">
        <v>232</v>
      </c>
      <c r="BL2" s="265" t="s">
        <v>1071</v>
      </c>
      <c r="BM2" s="265" t="s">
        <v>1072</v>
      </c>
      <c r="BN2" s="265" t="s">
        <v>1005</v>
      </c>
      <c r="BO2" s="265" t="s">
        <v>1006</v>
      </c>
      <c r="BP2" s="265" t="s">
        <v>1007</v>
      </c>
      <c r="BQ2" s="265" t="s">
        <v>1008</v>
      </c>
      <c r="BR2" s="291" t="s">
        <v>1009</v>
      </c>
      <c r="BS2" s="291" t="s">
        <v>1010</v>
      </c>
      <c r="BT2" s="291" t="s">
        <v>1011</v>
      </c>
      <c r="BU2" s="291" t="s">
        <v>1073</v>
      </c>
      <c r="BV2" s="291" t="s">
        <v>1074</v>
      </c>
      <c r="BW2" s="266" t="s">
        <v>1075</v>
      </c>
      <c r="BX2" s="266" t="s">
        <v>1076</v>
      </c>
      <c r="BY2" s="266" t="s">
        <v>1077</v>
      </c>
      <c r="BZ2" s="266" t="s">
        <v>1078</v>
      </c>
      <c r="CA2" s="266" t="s">
        <v>1079</v>
      </c>
      <c r="CB2" s="266" t="s">
        <v>1080</v>
      </c>
      <c r="CC2" s="266" t="s">
        <v>1081</v>
      </c>
      <c r="CD2" s="266" t="s">
        <v>1082</v>
      </c>
      <c r="CE2" s="266" t="s">
        <v>1083</v>
      </c>
      <c r="CF2" s="266" t="s">
        <v>1084</v>
      </c>
      <c r="CG2" s="266" t="s">
        <v>1085</v>
      </c>
      <c r="CH2" s="266" t="s">
        <v>1086</v>
      </c>
      <c r="CI2" s="266" t="s">
        <v>1087</v>
      </c>
      <c r="CJ2" s="291" t="s">
        <v>1088</v>
      </c>
      <c r="CK2" s="266" t="s">
        <v>1089</v>
      </c>
      <c r="CL2" s="266" t="s">
        <v>1090</v>
      </c>
      <c r="CM2" s="266" t="s">
        <v>1091</v>
      </c>
      <c r="CN2" s="266" t="s">
        <v>1092</v>
      </c>
      <c r="CO2" s="291" t="s">
        <v>1093</v>
      </c>
      <c r="CP2" s="291" t="s">
        <v>1094</v>
      </c>
      <c r="CQ2" s="291" t="s">
        <v>1095</v>
      </c>
      <c r="CR2" s="291" t="s">
        <v>1096</v>
      </c>
      <c r="CS2" s="291" t="s">
        <v>1097</v>
      </c>
      <c r="CT2" s="291" t="s">
        <v>1098</v>
      </c>
      <c r="CU2" s="291" t="s">
        <v>1099</v>
      </c>
      <c r="CV2" s="291" t="s">
        <v>1100</v>
      </c>
      <c r="CW2" s="291" t="s">
        <v>1101</v>
      </c>
      <c r="CX2" s="291" t="s">
        <v>1102</v>
      </c>
      <c r="CY2" s="291" t="s">
        <v>1103</v>
      </c>
      <c r="CZ2" s="291" t="s">
        <v>1104</v>
      </c>
      <c r="DA2" s="291" t="s">
        <v>1105</v>
      </c>
      <c r="DB2" s="291" t="s">
        <v>1106</v>
      </c>
      <c r="DC2" s="291" t="s">
        <v>1107</v>
      </c>
      <c r="DD2" s="291" t="s">
        <v>1108</v>
      </c>
      <c r="DE2" s="291" t="s">
        <v>1109</v>
      </c>
      <c r="DF2" s="291" t="s">
        <v>1110</v>
      </c>
      <c r="DG2" s="291" t="s">
        <v>1111</v>
      </c>
      <c r="DH2" s="291" t="s">
        <v>1112</v>
      </c>
      <c r="DI2" s="291" t="s">
        <v>1113</v>
      </c>
      <c r="DJ2" s="291" t="s">
        <v>1114</v>
      </c>
      <c r="DK2" s="291" t="s">
        <v>1115</v>
      </c>
      <c r="DL2" s="291" t="s">
        <v>1116</v>
      </c>
      <c r="DM2" s="291" t="s">
        <v>1117</v>
      </c>
      <c r="DN2" s="291" t="s">
        <v>1118</v>
      </c>
      <c r="DO2" s="291" t="s">
        <v>1119</v>
      </c>
      <c r="DP2" s="291" t="s">
        <v>1120</v>
      </c>
      <c r="DQ2" s="291" t="s">
        <v>1121</v>
      </c>
      <c r="DR2" s="291" t="s">
        <v>2251</v>
      </c>
      <c r="DS2" s="291" t="s">
        <v>1122</v>
      </c>
      <c r="DT2" s="266" t="s">
        <v>1123</v>
      </c>
      <c r="DU2" s="266" t="s">
        <v>1124</v>
      </c>
      <c r="DV2" s="266" t="s">
        <v>1125</v>
      </c>
      <c r="DW2" s="266" t="s">
        <v>1126</v>
      </c>
      <c r="DX2" s="266" t="s">
        <v>1127</v>
      </c>
      <c r="DY2" s="291" t="s">
        <v>1128</v>
      </c>
      <c r="DZ2" s="266" t="s">
        <v>1129</v>
      </c>
      <c r="EA2" s="266" t="s">
        <v>1130</v>
      </c>
      <c r="EB2" s="266" t="s">
        <v>1131</v>
      </c>
      <c r="EC2" s="291" t="s">
        <v>1132</v>
      </c>
      <c r="ED2" s="266" t="s">
        <v>1133</v>
      </c>
      <c r="EE2" s="266" t="s">
        <v>1134</v>
      </c>
      <c r="EF2" s="266" t="s">
        <v>1135</v>
      </c>
      <c r="EG2" s="266" t="s">
        <v>1136</v>
      </c>
      <c r="EH2" s="266" t="s">
        <v>1137</v>
      </c>
      <c r="EI2" s="266" t="s">
        <v>1138</v>
      </c>
      <c r="EJ2" s="266" t="s">
        <v>1139</v>
      </c>
      <c r="EK2" s="266" t="s">
        <v>1140</v>
      </c>
      <c r="EL2" s="266" t="s">
        <v>1141</v>
      </c>
      <c r="EM2" s="266" t="s">
        <v>1142</v>
      </c>
      <c r="EN2" s="266" t="s">
        <v>1143</v>
      </c>
      <c r="EO2" s="266" t="s">
        <v>1144</v>
      </c>
      <c r="EP2" s="291" t="s">
        <v>2169</v>
      </c>
      <c r="EQ2" s="266" t="s">
        <v>2170</v>
      </c>
      <c r="ER2" s="266" t="s">
        <v>2171</v>
      </c>
      <c r="ES2" s="266" t="s">
        <v>2172</v>
      </c>
      <c r="ET2" s="266" t="s">
        <v>2173</v>
      </c>
      <c r="EU2" s="266" t="s">
        <v>2174</v>
      </c>
      <c r="EV2" s="266" t="s">
        <v>1145</v>
      </c>
      <c r="EW2" s="266" t="s">
        <v>1146</v>
      </c>
      <c r="EX2" s="266" t="s">
        <v>1147</v>
      </c>
      <c r="EY2" s="266" t="s">
        <v>1148</v>
      </c>
      <c r="EZ2" s="266" t="s">
        <v>1149</v>
      </c>
      <c r="FA2" s="266" t="s">
        <v>1150</v>
      </c>
      <c r="FB2" s="266" t="s">
        <v>1151</v>
      </c>
      <c r="FC2" s="266" t="s">
        <v>1152</v>
      </c>
      <c r="FD2" s="266" t="s">
        <v>1153</v>
      </c>
      <c r="FE2" s="266" t="s">
        <v>1154</v>
      </c>
      <c r="FF2" s="266" t="s">
        <v>1155</v>
      </c>
      <c r="FG2" s="266" t="s">
        <v>1156</v>
      </c>
      <c r="FH2" s="266" t="s">
        <v>1157</v>
      </c>
      <c r="FI2" s="266" t="s">
        <v>1158</v>
      </c>
    </row>
    <row r="3" spans="1:165" customFormat="1">
      <c r="A3" s="408">
        <v>1</v>
      </c>
      <c r="B3" s="408" t="s">
        <v>1035</v>
      </c>
      <c r="C3" s="408" t="s">
        <v>2233</v>
      </c>
      <c r="D3" s="408" t="s">
        <v>1955</v>
      </c>
      <c r="E3" s="408" t="s">
        <v>968</v>
      </c>
      <c r="F3" s="408" t="s">
        <v>968</v>
      </c>
      <c r="G3" s="408" t="s">
        <v>1321</v>
      </c>
      <c r="H3" s="408" t="s">
        <v>1321</v>
      </c>
      <c r="I3" s="408" t="s">
        <v>1321</v>
      </c>
      <c r="J3" s="408" t="s">
        <v>2234</v>
      </c>
      <c r="K3" s="828">
        <v>44378</v>
      </c>
      <c r="L3" s="408">
        <v>0</v>
      </c>
      <c r="M3" s="408">
        <v>0</v>
      </c>
      <c r="N3" s="408">
        <v>617.82500000000005</v>
      </c>
      <c r="O3" s="408">
        <v>617.82500000000005</v>
      </c>
      <c r="P3" s="408">
        <v>617.82500000000005</v>
      </c>
      <c r="Q3" s="408">
        <v>617.82500000000005</v>
      </c>
      <c r="R3" s="408"/>
      <c r="S3" s="408">
        <v>710.91</v>
      </c>
      <c r="T3" s="408">
        <v>256.55</v>
      </c>
      <c r="U3" s="408"/>
      <c r="V3" s="408">
        <v>597720.97450000001</v>
      </c>
      <c r="W3" s="408">
        <v>597720.97450000001</v>
      </c>
      <c r="X3" s="408">
        <v>408030.16475</v>
      </c>
      <c r="Y3" s="408">
        <v>0</v>
      </c>
      <c r="Z3" s="408">
        <v>37980.595034697486</v>
      </c>
      <c r="AA3" s="408">
        <v>0</v>
      </c>
      <c r="AB3" s="408">
        <v>0</v>
      </c>
      <c r="AC3" s="408">
        <v>0</v>
      </c>
      <c r="AD3" s="408">
        <v>76043.624610268307</v>
      </c>
      <c r="AE3" s="408">
        <v>294646.95886071987</v>
      </c>
      <c r="AF3" s="408">
        <v>158504.56173910506</v>
      </c>
      <c r="AG3" s="408">
        <v>0</v>
      </c>
      <c r="AH3" s="408">
        <v>0</v>
      </c>
      <c r="AI3" s="408">
        <v>0</v>
      </c>
      <c r="AJ3" s="408">
        <v>0</v>
      </c>
      <c r="AK3" s="408">
        <v>0</v>
      </c>
      <c r="AL3" s="408">
        <v>5871.9717546936099</v>
      </c>
      <c r="AM3" s="408"/>
      <c r="AN3" s="408">
        <v>1356.6230056115112</v>
      </c>
      <c r="AO3" s="408">
        <v>0</v>
      </c>
      <c r="AP3" s="408">
        <v>0</v>
      </c>
      <c r="AQ3" s="408">
        <v>0</v>
      </c>
      <c r="AR3" s="408">
        <v>0</v>
      </c>
      <c r="AS3" s="408">
        <v>0</v>
      </c>
      <c r="AT3" s="408">
        <v>0</v>
      </c>
      <c r="AU3" s="408">
        <v>0</v>
      </c>
      <c r="AV3" s="408">
        <v>0</v>
      </c>
      <c r="AW3" s="408">
        <v>0</v>
      </c>
      <c r="AX3" s="408">
        <v>0</v>
      </c>
      <c r="AY3" s="408">
        <v>0</v>
      </c>
      <c r="AZ3" s="408">
        <v>0</v>
      </c>
      <c r="BA3" s="408"/>
      <c r="BB3" s="408">
        <v>0</v>
      </c>
      <c r="BC3" s="408">
        <v>0</v>
      </c>
      <c r="BD3" s="408">
        <v>920.75715795361498</v>
      </c>
      <c r="BE3" s="408">
        <v>0</v>
      </c>
      <c r="BF3" s="408">
        <v>0</v>
      </c>
      <c r="BG3" s="408">
        <v>22398.258260456238</v>
      </c>
      <c r="BH3" s="408">
        <v>0</v>
      </c>
      <c r="BI3" s="408">
        <v>628.79999999999995</v>
      </c>
      <c r="BJ3" s="408">
        <v>230.97</v>
      </c>
      <c r="BK3" s="408">
        <v>169407.33</v>
      </c>
      <c r="BL3" s="408">
        <v>4097</v>
      </c>
      <c r="BM3" s="408"/>
      <c r="BN3" s="408"/>
      <c r="BO3" s="408"/>
      <c r="BP3" s="408"/>
      <c r="BQ3" s="408"/>
      <c r="BR3" s="408"/>
      <c r="BS3" s="408"/>
      <c r="BT3" s="408"/>
      <c r="BU3" s="408"/>
      <c r="BV3" s="408">
        <v>181823.5771575149</v>
      </c>
      <c r="BW3" s="408"/>
      <c r="BX3" s="408"/>
      <c r="BY3" s="408"/>
      <c r="BZ3" s="408"/>
      <c r="CA3" s="408"/>
      <c r="CB3" s="408"/>
      <c r="CC3" s="408"/>
      <c r="CD3" s="408"/>
      <c r="CE3" s="408"/>
      <c r="CF3" s="408"/>
      <c r="CG3" s="408"/>
      <c r="CH3" s="408"/>
      <c r="CI3" s="408">
        <v>408033.4669</v>
      </c>
      <c r="CJ3" s="408">
        <v>-189687.53760000004</v>
      </c>
      <c r="CK3" s="408"/>
      <c r="CL3" s="408"/>
      <c r="CM3" s="408"/>
      <c r="CN3" s="408"/>
      <c r="CO3" s="408">
        <v>-199569.8315</v>
      </c>
      <c r="CP3" s="408">
        <v>9879.0217500000072</v>
      </c>
      <c r="CQ3" s="408">
        <v>31</v>
      </c>
      <c r="CR3" s="408">
        <v>8212.9245083988644</v>
      </c>
      <c r="CS3" s="408">
        <v>0</v>
      </c>
      <c r="CT3" s="408">
        <v>0</v>
      </c>
      <c r="CU3" s="408">
        <v>0</v>
      </c>
      <c r="CV3" s="408">
        <v>0</v>
      </c>
      <c r="CW3" s="408">
        <v>0</v>
      </c>
      <c r="CX3" s="408">
        <v>0</v>
      </c>
      <c r="CY3" s="408">
        <v>0</v>
      </c>
      <c r="CZ3" s="408">
        <v>-343.721966021767</v>
      </c>
      <c r="DA3" s="408">
        <v>0</v>
      </c>
      <c r="DB3" s="408">
        <v>0</v>
      </c>
      <c r="DC3" s="408">
        <v>9874.5915524286393</v>
      </c>
      <c r="DD3" s="408">
        <v>0</v>
      </c>
      <c r="DE3" s="408">
        <v>0</v>
      </c>
      <c r="DF3" s="408">
        <v>57.36176141562737</v>
      </c>
      <c r="DG3" s="408">
        <v>1395.3772016471339</v>
      </c>
      <c r="DH3" s="408">
        <v>0</v>
      </c>
      <c r="DI3" s="408">
        <v>-2361.7797583634529</v>
      </c>
      <c r="DJ3" s="408"/>
      <c r="DK3" s="408">
        <v>0</v>
      </c>
      <c r="DL3" s="408">
        <v>0</v>
      </c>
      <c r="DM3" s="408">
        <v>0</v>
      </c>
      <c r="DN3" s="408">
        <v>0</v>
      </c>
      <c r="DO3" s="408">
        <v>-322.21089053565265</v>
      </c>
      <c r="DP3" s="408">
        <v>-86.693392171670894</v>
      </c>
      <c r="DQ3" s="408">
        <v>0</v>
      </c>
      <c r="DR3" s="408">
        <v>0</v>
      </c>
      <c r="DS3" s="408"/>
      <c r="DT3" s="408"/>
      <c r="DU3" s="408"/>
      <c r="DV3" s="408">
        <v>294646.95886071987</v>
      </c>
      <c r="DW3" s="408">
        <v>0</v>
      </c>
      <c r="DX3" s="408">
        <v>0</v>
      </c>
      <c r="DY3" s="408">
        <v>-199569.83150000003</v>
      </c>
      <c r="DZ3" s="408">
        <v>9879.0217499999853</v>
      </c>
      <c r="EA3" s="408">
        <v>0</v>
      </c>
      <c r="EB3" s="408">
        <v>0</v>
      </c>
      <c r="EC3" s="408">
        <v>-197906.89841916697</v>
      </c>
      <c r="ED3" s="408">
        <v>0</v>
      </c>
      <c r="EE3" s="408">
        <v>0</v>
      </c>
      <c r="EF3" s="408">
        <v>0</v>
      </c>
      <c r="EG3" s="408">
        <v>0</v>
      </c>
      <c r="EH3" s="408">
        <v>0</v>
      </c>
      <c r="EI3" s="408">
        <v>0</v>
      </c>
      <c r="EJ3" s="408">
        <v>0</v>
      </c>
      <c r="EK3" s="408">
        <v>0</v>
      </c>
      <c r="EL3" s="408">
        <v>0</v>
      </c>
      <c r="EM3" s="408">
        <v>0</v>
      </c>
      <c r="EN3" s="408">
        <v>0</v>
      </c>
      <c r="EO3" s="408">
        <v>0</v>
      </c>
      <c r="EP3" s="408">
        <v>0</v>
      </c>
      <c r="EQ3" s="408">
        <v>0</v>
      </c>
      <c r="ER3" s="408">
        <v>0</v>
      </c>
      <c r="ES3" s="408">
        <v>0</v>
      </c>
      <c r="ET3" s="408">
        <v>0</v>
      </c>
      <c r="EU3" s="408">
        <v>0</v>
      </c>
      <c r="EV3" s="408">
        <v>257</v>
      </c>
      <c r="EW3" s="408">
        <v>0</v>
      </c>
      <c r="EX3" s="408">
        <v>0</v>
      </c>
      <c r="EY3" s="408">
        <v>0</v>
      </c>
      <c r="EZ3" s="408"/>
      <c r="FA3" s="408">
        <v>0</v>
      </c>
      <c r="FB3" s="408"/>
      <c r="FC3" s="408"/>
      <c r="FD3" s="408"/>
      <c r="FE3" s="408"/>
      <c r="FF3" s="408">
        <v>0</v>
      </c>
      <c r="FG3" s="408">
        <v>0</v>
      </c>
      <c r="FH3" s="408">
        <v>0</v>
      </c>
      <c r="FI3" s="408">
        <v>0</v>
      </c>
    </row>
    <row r="4" spans="1:165" customFormat="1">
      <c r="A4" s="408">
        <v>2</v>
      </c>
      <c r="B4" s="408" t="s">
        <v>2235</v>
      </c>
      <c r="C4" s="408" t="s">
        <v>2233</v>
      </c>
      <c r="D4" s="408" t="s">
        <v>1955</v>
      </c>
      <c r="E4" s="408" t="s">
        <v>968</v>
      </c>
      <c r="F4" s="408" t="s">
        <v>968</v>
      </c>
      <c r="G4" s="408" t="s">
        <v>1321</v>
      </c>
      <c r="H4" s="408" t="s">
        <v>1321</v>
      </c>
      <c r="I4" s="408" t="s">
        <v>1321</v>
      </c>
      <c r="J4" s="408" t="s">
        <v>2234</v>
      </c>
      <c r="K4" s="828">
        <v>44378</v>
      </c>
      <c r="L4" s="408">
        <v>0</v>
      </c>
      <c r="M4" s="408">
        <v>0</v>
      </c>
      <c r="N4" s="408">
        <v>-8.0679999999999996</v>
      </c>
      <c r="O4" s="408">
        <v>-8.0679999999999996</v>
      </c>
      <c r="P4" s="408">
        <v>-8.0679999999999996</v>
      </c>
      <c r="Q4" s="408">
        <v>-8.0679999999999996</v>
      </c>
      <c r="R4" s="408"/>
      <c r="S4" s="408">
        <v>710.91</v>
      </c>
      <c r="T4" s="408">
        <v>256.55</v>
      </c>
      <c r="U4" s="408"/>
      <c r="V4" s="408">
        <v>-7805.4672799999998</v>
      </c>
      <c r="W4" s="408">
        <v>-7805.4672799999998</v>
      </c>
      <c r="X4" s="408">
        <v>-5328.3492399999996</v>
      </c>
      <c r="Y4" s="408">
        <v>0</v>
      </c>
      <c r="Z4" s="408">
        <v>-495.9777295187784</v>
      </c>
      <c r="AA4" s="408">
        <v>0</v>
      </c>
      <c r="AB4" s="408">
        <v>0</v>
      </c>
      <c r="AC4" s="408">
        <v>0</v>
      </c>
      <c r="AD4" s="408">
        <v>-993.03194813360517</v>
      </c>
      <c r="AE4" s="408">
        <v>-3847.7103776769923</v>
      </c>
      <c r="AF4" s="408">
        <v>-2069.8657453341957</v>
      </c>
      <c r="AG4" s="408">
        <v>0</v>
      </c>
      <c r="AH4" s="408">
        <v>0</v>
      </c>
      <c r="AI4" s="408">
        <v>0</v>
      </c>
      <c r="AJ4" s="408">
        <v>0</v>
      </c>
      <c r="AK4" s="408">
        <v>0</v>
      </c>
      <c r="AL4" s="408">
        <v>-76.680399978744859</v>
      </c>
      <c r="AM4" s="408"/>
      <c r="AN4" s="408">
        <v>-17.715751886494832</v>
      </c>
      <c r="AO4" s="408">
        <v>0</v>
      </c>
      <c r="AP4" s="408">
        <v>0</v>
      </c>
      <c r="AQ4" s="408">
        <v>0</v>
      </c>
      <c r="AR4" s="408">
        <v>0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  <c r="AY4" s="408">
        <v>0</v>
      </c>
      <c r="AZ4" s="408">
        <v>0</v>
      </c>
      <c r="BA4" s="408"/>
      <c r="BB4" s="408">
        <v>0</v>
      </c>
      <c r="BC4" s="408">
        <v>0</v>
      </c>
      <c r="BD4" s="408">
        <v>-12.023904423371933</v>
      </c>
      <c r="BE4" s="408">
        <v>0</v>
      </c>
      <c r="BF4" s="408">
        <v>0</v>
      </c>
      <c r="BG4" s="408">
        <v>-292.49244955345108</v>
      </c>
      <c r="BH4" s="408">
        <v>0</v>
      </c>
      <c r="BI4" s="408">
        <v>-0.85</v>
      </c>
      <c r="BJ4" s="408">
        <v>-2.96</v>
      </c>
      <c r="BK4" s="408">
        <v>-2270.12</v>
      </c>
      <c r="BL4" s="408">
        <v>0</v>
      </c>
      <c r="BM4" s="408"/>
      <c r="BN4" s="408"/>
      <c r="BO4" s="408"/>
      <c r="BP4" s="408"/>
      <c r="BQ4" s="408"/>
      <c r="BR4" s="408"/>
      <c r="BS4" s="408"/>
      <c r="BT4" s="408"/>
      <c r="BU4" s="408"/>
      <c r="BV4" s="408">
        <v>-2374.3820993110185</v>
      </c>
      <c r="BW4" s="408"/>
      <c r="BX4" s="408"/>
      <c r="BY4" s="408"/>
      <c r="BZ4" s="408"/>
      <c r="CA4" s="408"/>
      <c r="CB4" s="408"/>
      <c r="CC4" s="408"/>
      <c r="CD4" s="408"/>
      <c r="CE4" s="408"/>
      <c r="CF4" s="408"/>
      <c r="CG4" s="408"/>
      <c r="CH4" s="408"/>
      <c r="CI4" s="408">
        <v>-5329.6701000000003</v>
      </c>
      <c r="CJ4" s="408">
        <v>2475.7671799999989</v>
      </c>
      <c r="CK4" s="408"/>
      <c r="CL4" s="408"/>
      <c r="CM4" s="408"/>
      <c r="CN4" s="408"/>
      <c r="CO4" s="408">
        <v>2606.1253599999995</v>
      </c>
      <c r="CP4" s="408">
        <v>-129.00732000000008</v>
      </c>
      <c r="CQ4" s="408">
        <v>31</v>
      </c>
      <c r="CR4" s="408">
        <v>-107.25023256385293</v>
      </c>
      <c r="CS4" s="408">
        <v>0</v>
      </c>
      <c r="CT4" s="408">
        <v>0</v>
      </c>
      <c r="CU4" s="408">
        <v>0</v>
      </c>
      <c r="CV4" s="408">
        <v>0</v>
      </c>
      <c r="CW4" s="408">
        <v>0</v>
      </c>
      <c r="CX4" s="408">
        <v>0</v>
      </c>
      <c r="CY4" s="408">
        <v>0</v>
      </c>
      <c r="CZ4" s="408">
        <v>4.488566862563971</v>
      </c>
      <c r="DA4" s="408">
        <v>0</v>
      </c>
      <c r="DB4" s="408">
        <v>0</v>
      </c>
      <c r="DC4" s="408">
        <v>-128.94946731678783</v>
      </c>
      <c r="DD4" s="408">
        <v>0</v>
      </c>
      <c r="DE4" s="408">
        <v>0</v>
      </c>
      <c r="DF4" s="408">
        <v>-0.74907083899369908</v>
      </c>
      <c r="DG4" s="408">
        <v>-18.221831850263527</v>
      </c>
      <c r="DH4" s="408">
        <v>0</v>
      </c>
      <c r="DI4" s="408">
        <v>30.841806483189146</v>
      </c>
      <c r="DJ4" s="408"/>
      <c r="DK4" s="408">
        <v>0</v>
      </c>
      <c r="DL4" s="408">
        <v>0</v>
      </c>
      <c r="DM4" s="408">
        <v>0</v>
      </c>
      <c r="DN4" s="408">
        <v>0</v>
      </c>
      <c r="DO4" s="408">
        <v>4.2076598791593938</v>
      </c>
      <c r="DP4" s="408">
        <v>1.1321042172800375</v>
      </c>
      <c r="DQ4" s="408">
        <v>0</v>
      </c>
      <c r="DR4" s="408">
        <v>0</v>
      </c>
      <c r="DS4" s="408"/>
      <c r="DT4" s="408"/>
      <c r="DU4" s="408"/>
      <c r="DV4" s="408">
        <v>-3847.7103776769923</v>
      </c>
      <c r="DW4" s="408">
        <v>0</v>
      </c>
      <c r="DX4" s="408">
        <v>0</v>
      </c>
      <c r="DY4" s="408">
        <v>2606.12536</v>
      </c>
      <c r="DZ4" s="408">
        <v>-129.00731999999971</v>
      </c>
      <c r="EA4" s="408">
        <v>0</v>
      </c>
      <c r="EB4" s="408">
        <v>0</v>
      </c>
      <c r="EC4" s="408">
        <v>2584.4095924344902</v>
      </c>
      <c r="ED4" s="408">
        <v>0</v>
      </c>
      <c r="EE4" s="408">
        <v>0</v>
      </c>
      <c r="EF4" s="408">
        <v>0</v>
      </c>
      <c r="EG4" s="408">
        <v>0</v>
      </c>
      <c r="EH4" s="408">
        <v>0</v>
      </c>
      <c r="EI4" s="408">
        <v>0</v>
      </c>
      <c r="EJ4" s="408">
        <v>0</v>
      </c>
      <c r="EK4" s="408">
        <v>0</v>
      </c>
      <c r="EL4" s="408">
        <v>0</v>
      </c>
      <c r="EM4" s="408">
        <v>0</v>
      </c>
      <c r="EN4" s="408">
        <v>0</v>
      </c>
      <c r="EO4" s="408">
        <v>0</v>
      </c>
      <c r="EP4" s="408">
        <v>0</v>
      </c>
      <c r="EQ4" s="408">
        <v>0</v>
      </c>
      <c r="ER4" s="408">
        <v>0</v>
      </c>
      <c r="ES4" s="408">
        <v>0</v>
      </c>
      <c r="ET4" s="408">
        <v>0</v>
      </c>
      <c r="EU4" s="408">
        <v>0</v>
      </c>
      <c r="EV4" s="408">
        <v>257</v>
      </c>
      <c r="EW4" s="408">
        <v>0</v>
      </c>
      <c r="EX4" s="408">
        <v>0</v>
      </c>
      <c r="EY4" s="408">
        <v>0</v>
      </c>
      <c r="EZ4" s="408"/>
      <c r="FA4" s="408">
        <v>0</v>
      </c>
      <c r="FB4" s="408"/>
      <c r="FC4" s="408"/>
      <c r="FD4" s="408"/>
      <c r="FE4" s="408"/>
      <c r="FF4" s="408">
        <v>0</v>
      </c>
      <c r="FG4" s="408">
        <v>0</v>
      </c>
      <c r="FH4" s="408">
        <v>0</v>
      </c>
      <c r="FI4" s="408">
        <v>0</v>
      </c>
    </row>
    <row r="5" spans="1:165" customFormat="1">
      <c r="A5" s="408">
        <v>3</v>
      </c>
      <c r="B5" s="408" t="s">
        <v>2236</v>
      </c>
      <c r="C5" s="408" t="s">
        <v>2233</v>
      </c>
      <c r="D5" s="408" t="s">
        <v>1955</v>
      </c>
      <c r="E5" s="408" t="s">
        <v>968</v>
      </c>
      <c r="F5" s="408" t="s">
        <v>968</v>
      </c>
      <c r="G5" s="408" t="s">
        <v>1321</v>
      </c>
      <c r="H5" s="408" t="s">
        <v>1321</v>
      </c>
      <c r="I5" s="408" t="s">
        <v>1321</v>
      </c>
      <c r="J5" s="408" t="s">
        <v>2234</v>
      </c>
      <c r="K5" s="828">
        <v>44378</v>
      </c>
      <c r="L5" s="408">
        <v>0</v>
      </c>
      <c r="M5" s="408">
        <v>0</v>
      </c>
      <c r="N5" s="408">
        <v>9.9169999999999998</v>
      </c>
      <c r="O5" s="408">
        <v>9.9169999999999998</v>
      </c>
      <c r="P5" s="408">
        <v>9.9169999999999998</v>
      </c>
      <c r="Q5" s="408">
        <v>9.9169999999999998</v>
      </c>
      <c r="R5" s="408"/>
      <c r="S5" s="408">
        <v>710.91</v>
      </c>
      <c r="T5" s="408">
        <v>256.55</v>
      </c>
      <c r="U5" s="408"/>
      <c r="V5" s="408">
        <v>9594.3008200000004</v>
      </c>
      <c r="W5" s="408">
        <v>9594.3008200000004</v>
      </c>
      <c r="X5" s="408">
        <v>6549.4843099999998</v>
      </c>
      <c r="Y5" s="408">
        <v>0</v>
      </c>
      <c r="Z5" s="408">
        <v>609.64441542361499</v>
      </c>
      <c r="AA5" s="408">
        <v>0</v>
      </c>
      <c r="AB5" s="408">
        <v>0</v>
      </c>
      <c r="AC5" s="408">
        <v>0</v>
      </c>
      <c r="AD5" s="408">
        <v>1220.61202648004</v>
      </c>
      <c r="AE5" s="408">
        <v>4729.51708173311</v>
      </c>
      <c r="AF5" s="408">
        <v>2544.2313580167597</v>
      </c>
      <c r="AG5" s="408">
        <v>0</v>
      </c>
      <c r="AH5" s="408">
        <v>0</v>
      </c>
      <c r="AI5" s="408">
        <v>0</v>
      </c>
      <c r="AJ5" s="408">
        <v>0</v>
      </c>
      <c r="AK5" s="408">
        <v>0</v>
      </c>
      <c r="AL5" s="408">
        <v>94.253783662520163</v>
      </c>
      <c r="AM5" s="408"/>
      <c r="AN5" s="408">
        <v>21.775794677537093</v>
      </c>
      <c r="AO5" s="408">
        <v>0</v>
      </c>
      <c r="AP5" s="408">
        <v>0</v>
      </c>
      <c r="AQ5" s="408">
        <v>0</v>
      </c>
      <c r="AR5" s="408">
        <v>0</v>
      </c>
      <c r="AS5" s="408">
        <v>0</v>
      </c>
      <c r="AT5" s="408">
        <v>0</v>
      </c>
      <c r="AU5" s="408">
        <v>0</v>
      </c>
      <c r="AV5" s="408">
        <v>0</v>
      </c>
      <c r="AW5" s="408">
        <v>0</v>
      </c>
      <c r="AX5" s="408">
        <v>0</v>
      </c>
      <c r="AY5" s="408">
        <v>0</v>
      </c>
      <c r="AZ5" s="408">
        <v>0</v>
      </c>
      <c r="BA5" s="408"/>
      <c r="BB5" s="408">
        <v>0</v>
      </c>
      <c r="BC5" s="408">
        <v>0</v>
      </c>
      <c r="BD5" s="408">
        <v>14.779506713755511</v>
      </c>
      <c r="BE5" s="408">
        <v>0</v>
      </c>
      <c r="BF5" s="408">
        <v>0</v>
      </c>
      <c r="BG5" s="408">
        <v>359.52499035963984</v>
      </c>
      <c r="BH5" s="408">
        <v>0</v>
      </c>
      <c r="BI5" s="408">
        <v>10.38</v>
      </c>
      <c r="BJ5" s="408">
        <v>3.77</v>
      </c>
      <c r="BK5" s="408">
        <v>2837.89</v>
      </c>
      <c r="BL5" s="408">
        <v>55</v>
      </c>
      <c r="BM5" s="408"/>
      <c r="BN5" s="408"/>
      <c r="BO5" s="408"/>
      <c r="BP5" s="408"/>
      <c r="BQ5" s="408"/>
      <c r="BR5" s="408"/>
      <c r="BS5" s="408"/>
      <c r="BT5" s="408"/>
      <c r="BU5" s="408"/>
      <c r="BV5" s="408">
        <v>2918.5358550901551</v>
      </c>
      <c r="BW5" s="408"/>
      <c r="BX5" s="408"/>
      <c r="BY5" s="408"/>
      <c r="BZ5" s="408"/>
      <c r="CA5" s="408"/>
      <c r="CB5" s="408"/>
      <c r="CC5" s="408"/>
      <c r="CD5" s="408"/>
      <c r="CE5" s="408"/>
      <c r="CF5" s="408"/>
      <c r="CG5" s="408"/>
      <c r="CH5" s="408"/>
      <c r="CI5" s="408">
        <v>6551.4655999999995</v>
      </c>
      <c r="CJ5" s="408">
        <v>-3042.8652200000015</v>
      </c>
      <c r="CK5" s="408"/>
      <c r="CL5" s="408"/>
      <c r="CM5" s="408"/>
      <c r="CN5" s="408"/>
      <c r="CO5" s="408">
        <v>-3203.3893399999997</v>
      </c>
      <c r="CP5" s="408">
        <v>158.5728300000001</v>
      </c>
      <c r="CQ5" s="408">
        <v>31</v>
      </c>
      <c r="CR5" s="408">
        <v>131.82951863358085</v>
      </c>
      <c r="CS5" s="408">
        <v>0</v>
      </c>
      <c r="CT5" s="408">
        <v>0</v>
      </c>
      <c r="CU5" s="408">
        <v>0</v>
      </c>
      <c r="CV5" s="408">
        <v>0</v>
      </c>
      <c r="CW5" s="408">
        <v>0</v>
      </c>
      <c r="CX5" s="408">
        <v>0</v>
      </c>
      <c r="CY5" s="408">
        <v>0</v>
      </c>
      <c r="CZ5" s="408">
        <v>-5.5172431303974463</v>
      </c>
      <c r="DA5" s="408">
        <v>0</v>
      </c>
      <c r="DB5" s="408">
        <v>0</v>
      </c>
      <c r="DC5" s="408">
        <v>158.50171881266533</v>
      </c>
      <c r="DD5" s="408">
        <v>0</v>
      </c>
      <c r="DE5" s="408">
        <v>0</v>
      </c>
      <c r="DF5" s="408">
        <v>0.92074064331935013</v>
      </c>
      <c r="DG5" s="408">
        <v>22.397856526904263</v>
      </c>
      <c r="DH5" s="408">
        <v>0</v>
      </c>
      <c r="DI5" s="408">
        <v>-37.91003902996863</v>
      </c>
      <c r="DJ5" s="408"/>
      <c r="DK5" s="408">
        <v>0</v>
      </c>
      <c r="DL5" s="408">
        <v>0</v>
      </c>
      <c r="DM5" s="408">
        <v>0</v>
      </c>
      <c r="DN5" s="408">
        <v>0</v>
      </c>
      <c r="DO5" s="408">
        <v>-5.171958728510603</v>
      </c>
      <c r="DP5" s="408">
        <v>-1.3915564604320956</v>
      </c>
      <c r="DQ5" s="408">
        <v>0</v>
      </c>
      <c r="DR5" s="408">
        <v>0</v>
      </c>
      <c r="DS5" s="408"/>
      <c r="DT5" s="408"/>
      <c r="DU5" s="408"/>
      <c r="DV5" s="408">
        <v>4729.51708173311</v>
      </c>
      <c r="DW5" s="408">
        <v>0</v>
      </c>
      <c r="DX5" s="408">
        <v>0</v>
      </c>
      <c r="DY5" s="408">
        <v>-3203.3893400000002</v>
      </c>
      <c r="DZ5" s="408">
        <v>158.57283000000007</v>
      </c>
      <c r="EA5" s="408">
        <v>0</v>
      </c>
      <c r="EB5" s="408">
        <v>0</v>
      </c>
      <c r="EC5" s="408">
        <v>-3176.6968180680269</v>
      </c>
      <c r="ED5" s="408">
        <v>0</v>
      </c>
      <c r="EE5" s="408">
        <v>0</v>
      </c>
      <c r="EF5" s="408">
        <v>0</v>
      </c>
      <c r="EG5" s="408">
        <v>0</v>
      </c>
      <c r="EH5" s="408">
        <v>0</v>
      </c>
      <c r="EI5" s="408">
        <v>0</v>
      </c>
      <c r="EJ5" s="408">
        <v>0</v>
      </c>
      <c r="EK5" s="408">
        <v>0</v>
      </c>
      <c r="EL5" s="408">
        <v>0</v>
      </c>
      <c r="EM5" s="408">
        <v>0</v>
      </c>
      <c r="EN5" s="408">
        <v>0</v>
      </c>
      <c r="EO5" s="408">
        <v>0</v>
      </c>
      <c r="EP5" s="408">
        <v>0</v>
      </c>
      <c r="EQ5" s="408">
        <v>0</v>
      </c>
      <c r="ER5" s="408">
        <v>0</v>
      </c>
      <c r="ES5" s="408">
        <v>0</v>
      </c>
      <c r="ET5" s="408">
        <v>0</v>
      </c>
      <c r="EU5" s="408">
        <v>0</v>
      </c>
      <c r="EV5" s="408">
        <v>257</v>
      </c>
      <c r="EW5" s="408">
        <v>0</v>
      </c>
      <c r="EX5" s="408">
        <v>0</v>
      </c>
      <c r="EY5" s="408">
        <v>0</v>
      </c>
      <c r="EZ5" s="408"/>
      <c r="FA5" s="408">
        <v>0</v>
      </c>
      <c r="FB5" s="408"/>
      <c r="FC5" s="408"/>
      <c r="FD5" s="408"/>
      <c r="FE5" s="408"/>
      <c r="FF5" s="408">
        <v>0</v>
      </c>
      <c r="FG5" s="408">
        <v>0</v>
      </c>
      <c r="FH5" s="408">
        <v>0</v>
      </c>
      <c r="FI5" s="408">
        <v>0</v>
      </c>
    </row>
    <row r="6" spans="1:165" customFormat="1">
      <c r="A6" s="408">
        <v>4</v>
      </c>
      <c r="B6" s="408" t="s">
        <v>1035</v>
      </c>
      <c r="C6" s="408" t="s">
        <v>2233</v>
      </c>
      <c r="D6" s="408" t="s">
        <v>1955</v>
      </c>
      <c r="E6" s="408" t="s">
        <v>968</v>
      </c>
      <c r="F6" s="408" t="s">
        <v>2237</v>
      </c>
      <c r="G6" s="408" t="s">
        <v>1321</v>
      </c>
      <c r="H6" s="408" t="s">
        <v>1321</v>
      </c>
      <c r="I6" s="408" t="s">
        <v>1321</v>
      </c>
      <c r="J6" s="408" t="s">
        <v>2234</v>
      </c>
      <c r="K6" s="828">
        <v>44378</v>
      </c>
      <c r="L6" s="408">
        <v>0</v>
      </c>
      <c r="M6" s="408">
        <v>0</v>
      </c>
      <c r="N6" s="408">
        <v>3.45</v>
      </c>
      <c r="O6" s="408">
        <v>3.45</v>
      </c>
      <c r="P6" s="408">
        <v>3.45</v>
      </c>
      <c r="Q6" s="408">
        <v>3.45</v>
      </c>
      <c r="R6" s="408"/>
      <c r="S6" s="408">
        <v>639.92999999999995</v>
      </c>
      <c r="T6" s="408">
        <v>256.55</v>
      </c>
      <c r="U6" s="408"/>
      <c r="V6" s="408">
        <v>3092.8559999999998</v>
      </c>
      <c r="W6" s="408">
        <v>3092.8559999999998</v>
      </c>
      <c r="X6" s="408">
        <v>2048.61</v>
      </c>
      <c r="Y6" s="408">
        <v>0</v>
      </c>
      <c r="Z6" s="408">
        <v>0</v>
      </c>
      <c r="AA6" s="408">
        <v>0</v>
      </c>
      <c r="AB6" s="408">
        <v>0</v>
      </c>
      <c r="AC6" s="408">
        <v>0</v>
      </c>
      <c r="AD6" s="408">
        <v>424.63562482163343</v>
      </c>
      <c r="AE6" s="408">
        <v>1645.3397128142817</v>
      </c>
      <c r="AF6" s="408">
        <v>885.10619997557944</v>
      </c>
      <c r="AG6" s="408">
        <v>0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/>
      <c r="AN6" s="408">
        <v>7.5755260297976177</v>
      </c>
      <c r="AO6" s="408">
        <v>0</v>
      </c>
      <c r="AP6" s="408">
        <v>0</v>
      </c>
      <c r="AQ6" s="408">
        <v>0</v>
      </c>
      <c r="AR6" s="408">
        <v>0</v>
      </c>
      <c r="AS6" s="408">
        <v>0</v>
      </c>
      <c r="AT6" s="408">
        <v>0</v>
      </c>
      <c r="AU6" s="408">
        <v>0</v>
      </c>
      <c r="AV6" s="408">
        <v>0</v>
      </c>
      <c r="AW6" s="408">
        <v>0</v>
      </c>
      <c r="AX6" s="408">
        <v>0</v>
      </c>
      <c r="AY6" s="408">
        <v>0</v>
      </c>
      <c r="AZ6" s="408">
        <v>0</v>
      </c>
      <c r="BA6" s="408"/>
      <c r="BB6" s="408">
        <v>0</v>
      </c>
      <c r="BC6" s="408">
        <v>0</v>
      </c>
      <c r="BD6" s="408">
        <v>5.1416051388985098</v>
      </c>
      <c r="BE6" s="408">
        <v>0</v>
      </c>
      <c r="BF6" s="408">
        <v>0</v>
      </c>
      <c r="BG6" s="408">
        <v>125.07423784821594</v>
      </c>
      <c r="BH6" s="408">
        <v>0</v>
      </c>
      <c r="BI6" s="408">
        <v>1.07</v>
      </c>
      <c r="BJ6" s="408">
        <v>0.05</v>
      </c>
      <c r="BK6" s="408">
        <v>268.68</v>
      </c>
      <c r="BL6" s="408">
        <v>5</v>
      </c>
      <c r="BM6" s="408"/>
      <c r="BN6" s="408"/>
      <c r="BO6" s="408"/>
      <c r="BP6" s="408"/>
      <c r="BQ6" s="408"/>
      <c r="BR6" s="408"/>
      <c r="BS6" s="408"/>
      <c r="BT6" s="408">
        <v>1331.5965000000001</v>
      </c>
      <c r="BU6" s="408"/>
      <c r="BV6" s="408">
        <v>1015.3220429626939</v>
      </c>
      <c r="BW6" s="408"/>
      <c r="BX6" s="408"/>
      <c r="BY6" s="408"/>
      <c r="BZ6" s="408"/>
      <c r="CA6" s="408"/>
      <c r="CB6" s="408"/>
      <c r="CC6" s="408"/>
      <c r="CD6" s="408"/>
      <c r="CE6" s="408"/>
      <c r="CF6" s="408"/>
      <c r="CG6" s="408"/>
      <c r="CH6" s="408"/>
      <c r="CI6" s="408">
        <v>717.01350000000002</v>
      </c>
      <c r="CJ6" s="408">
        <v>-365.52299999999991</v>
      </c>
      <c r="CK6" s="408"/>
      <c r="CL6" s="408"/>
      <c r="CM6" s="408"/>
      <c r="CN6" s="408"/>
      <c r="CO6" s="408">
        <v>-1099.4114999999999</v>
      </c>
      <c r="CP6" s="408">
        <v>55.165500000000037</v>
      </c>
      <c r="CQ6" s="408">
        <v>31</v>
      </c>
      <c r="CR6" s="408">
        <v>60.849524206171509</v>
      </c>
      <c r="CS6" s="408">
        <v>0</v>
      </c>
      <c r="CT6" s="408">
        <v>0</v>
      </c>
      <c r="CU6" s="408">
        <v>0</v>
      </c>
      <c r="CV6" s="408">
        <v>0</v>
      </c>
      <c r="CW6" s="408">
        <v>0</v>
      </c>
      <c r="CX6" s="408">
        <v>0</v>
      </c>
      <c r="CY6" s="408">
        <v>0</v>
      </c>
      <c r="CZ6" s="408">
        <v>-1.9193797317607846</v>
      </c>
      <c r="DA6" s="408">
        <v>0</v>
      </c>
      <c r="DB6" s="408">
        <v>0</v>
      </c>
      <c r="DC6" s="408">
        <v>55.140761309236268</v>
      </c>
      <c r="DD6" s="408">
        <v>0</v>
      </c>
      <c r="DE6" s="408">
        <v>0</v>
      </c>
      <c r="DF6" s="408">
        <v>0.32031412921768165</v>
      </c>
      <c r="DG6" s="408">
        <v>7.7919335502490412</v>
      </c>
      <c r="DH6" s="408">
        <v>0</v>
      </c>
      <c r="DI6" s="408">
        <v>0</v>
      </c>
      <c r="DJ6" s="408"/>
      <c r="DK6" s="408">
        <v>0</v>
      </c>
      <c r="DL6" s="408">
        <v>0</v>
      </c>
      <c r="DM6" s="408">
        <v>0</v>
      </c>
      <c r="DN6" s="408">
        <v>0</v>
      </c>
      <c r="DO6" s="408">
        <v>0</v>
      </c>
      <c r="DP6" s="408">
        <v>-0.48410505077046739</v>
      </c>
      <c r="DQ6" s="408">
        <v>0</v>
      </c>
      <c r="DR6" s="408">
        <v>0</v>
      </c>
      <c r="DS6" s="408"/>
      <c r="DT6" s="408"/>
      <c r="DU6" s="408"/>
      <c r="DV6" s="408">
        <v>1645.3397128142817</v>
      </c>
      <c r="DW6" s="408">
        <v>0</v>
      </c>
      <c r="DX6" s="408">
        <v>0</v>
      </c>
      <c r="DY6" s="408">
        <v>-1099.4114999999999</v>
      </c>
      <c r="DZ6" s="408">
        <v>55.165500000000065</v>
      </c>
      <c r="EA6" s="408">
        <v>0</v>
      </c>
      <c r="EB6" s="408">
        <v>0</v>
      </c>
      <c r="EC6" s="408">
        <v>-1105.1330061848032</v>
      </c>
      <c r="ED6" s="408">
        <v>0</v>
      </c>
      <c r="EE6" s="408">
        <v>0</v>
      </c>
      <c r="EF6" s="408">
        <v>0</v>
      </c>
      <c r="EG6" s="408">
        <v>0</v>
      </c>
      <c r="EH6" s="408">
        <v>0</v>
      </c>
      <c r="EI6" s="408">
        <v>0</v>
      </c>
      <c r="EJ6" s="408">
        <v>0</v>
      </c>
      <c r="EK6" s="408">
        <v>0</v>
      </c>
      <c r="EL6" s="408">
        <v>0</v>
      </c>
      <c r="EM6" s="408">
        <v>0</v>
      </c>
      <c r="EN6" s="408">
        <v>0</v>
      </c>
      <c r="EO6" s="408">
        <v>0</v>
      </c>
      <c r="EP6" s="408">
        <v>0</v>
      </c>
      <c r="EQ6" s="408">
        <v>0</v>
      </c>
      <c r="ER6" s="408">
        <v>0</v>
      </c>
      <c r="ES6" s="408">
        <v>0</v>
      </c>
      <c r="ET6" s="408">
        <v>0</v>
      </c>
      <c r="EU6" s="408">
        <v>0</v>
      </c>
      <c r="EV6" s="408">
        <v>257</v>
      </c>
      <c r="EW6" s="408">
        <v>0</v>
      </c>
      <c r="EX6" s="408">
        <v>0</v>
      </c>
      <c r="EY6" s="408">
        <v>0</v>
      </c>
      <c r="EZ6" s="408"/>
      <c r="FA6" s="408">
        <v>0</v>
      </c>
      <c r="FB6" s="408"/>
      <c r="FC6" s="408"/>
      <c r="FD6" s="408"/>
      <c r="FE6" s="408"/>
      <c r="FF6" s="408">
        <v>0</v>
      </c>
      <c r="FG6" s="408">
        <v>0</v>
      </c>
      <c r="FH6" s="408">
        <v>0</v>
      </c>
      <c r="FI6" s="408">
        <v>0</v>
      </c>
    </row>
    <row r="7" spans="1:165" customFormat="1">
      <c r="A7" s="408">
        <v>5</v>
      </c>
      <c r="B7" s="408" t="s">
        <v>1035</v>
      </c>
      <c r="C7" s="408" t="s">
        <v>2233</v>
      </c>
      <c r="D7" s="408" t="s">
        <v>1955</v>
      </c>
      <c r="E7" s="408" t="s">
        <v>968</v>
      </c>
      <c r="F7" s="408" t="s">
        <v>2238</v>
      </c>
      <c r="G7" s="408" t="s">
        <v>1321</v>
      </c>
      <c r="H7" s="408" t="s">
        <v>1321</v>
      </c>
      <c r="I7" s="408" t="s">
        <v>1321</v>
      </c>
      <c r="J7" s="408" t="s">
        <v>2234</v>
      </c>
      <c r="K7" s="828">
        <v>44378</v>
      </c>
      <c r="L7" s="408">
        <v>0</v>
      </c>
      <c r="M7" s="408">
        <v>0</v>
      </c>
      <c r="N7" s="408">
        <v>6.8170000000000002</v>
      </c>
      <c r="O7" s="408">
        <v>6.8170000000000002</v>
      </c>
      <c r="P7" s="408">
        <v>6.8170000000000002</v>
      </c>
      <c r="Q7" s="408">
        <v>6.8170000000000002</v>
      </c>
      <c r="R7" s="408"/>
      <c r="S7" s="408">
        <v>639.92999999999995</v>
      </c>
      <c r="T7" s="408">
        <v>256.55</v>
      </c>
      <c r="U7" s="408"/>
      <c r="V7" s="408">
        <v>6111.3041599999997</v>
      </c>
      <c r="W7" s="408">
        <v>6111.3041599999997</v>
      </c>
      <c r="X7" s="408">
        <v>4047.9346</v>
      </c>
      <c r="Y7" s="408">
        <v>0</v>
      </c>
      <c r="Z7" s="408">
        <v>0</v>
      </c>
      <c r="AA7" s="408">
        <v>0</v>
      </c>
      <c r="AB7" s="408">
        <v>0</v>
      </c>
      <c r="AC7" s="408">
        <v>0</v>
      </c>
      <c r="AD7" s="408">
        <v>839.05537808958695</v>
      </c>
      <c r="AE7" s="408">
        <v>3251.0958905086836</v>
      </c>
      <c r="AF7" s="408">
        <v>1748.9185406473987</v>
      </c>
      <c r="AG7" s="408">
        <v>0</v>
      </c>
      <c r="AH7" s="408">
        <v>0</v>
      </c>
      <c r="AI7" s="408">
        <v>0</v>
      </c>
      <c r="AJ7" s="408">
        <v>0</v>
      </c>
      <c r="AK7" s="408">
        <v>0</v>
      </c>
      <c r="AL7" s="408">
        <v>0</v>
      </c>
      <c r="AM7" s="408"/>
      <c r="AN7" s="408">
        <v>14.968800273950828</v>
      </c>
      <c r="AO7" s="408">
        <v>0</v>
      </c>
      <c r="AP7" s="408">
        <v>0</v>
      </c>
      <c r="AQ7" s="408">
        <v>0</v>
      </c>
      <c r="AR7" s="408">
        <v>0</v>
      </c>
      <c r="AS7" s="408">
        <v>0</v>
      </c>
      <c r="AT7" s="408">
        <v>0</v>
      </c>
      <c r="AU7" s="408">
        <v>0</v>
      </c>
      <c r="AV7" s="408">
        <v>0</v>
      </c>
      <c r="AW7" s="408">
        <v>0</v>
      </c>
      <c r="AX7" s="408">
        <v>0</v>
      </c>
      <c r="AY7" s="408">
        <v>0</v>
      </c>
      <c r="AZ7" s="408">
        <v>0</v>
      </c>
      <c r="BA7" s="408"/>
      <c r="BB7" s="408">
        <v>0</v>
      </c>
      <c r="BC7" s="408">
        <v>0</v>
      </c>
      <c r="BD7" s="408">
        <v>10.159513690397432</v>
      </c>
      <c r="BE7" s="408">
        <v>0</v>
      </c>
      <c r="BF7" s="408">
        <v>0</v>
      </c>
      <c r="BG7" s="408">
        <v>247.13944330761973</v>
      </c>
      <c r="BH7" s="408">
        <v>0</v>
      </c>
      <c r="BI7" s="408">
        <v>3.63</v>
      </c>
      <c r="BJ7" s="408">
        <v>1.35</v>
      </c>
      <c r="BK7" s="408">
        <v>976.66</v>
      </c>
      <c r="BL7" s="408">
        <v>33</v>
      </c>
      <c r="BM7" s="408"/>
      <c r="BN7" s="408"/>
      <c r="BO7" s="408"/>
      <c r="BP7" s="408"/>
      <c r="BQ7" s="408"/>
      <c r="BR7" s="408"/>
      <c r="BS7" s="408"/>
      <c r="BT7" s="408">
        <v>1619.1738400000002</v>
      </c>
      <c r="BU7" s="408"/>
      <c r="BV7" s="408">
        <v>2006.217497645416</v>
      </c>
      <c r="BW7" s="408"/>
      <c r="BX7" s="408"/>
      <c r="BY7" s="408"/>
      <c r="BZ7" s="408"/>
      <c r="CA7" s="408"/>
      <c r="CB7" s="408"/>
      <c r="CC7" s="408"/>
      <c r="CD7" s="408"/>
      <c r="CE7" s="408"/>
      <c r="CF7" s="408"/>
      <c r="CG7" s="408"/>
      <c r="CH7" s="408"/>
      <c r="CI7" s="408">
        <v>2429.8296</v>
      </c>
      <c r="CJ7" s="408">
        <v>-1236.9965300000008</v>
      </c>
      <c r="CK7" s="408"/>
      <c r="CL7" s="408"/>
      <c r="CM7" s="408"/>
      <c r="CN7" s="408"/>
      <c r="CO7" s="408">
        <v>-2172.3733899999997</v>
      </c>
      <c r="CP7" s="408">
        <v>109.00383000000006</v>
      </c>
      <c r="CQ7" s="408">
        <v>31</v>
      </c>
      <c r="CR7" s="408">
        <v>120.23513232274536</v>
      </c>
      <c r="CS7" s="408">
        <v>0</v>
      </c>
      <c r="CT7" s="408">
        <v>0</v>
      </c>
      <c r="CU7" s="408">
        <v>0</v>
      </c>
      <c r="CV7" s="408">
        <v>0</v>
      </c>
      <c r="CW7" s="408">
        <v>0</v>
      </c>
      <c r="CX7" s="408">
        <v>0</v>
      </c>
      <c r="CY7" s="408">
        <v>0</v>
      </c>
      <c r="CZ7" s="408">
        <v>-3.7925830815689778</v>
      </c>
      <c r="DA7" s="408">
        <v>0</v>
      </c>
      <c r="DB7" s="408">
        <v>0</v>
      </c>
      <c r="DC7" s="408">
        <v>108.95494778117768</v>
      </c>
      <c r="DD7" s="408">
        <v>0</v>
      </c>
      <c r="DE7" s="408">
        <v>0</v>
      </c>
      <c r="DF7" s="408">
        <v>0.63292215039911248</v>
      </c>
      <c r="DG7" s="408">
        <v>15.396408988999326</v>
      </c>
      <c r="DH7" s="408">
        <v>0</v>
      </c>
      <c r="DI7" s="408">
        <v>0</v>
      </c>
      <c r="DJ7" s="408"/>
      <c r="DK7" s="408">
        <v>0</v>
      </c>
      <c r="DL7" s="408">
        <v>0</v>
      </c>
      <c r="DM7" s="408">
        <v>0</v>
      </c>
      <c r="DN7" s="408">
        <v>0</v>
      </c>
      <c r="DO7" s="408">
        <v>0</v>
      </c>
      <c r="DP7" s="408">
        <v>-0.95656351626152869</v>
      </c>
      <c r="DQ7" s="408">
        <v>0</v>
      </c>
      <c r="DR7" s="408">
        <v>0</v>
      </c>
      <c r="DS7" s="408"/>
      <c r="DT7" s="408"/>
      <c r="DU7" s="408"/>
      <c r="DV7" s="408">
        <v>3251.0958905086836</v>
      </c>
      <c r="DW7" s="408">
        <v>0</v>
      </c>
      <c r="DX7" s="408">
        <v>0</v>
      </c>
      <c r="DY7" s="408">
        <v>-2172.3733899999997</v>
      </c>
      <c r="DZ7" s="408">
        <v>109.00383000000011</v>
      </c>
      <c r="EA7" s="408">
        <v>0</v>
      </c>
      <c r="EB7" s="408">
        <v>0</v>
      </c>
      <c r="EC7" s="408">
        <v>-2183.6787545396533</v>
      </c>
      <c r="ED7" s="408">
        <v>0</v>
      </c>
      <c r="EE7" s="408">
        <v>0</v>
      </c>
      <c r="EF7" s="408">
        <v>0</v>
      </c>
      <c r="EG7" s="408">
        <v>0</v>
      </c>
      <c r="EH7" s="408">
        <v>0</v>
      </c>
      <c r="EI7" s="408">
        <v>0</v>
      </c>
      <c r="EJ7" s="408">
        <v>0</v>
      </c>
      <c r="EK7" s="408">
        <v>0</v>
      </c>
      <c r="EL7" s="408">
        <v>0</v>
      </c>
      <c r="EM7" s="408">
        <v>0</v>
      </c>
      <c r="EN7" s="408">
        <v>0</v>
      </c>
      <c r="EO7" s="408">
        <v>0</v>
      </c>
      <c r="EP7" s="408">
        <v>0</v>
      </c>
      <c r="EQ7" s="408">
        <v>0</v>
      </c>
      <c r="ER7" s="408">
        <v>0</v>
      </c>
      <c r="ES7" s="408">
        <v>0</v>
      </c>
      <c r="ET7" s="408">
        <v>0</v>
      </c>
      <c r="EU7" s="408">
        <v>0</v>
      </c>
      <c r="EV7" s="408">
        <v>257</v>
      </c>
      <c r="EW7" s="408">
        <v>0</v>
      </c>
      <c r="EX7" s="408">
        <v>0</v>
      </c>
      <c r="EY7" s="408">
        <v>0</v>
      </c>
      <c r="EZ7" s="408"/>
      <c r="FA7" s="408">
        <v>0</v>
      </c>
      <c r="FB7" s="408"/>
      <c r="FC7" s="408"/>
      <c r="FD7" s="408"/>
      <c r="FE7" s="408"/>
      <c r="FF7" s="408">
        <v>0</v>
      </c>
      <c r="FG7" s="408">
        <v>0</v>
      </c>
      <c r="FH7" s="408">
        <v>0</v>
      </c>
      <c r="FI7" s="408">
        <v>0</v>
      </c>
    </row>
    <row r="8" spans="1:165" customFormat="1">
      <c r="A8" s="408">
        <v>6</v>
      </c>
      <c r="B8" s="408" t="s">
        <v>1035</v>
      </c>
      <c r="C8" s="408" t="s">
        <v>2233</v>
      </c>
      <c r="D8" s="408" t="s">
        <v>1955</v>
      </c>
      <c r="E8" s="408" t="s">
        <v>968</v>
      </c>
      <c r="F8" s="408" t="s">
        <v>2239</v>
      </c>
      <c r="G8" s="408" t="s">
        <v>1321</v>
      </c>
      <c r="H8" s="408" t="s">
        <v>1321</v>
      </c>
      <c r="I8" s="408" t="s">
        <v>1321</v>
      </c>
      <c r="J8" s="408" t="s">
        <v>2234</v>
      </c>
      <c r="K8" s="828">
        <v>44378</v>
      </c>
      <c r="L8" s="408">
        <v>0</v>
      </c>
      <c r="M8" s="408">
        <v>0</v>
      </c>
      <c r="N8" s="408">
        <v>4.8109999999999999</v>
      </c>
      <c r="O8" s="408">
        <v>4.8109999999999999</v>
      </c>
      <c r="P8" s="408">
        <v>4.8109999999999999</v>
      </c>
      <c r="Q8" s="408">
        <v>4.8109999999999999</v>
      </c>
      <c r="R8" s="408"/>
      <c r="S8" s="408">
        <v>639.92999999999995</v>
      </c>
      <c r="T8" s="408">
        <v>256.55</v>
      </c>
      <c r="U8" s="408"/>
      <c r="V8" s="408">
        <v>4312.9652799999994</v>
      </c>
      <c r="W8" s="408">
        <v>4312.9652799999994</v>
      </c>
      <c r="X8" s="408">
        <v>2856.7718</v>
      </c>
      <c r="Y8" s="408">
        <v>0</v>
      </c>
      <c r="Z8" s="408">
        <v>0</v>
      </c>
      <c r="AA8" s="408">
        <v>0</v>
      </c>
      <c r="AB8" s="408">
        <v>0</v>
      </c>
      <c r="AC8" s="408">
        <v>0</v>
      </c>
      <c r="AD8" s="408">
        <v>592.1513017440227</v>
      </c>
      <c r="AE8" s="408">
        <v>2294.4143067679734</v>
      </c>
      <c r="AF8" s="408">
        <v>1234.2741820529022</v>
      </c>
      <c r="AG8" s="408">
        <v>0</v>
      </c>
      <c r="AH8" s="408">
        <v>0</v>
      </c>
      <c r="AI8" s="408">
        <v>0</v>
      </c>
      <c r="AJ8" s="408">
        <v>0</v>
      </c>
      <c r="AK8" s="408">
        <v>0</v>
      </c>
      <c r="AL8" s="408">
        <v>0</v>
      </c>
      <c r="AM8" s="408"/>
      <c r="AN8" s="408">
        <v>10.564016153436619</v>
      </c>
      <c r="AO8" s="408">
        <v>0</v>
      </c>
      <c r="AP8" s="408">
        <v>0</v>
      </c>
      <c r="AQ8" s="408">
        <v>0</v>
      </c>
      <c r="AR8" s="408">
        <v>0</v>
      </c>
      <c r="AS8" s="408">
        <v>0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  <c r="AY8" s="408">
        <v>0</v>
      </c>
      <c r="AZ8" s="408">
        <v>0</v>
      </c>
      <c r="BA8" s="408"/>
      <c r="BB8" s="408">
        <v>0</v>
      </c>
      <c r="BC8" s="408">
        <v>0</v>
      </c>
      <c r="BD8" s="408">
        <v>7.1699311081857182</v>
      </c>
      <c r="BE8" s="408">
        <v>0</v>
      </c>
      <c r="BF8" s="408">
        <v>0</v>
      </c>
      <c r="BG8" s="408">
        <v>174.41511834428024</v>
      </c>
      <c r="BH8" s="408">
        <v>0</v>
      </c>
      <c r="BI8" s="408">
        <v>3.71</v>
      </c>
      <c r="BJ8" s="408">
        <v>1.74</v>
      </c>
      <c r="BK8" s="408">
        <v>1125.6400000000001</v>
      </c>
      <c r="BL8" s="408">
        <v>60</v>
      </c>
      <c r="BM8" s="408"/>
      <c r="BN8" s="408"/>
      <c r="BO8" s="408"/>
      <c r="BP8" s="408"/>
      <c r="BQ8" s="408"/>
      <c r="BR8" s="408"/>
      <c r="BS8" s="408"/>
      <c r="BT8" s="408">
        <v>285.72529000000009</v>
      </c>
      <c r="BU8" s="408"/>
      <c r="BV8" s="408">
        <v>1415.8592315053681</v>
      </c>
      <c r="BW8" s="408"/>
      <c r="BX8" s="408"/>
      <c r="BY8" s="408"/>
      <c r="BZ8" s="408"/>
      <c r="CA8" s="408"/>
      <c r="CB8" s="408"/>
      <c r="CC8" s="408"/>
      <c r="CD8" s="408"/>
      <c r="CE8" s="408"/>
      <c r="CF8" s="408"/>
      <c r="CG8" s="408"/>
      <c r="CH8" s="408"/>
      <c r="CI8" s="408">
        <v>2570.5120999999999</v>
      </c>
      <c r="CJ8" s="408">
        <v>-1311.2251400000009</v>
      </c>
      <c r="CK8" s="408"/>
      <c r="CL8" s="408"/>
      <c r="CM8" s="408"/>
      <c r="CN8" s="408"/>
      <c r="CO8" s="408">
        <v>-1533.1213699999998</v>
      </c>
      <c r="CP8" s="408">
        <v>76.927890000000048</v>
      </c>
      <c r="CQ8" s="408">
        <v>31</v>
      </c>
      <c r="CR8" s="408">
        <v>84.854220566925051</v>
      </c>
      <c r="CS8" s="408">
        <v>0</v>
      </c>
      <c r="CT8" s="408">
        <v>0</v>
      </c>
      <c r="CU8" s="408">
        <v>0</v>
      </c>
      <c r="CV8" s="408">
        <v>0</v>
      </c>
      <c r="CW8" s="408">
        <v>0</v>
      </c>
      <c r="CX8" s="408">
        <v>0</v>
      </c>
      <c r="CY8" s="408">
        <v>0</v>
      </c>
      <c r="CZ8" s="408">
        <v>-2.6765611273916647</v>
      </c>
      <c r="DA8" s="408">
        <v>0</v>
      </c>
      <c r="DB8" s="408">
        <v>0</v>
      </c>
      <c r="DC8" s="408">
        <v>76.893392074995745</v>
      </c>
      <c r="DD8" s="408">
        <v>0</v>
      </c>
      <c r="DE8" s="408">
        <v>0</v>
      </c>
      <c r="DF8" s="408">
        <v>0.44667573207717925</v>
      </c>
      <c r="DG8" s="408">
        <v>10.865794872535702</v>
      </c>
      <c r="DH8" s="408">
        <v>0</v>
      </c>
      <c r="DI8" s="408">
        <v>0</v>
      </c>
      <c r="DJ8" s="408"/>
      <c r="DK8" s="408">
        <v>0</v>
      </c>
      <c r="DL8" s="408">
        <v>0</v>
      </c>
      <c r="DM8" s="408">
        <v>0</v>
      </c>
      <c r="DN8" s="408">
        <v>0</v>
      </c>
      <c r="DO8" s="408">
        <v>0</v>
      </c>
      <c r="DP8" s="408">
        <v>-0.67508098529180138</v>
      </c>
      <c r="DQ8" s="408">
        <v>0</v>
      </c>
      <c r="DR8" s="408">
        <v>0</v>
      </c>
      <c r="DS8" s="408"/>
      <c r="DT8" s="408"/>
      <c r="DU8" s="408"/>
      <c r="DV8" s="408">
        <v>2294.4143067679734</v>
      </c>
      <c r="DW8" s="408">
        <v>0</v>
      </c>
      <c r="DX8" s="408">
        <v>0</v>
      </c>
      <c r="DY8" s="408">
        <v>-1533.1213699999996</v>
      </c>
      <c r="DZ8" s="408">
        <v>76.927889999999934</v>
      </c>
      <c r="EA8" s="408">
        <v>0</v>
      </c>
      <c r="EB8" s="408">
        <v>0</v>
      </c>
      <c r="EC8" s="408">
        <v>-1541.0999689145181</v>
      </c>
      <c r="ED8" s="408">
        <v>0</v>
      </c>
      <c r="EE8" s="408">
        <v>0</v>
      </c>
      <c r="EF8" s="408">
        <v>0</v>
      </c>
      <c r="EG8" s="408">
        <v>0</v>
      </c>
      <c r="EH8" s="408">
        <v>0</v>
      </c>
      <c r="EI8" s="408">
        <v>0</v>
      </c>
      <c r="EJ8" s="408">
        <v>0</v>
      </c>
      <c r="EK8" s="408">
        <v>0</v>
      </c>
      <c r="EL8" s="408">
        <v>0</v>
      </c>
      <c r="EM8" s="408">
        <v>0</v>
      </c>
      <c r="EN8" s="408">
        <v>0</v>
      </c>
      <c r="EO8" s="408">
        <v>0</v>
      </c>
      <c r="EP8" s="408">
        <v>0</v>
      </c>
      <c r="EQ8" s="408">
        <v>0</v>
      </c>
      <c r="ER8" s="408">
        <v>0</v>
      </c>
      <c r="ES8" s="408">
        <v>0</v>
      </c>
      <c r="ET8" s="408">
        <v>0</v>
      </c>
      <c r="EU8" s="408">
        <v>0</v>
      </c>
      <c r="EV8" s="408">
        <v>257</v>
      </c>
      <c r="EW8" s="408">
        <v>0</v>
      </c>
      <c r="EX8" s="408">
        <v>0</v>
      </c>
      <c r="EY8" s="408">
        <v>0</v>
      </c>
      <c r="EZ8" s="408"/>
      <c r="FA8" s="408">
        <v>0</v>
      </c>
      <c r="FB8" s="408"/>
      <c r="FC8" s="408"/>
      <c r="FD8" s="408"/>
      <c r="FE8" s="408"/>
      <c r="FF8" s="408">
        <v>0</v>
      </c>
      <c r="FG8" s="408">
        <v>0</v>
      </c>
      <c r="FH8" s="408">
        <v>0</v>
      </c>
      <c r="FI8" s="408">
        <v>0</v>
      </c>
    </row>
    <row r="9" spans="1:165" customFormat="1">
      <c r="A9" s="408">
        <v>7</v>
      </c>
      <c r="B9" s="408" t="s">
        <v>1035</v>
      </c>
      <c r="C9" s="408" t="s">
        <v>2233</v>
      </c>
      <c r="D9" s="408" t="s">
        <v>1955</v>
      </c>
      <c r="E9" s="408" t="s">
        <v>968</v>
      </c>
      <c r="F9" s="408" t="s">
        <v>2240</v>
      </c>
      <c r="G9" s="408" t="s">
        <v>1321</v>
      </c>
      <c r="H9" s="408" t="s">
        <v>1321</v>
      </c>
      <c r="I9" s="408" t="s">
        <v>1321</v>
      </c>
      <c r="J9" s="408" t="s">
        <v>2234</v>
      </c>
      <c r="K9" s="828">
        <v>44378</v>
      </c>
      <c r="L9" s="408">
        <v>0</v>
      </c>
      <c r="M9" s="408">
        <v>0</v>
      </c>
      <c r="N9" s="408">
        <v>1.456</v>
      </c>
      <c r="O9" s="408">
        <v>1.456</v>
      </c>
      <c r="P9" s="408">
        <v>1.456</v>
      </c>
      <c r="Q9" s="408">
        <v>1.456</v>
      </c>
      <c r="R9" s="408"/>
      <c r="S9" s="408">
        <v>639.92999999999995</v>
      </c>
      <c r="T9" s="408">
        <v>256.55</v>
      </c>
      <c r="U9" s="408"/>
      <c r="V9" s="408">
        <v>1305.2748799999999</v>
      </c>
      <c r="W9" s="408">
        <v>1305.2748799999999</v>
      </c>
      <c r="X9" s="408">
        <v>864.57279999999992</v>
      </c>
      <c r="Y9" s="408">
        <v>0</v>
      </c>
      <c r="Z9" s="408">
        <v>0</v>
      </c>
      <c r="AA9" s="408">
        <v>0</v>
      </c>
      <c r="AB9" s="408">
        <v>0</v>
      </c>
      <c r="AC9" s="408">
        <v>0</v>
      </c>
      <c r="AD9" s="408">
        <v>179.20854195370961</v>
      </c>
      <c r="AE9" s="408">
        <v>694.38104981379536</v>
      </c>
      <c r="AF9" s="408">
        <v>373.54047164186773</v>
      </c>
      <c r="AG9" s="408">
        <v>0</v>
      </c>
      <c r="AH9" s="408">
        <v>0</v>
      </c>
      <c r="AI9" s="408">
        <v>0</v>
      </c>
      <c r="AJ9" s="408">
        <v>0</v>
      </c>
      <c r="AK9" s="408">
        <v>0</v>
      </c>
      <c r="AL9" s="408">
        <v>0</v>
      </c>
      <c r="AM9" s="408"/>
      <c r="AN9" s="408">
        <v>3.1970915650392264</v>
      </c>
      <c r="AO9" s="408">
        <v>0</v>
      </c>
      <c r="AP9" s="408">
        <v>0</v>
      </c>
      <c r="AQ9" s="408">
        <v>0</v>
      </c>
      <c r="AR9" s="408">
        <v>0</v>
      </c>
      <c r="AS9" s="408">
        <v>0</v>
      </c>
      <c r="AT9" s="408">
        <v>0</v>
      </c>
      <c r="AU9" s="408">
        <v>0</v>
      </c>
      <c r="AV9" s="408">
        <v>0</v>
      </c>
      <c r="AW9" s="408">
        <v>0</v>
      </c>
      <c r="AX9" s="408">
        <v>0</v>
      </c>
      <c r="AY9" s="408">
        <v>0</v>
      </c>
      <c r="AZ9" s="408">
        <v>0</v>
      </c>
      <c r="BA9" s="408"/>
      <c r="BB9" s="408">
        <v>0</v>
      </c>
      <c r="BC9" s="408">
        <v>0</v>
      </c>
      <c r="BD9" s="408">
        <v>2.1699064006481823</v>
      </c>
      <c r="BE9" s="408">
        <v>0</v>
      </c>
      <c r="BF9" s="408">
        <v>0</v>
      </c>
      <c r="BG9" s="408">
        <v>52.784953712174612</v>
      </c>
      <c r="BH9" s="408">
        <v>0</v>
      </c>
      <c r="BI9" s="408">
        <v>1.49</v>
      </c>
      <c r="BJ9" s="408">
        <v>0.72</v>
      </c>
      <c r="BK9" s="408">
        <v>424.81</v>
      </c>
      <c r="BL9" s="408">
        <v>17</v>
      </c>
      <c r="BM9" s="408"/>
      <c r="BN9" s="408"/>
      <c r="BO9" s="408"/>
      <c r="BP9" s="408"/>
      <c r="BQ9" s="408"/>
      <c r="BR9" s="408"/>
      <c r="BS9" s="408"/>
      <c r="BT9" s="408"/>
      <c r="BU9" s="408"/>
      <c r="BV9" s="408">
        <v>428.49533175469054</v>
      </c>
      <c r="BW9" s="408"/>
      <c r="BX9" s="408"/>
      <c r="BY9" s="408"/>
      <c r="BZ9" s="408"/>
      <c r="CA9" s="408"/>
      <c r="CB9" s="408"/>
      <c r="CC9" s="408"/>
      <c r="CD9" s="408"/>
      <c r="CE9" s="408"/>
      <c r="CF9" s="408"/>
      <c r="CG9" s="408"/>
      <c r="CH9" s="408"/>
      <c r="CI9" s="408">
        <v>866.94799999999998</v>
      </c>
      <c r="CJ9" s="408">
        <v>-438.35687999999993</v>
      </c>
      <c r="CK9" s="408"/>
      <c r="CL9" s="408"/>
      <c r="CM9" s="408"/>
      <c r="CN9" s="408"/>
      <c r="CO9" s="408">
        <v>-463.98351999999994</v>
      </c>
      <c r="CP9" s="408">
        <v>23.281440000000014</v>
      </c>
      <c r="CQ9" s="408">
        <v>31</v>
      </c>
      <c r="CR9" s="408">
        <v>25.680262969329192</v>
      </c>
      <c r="CS9" s="408">
        <v>0</v>
      </c>
      <c r="CT9" s="408">
        <v>0</v>
      </c>
      <c r="CU9" s="408">
        <v>0</v>
      </c>
      <c r="CV9" s="408">
        <v>0</v>
      </c>
      <c r="CW9" s="408">
        <v>0</v>
      </c>
      <c r="CX9" s="408">
        <v>0</v>
      </c>
      <c r="CY9" s="408">
        <v>0</v>
      </c>
      <c r="CZ9" s="408">
        <v>-0.8100338809981622</v>
      </c>
      <c r="DA9" s="408">
        <v>0</v>
      </c>
      <c r="DB9" s="408">
        <v>0</v>
      </c>
      <c r="DC9" s="408">
        <v>23.270999555434173</v>
      </c>
      <c r="DD9" s="408">
        <v>0</v>
      </c>
      <c r="DE9" s="408">
        <v>0</v>
      </c>
      <c r="DF9" s="408">
        <v>0.13518184699737557</v>
      </c>
      <c r="DG9" s="408">
        <v>3.2884218113514763</v>
      </c>
      <c r="DH9" s="408">
        <v>0</v>
      </c>
      <c r="DI9" s="408">
        <v>0</v>
      </c>
      <c r="DJ9" s="408"/>
      <c r="DK9" s="408">
        <v>0</v>
      </c>
      <c r="DL9" s="408">
        <v>0</v>
      </c>
      <c r="DM9" s="408">
        <v>0</v>
      </c>
      <c r="DN9" s="408">
        <v>0</v>
      </c>
      <c r="DO9" s="408">
        <v>0</v>
      </c>
      <c r="DP9" s="408">
        <v>-0.20430636345559483</v>
      </c>
      <c r="DQ9" s="408">
        <v>0</v>
      </c>
      <c r="DR9" s="408">
        <v>0</v>
      </c>
      <c r="DS9" s="408"/>
      <c r="DT9" s="408"/>
      <c r="DU9" s="408"/>
      <c r="DV9" s="408">
        <v>694.38104981379536</v>
      </c>
      <c r="DW9" s="408">
        <v>0</v>
      </c>
      <c r="DX9" s="408">
        <v>0</v>
      </c>
      <c r="DY9" s="408">
        <v>-463.98351999999988</v>
      </c>
      <c r="DZ9" s="408">
        <v>23.281439999999975</v>
      </c>
      <c r="EA9" s="408">
        <v>0</v>
      </c>
      <c r="EB9" s="408">
        <v>0</v>
      </c>
      <c r="EC9" s="408">
        <v>-466.39816145074587</v>
      </c>
      <c r="ED9" s="408">
        <v>0</v>
      </c>
      <c r="EE9" s="408">
        <v>0</v>
      </c>
      <c r="EF9" s="408">
        <v>0</v>
      </c>
      <c r="EG9" s="408">
        <v>0</v>
      </c>
      <c r="EH9" s="408">
        <v>0</v>
      </c>
      <c r="EI9" s="408">
        <v>0</v>
      </c>
      <c r="EJ9" s="408">
        <v>0</v>
      </c>
      <c r="EK9" s="408">
        <v>0</v>
      </c>
      <c r="EL9" s="408">
        <v>0</v>
      </c>
      <c r="EM9" s="408">
        <v>0</v>
      </c>
      <c r="EN9" s="408">
        <v>0</v>
      </c>
      <c r="EO9" s="408">
        <v>0</v>
      </c>
      <c r="EP9" s="408">
        <v>0</v>
      </c>
      <c r="EQ9" s="408">
        <v>0</v>
      </c>
      <c r="ER9" s="408">
        <v>0</v>
      </c>
      <c r="ES9" s="408">
        <v>0</v>
      </c>
      <c r="ET9" s="408">
        <v>0</v>
      </c>
      <c r="EU9" s="408">
        <v>0</v>
      </c>
      <c r="EV9" s="408">
        <v>257</v>
      </c>
      <c r="EW9" s="408">
        <v>0</v>
      </c>
      <c r="EX9" s="408">
        <v>0</v>
      </c>
      <c r="EY9" s="408">
        <v>0</v>
      </c>
      <c r="EZ9" s="408"/>
      <c r="FA9" s="408">
        <v>0</v>
      </c>
      <c r="FB9" s="408"/>
      <c r="FC9" s="408"/>
      <c r="FD9" s="408"/>
      <c r="FE9" s="408"/>
      <c r="FF9" s="408">
        <v>0</v>
      </c>
      <c r="FG9" s="408">
        <v>0</v>
      </c>
      <c r="FH9" s="408">
        <v>0</v>
      </c>
      <c r="FI9" s="408">
        <v>0</v>
      </c>
    </row>
    <row r="10" spans="1:165" customFormat="1">
      <c r="A10" s="408">
        <v>8</v>
      </c>
      <c r="B10" s="408" t="s">
        <v>1035</v>
      </c>
      <c r="C10" s="408" t="s">
        <v>2233</v>
      </c>
      <c r="D10" s="408" t="s">
        <v>1958</v>
      </c>
      <c r="E10" s="408" t="s">
        <v>969</v>
      </c>
      <c r="F10" s="408" t="s">
        <v>1321</v>
      </c>
      <c r="G10" s="408" t="s">
        <v>1321</v>
      </c>
      <c r="H10" s="408" t="s">
        <v>1321</v>
      </c>
      <c r="I10" s="408" t="s">
        <v>1321</v>
      </c>
      <c r="J10" s="408" t="s">
        <v>2234</v>
      </c>
      <c r="K10" s="828">
        <v>44378</v>
      </c>
      <c r="L10" s="408">
        <v>0</v>
      </c>
      <c r="M10" s="408">
        <v>0</v>
      </c>
      <c r="N10" s="408">
        <v>65.828999999999994</v>
      </c>
      <c r="O10" s="408">
        <v>65.828999999999994</v>
      </c>
      <c r="P10" s="408">
        <v>65.828999999999994</v>
      </c>
      <c r="Q10" s="408">
        <v>65.828999999999994</v>
      </c>
      <c r="R10" s="408"/>
      <c r="S10" s="408">
        <v>710.91</v>
      </c>
      <c r="T10" s="408">
        <v>256.55</v>
      </c>
      <c r="U10" s="408"/>
      <c r="V10" s="408">
        <v>63686.92433999999</v>
      </c>
      <c r="W10" s="408">
        <v>63686.92433999999</v>
      </c>
      <c r="X10" s="408">
        <v>43475.446469999995</v>
      </c>
      <c r="Y10" s="408">
        <v>0</v>
      </c>
      <c r="Z10" s="408">
        <v>4046.8168017466114</v>
      </c>
      <c r="AA10" s="408">
        <v>0</v>
      </c>
      <c r="AB10" s="408">
        <v>0</v>
      </c>
      <c r="AC10" s="408">
        <v>0</v>
      </c>
      <c r="AD10" s="408">
        <v>8102.4169699661743</v>
      </c>
      <c r="AE10" s="408">
        <v>31394.512450681545</v>
      </c>
      <c r="AF10" s="408">
        <v>16888.595953099251</v>
      </c>
      <c r="AG10" s="408">
        <v>0</v>
      </c>
      <c r="AH10" s="408">
        <v>0</v>
      </c>
      <c r="AI10" s="408">
        <v>0</v>
      </c>
      <c r="AJ10" s="408">
        <v>0</v>
      </c>
      <c r="AK10" s="408">
        <v>0</v>
      </c>
      <c r="AL10" s="408">
        <v>625.65617875567614</v>
      </c>
      <c r="AM10" s="408"/>
      <c r="AN10" s="408">
        <v>144.54762406247747</v>
      </c>
      <c r="AO10" s="408">
        <v>0</v>
      </c>
      <c r="AP10" s="408">
        <v>0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  <c r="AY10" s="408">
        <v>0</v>
      </c>
      <c r="AZ10" s="408">
        <v>0</v>
      </c>
      <c r="BA10" s="408"/>
      <c r="BB10" s="408">
        <v>0</v>
      </c>
      <c r="BC10" s="408">
        <v>0</v>
      </c>
      <c r="BD10" s="408">
        <v>98.106297011173893</v>
      </c>
      <c r="BE10" s="408">
        <v>0</v>
      </c>
      <c r="BF10" s="408">
        <v>0</v>
      </c>
      <c r="BG10" s="408">
        <v>2386.5252183507846</v>
      </c>
      <c r="BH10" s="408">
        <v>0</v>
      </c>
      <c r="BI10" s="408">
        <v>60.55</v>
      </c>
      <c r="BJ10" s="408">
        <v>21.37</v>
      </c>
      <c r="BK10" s="408">
        <v>9785.0499999999993</v>
      </c>
      <c r="BL10" s="408">
        <v>45</v>
      </c>
      <c r="BM10" s="408"/>
      <c r="BN10" s="408"/>
      <c r="BO10" s="408"/>
      <c r="BP10" s="408"/>
      <c r="BQ10" s="408"/>
      <c r="BR10" s="408"/>
      <c r="BS10" s="408"/>
      <c r="BT10" s="408"/>
      <c r="BU10" s="408"/>
      <c r="BV10" s="408">
        <v>19373.227468461209</v>
      </c>
      <c r="BW10" s="408"/>
      <c r="BX10" s="408"/>
      <c r="BY10" s="408"/>
      <c r="BZ10" s="408"/>
      <c r="CA10" s="408"/>
      <c r="CB10" s="408"/>
      <c r="CC10" s="408"/>
      <c r="CD10" s="408"/>
      <c r="CE10" s="408"/>
      <c r="CF10" s="408"/>
      <c r="CG10" s="408"/>
      <c r="CH10" s="408"/>
      <c r="CI10" s="408">
        <v>43476.106899999999</v>
      </c>
      <c r="CJ10" s="408">
        <v>-20210.847439999998</v>
      </c>
      <c r="CK10" s="408"/>
      <c r="CL10" s="408"/>
      <c r="CM10" s="408"/>
      <c r="CN10" s="408"/>
      <c r="CO10" s="408">
        <v>-21264.083579999995</v>
      </c>
      <c r="CP10" s="408">
        <v>1052.6057100000005</v>
      </c>
      <c r="CQ10" s="408">
        <v>31</v>
      </c>
      <c r="CR10" s="408">
        <v>875.08373319854218</v>
      </c>
      <c r="CS10" s="408">
        <v>0</v>
      </c>
      <c r="CT10" s="408">
        <v>0</v>
      </c>
      <c r="CU10" s="408">
        <v>0</v>
      </c>
      <c r="CV10" s="408">
        <v>0</v>
      </c>
      <c r="CW10" s="408">
        <v>0</v>
      </c>
      <c r="CX10" s="408">
        <v>0</v>
      </c>
      <c r="CY10" s="408">
        <v>0</v>
      </c>
      <c r="CZ10" s="408">
        <v>-36.623434307848584</v>
      </c>
      <c r="DA10" s="408">
        <v>0</v>
      </c>
      <c r="DB10" s="408">
        <v>0</v>
      </c>
      <c r="DC10" s="408">
        <v>1052.1336742683197</v>
      </c>
      <c r="DD10" s="408">
        <v>0</v>
      </c>
      <c r="DE10" s="408">
        <v>0</v>
      </c>
      <c r="DF10" s="408">
        <v>6.1118721194987842</v>
      </c>
      <c r="DG10" s="408">
        <v>148.6768677331429</v>
      </c>
      <c r="DH10" s="408">
        <v>0</v>
      </c>
      <c r="DI10" s="408">
        <v>-251.64666323523261</v>
      </c>
      <c r="DJ10" s="408"/>
      <c r="DK10" s="408">
        <v>0</v>
      </c>
      <c r="DL10" s="408">
        <v>0</v>
      </c>
      <c r="DM10" s="408">
        <v>0</v>
      </c>
      <c r="DN10" s="408">
        <v>0</v>
      </c>
      <c r="DO10" s="408">
        <v>-34.331438049725307</v>
      </c>
      <c r="DP10" s="408">
        <v>-9.2371453296142363</v>
      </c>
      <c r="DQ10" s="408">
        <v>0</v>
      </c>
      <c r="DR10" s="408">
        <v>0</v>
      </c>
      <c r="DS10" s="408"/>
      <c r="DT10" s="408"/>
      <c r="DU10" s="408"/>
      <c r="DV10" s="408">
        <v>31394.512450681545</v>
      </c>
      <c r="DW10" s="408">
        <v>0</v>
      </c>
      <c r="DX10" s="408">
        <v>0</v>
      </c>
      <c r="DY10" s="408">
        <v>-21264.083579999995</v>
      </c>
      <c r="DZ10" s="408">
        <v>1052.6057100000035</v>
      </c>
      <c r="EA10" s="408">
        <v>0</v>
      </c>
      <c r="EB10" s="408">
        <v>0</v>
      </c>
      <c r="EC10" s="408">
        <v>-21086.898743228812</v>
      </c>
      <c r="ED10" s="408">
        <v>0</v>
      </c>
      <c r="EE10" s="408">
        <v>0</v>
      </c>
      <c r="EF10" s="408">
        <v>0</v>
      </c>
      <c r="EG10" s="408">
        <v>0</v>
      </c>
      <c r="EH10" s="408">
        <v>0</v>
      </c>
      <c r="EI10" s="408">
        <v>0</v>
      </c>
      <c r="EJ10" s="408">
        <v>0</v>
      </c>
      <c r="EK10" s="408">
        <v>0</v>
      </c>
      <c r="EL10" s="408">
        <v>0</v>
      </c>
      <c r="EM10" s="408">
        <v>0</v>
      </c>
      <c r="EN10" s="408">
        <v>0</v>
      </c>
      <c r="EO10" s="408">
        <v>0</v>
      </c>
      <c r="EP10" s="408">
        <v>0</v>
      </c>
      <c r="EQ10" s="408">
        <v>0</v>
      </c>
      <c r="ER10" s="408">
        <v>0</v>
      </c>
      <c r="ES10" s="408">
        <v>0</v>
      </c>
      <c r="ET10" s="408">
        <v>0</v>
      </c>
      <c r="EU10" s="408">
        <v>0</v>
      </c>
      <c r="EV10" s="408">
        <v>257</v>
      </c>
      <c r="EW10" s="408">
        <v>0</v>
      </c>
      <c r="EX10" s="408">
        <v>0</v>
      </c>
      <c r="EY10" s="408">
        <v>0</v>
      </c>
      <c r="EZ10" s="408"/>
      <c r="FA10" s="408">
        <v>0</v>
      </c>
      <c r="FB10" s="408"/>
      <c r="FC10" s="408"/>
      <c r="FD10" s="408"/>
      <c r="FE10" s="408"/>
      <c r="FF10" s="408">
        <v>0</v>
      </c>
      <c r="FG10" s="408">
        <v>0</v>
      </c>
      <c r="FH10" s="408">
        <v>0</v>
      </c>
      <c r="FI10" s="408">
        <v>0</v>
      </c>
    </row>
    <row r="11" spans="1:165" customFormat="1">
      <c r="A11" s="408">
        <v>9</v>
      </c>
      <c r="B11" s="408" t="s">
        <v>2236</v>
      </c>
      <c r="C11" s="408" t="s">
        <v>2233</v>
      </c>
      <c r="D11" s="408" t="s">
        <v>1958</v>
      </c>
      <c r="E11" s="408" t="s">
        <v>969</v>
      </c>
      <c r="F11" s="408" t="s">
        <v>1321</v>
      </c>
      <c r="G11" s="408" t="s">
        <v>1321</v>
      </c>
      <c r="H11" s="408" t="s">
        <v>1321</v>
      </c>
      <c r="I11" s="408" t="s">
        <v>1321</v>
      </c>
      <c r="J11" s="408" t="s">
        <v>2234</v>
      </c>
      <c r="K11" s="828">
        <v>44378</v>
      </c>
      <c r="L11" s="408">
        <v>0</v>
      </c>
      <c r="M11" s="408">
        <v>0</v>
      </c>
      <c r="N11" s="408">
        <v>4.9480000000000004</v>
      </c>
      <c r="O11" s="408">
        <v>4.9480000000000004</v>
      </c>
      <c r="P11" s="408">
        <v>4.9480000000000004</v>
      </c>
      <c r="Q11" s="408">
        <v>4.9480000000000004</v>
      </c>
      <c r="R11" s="408"/>
      <c r="S11" s="408">
        <v>710.91</v>
      </c>
      <c r="T11" s="408">
        <v>256.55</v>
      </c>
      <c r="U11" s="408"/>
      <c r="V11" s="408">
        <v>4786.99208</v>
      </c>
      <c r="W11" s="408">
        <v>4786.99208</v>
      </c>
      <c r="X11" s="408">
        <v>3267.80764</v>
      </c>
      <c r="Y11" s="408">
        <v>0</v>
      </c>
      <c r="Z11" s="408">
        <v>304.17672355712887</v>
      </c>
      <c r="AA11" s="408">
        <v>0</v>
      </c>
      <c r="AB11" s="408">
        <v>0</v>
      </c>
      <c r="AC11" s="408">
        <v>0</v>
      </c>
      <c r="AD11" s="408">
        <v>609.01364394708469</v>
      </c>
      <c r="AE11" s="408">
        <v>2359.7509852188596</v>
      </c>
      <c r="AF11" s="408">
        <v>1269.4218775301936</v>
      </c>
      <c r="AG11" s="408">
        <v>0</v>
      </c>
      <c r="AH11" s="408">
        <v>0</v>
      </c>
      <c r="AI11" s="408">
        <v>0</v>
      </c>
      <c r="AJ11" s="408">
        <v>0</v>
      </c>
      <c r="AK11" s="408">
        <v>0</v>
      </c>
      <c r="AL11" s="408">
        <v>47.027097061828158</v>
      </c>
      <c r="AM11" s="408"/>
      <c r="AN11" s="408">
        <v>10.864841389982207</v>
      </c>
      <c r="AO11" s="408">
        <v>0</v>
      </c>
      <c r="AP11" s="408">
        <v>0</v>
      </c>
      <c r="AQ11" s="408">
        <v>0</v>
      </c>
      <c r="AR11" s="408">
        <v>0</v>
      </c>
      <c r="AS11" s="408">
        <v>0</v>
      </c>
      <c r="AT11" s="408">
        <v>0</v>
      </c>
      <c r="AU11" s="408">
        <v>0</v>
      </c>
      <c r="AV11" s="408">
        <v>0</v>
      </c>
      <c r="AW11" s="408">
        <v>0</v>
      </c>
      <c r="AX11" s="408">
        <v>0</v>
      </c>
      <c r="AY11" s="408">
        <v>0</v>
      </c>
      <c r="AZ11" s="408">
        <v>0</v>
      </c>
      <c r="BA11" s="408"/>
      <c r="BB11" s="408">
        <v>0</v>
      </c>
      <c r="BC11" s="408">
        <v>0</v>
      </c>
      <c r="BD11" s="408">
        <v>7.3741049934115432</v>
      </c>
      <c r="BE11" s="408">
        <v>0</v>
      </c>
      <c r="BF11" s="408">
        <v>0</v>
      </c>
      <c r="BG11" s="408">
        <v>179.38183445593407</v>
      </c>
      <c r="BH11" s="408">
        <v>0</v>
      </c>
      <c r="BI11" s="408">
        <v>5.74</v>
      </c>
      <c r="BJ11" s="408">
        <v>2.02</v>
      </c>
      <c r="BK11" s="408">
        <v>896.89</v>
      </c>
      <c r="BL11" s="408">
        <v>3</v>
      </c>
      <c r="BM11" s="408"/>
      <c r="BN11" s="408"/>
      <c r="BO11" s="408"/>
      <c r="BP11" s="408"/>
      <c r="BQ11" s="408"/>
      <c r="BR11" s="408"/>
      <c r="BS11" s="408"/>
      <c r="BT11" s="408"/>
      <c r="BU11" s="408"/>
      <c r="BV11" s="408">
        <v>1456.1778169795391</v>
      </c>
      <c r="BW11" s="408"/>
      <c r="BX11" s="408"/>
      <c r="BY11" s="408"/>
      <c r="BZ11" s="408"/>
      <c r="CA11" s="408"/>
      <c r="CB11" s="408"/>
      <c r="CC11" s="408"/>
      <c r="CD11" s="408"/>
      <c r="CE11" s="408"/>
      <c r="CF11" s="408"/>
      <c r="CG11" s="408"/>
      <c r="CH11" s="408"/>
      <c r="CI11" s="408">
        <v>3269.1284999999998</v>
      </c>
      <c r="CJ11" s="408">
        <v>-1517.8935800000008</v>
      </c>
      <c r="CK11" s="408"/>
      <c r="CL11" s="408"/>
      <c r="CM11" s="408"/>
      <c r="CN11" s="408"/>
      <c r="CO11" s="408">
        <v>-1598.30296</v>
      </c>
      <c r="CP11" s="408">
        <v>79.118520000000046</v>
      </c>
      <c r="CQ11" s="408">
        <v>31</v>
      </c>
      <c r="CR11" s="408">
        <v>65.775179812338138</v>
      </c>
      <c r="CS11" s="408">
        <v>0</v>
      </c>
      <c r="CT11" s="408">
        <v>0</v>
      </c>
      <c r="CU11" s="408">
        <v>0</v>
      </c>
      <c r="CV11" s="408">
        <v>0</v>
      </c>
      <c r="CW11" s="408">
        <v>0</v>
      </c>
      <c r="CX11" s="408">
        <v>0</v>
      </c>
      <c r="CY11" s="408">
        <v>0</v>
      </c>
      <c r="CZ11" s="408">
        <v>-2.7527799747107338</v>
      </c>
      <c r="DA11" s="408">
        <v>0</v>
      </c>
      <c r="DB11" s="408">
        <v>0</v>
      </c>
      <c r="DC11" s="408">
        <v>79.083039698000221</v>
      </c>
      <c r="DD11" s="408">
        <v>0</v>
      </c>
      <c r="DE11" s="408">
        <v>0</v>
      </c>
      <c r="DF11" s="408">
        <v>0.45939545257075132</v>
      </c>
      <c r="DG11" s="408">
        <v>11.175213683081807</v>
      </c>
      <c r="DH11" s="408">
        <v>0</v>
      </c>
      <c r="DI11" s="408">
        <v>-18.914880822858152</v>
      </c>
      <c r="DJ11" s="408"/>
      <c r="DK11" s="408">
        <v>0</v>
      </c>
      <c r="DL11" s="408">
        <v>0</v>
      </c>
      <c r="DM11" s="408">
        <v>0</v>
      </c>
      <c r="DN11" s="408">
        <v>0</v>
      </c>
      <c r="DO11" s="408">
        <v>-2.5805033567278954</v>
      </c>
      <c r="DP11" s="408">
        <v>-0.69430486701805094</v>
      </c>
      <c r="DQ11" s="408">
        <v>0</v>
      </c>
      <c r="DR11" s="408">
        <v>0</v>
      </c>
      <c r="DS11" s="408"/>
      <c r="DT11" s="408"/>
      <c r="DU11" s="408"/>
      <c r="DV11" s="408">
        <v>2359.7509852188596</v>
      </c>
      <c r="DW11" s="408">
        <v>0</v>
      </c>
      <c r="DX11" s="408">
        <v>0</v>
      </c>
      <c r="DY11" s="408">
        <v>-1598.30296</v>
      </c>
      <c r="DZ11" s="408">
        <v>79.11851999999999</v>
      </c>
      <c r="EA11" s="408">
        <v>0</v>
      </c>
      <c r="EB11" s="408">
        <v>0</v>
      </c>
      <c r="EC11" s="408">
        <v>-1584.9849607543206</v>
      </c>
      <c r="ED11" s="408">
        <v>0</v>
      </c>
      <c r="EE11" s="408">
        <v>0</v>
      </c>
      <c r="EF11" s="408">
        <v>0</v>
      </c>
      <c r="EG11" s="408">
        <v>0</v>
      </c>
      <c r="EH11" s="408">
        <v>0</v>
      </c>
      <c r="EI11" s="408">
        <v>0</v>
      </c>
      <c r="EJ11" s="408">
        <v>0</v>
      </c>
      <c r="EK11" s="408">
        <v>0</v>
      </c>
      <c r="EL11" s="408">
        <v>0</v>
      </c>
      <c r="EM11" s="408">
        <v>0</v>
      </c>
      <c r="EN11" s="408">
        <v>0</v>
      </c>
      <c r="EO11" s="408">
        <v>0</v>
      </c>
      <c r="EP11" s="408">
        <v>0</v>
      </c>
      <c r="EQ11" s="408">
        <v>0</v>
      </c>
      <c r="ER11" s="408">
        <v>0</v>
      </c>
      <c r="ES11" s="408">
        <v>0</v>
      </c>
      <c r="ET11" s="408">
        <v>0</v>
      </c>
      <c r="EU11" s="408">
        <v>0</v>
      </c>
      <c r="EV11" s="408">
        <v>257</v>
      </c>
      <c r="EW11" s="408">
        <v>0</v>
      </c>
      <c r="EX11" s="408">
        <v>0</v>
      </c>
      <c r="EY11" s="408">
        <v>0</v>
      </c>
      <c r="EZ11" s="408"/>
      <c r="FA11" s="408">
        <v>0</v>
      </c>
      <c r="FB11" s="408"/>
      <c r="FC11" s="408"/>
      <c r="FD11" s="408"/>
      <c r="FE11" s="408"/>
      <c r="FF11" s="408">
        <v>0</v>
      </c>
      <c r="FG11" s="408">
        <v>0</v>
      </c>
      <c r="FH11" s="408">
        <v>0</v>
      </c>
      <c r="FI11" s="408">
        <v>0</v>
      </c>
    </row>
    <row r="12" spans="1:165" customFormat="1">
      <c r="A12" s="408">
        <v>10</v>
      </c>
      <c r="B12" s="408" t="s">
        <v>2236</v>
      </c>
      <c r="C12" s="408" t="s">
        <v>2233</v>
      </c>
      <c r="D12" s="408" t="s">
        <v>1958</v>
      </c>
      <c r="E12" s="408" t="s">
        <v>969</v>
      </c>
      <c r="F12" s="408" t="s">
        <v>1321</v>
      </c>
      <c r="G12" s="408" t="s">
        <v>1321</v>
      </c>
      <c r="H12" s="408" t="s">
        <v>1321</v>
      </c>
      <c r="I12" s="408" t="s">
        <v>1321</v>
      </c>
      <c r="J12" s="408" t="s">
        <v>2234</v>
      </c>
      <c r="K12" s="828">
        <v>44378</v>
      </c>
      <c r="L12" s="408">
        <v>0</v>
      </c>
      <c r="M12" s="408">
        <v>0</v>
      </c>
      <c r="N12" s="408">
        <v>0</v>
      </c>
      <c r="O12" s="408">
        <v>0</v>
      </c>
      <c r="P12" s="408">
        <v>0</v>
      </c>
      <c r="Q12" s="408">
        <v>0</v>
      </c>
      <c r="R12" s="408"/>
      <c r="S12" s="408"/>
      <c r="T12" s="408"/>
      <c r="U12" s="408"/>
      <c r="V12" s="408"/>
      <c r="W12" s="408"/>
      <c r="X12" s="408"/>
      <c r="Y12" s="408"/>
      <c r="Z12" s="408"/>
      <c r="AA12" s="408">
        <v>0</v>
      </c>
      <c r="AB12" s="408"/>
      <c r="AC12" s="408"/>
      <c r="AD12" s="408"/>
      <c r="AE12" s="408"/>
      <c r="AF12" s="408"/>
      <c r="AG12" s="408"/>
      <c r="AH12" s="408"/>
      <c r="AI12" s="408"/>
      <c r="AJ12" s="408"/>
      <c r="AK12" s="408"/>
      <c r="AL12" s="408"/>
      <c r="AM12" s="408"/>
      <c r="AN12" s="408"/>
      <c r="AO12" s="408"/>
      <c r="AP12" s="408"/>
      <c r="AQ12" s="408"/>
      <c r="AR12" s="408"/>
      <c r="AS12" s="408"/>
      <c r="AT12" s="408"/>
      <c r="AU12" s="408"/>
      <c r="AV12" s="408"/>
      <c r="AW12" s="408"/>
      <c r="AX12" s="408"/>
      <c r="AY12" s="408"/>
      <c r="AZ12" s="408">
        <v>0</v>
      </c>
      <c r="BA12" s="408"/>
      <c r="BB12" s="408"/>
      <c r="BC12" s="408"/>
      <c r="BD12" s="408"/>
      <c r="BE12" s="408"/>
      <c r="BF12" s="408"/>
      <c r="BG12" s="408"/>
      <c r="BH12" s="408"/>
      <c r="BI12" s="408">
        <v>-0.14000000000000001</v>
      </c>
      <c r="BJ12" s="408">
        <v>-0.47</v>
      </c>
      <c r="BK12" s="408">
        <v>-211.61</v>
      </c>
      <c r="BL12" s="408">
        <v>1</v>
      </c>
      <c r="BM12" s="408"/>
      <c r="BN12" s="408"/>
      <c r="BO12" s="408"/>
      <c r="BP12" s="408"/>
      <c r="BQ12" s="408"/>
      <c r="BR12" s="408"/>
      <c r="BS12" s="408"/>
      <c r="BT12" s="408"/>
      <c r="BU12" s="408"/>
      <c r="BV12" s="408"/>
      <c r="BW12" s="408"/>
      <c r="BX12" s="408"/>
      <c r="BY12" s="408"/>
      <c r="BZ12" s="408"/>
      <c r="CA12" s="408"/>
      <c r="CB12" s="408"/>
      <c r="CC12" s="408"/>
      <c r="CD12" s="408"/>
      <c r="CE12" s="408"/>
      <c r="CF12" s="408"/>
      <c r="CG12" s="408"/>
      <c r="CH12" s="408"/>
      <c r="CI12" s="408"/>
      <c r="CJ12" s="408">
        <v>-0.03</v>
      </c>
      <c r="CK12" s="408"/>
      <c r="CL12" s="408"/>
      <c r="CM12" s="408"/>
      <c r="CN12" s="408"/>
      <c r="CO12" s="408">
        <v>0</v>
      </c>
      <c r="CP12" s="408">
        <v>0</v>
      </c>
      <c r="CQ12" s="408">
        <v>31</v>
      </c>
      <c r="CR12" s="408"/>
      <c r="CS12" s="408"/>
      <c r="CT12" s="408"/>
      <c r="CU12" s="408"/>
      <c r="CV12" s="408"/>
      <c r="CW12" s="408"/>
      <c r="CX12" s="408"/>
      <c r="CY12" s="408"/>
      <c r="CZ12" s="408"/>
      <c r="DA12" s="408"/>
      <c r="DB12" s="408"/>
      <c r="DC12" s="408"/>
      <c r="DD12" s="408"/>
      <c r="DE12" s="408"/>
      <c r="DF12" s="408"/>
      <c r="DG12" s="408"/>
      <c r="DH12" s="408"/>
      <c r="DI12" s="408"/>
      <c r="DJ12" s="408"/>
      <c r="DK12" s="408">
        <v>0</v>
      </c>
      <c r="DL12" s="408"/>
      <c r="DM12" s="408"/>
      <c r="DN12" s="408"/>
      <c r="DO12" s="408"/>
      <c r="DP12" s="408"/>
      <c r="DQ12" s="408"/>
      <c r="DR12" s="408"/>
      <c r="DS12" s="408"/>
      <c r="DT12" s="408"/>
      <c r="DU12" s="408"/>
      <c r="DV12" s="408"/>
      <c r="DW12" s="408"/>
      <c r="DX12" s="408"/>
      <c r="DY12" s="408"/>
      <c r="DZ12" s="408"/>
      <c r="EA12" s="408"/>
      <c r="EB12" s="408"/>
      <c r="EC12" s="408"/>
      <c r="ED12" s="408"/>
      <c r="EE12" s="408"/>
      <c r="EF12" s="408"/>
      <c r="EG12" s="408"/>
      <c r="EH12" s="408"/>
      <c r="EI12" s="408"/>
      <c r="EJ12" s="408"/>
      <c r="EK12" s="408"/>
      <c r="EL12" s="408"/>
      <c r="EM12" s="408"/>
      <c r="EN12" s="408"/>
      <c r="EO12" s="408"/>
      <c r="EP12" s="408"/>
      <c r="EQ12" s="408"/>
      <c r="ER12" s="408"/>
      <c r="ES12" s="408"/>
      <c r="ET12" s="408"/>
      <c r="EU12" s="408"/>
      <c r="EV12" s="408">
        <v>257</v>
      </c>
      <c r="EW12" s="408"/>
      <c r="EX12" s="408"/>
      <c r="EY12" s="408"/>
      <c r="EZ12" s="408"/>
      <c r="FA12" s="408">
        <v>0</v>
      </c>
      <c r="FB12" s="408"/>
      <c r="FC12" s="408"/>
      <c r="FD12" s="408"/>
      <c r="FE12" s="408"/>
      <c r="FF12" s="408">
        <v>0</v>
      </c>
      <c r="FG12" s="408">
        <v>0</v>
      </c>
      <c r="FH12" s="408">
        <v>0</v>
      </c>
      <c r="FI12" s="408">
        <v>0</v>
      </c>
    </row>
    <row r="13" spans="1:165" customFormat="1">
      <c r="A13" s="408">
        <v>11</v>
      </c>
      <c r="B13" s="408" t="s">
        <v>1035</v>
      </c>
      <c r="C13" s="408" t="s">
        <v>2241</v>
      </c>
      <c r="D13" s="408" t="s">
        <v>596</v>
      </c>
      <c r="E13" s="408" t="s">
        <v>969</v>
      </c>
      <c r="F13" s="408" t="s">
        <v>1321</v>
      </c>
      <c r="G13" s="408" t="s">
        <v>1321</v>
      </c>
      <c r="H13" s="408" t="s">
        <v>1321</v>
      </c>
      <c r="I13" s="408" t="s">
        <v>972</v>
      </c>
      <c r="J13" s="408" t="s">
        <v>2234</v>
      </c>
      <c r="K13" s="828">
        <v>44378</v>
      </c>
      <c r="L13" s="408">
        <v>0</v>
      </c>
      <c r="M13" s="408">
        <v>0</v>
      </c>
      <c r="N13" s="408">
        <v>6.1310000000000002</v>
      </c>
      <c r="O13" s="408">
        <v>6.1310000000000002</v>
      </c>
      <c r="P13" s="408">
        <v>6.1310000000000002</v>
      </c>
      <c r="Q13" s="408">
        <v>6.1310000000000002</v>
      </c>
      <c r="R13" s="408"/>
      <c r="S13" s="408">
        <v>3130.62</v>
      </c>
      <c r="T13" s="408">
        <v>256.55</v>
      </c>
      <c r="U13" s="408"/>
      <c r="V13" s="408">
        <v>20766.739270000002</v>
      </c>
      <c r="W13" s="408">
        <v>20766.739270000002</v>
      </c>
      <c r="X13" s="408">
        <v>10929.304529999999</v>
      </c>
      <c r="Y13" s="408">
        <v>0</v>
      </c>
      <c r="Z13" s="408">
        <v>327.90410633630125</v>
      </c>
      <c r="AA13" s="408">
        <v>0</v>
      </c>
      <c r="AB13" s="408">
        <v>0</v>
      </c>
      <c r="AC13" s="408">
        <v>0</v>
      </c>
      <c r="AD13" s="408">
        <v>3949.6748523898063</v>
      </c>
      <c r="AE13" s="408">
        <v>14739.835452966976</v>
      </c>
      <c r="AF13" s="408">
        <v>1572.923510739211</v>
      </c>
      <c r="AG13" s="408">
        <v>0</v>
      </c>
      <c r="AH13" s="408">
        <v>0</v>
      </c>
      <c r="AI13" s="408">
        <v>0</v>
      </c>
      <c r="AJ13" s="408">
        <v>0</v>
      </c>
      <c r="AK13" s="408">
        <v>0</v>
      </c>
      <c r="AL13" s="408">
        <v>58.270641084492404</v>
      </c>
      <c r="AM13" s="408"/>
      <c r="AN13" s="408">
        <v>8.271056173209109</v>
      </c>
      <c r="AO13" s="408">
        <v>0</v>
      </c>
      <c r="AP13" s="408">
        <v>0</v>
      </c>
      <c r="AQ13" s="408">
        <v>0</v>
      </c>
      <c r="AR13" s="408">
        <v>0</v>
      </c>
      <c r="AS13" s="408">
        <v>0</v>
      </c>
      <c r="AT13" s="408">
        <v>0</v>
      </c>
      <c r="AU13" s="408">
        <v>0</v>
      </c>
      <c r="AV13" s="408">
        <v>0</v>
      </c>
      <c r="AW13" s="408">
        <v>0</v>
      </c>
      <c r="AX13" s="408">
        <v>0</v>
      </c>
      <c r="AY13" s="408">
        <v>0</v>
      </c>
      <c r="AZ13" s="408">
        <v>0</v>
      </c>
      <c r="BA13" s="408"/>
      <c r="BB13" s="408">
        <v>0</v>
      </c>
      <c r="BC13" s="408">
        <v>0</v>
      </c>
      <c r="BD13" s="408">
        <v>7.5535466066914578</v>
      </c>
      <c r="BE13" s="408">
        <v>0</v>
      </c>
      <c r="BF13" s="408">
        <v>0</v>
      </c>
      <c r="BG13" s="408">
        <v>102.32202593945678</v>
      </c>
      <c r="BH13" s="408">
        <v>0</v>
      </c>
      <c r="BI13" s="408">
        <v>0</v>
      </c>
      <c r="BJ13" s="408">
        <v>0</v>
      </c>
      <c r="BK13" s="408">
        <v>0</v>
      </c>
      <c r="BL13" s="408">
        <v>0</v>
      </c>
      <c r="BM13" s="408"/>
      <c r="BN13" s="408"/>
      <c r="BO13" s="408"/>
      <c r="BP13" s="408"/>
      <c r="BQ13" s="408"/>
      <c r="BR13" s="408"/>
      <c r="BS13" s="408"/>
      <c r="BT13" s="408"/>
      <c r="BU13" s="408"/>
      <c r="BV13" s="408">
        <v>1682.7990832853593</v>
      </c>
      <c r="BW13" s="408"/>
      <c r="BX13" s="408"/>
      <c r="BY13" s="408"/>
      <c r="BZ13" s="408"/>
      <c r="CA13" s="408"/>
      <c r="CB13" s="408"/>
      <c r="CC13" s="408"/>
      <c r="CD13" s="408"/>
      <c r="CE13" s="408"/>
      <c r="CF13" s="408"/>
      <c r="CG13" s="408"/>
      <c r="CH13" s="408"/>
      <c r="CI13" s="408">
        <v>10927.5219</v>
      </c>
      <c r="CJ13" s="408">
        <v>-9839.2473699999973</v>
      </c>
      <c r="CK13" s="408"/>
      <c r="CL13" s="408"/>
      <c r="CM13" s="408"/>
      <c r="CN13" s="408"/>
      <c r="CO13" s="408">
        <v>-9935.469430000001</v>
      </c>
      <c r="CP13" s="408">
        <v>98.034690000000055</v>
      </c>
      <c r="CQ13" s="408">
        <v>31</v>
      </c>
      <c r="CR13" s="408">
        <v>62.866668183372894</v>
      </c>
      <c r="CS13" s="408">
        <v>0</v>
      </c>
      <c r="CT13" s="408">
        <v>0</v>
      </c>
      <c r="CU13" s="408">
        <v>0</v>
      </c>
      <c r="CV13" s="408">
        <v>0</v>
      </c>
      <c r="CW13" s="408">
        <v>0</v>
      </c>
      <c r="CX13" s="408">
        <v>0</v>
      </c>
      <c r="CY13" s="408">
        <v>0</v>
      </c>
      <c r="CZ13" s="408">
        <v>-17.852778748620949</v>
      </c>
      <c r="DA13" s="408">
        <v>0</v>
      </c>
      <c r="DB13" s="408">
        <v>0</v>
      </c>
      <c r="DC13" s="408">
        <v>97.990726836790373</v>
      </c>
      <c r="DD13" s="408">
        <v>0</v>
      </c>
      <c r="DE13" s="408">
        <v>0</v>
      </c>
      <c r="DF13" s="408">
        <v>0.47057439038306814</v>
      </c>
      <c r="DG13" s="408">
        <v>6.3745055781563451</v>
      </c>
      <c r="DH13" s="408">
        <v>0</v>
      </c>
      <c r="DI13" s="408">
        <v>-20.390340918088384</v>
      </c>
      <c r="DJ13" s="408"/>
      <c r="DK13" s="408">
        <v>0</v>
      </c>
      <c r="DL13" s="408">
        <v>0</v>
      </c>
      <c r="DM13" s="408">
        <v>0</v>
      </c>
      <c r="DN13" s="408">
        <v>0</v>
      </c>
      <c r="DO13" s="408">
        <v>-3.1974668714831651</v>
      </c>
      <c r="DP13" s="408">
        <v>-0.52855208376386287</v>
      </c>
      <c r="DQ13" s="408">
        <v>0</v>
      </c>
      <c r="DR13" s="408">
        <v>0</v>
      </c>
      <c r="DS13" s="408"/>
      <c r="DT13" s="408"/>
      <c r="DU13" s="408"/>
      <c r="DV13" s="408">
        <v>14739.835452966976</v>
      </c>
      <c r="DW13" s="408">
        <v>0</v>
      </c>
      <c r="DX13" s="408">
        <v>0</v>
      </c>
      <c r="DY13" s="408">
        <v>-9935.469430000001</v>
      </c>
      <c r="DZ13" s="408">
        <v>98.034689999999955</v>
      </c>
      <c r="EA13" s="408">
        <v>0</v>
      </c>
      <c r="EB13" s="408">
        <v>0</v>
      </c>
      <c r="EC13" s="408">
        <v>-9900.3740917091691</v>
      </c>
      <c r="ED13" s="408">
        <v>0</v>
      </c>
      <c r="EE13" s="408">
        <v>0</v>
      </c>
      <c r="EF13" s="408">
        <v>0</v>
      </c>
      <c r="EG13" s="408">
        <v>0</v>
      </c>
      <c r="EH13" s="408">
        <v>0</v>
      </c>
      <c r="EI13" s="408">
        <v>0</v>
      </c>
      <c r="EJ13" s="408">
        <v>0</v>
      </c>
      <c r="EK13" s="408">
        <v>0</v>
      </c>
      <c r="EL13" s="408">
        <v>0</v>
      </c>
      <c r="EM13" s="408">
        <v>0</v>
      </c>
      <c r="EN13" s="408">
        <v>0</v>
      </c>
      <c r="EO13" s="408">
        <v>0</v>
      </c>
      <c r="EP13" s="408">
        <v>0</v>
      </c>
      <c r="EQ13" s="408">
        <v>0</v>
      </c>
      <c r="ER13" s="408">
        <v>0</v>
      </c>
      <c r="ES13" s="408">
        <v>0</v>
      </c>
      <c r="ET13" s="408">
        <v>0</v>
      </c>
      <c r="EU13" s="408">
        <v>0</v>
      </c>
      <c r="EV13" s="408">
        <v>257</v>
      </c>
      <c r="EW13" s="408">
        <v>0</v>
      </c>
      <c r="EX13" s="408">
        <v>0</v>
      </c>
      <c r="EY13" s="408">
        <v>0</v>
      </c>
      <c r="EZ13" s="408"/>
      <c r="FA13" s="408">
        <v>0</v>
      </c>
      <c r="FB13" s="408"/>
      <c r="FC13" s="408"/>
      <c r="FD13" s="408"/>
      <c r="FE13" s="408"/>
      <c r="FF13" s="408">
        <v>0</v>
      </c>
      <c r="FG13" s="408">
        <v>0</v>
      </c>
      <c r="FH13" s="408">
        <v>0</v>
      </c>
      <c r="FI13" s="408">
        <v>0</v>
      </c>
    </row>
    <row r="14" spans="1:165" customFormat="1">
      <c r="A14" s="408">
        <v>12</v>
      </c>
      <c r="B14" s="408" t="s">
        <v>2236</v>
      </c>
      <c r="C14" s="408" t="s">
        <v>2241</v>
      </c>
      <c r="D14" s="408" t="s">
        <v>596</v>
      </c>
      <c r="E14" s="408" t="s">
        <v>969</v>
      </c>
      <c r="F14" s="408" t="s">
        <v>1321</v>
      </c>
      <c r="G14" s="408" t="s">
        <v>1321</v>
      </c>
      <c r="H14" s="408" t="s">
        <v>1321</v>
      </c>
      <c r="I14" s="408" t="s">
        <v>972</v>
      </c>
      <c r="J14" s="408" t="s">
        <v>2234</v>
      </c>
      <c r="K14" s="828">
        <v>44378</v>
      </c>
      <c r="L14" s="408">
        <v>0</v>
      </c>
      <c r="M14" s="408">
        <v>0</v>
      </c>
      <c r="N14" s="408">
        <v>0.21</v>
      </c>
      <c r="O14" s="408">
        <v>0.21</v>
      </c>
      <c r="P14" s="408">
        <v>0.21</v>
      </c>
      <c r="Q14" s="408">
        <v>0.21</v>
      </c>
      <c r="R14" s="408"/>
      <c r="S14" s="408">
        <v>3130.62</v>
      </c>
      <c r="T14" s="408">
        <v>256.55</v>
      </c>
      <c r="U14" s="408"/>
      <c r="V14" s="408">
        <v>711.30569999999989</v>
      </c>
      <c r="W14" s="408">
        <v>711.30569999999989</v>
      </c>
      <c r="X14" s="408">
        <v>374.35230000000001</v>
      </c>
      <c r="Y14" s="408">
        <v>0</v>
      </c>
      <c r="Z14" s="408">
        <v>11.231424291408132</v>
      </c>
      <c r="AA14" s="408">
        <v>0</v>
      </c>
      <c r="AB14" s="408">
        <v>0</v>
      </c>
      <c r="AC14" s="408">
        <v>0</v>
      </c>
      <c r="AD14" s="408">
        <v>135.28489952729723</v>
      </c>
      <c r="AE14" s="408">
        <v>504.8712192339039</v>
      </c>
      <c r="AF14" s="408">
        <v>53.876029563730924</v>
      </c>
      <c r="AG14" s="408">
        <v>0</v>
      </c>
      <c r="AH14" s="408">
        <v>0</v>
      </c>
      <c r="AI14" s="408">
        <v>0</v>
      </c>
      <c r="AJ14" s="408">
        <v>0</v>
      </c>
      <c r="AK14" s="408">
        <v>0</v>
      </c>
      <c r="AL14" s="408">
        <v>1.9958953886386241</v>
      </c>
      <c r="AM14" s="408"/>
      <c r="AN14" s="408">
        <v>0.28330154891109327</v>
      </c>
      <c r="AO14" s="408">
        <v>0</v>
      </c>
      <c r="AP14" s="408">
        <v>0</v>
      </c>
      <c r="AQ14" s="408">
        <v>0</v>
      </c>
      <c r="AR14" s="408">
        <v>0</v>
      </c>
      <c r="AS14" s="408">
        <v>0</v>
      </c>
      <c r="AT14" s="408">
        <v>0</v>
      </c>
      <c r="AU14" s="408">
        <v>0</v>
      </c>
      <c r="AV14" s="408">
        <v>0</v>
      </c>
      <c r="AW14" s="408">
        <v>0</v>
      </c>
      <c r="AX14" s="408">
        <v>0</v>
      </c>
      <c r="AY14" s="408">
        <v>0</v>
      </c>
      <c r="AZ14" s="408">
        <v>0</v>
      </c>
      <c r="BA14" s="408"/>
      <c r="BB14" s="408">
        <v>0</v>
      </c>
      <c r="BC14" s="408">
        <v>0</v>
      </c>
      <c r="BD14" s="408">
        <v>0.25872529561331042</v>
      </c>
      <c r="BE14" s="408">
        <v>0</v>
      </c>
      <c r="BF14" s="408">
        <v>0</v>
      </c>
      <c r="BG14" s="408">
        <v>3.504750521495013</v>
      </c>
      <c r="BH14" s="408">
        <v>0</v>
      </c>
      <c r="BI14" s="408">
        <v>0</v>
      </c>
      <c r="BJ14" s="408">
        <v>0</v>
      </c>
      <c r="BK14" s="408">
        <v>0</v>
      </c>
      <c r="BL14" s="408">
        <v>0</v>
      </c>
      <c r="BM14" s="408"/>
      <c r="BN14" s="408"/>
      <c r="BO14" s="408"/>
      <c r="BP14" s="408"/>
      <c r="BQ14" s="408"/>
      <c r="BR14" s="408"/>
      <c r="BS14" s="408"/>
      <c r="BT14" s="408"/>
      <c r="BU14" s="408"/>
      <c r="BV14" s="408">
        <v>57.639505380839246</v>
      </c>
      <c r="BW14" s="408"/>
      <c r="BX14" s="408"/>
      <c r="BY14" s="408"/>
      <c r="BZ14" s="408"/>
      <c r="CA14" s="408"/>
      <c r="CB14" s="408"/>
      <c r="CC14" s="408"/>
      <c r="CD14" s="408"/>
      <c r="CE14" s="408"/>
      <c r="CF14" s="408"/>
      <c r="CG14" s="408"/>
      <c r="CH14" s="408"/>
      <c r="CI14" s="408">
        <v>374.35230000000001</v>
      </c>
      <c r="CJ14" s="408">
        <v>-336.98339999999985</v>
      </c>
      <c r="CK14" s="408"/>
      <c r="CL14" s="408"/>
      <c r="CM14" s="408"/>
      <c r="CN14" s="408"/>
      <c r="CO14" s="408">
        <v>-340.31129999999996</v>
      </c>
      <c r="CP14" s="408">
        <v>3.3579000000000017</v>
      </c>
      <c r="CQ14" s="408">
        <v>31</v>
      </c>
      <c r="CR14" s="408">
        <v>2.1533192494713091</v>
      </c>
      <c r="CS14" s="408">
        <v>0</v>
      </c>
      <c r="CT14" s="408">
        <v>0</v>
      </c>
      <c r="CU14" s="408">
        <v>0</v>
      </c>
      <c r="CV14" s="408">
        <v>0</v>
      </c>
      <c r="CW14" s="408">
        <v>0</v>
      </c>
      <c r="CX14" s="408">
        <v>0</v>
      </c>
      <c r="CY14" s="408">
        <v>0</v>
      </c>
      <c r="CZ14" s="408">
        <v>-0.6114962546420486</v>
      </c>
      <c r="DA14" s="408">
        <v>0</v>
      </c>
      <c r="DB14" s="408">
        <v>0</v>
      </c>
      <c r="DC14" s="408">
        <v>3.3563941666491601</v>
      </c>
      <c r="DD14" s="408">
        <v>0</v>
      </c>
      <c r="DE14" s="408">
        <v>0</v>
      </c>
      <c r="DF14" s="408">
        <v>1.611818985164637E-2</v>
      </c>
      <c r="DG14" s="408">
        <v>0.21834059230351155</v>
      </c>
      <c r="DH14" s="408">
        <v>0</v>
      </c>
      <c r="DI14" s="408">
        <v>-0.69841324299438412</v>
      </c>
      <c r="DJ14" s="408"/>
      <c r="DK14" s="408">
        <v>0</v>
      </c>
      <c r="DL14" s="408">
        <v>0</v>
      </c>
      <c r="DM14" s="408">
        <v>0</v>
      </c>
      <c r="DN14" s="408">
        <v>0</v>
      </c>
      <c r="DO14" s="408">
        <v>-0.10952015054827369</v>
      </c>
      <c r="DP14" s="408">
        <v>-1.8104051148330025E-2</v>
      </c>
      <c r="DQ14" s="408">
        <v>0</v>
      </c>
      <c r="DR14" s="408">
        <v>0</v>
      </c>
      <c r="DS14" s="408"/>
      <c r="DT14" s="408"/>
      <c r="DU14" s="408"/>
      <c r="DV14" s="408">
        <v>504.8712192339039</v>
      </c>
      <c r="DW14" s="408">
        <v>0</v>
      </c>
      <c r="DX14" s="408">
        <v>0</v>
      </c>
      <c r="DY14" s="408">
        <v>-340.3112999999999</v>
      </c>
      <c r="DZ14" s="408">
        <v>3.3579000000000008</v>
      </c>
      <c r="EA14" s="408">
        <v>0</v>
      </c>
      <c r="EB14" s="408">
        <v>0</v>
      </c>
      <c r="EC14" s="408">
        <v>-339.10920881730965</v>
      </c>
      <c r="ED14" s="408">
        <v>0</v>
      </c>
      <c r="EE14" s="408">
        <v>0</v>
      </c>
      <c r="EF14" s="408">
        <v>0</v>
      </c>
      <c r="EG14" s="408">
        <v>0</v>
      </c>
      <c r="EH14" s="408">
        <v>0</v>
      </c>
      <c r="EI14" s="408">
        <v>0</v>
      </c>
      <c r="EJ14" s="408">
        <v>0</v>
      </c>
      <c r="EK14" s="408">
        <v>0</v>
      </c>
      <c r="EL14" s="408">
        <v>0</v>
      </c>
      <c r="EM14" s="408">
        <v>0</v>
      </c>
      <c r="EN14" s="408">
        <v>0</v>
      </c>
      <c r="EO14" s="408">
        <v>0</v>
      </c>
      <c r="EP14" s="408">
        <v>0</v>
      </c>
      <c r="EQ14" s="408">
        <v>0</v>
      </c>
      <c r="ER14" s="408">
        <v>0</v>
      </c>
      <c r="ES14" s="408">
        <v>0</v>
      </c>
      <c r="ET14" s="408">
        <v>0</v>
      </c>
      <c r="EU14" s="408">
        <v>0</v>
      </c>
      <c r="EV14" s="408">
        <v>257</v>
      </c>
      <c r="EW14" s="408">
        <v>0</v>
      </c>
      <c r="EX14" s="408">
        <v>0</v>
      </c>
      <c r="EY14" s="408">
        <v>0</v>
      </c>
      <c r="EZ14" s="408"/>
      <c r="FA14" s="408">
        <v>0</v>
      </c>
      <c r="FB14" s="408"/>
      <c r="FC14" s="408"/>
      <c r="FD14" s="408"/>
      <c r="FE14" s="408"/>
      <c r="FF14" s="408">
        <v>0</v>
      </c>
      <c r="FG14" s="408">
        <v>0</v>
      </c>
      <c r="FH14" s="408">
        <v>0</v>
      </c>
      <c r="FI14" s="408">
        <v>0</v>
      </c>
    </row>
    <row r="15" spans="1:165" customFormat="1">
      <c r="A15" s="408">
        <v>13</v>
      </c>
      <c r="B15" s="408" t="s">
        <v>1035</v>
      </c>
      <c r="C15" s="408" t="s">
        <v>2241</v>
      </c>
      <c r="D15" s="408" t="s">
        <v>596</v>
      </c>
      <c r="E15" s="408" t="s">
        <v>969</v>
      </c>
      <c r="F15" s="408" t="s">
        <v>1321</v>
      </c>
      <c r="G15" s="408" t="s">
        <v>1321</v>
      </c>
      <c r="H15" s="408" t="s">
        <v>1321</v>
      </c>
      <c r="I15" s="408" t="s">
        <v>2242</v>
      </c>
      <c r="J15" s="408" t="s">
        <v>2234</v>
      </c>
      <c r="K15" s="828">
        <v>44378</v>
      </c>
      <c r="L15" s="408">
        <v>0</v>
      </c>
      <c r="M15" s="408">
        <v>0</v>
      </c>
      <c r="N15" s="408">
        <v>247.78700000000001</v>
      </c>
      <c r="O15" s="408">
        <v>247.78700000000001</v>
      </c>
      <c r="P15" s="408">
        <v>247.78700000000001</v>
      </c>
      <c r="Q15" s="408">
        <v>247.78700000000001</v>
      </c>
      <c r="R15" s="408"/>
      <c r="S15" s="408">
        <v>82.26</v>
      </c>
      <c r="T15" s="408">
        <v>256.55</v>
      </c>
      <c r="U15" s="408"/>
      <c r="V15" s="408">
        <v>83952.713470000002</v>
      </c>
      <c r="W15" s="408">
        <v>83952.713470000002</v>
      </c>
      <c r="X15" s="408">
        <v>87216.068260000015</v>
      </c>
      <c r="Y15" s="408">
        <v>0</v>
      </c>
      <c r="Z15" s="408">
        <v>13252.385385214986</v>
      </c>
      <c r="AA15" s="408">
        <v>0</v>
      </c>
      <c r="AB15" s="408">
        <v>0</v>
      </c>
      <c r="AC15" s="408">
        <v>0</v>
      </c>
      <c r="AD15" s="408">
        <v>0</v>
      </c>
      <c r="AE15" s="408">
        <v>0</v>
      </c>
      <c r="AF15" s="408">
        <v>63570.379702419974</v>
      </c>
      <c r="AG15" s="408">
        <v>0</v>
      </c>
      <c r="AH15" s="408">
        <v>0</v>
      </c>
      <c r="AI15" s="408">
        <v>0</v>
      </c>
      <c r="AJ15" s="408">
        <v>0</v>
      </c>
      <c r="AK15" s="408">
        <v>0</v>
      </c>
      <c r="AL15" s="408">
        <v>2355.0330031647563</v>
      </c>
      <c r="AM15" s="408"/>
      <c r="AN15" s="408">
        <v>334.27829000015748</v>
      </c>
      <c r="AO15" s="408">
        <v>0</v>
      </c>
      <c r="AP15" s="408">
        <v>0</v>
      </c>
      <c r="AQ15" s="408">
        <v>0</v>
      </c>
      <c r="AR15" s="408">
        <v>0</v>
      </c>
      <c r="AS15" s="408">
        <v>0</v>
      </c>
      <c r="AT15" s="408">
        <v>0</v>
      </c>
      <c r="AU15" s="408">
        <v>0</v>
      </c>
      <c r="AV15" s="408">
        <v>0</v>
      </c>
      <c r="AW15" s="408">
        <v>0</v>
      </c>
      <c r="AX15" s="408">
        <v>0</v>
      </c>
      <c r="AY15" s="408">
        <v>0</v>
      </c>
      <c r="AZ15" s="408">
        <v>0</v>
      </c>
      <c r="BA15" s="408"/>
      <c r="BB15" s="408">
        <v>0</v>
      </c>
      <c r="BC15" s="408">
        <v>0</v>
      </c>
      <c r="BD15" s="408">
        <v>305.2798324958826</v>
      </c>
      <c r="BE15" s="408">
        <v>0</v>
      </c>
      <c r="BF15" s="408">
        <v>0</v>
      </c>
      <c r="BG15" s="408">
        <v>4135.3886546175463</v>
      </c>
      <c r="BH15" s="408">
        <v>0</v>
      </c>
      <c r="BI15" s="408">
        <v>0</v>
      </c>
      <c r="BJ15" s="408">
        <v>0</v>
      </c>
      <c r="BK15" s="408">
        <v>0</v>
      </c>
      <c r="BL15" s="408">
        <v>0</v>
      </c>
      <c r="BM15" s="408"/>
      <c r="BN15" s="408"/>
      <c r="BO15" s="408"/>
      <c r="BP15" s="408"/>
      <c r="BQ15" s="408"/>
      <c r="BR15" s="408"/>
      <c r="BS15" s="408"/>
      <c r="BT15" s="408"/>
      <c r="BU15" s="408"/>
      <c r="BV15" s="408">
        <v>68011.048189533409</v>
      </c>
      <c r="BW15" s="408"/>
      <c r="BX15" s="408"/>
      <c r="BY15" s="408"/>
      <c r="BZ15" s="408"/>
      <c r="CA15" s="408"/>
      <c r="CB15" s="408"/>
      <c r="CC15" s="408"/>
      <c r="CD15" s="408"/>
      <c r="CE15" s="408"/>
      <c r="CF15" s="408"/>
      <c r="CG15" s="408"/>
      <c r="CH15" s="408"/>
      <c r="CI15" s="408">
        <v>87217.124199999991</v>
      </c>
      <c r="CJ15" s="408">
        <v>3264.3807299999899</v>
      </c>
      <c r="CK15" s="408"/>
      <c r="CL15" s="408"/>
      <c r="CM15" s="408"/>
      <c r="CN15" s="408"/>
      <c r="CO15" s="408">
        <v>-698.75934000000188</v>
      </c>
      <c r="CP15" s="408">
        <v>3962.1141300000022</v>
      </c>
      <c r="CQ15" s="408">
        <v>31</v>
      </c>
      <c r="CR15" s="408">
        <v>3262.311139608224</v>
      </c>
      <c r="CS15" s="408">
        <v>0</v>
      </c>
      <c r="CT15" s="408">
        <v>0</v>
      </c>
      <c r="CU15" s="408">
        <v>0</v>
      </c>
      <c r="CV15" s="408">
        <v>0</v>
      </c>
      <c r="CW15" s="408">
        <v>0</v>
      </c>
      <c r="CX15" s="408">
        <v>0</v>
      </c>
      <c r="CY15" s="408">
        <v>0</v>
      </c>
      <c r="CZ15" s="408">
        <v>0</v>
      </c>
      <c r="DA15" s="408">
        <v>0</v>
      </c>
      <c r="DB15" s="408">
        <v>0</v>
      </c>
      <c r="DC15" s="408">
        <v>3960.3373398642725</v>
      </c>
      <c r="DD15" s="408">
        <v>0</v>
      </c>
      <c r="DE15" s="408">
        <v>0</v>
      </c>
      <c r="DF15" s="408">
        <v>19.018466232237699</v>
      </c>
      <c r="DG15" s="408">
        <v>257.62838259576347</v>
      </c>
      <c r="DH15" s="408">
        <v>0</v>
      </c>
      <c r="DI15" s="408">
        <v>-824.08439162785362</v>
      </c>
      <c r="DJ15" s="408"/>
      <c r="DK15" s="408">
        <v>0</v>
      </c>
      <c r="DL15" s="408">
        <v>0</v>
      </c>
      <c r="DM15" s="408">
        <v>0</v>
      </c>
      <c r="DN15" s="408">
        <v>0</v>
      </c>
      <c r="DO15" s="408">
        <v>-129.22699782811969</v>
      </c>
      <c r="DP15" s="408">
        <v>-21.36165962805353</v>
      </c>
      <c r="DQ15" s="408">
        <v>0</v>
      </c>
      <c r="DR15" s="408">
        <v>0</v>
      </c>
      <c r="DS15" s="408"/>
      <c r="DT15" s="408"/>
      <c r="DU15" s="408"/>
      <c r="DV15" s="408">
        <v>0</v>
      </c>
      <c r="DW15" s="408">
        <v>0</v>
      </c>
      <c r="DX15" s="408">
        <v>0</v>
      </c>
      <c r="DY15" s="408">
        <v>-698.75934000000052</v>
      </c>
      <c r="DZ15" s="408">
        <v>3962.114130000009</v>
      </c>
      <c r="EA15" s="408">
        <v>0</v>
      </c>
      <c r="EB15" s="408">
        <v>0</v>
      </c>
      <c r="EC15" s="408">
        <v>0</v>
      </c>
      <c r="ED15" s="408">
        <v>0</v>
      </c>
      <c r="EE15" s="408">
        <v>0</v>
      </c>
      <c r="EF15" s="408">
        <v>0</v>
      </c>
      <c r="EG15" s="408">
        <v>0</v>
      </c>
      <c r="EH15" s="408">
        <v>0</v>
      </c>
      <c r="EI15" s="408">
        <v>0</v>
      </c>
      <c r="EJ15" s="408">
        <v>0</v>
      </c>
      <c r="EK15" s="408">
        <v>0</v>
      </c>
      <c r="EL15" s="408">
        <v>0</v>
      </c>
      <c r="EM15" s="408">
        <v>0</v>
      </c>
      <c r="EN15" s="408">
        <v>0</v>
      </c>
      <c r="EO15" s="408">
        <v>0</v>
      </c>
      <c r="EP15" s="408">
        <v>0</v>
      </c>
      <c r="EQ15" s="408">
        <v>0</v>
      </c>
      <c r="ER15" s="408">
        <v>0</v>
      </c>
      <c r="ES15" s="408">
        <v>0</v>
      </c>
      <c r="ET15" s="408">
        <v>0</v>
      </c>
      <c r="EU15" s="408">
        <v>0</v>
      </c>
      <c r="EV15" s="408">
        <v>257</v>
      </c>
      <c r="EW15" s="408">
        <v>0</v>
      </c>
      <c r="EX15" s="408">
        <v>0</v>
      </c>
      <c r="EY15" s="408">
        <v>0</v>
      </c>
      <c r="EZ15" s="408"/>
      <c r="FA15" s="408">
        <v>0</v>
      </c>
      <c r="FB15" s="408"/>
      <c r="FC15" s="408"/>
      <c r="FD15" s="408"/>
      <c r="FE15" s="408"/>
      <c r="FF15" s="408">
        <v>0</v>
      </c>
      <c r="FG15" s="408">
        <v>0</v>
      </c>
      <c r="FH15" s="408">
        <v>0</v>
      </c>
      <c r="FI15" s="408">
        <v>0</v>
      </c>
    </row>
    <row r="16" spans="1:165" customFormat="1">
      <c r="A16" s="408">
        <v>14</v>
      </c>
      <c r="B16" s="408" t="s">
        <v>2236</v>
      </c>
      <c r="C16" s="408" t="s">
        <v>2241</v>
      </c>
      <c r="D16" s="408" t="s">
        <v>596</v>
      </c>
      <c r="E16" s="408" t="s">
        <v>969</v>
      </c>
      <c r="F16" s="408" t="s">
        <v>1321</v>
      </c>
      <c r="G16" s="408" t="s">
        <v>1321</v>
      </c>
      <c r="H16" s="408" t="s">
        <v>1321</v>
      </c>
      <c r="I16" s="408" t="s">
        <v>2242</v>
      </c>
      <c r="J16" s="408" t="s">
        <v>2234</v>
      </c>
      <c r="K16" s="828">
        <v>44378</v>
      </c>
      <c r="L16" s="408">
        <v>0</v>
      </c>
      <c r="M16" s="408">
        <v>0</v>
      </c>
      <c r="N16" s="408">
        <v>6.1520000000000001</v>
      </c>
      <c r="O16" s="408">
        <v>6.1520000000000001</v>
      </c>
      <c r="P16" s="408">
        <v>6.1520000000000001</v>
      </c>
      <c r="Q16" s="408">
        <v>6.1520000000000001</v>
      </c>
      <c r="R16" s="408"/>
      <c r="S16" s="408">
        <v>82.26</v>
      </c>
      <c r="T16" s="408">
        <v>256.55</v>
      </c>
      <c r="U16" s="408"/>
      <c r="V16" s="408">
        <v>2084.3591200000001</v>
      </c>
      <c r="W16" s="408">
        <v>2084.3591200000001</v>
      </c>
      <c r="X16" s="408">
        <v>2165.3809600000004</v>
      </c>
      <c r="Y16" s="408">
        <v>0</v>
      </c>
      <c r="Z16" s="408">
        <v>329.02724876544204</v>
      </c>
      <c r="AA16" s="408">
        <v>0</v>
      </c>
      <c r="AB16" s="408">
        <v>0</v>
      </c>
      <c r="AC16" s="408">
        <v>0</v>
      </c>
      <c r="AD16" s="408">
        <v>0</v>
      </c>
      <c r="AE16" s="408">
        <v>0</v>
      </c>
      <c r="AF16" s="408">
        <v>1578.311113695584</v>
      </c>
      <c r="AG16" s="408">
        <v>0</v>
      </c>
      <c r="AH16" s="408">
        <v>0</v>
      </c>
      <c r="AI16" s="408">
        <v>0</v>
      </c>
      <c r="AJ16" s="408">
        <v>0</v>
      </c>
      <c r="AK16" s="408">
        <v>0</v>
      </c>
      <c r="AL16" s="408">
        <v>58.470230623356265</v>
      </c>
      <c r="AM16" s="408"/>
      <c r="AN16" s="408">
        <v>8.2993863281002191</v>
      </c>
      <c r="AO16" s="408">
        <v>0</v>
      </c>
      <c r="AP16" s="408">
        <v>0</v>
      </c>
      <c r="AQ16" s="408">
        <v>0</v>
      </c>
      <c r="AR16" s="408">
        <v>0</v>
      </c>
      <c r="AS16" s="408">
        <v>0</v>
      </c>
      <c r="AT16" s="408">
        <v>0</v>
      </c>
      <c r="AU16" s="408">
        <v>0</v>
      </c>
      <c r="AV16" s="408">
        <v>0</v>
      </c>
      <c r="AW16" s="408">
        <v>0</v>
      </c>
      <c r="AX16" s="408">
        <v>0</v>
      </c>
      <c r="AY16" s="408">
        <v>0</v>
      </c>
      <c r="AZ16" s="408">
        <v>0</v>
      </c>
      <c r="BA16" s="408"/>
      <c r="BB16" s="408">
        <v>0</v>
      </c>
      <c r="BC16" s="408">
        <v>0</v>
      </c>
      <c r="BD16" s="408">
        <v>7.5794191362527892</v>
      </c>
      <c r="BE16" s="408">
        <v>0</v>
      </c>
      <c r="BF16" s="408">
        <v>0</v>
      </c>
      <c r="BG16" s="408">
        <v>102.67250099160628</v>
      </c>
      <c r="BH16" s="408">
        <v>0</v>
      </c>
      <c r="BI16" s="408">
        <v>0</v>
      </c>
      <c r="BJ16" s="408">
        <v>0</v>
      </c>
      <c r="BK16" s="408">
        <v>0</v>
      </c>
      <c r="BL16" s="408">
        <v>0</v>
      </c>
      <c r="BM16" s="408"/>
      <c r="BN16" s="408"/>
      <c r="BO16" s="408"/>
      <c r="BP16" s="408"/>
      <c r="BQ16" s="408"/>
      <c r="BR16" s="408"/>
      <c r="BS16" s="408"/>
      <c r="BT16" s="408"/>
      <c r="BU16" s="408"/>
      <c r="BV16" s="408">
        <v>1688.563033823443</v>
      </c>
      <c r="BW16" s="408"/>
      <c r="BX16" s="408"/>
      <c r="BY16" s="408"/>
      <c r="BZ16" s="408"/>
      <c r="CA16" s="408"/>
      <c r="CB16" s="408"/>
      <c r="CC16" s="408"/>
      <c r="CD16" s="408"/>
      <c r="CE16" s="408"/>
      <c r="CF16" s="408"/>
      <c r="CG16" s="408"/>
      <c r="CH16" s="408"/>
      <c r="CI16" s="408">
        <v>2164.6770000000006</v>
      </c>
      <c r="CJ16" s="408">
        <v>80.287880000000314</v>
      </c>
      <c r="CK16" s="408"/>
      <c r="CL16" s="408"/>
      <c r="CM16" s="408"/>
      <c r="CN16" s="408"/>
      <c r="CO16" s="408">
        <v>-17.348640000000046</v>
      </c>
      <c r="CP16" s="408">
        <v>98.370480000000057</v>
      </c>
      <c r="CQ16" s="408">
        <v>31</v>
      </c>
      <c r="CR16" s="408">
        <v>80.995928482405816</v>
      </c>
      <c r="CS16" s="408">
        <v>0</v>
      </c>
      <c r="CT16" s="408">
        <v>0</v>
      </c>
      <c r="CU16" s="408">
        <v>0</v>
      </c>
      <c r="CV16" s="408">
        <v>0</v>
      </c>
      <c r="CW16" s="408">
        <v>0</v>
      </c>
      <c r="CX16" s="408">
        <v>0</v>
      </c>
      <c r="CY16" s="408">
        <v>0</v>
      </c>
      <c r="CZ16" s="408">
        <v>0</v>
      </c>
      <c r="DA16" s="408">
        <v>0</v>
      </c>
      <c r="DB16" s="408">
        <v>0</v>
      </c>
      <c r="DC16" s="408">
        <v>98.32636625345549</v>
      </c>
      <c r="DD16" s="408">
        <v>0</v>
      </c>
      <c r="DE16" s="408">
        <v>0</v>
      </c>
      <c r="DF16" s="408">
        <v>0.47218620936823097</v>
      </c>
      <c r="DG16" s="408">
        <v>6.3963396373866885</v>
      </c>
      <c r="DH16" s="408">
        <v>0</v>
      </c>
      <c r="DI16" s="408">
        <v>-20.460182242387816</v>
      </c>
      <c r="DJ16" s="408"/>
      <c r="DK16" s="408">
        <v>0</v>
      </c>
      <c r="DL16" s="408">
        <v>0</v>
      </c>
      <c r="DM16" s="408">
        <v>0</v>
      </c>
      <c r="DN16" s="408">
        <v>0</v>
      </c>
      <c r="DO16" s="408">
        <v>-3.2084188865379915</v>
      </c>
      <c r="DP16" s="408">
        <v>-0.53036248887869686</v>
      </c>
      <c r="DQ16" s="408">
        <v>0</v>
      </c>
      <c r="DR16" s="408">
        <v>0</v>
      </c>
      <c r="DS16" s="408"/>
      <c r="DT16" s="408"/>
      <c r="DU16" s="408"/>
      <c r="DV16" s="408">
        <v>0</v>
      </c>
      <c r="DW16" s="408">
        <v>0</v>
      </c>
      <c r="DX16" s="408">
        <v>0</v>
      </c>
      <c r="DY16" s="408">
        <v>-17.348640000000046</v>
      </c>
      <c r="DZ16" s="408">
        <v>98.370480000000043</v>
      </c>
      <c r="EA16" s="408">
        <v>0</v>
      </c>
      <c r="EB16" s="408">
        <v>0</v>
      </c>
      <c r="EC16" s="408">
        <v>0</v>
      </c>
      <c r="ED16" s="408">
        <v>0</v>
      </c>
      <c r="EE16" s="408">
        <v>0</v>
      </c>
      <c r="EF16" s="408">
        <v>0</v>
      </c>
      <c r="EG16" s="408">
        <v>0</v>
      </c>
      <c r="EH16" s="408">
        <v>0</v>
      </c>
      <c r="EI16" s="408">
        <v>0</v>
      </c>
      <c r="EJ16" s="408">
        <v>0</v>
      </c>
      <c r="EK16" s="408">
        <v>0</v>
      </c>
      <c r="EL16" s="408">
        <v>0</v>
      </c>
      <c r="EM16" s="408">
        <v>0</v>
      </c>
      <c r="EN16" s="408">
        <v>0</v>
      </c>
      <c r="EO16" s="408">
        <v>0</v>
      </c>
      <c r="EP16" s="408">
        <v>0</v>
      </c>
      <c r="EQ16" s="408">
        <v>0</v>
      </c>
      <c r="ER16" s="408">
        <v>0</v>
      </c>
      <c r="ES16" s="408">
        <v>0</v>
      </c>
      <c r="ET16" s="408">
        <v>0</v>
      </c>
      <c r="EU16" s="408">
        <v>0</v>
      </c>
      <c r="EV16" s="408">
        <v>257</v>
      </c>
      <c r="EW16" s="408">
        <v>0</v>
      </c>
      <c r="EX16" s="408">
        <v>0</v>
      </c>
      <c r="EY16" s="408">
        <v>0</v>
      </c>
      <c r="EZ16" s="408"/>
      <c r="FA16" s="408">
        <v>0</v>
      </c>
      <c r="FB16" s="408"/>
      <c r="FC16" s="408"/>
      <c r="FD16" s="408"/>
      <c r="FE16" s="408"/>
      <c r="FF16" s="408">
        <v>0</v>
      </c>
      <c r="FG16" s="408">
        <v>0</v>
      </c>
      <c r="FH16" s="408">
        <v>0</v>
      </c>
      <c r="FI16" s="408">
        <v>0</v>
      </c>
    </row>
    <row r="17" spans="1:165" customFormat="1">
      <c r="A17" s="408">
        <v>15</v>
      </c>
      <c r="B17" s="408" t="s">
        <v>1035</v>
      </c>
      <c r="C17" s="408" t="s">
        <v>2241</v>
      </c>
      <c r="D17" s="408" t="s">
        <v>596</v>
      </c>
      <c r="E17" s="408" t="s">
        <v>969</v>
      </c>
      <c r="F17" s="408" t="s">
        <v>1321</v>
      </c>
      <c r="G17" s="408" t="s">
        <v>1321</v>
      </c>
      <c r="H17" s="408" t="s">
        <v>1321</v>
      </c>
      <c r="I17" s="408" t="s">
        <v>1321</v>
      </c>
      <c r="J17" s="408" t="s">
        <v>2234</v>
      </c>
      <c r="K17" s="828">
        <v>44378</v>
      </c>
      <c r="L17" s="408">
        <v>1700</v>
      </c>
      <c r="M17" s="408">
        <v>1700</v>
      </c>
      <c r="N17" s="408">
        <v>0</v>
      </c>
      <c r="O17" s="408">
        <v>0</v>
      </c>
      <c r="P17" s="408">
        <v>0</v>
      </c>
      <c r="Q17" s="408">
        <v>0</v>
      </c>
      <c r="R17" s="408">
        <v>47.39</v>
      </c>
      <c r="S17" s="408"/>
      <c r="T17" s="408"/>
      <c r="U17" s="408">
        <v>80563</v>
      </c>
      <c r="V17" s="408"/>
      <c r="W17" s="408">
        <v>80563</v>
      </c>
      <c r="X17" s="408">
        <v>54774</v>
      </c>
      <c r="Y17" s="408">
        <v>0</v>
      </c>
      <c r="Z17" s="408">
        <v>0</v>
      </c>
      <c r="AA17" s="408">
        <v>0</v>
      </c>
      <c r="AB17" s="408">
        <v>0</v>
      </c>
      <c r="AC17" s="408">
        <v>0</v>
      </c>
      <c r="AD17" s="408">
        <v>42449.170305091691</v>
      </c>
      <c r="AE17" s="408">
        <v>38113.77431774015</v>
      </c>
      <c r="AF17" s="408"/>
      <c r="AG17" s="408"/>
      <c r="AH17" s="408"/>
      <c r="AI17" s="408">
        <v>0</v>
      </c>
      <c r="AJ17" s="408">
        <v>0</v>
      </c>
      <c r="AK17" s="408">
        <v>0</v>
      </c>
      <c r="AL17" s="408">
        <v>0</v>
      </c>
      <c r="AM17" s="408"/>
      <c r="AN17" s="408">
        <v>0</v>
      </c>
      <c r="AO17" s="408">
        <v>0</v>
      </c>
      <c r="AP17" s="408">
        <v>0</v>
      </c>
      <c r="AQ17" s="408">
        <v>0</v>
      </c>
      <c r="AR17" s="408">
        <v>0</v>
      </c>
      <c r="AS17" s="408"/>
      <c r="AT17" s="408"/>
      <c r="AU17" s="408">
        <v>0</v>
      </c>
      <c r="AV17" s="408">
        <v>0</v>
      </c>
      <c r="AW17" s="408">
        <v>0</v>
      </c>
      <c r="AX17" s="408"/>
      <c r="AY17" s="408"/>
      <c r="AZ17" s="408">
        <v>0</v>
      </c>
      <c r="BA17" s="408"/>
      <c r="BB17" s="408">
        <v>0</v>
      </c>
      <c r="BC17" s="408">
        <v>0</v>
      </c>
      <c r="BD17" s="408">
        <v>0</v>
      </c>
      <c r="BE17" s="408">
        <v>0</v>
      </c>
      <c r="BF17" s="408"/>
      <c r="BG17" s="408">
        <v>0</v>
      </c>
      <c r="BH17" s="408">
        <v>0</v>
      </c>
      <c r="BI17" s="408">
        <v>223.26</v>
      </c>
      <c r="BJ17" s="408">
        <v>78.48</v>
      </c>
      <c r="BK17" s="408">
        <v>34435.440000000002</v>
      </c>
      <c r="BL17" s="408">
        <v>13</v>
      </c>
      <c r="BM17" s="408"/>
      <c r="BN17" s="408"/>
      <c r="BO17" s="408"/>
      <c r="BP17" s="408"/>
      <c r="BQ17" s="408"/>
      <c r="BR17" s="408"/>
      <c r="BS17" s="408"/>
      <c r="BT17" s="408"/>
      <c r="BU17" s="408"/>
      <c r="BV17" s="408">
        <v>0</v>
      </c>
      <c r="BW17" s="408"/>
      <c r="BX17" s="408"/>
      <c r="BY17" s="408"/>
      <c r="BZ17" s="408"/>
      <c r="CA17" s="408"/>
      <c r="CB17" s="408"/>
      <c r="CC17" s="408"/>
      <c r="CD17" s="408"/>
      <c r="CE17" s="408"/>
      <c r="CF17" s="408"/>
      <c r="CG17" s="408"/>
      <c r="CH17" s="408"/>
      <c r="CI17" s="408">
        <v>54774</v>
      </c>
      <c r="CJ17" s="408">
        <v>-25789.029999999984</v>
      </c>
      <c r="CK17" s="408"/>
      <c r="CL17" s="408"/>
      <c r="CM17" s="408"/>
      <c r="CN17" s="408"/>
      <c r="CO17" s="408">
        <v>-25789.000000000004</v>
      </c>
      <c r="CP17" s="408">
        <v>0</v>
      </c>
      <c r="CQ17" s="408">
        <v>31</v>
      </c>
      <c r="CR17" s="408">
        <v>-191.87291963057214</v>
      </c>
      <c r="CS17" s="408">
        <v>0</v>
      </c>
      <c r="CT17" s="408">
        <v>0</v>
      </c>
      <c r="CU17" s="408">
        <v>0</v>
      </c>
      <c r="CV17" s="408">
        <v>0</v>
      </c>
      <c r="CW17" s="408"/>
      <c r="CX17" s="408"/>
      <c r="CY17" s="408"/>
      <c r="CZ17" s="408">
        <v>-191.87291963057214</v>
      </c>
      <c r="DA17" s="408">
        <v>0</v>
      </c>
      <c r="DB17" s="408">
        <v>0</v>
      </c>
      <c r="DC17" s="408"/>
      <c r="DD17" s="408"/>
      <c r="DE17" s="408">
        <v>0</v>
      </c>
      <c r="DF17" s="408">
        <v>0</v>
      </c>
      <c r="DG17" s="408">
        <v>0</v>
      </c>
      <c r="DH17" s="408">
        <v>0</v>
      </c>
      <c r="DI17" s="408">
        <v>0</v>
      </c>
      <c r="DJ17" s="408"/>
      <c r="DK17" s="408">
        <v>0</v>
      </c>
      <c r="DL17" s="408">
        <v>0</v>
      </c>
      <c r="DM17" s="408"/>
      <c r="DN17" s="408">
        <v>0</v>
      </c>
      <c r="DO17" s="408">
        <v>0</v>
      </c>
      <c r="DP17" s="408">
        <v>0</v>
      </c>
      <c r="DQ17" s="408">
        <v>0</v>
      </c>
      <c r="DR17" s="408">
        <v>0</v>
      </c>
      <c r="DS17" s="408"/>
      <c r="DT17" s="408"/>
      <c r="DU17" s="408">
        <v>38113.77431774015</v>
      </c>
      <c r="DV17" s="408"/>
      <c r="DW17" s="408">
        <v>0</v>
      </c>
      <c r="DX17" s="408">
        <v>0</v>
      </c>
      <c r="DY17" s="408">
        <v>-25789</v>
      </c>
      <c r="DZ17" s="408"/>
      <c r="EA17" s="408">
        <v>0</v>
      </c>
      <c r="EB17" s="408"/>
      <c r="EC17" s="408">
        <v>-25600.056730392498</v>
      </c>
      <c r="ED17" s="408"/>
      <c r="EE17" s="408">
        <v>0</v>
      </c>
      <c r="EF17" s="408">
        <v>0</v>
      </c>
      <c r="EG17" s="408"/>
      <c r="EH17" s="408">
        <v>0</v>
      </c>
      <c r="EI17" s="408">
        <v>0</v>
      </c>
      <c r="EJ17" s="408">
        <v>0</v>
      </c>
      <c r="EK17" s="408">
        <v>0</v>
      </c>
      <c r="EL17" s="408">
        <v>0</v>
      </c>
      <c r="EM17" s="408"/>
      <c r="EN17" s="408"/>
      <c r="EO17" s="408">
        <v>0</v>
      </c>
      <c r="EP17" s="408">
        <v>0</v>
      </c>
      <c r="EQ17" s="408"/>
      <c r="ER17" s="408">
        <v>0</v>
      </c>
      <c r="ES17" s="408"/>
      <c r="ET17" s="408">
        <v>0</v>
      </c>
      <c r="EU17" s="408"/>
      <c r="EV17" s="408">
        <v>257</v>
      </c>
      <c r="EW17" s="408"/>
      <c r="EX17" s="408"/>
      <c r="EY17" s="408"/>
      <c r="EZ17" s="408"/>
      <c r="FA17" s="408">
        <v>0</v>
      </c>
      <c r="FB17" s="408"/>
      <c r="FC17" s="408"/>
      <c r="FD17" s="408"/>
      <c r="FE17" s="408"/>
      <c r="FF17" s="408">
        <v>0</v>
      </c>
      <c r="FG17" s="408">
        <v>0</v>
      </c>
      <c r="FH17" s="408">
        <v>0</v>
      </c>
      <c r="FI17" s="408">
        <v>0</v>
      </c>
    </row>
    <row r="18" spans="1:165" customFormat="1">
      <c r="A18" s="408">
        <v>16</v>
      </c>
      <c r="B18" s="408" t="s">
        <v>2236</v>
      </c>
      <c r="C18" s="408" t="s">
        <v>2241</v>
      </c>
      <c r="D18" s="408" t="s">
        <v>596</v>
      </c>
      <c r="E18" s="408" t="s">
        <v>969</v>
      </c>
      <c r="F18" s="408" t="s">
        <v>1321</v>
      </c>
      <c r="G18" s="408" t="s">
        <v>1321</v>
      </c>
      <c r="H18" s="408" t="s">
        <v>1321</v>
      </c>
      <c r="I18" s="408" t="s">
        <v>1321</v>
      </c>
      <c r="J18" s="408" t="s">
        <v>2234</v>
      </c>
      <c r="K18" s="828">
        <v>44378</v>
      </c>
      <c r="L18" s="408">
        <v>465</v>
      </c>
      <c r="M18" s="408">
        <v>465</v>
      </c>
      <c r="N18" s="408">
        <v>0</v>
      </c>
      <c r="O18" s="408">
        <v>0</v>
      </c>
      <c r="P18" s="408">
        <v>0</v>
      </c>
      <c r="Q18" s="408">
        <v>0</v>
      </c>
      <c r="R18" s="408">
        <v>47.39</v>
      </c>
      <c r="S18" s="408"/>
      <c r="T18" s="408"/>
      <c r="U18" s="408">
        <v>22036.35</v>
      </c>
      <c r="V18" s="408"/>
      <c r="W18" s="408">
        <v>22036.35</v>
      </c>
      <c r="X18" s="408">
        <v>14982.3</v>
      </c>
      <c r="Y18" s="408">
        <v>0</v>
      </c>
      <c r="Z18" s="408">
        <v>0</v>
      </c>
      <c r="AA18" s="408">
        <v>0</v>
      </c>
      <c r="AB18" s="408">
        <v>0</v>
      </c>
      <c r="AC18" s="408">
        <v>0</v>
      </c>
      <c r="AD18" s="408">
        <v>11611.09658345155</v>
      </c>
      <c r="AE18" s="408">
        <v>10425.238269264217</v>
      </c>
      <c r="AF18" s="408"/>
      <c r="AG18" s="408"/>
      <c r="AH18" s="408"/>
      <c r="AI18" s="408">
        <v>0</v>
      </c>
      <c r="AJ18" s="408">
        <v>0</v>
      </c>
      <c r="AK18" s="408">
        <v>0</v>
      </c>
      <c r="AL18" s="408">
        <v>0</v>
      </c>
      <c r="AM18" s="408"/>
      <c r="AN18" s="408">
        <v>0</v>
      </c>
      <c r="AO18" s="408">
        <v>0</v>
      </c>
      <c r="AP18" s="408">
        <v>0</v>
      </c>
      <c r="AQ18" s="408">
        <v>0</v>
      </c>
      <c r="AR18" s="408">
        <v>0</v>
      </c>
      <c r="AS18" s="408"/>
      <c r="AT18" s="408"/>
      <c r="AU18" s="408">
        <v>0</v>
      </c>
      <c r="AV18" s="408">
        <v>0</v>
      </c>
      <c r="AW18" s="408">
        <v>0</v>
      </c>
      <c r="AX18" s="408"/>
      <c r="AY18" s="408"/>
      <c r="AZ18" s="408">
        <v>0</v>
      </c>
      <c r="BA18" s="408"/>
      <c r="BB18" s="408">
        <v>0</v>
      </c>
      <c r="BC18" s="408">
        <v>0</v>
      </c>
      <c r="BD18" s="408">
        <v>0</v>
      </c>
      <c r="BE18" s="408">
        <v>0</v>
      </c>
      <c r="BF18" s="408"/>
      <c r="BG18" s="408">
        <v>0</v>
      </c>
      <c r="BH18" s="408">
        <v>0</v>
      </c>
      <c r="BI18" s="408">
        <v>24.6</v>
      </c>
      <c r="BJ18" s="408">
        <v>8.65</v>
      </c>
      <c r="BK18" s="408">
        <v>3759.67</v>
      </c>
      <c r="BL18" s="408">
        <v>2</v>
      </c>
      <c r="BM18" s="408"/>
      <c r="BN18" s="408"/>
      <c r="BO18" s="408"/>
      <c r="BP18" s="408"/>
      <c r="BQ18" s="408"/>
      <c r="BR18" s="408"/>
      <c r="BS18" s="408"/>
      <c r="BT18" s="408"/>
      <c r="BU18" s="408"/>
      <c r="BV18" s="408">
        <v>0</v>
      </c>
      <c r="BW18" s="408"/>
      <c r="BX18" s="408"/>
      <c r="BY18" s="408"/>
      <c r="BZ18" s="408"/>
      <c r="CA18" s="408"/>
      <c r="CB18" s="408"/>
      <c r="CC18" s="408"/>
      <c r="CD18" s="408"/>
      <c r="CE18" s="408"/>
      <c r="CF18" s="408"/>
      <c r="CG18" s="408"/>
      <c r="CH18" s="408"/>
      <c r="CI18" s="408">
        <v>14982.3</v>
      </c>
      <c r="CJ18" s="408">
        <v>-7054.0799999999945</v>
      </c>
      <c r="CK18" s="408"/>
      <c r="CL18" s="408"/>
      <c r="CM18" s="408"/>
      <c r="CN18" s="408"/>
      <c r="CO18" s="408">
        <v>-7054.0500000000011</v>
      </c>
      <c r="CP18" s="408">
        <v>0</v>
      </c>
      <c r="CQ18" s="408">
        <v>31</v>
      </c>
      <c r="CR18" s="408">
        <v>-52.482886840125502</v>
      </c>
      <c r="CS18" s="408">
        <v>0</v>
      </c>
      <c r="CT18" s="408">
        <v>0</v>
      </c>
      <c r="CU18" s="408">
        <v>0</v>
      </c>
      <c r="CV18" s="408">
        <v>0</v>
      </c>
      <c r="CW18" s="408"/>
      <c r="CX18" s="408"/>
      <c r="CY18" s="408"/>
      <c r="CZ18" s="408">
        <v>-52.482886840125502</v>
      </c>
      <c r="DA18" s="408">
        <v>0</v>
      </c>
      <c r="DB18" s="408">
        <v>0</v>
      </c>
      <c r="DC18" s="408"/>
      <c r="DD18" s="408"/>
      <c r="DE18" s="408">
        <v>0</v>
      </c>
      <c r="DF18" s="408">
        <v>0</v>
      </c>
      <c r="DG18" s="408">
        <v>0</v>
      </c>
      <c r="DH18" s="408">
        <v>0</v>
      </c>
      <c r="DI18" s="408">
        <v>0</v>
      </c>
      <c r="DJ18" s="408"/>
      <c r="DK18" s="408">
        <v>0</v>
      </c>
      <c r="DL18" s="408">
        <v>0</v>
      </c>
      <c r="DM18" s="408"/>
      <c r="DN18" s="408">
        <v>0</v>
      </c>
      <c r="DO18" s="408">
        <v>0</v>
      </c>
      <c r="DP18" s="408">
        <v>0</v>
      </c>
      <c r="DQ18" s="408">
        <v>0</v>
      </c>
      <c r="DR18" s="408">
        <v>0</v>
      </c>
      <c r="DS18" s="408"/>
      <c r="DT18" s="408"/>
      <c r="DU18" s="408">
        <v>10425.238269264217</v>
      </c>
      <c r="DV18" s="408"/>
      <c r="DW18" s="408">
        <v>0</v>
      </c>
      <c r="DX18" s="408">
        <v>0</v>
      </c>
      <c r="DY18" s="408">
        <v>-7054.0499999999993</v>
      </c>
      <c r="DZ18" s="408"/>
      <c r="EA18" s="408">
        <v>0</v>
      </c>
      <c r="EB18" s="408"/>
      <c r="EC18" s="408">
        <v>-7002.3684586073578</v>
      </c>
      <c r="ED18" s="408"/>
      <c r="EE18" s="408">
        <v>0</v>
      </c>
      <c r="EF18" s="408">
        <v>0</v>
      </c>
      <c r="EG18" s="408"/>
      <c r="EH18" s="408">
        <v>0</v>
      </c>
      <c r="EI18" s="408">
        <v>0</v>
      </c>
      <c r="EJ18" s="408">
        <v>0</v>
      </c>
      <c r="EK18" s="408">
        <v>0</v>
      </c>
      <c r="EL18" s="408">
        <v>0</v>
      </c>
      <c r="EM18" s="408"/>
      <c r="EN18" s="408"/>
      <c r="EO18" s="408">
        <v>0</v>
      </c>
      <c r="EP18" s="408">
        <v>0</v>
      </c>
      <c r="EQ18" s="408"/>
      <c r="ER18" s="408">
        <v>0</v>
      </c>
      <c r="ES18" s="408"/>
      <c r="ET18" s="408">
        <v>0</v>
      </c>
      <c r="EU18" s="408"/>
      <c r="EV18" s="408">
        <v>257</v>
      </c>
      <c r="EW18" s="408"/>
      <c r="EX18" s="408"/>
      <c r="EY18" s="408"/>
      <c r="EZ18" s="408"/>
      <c r="FA18" s="408">
        <v>0</v>
      </c>
      <c r="FB18" s="408"/>
      <c r="FC18" s="408"/>
      <c r="FD18" s="408"/>
      <c r="FE18" s="408"/>
      <c r="FF18" s="408">
        <v>0</v>
      </c>
      <c r="FG18" s="408">
        <v>0</v>
      </c>
      <c r="FH18" s="408">
        <v>0</v>
      </c>
      <c r="FI18" s="408">
        <v>0</v>
      </c>
    </row>
    <row r="19" spans="1:165" customFormat="1">
      <c r="A19" s="408">
        <v>17</v>
      </c>
      <c r="B19" s="408" t="s">
        <v>1035</v>
      </c>
      <c r="C19" s="408" t="s">
        <v>2233</v>
      </c>
      <c r="D19" s="408" t="s">
        <v>1958</v>
      </c>
      <c r="E19" s="408" t="s">
        <v>997</v>
      </c>
      <c r="F19" s="408" t="s">
        <v>1321</v>
      </c>
      <c r="G19" s="408" t="s">
        <v>1321</v>
      </c>
      <c r="H19" s="408" t="s">
        <v>1321</v>
      </c>
      <c r="I19" s="408" t="s">
        <v>1321</v>
      </c>
      <c r="J19" s="408" t="s">
        <v>2234</v>
      </c>
      <c r="K19" s="828">
        <v>44378</v>
      </c>
      <c r="L19" s="408">
        <v>0</v>
      </c>
      <c r="M19" s="408">
        <v>0</v>
      </c>
      <c r="N19" s="408">
        <v>287.10399999999998</v>
      </c>
      <c r="O19" s="408">
        <v>287.10399999999998</v>
      </c>
      <c r="P19" s="408">
        <v>287.10399999999998</v>
      </c>
      <c r="Q19" s="408">
        <v>287.10399999999998</v>
      </c>
      <c r="R19" s="408"/>
      <c r="S19" s="408">
        <v>710.91</v>
      </c>
      <c r="T19" s="408">
        <v>256.55</v>
      </c>
      <c r="U19" s="408"/>
      <c r="V19" s="408">
        <v>277761.63584</v>
      </c>
      <c r="W19" s="408">
        <v>277761.63584</v>
      </c>
      <c r="X19" s="408">
        <v>189612.09471999999</v>
      </c>
      <c r="Y19" s="408">
        <v>0</v>
      </c>
      <c r="Z19" s="408">
        <v>17649.626928081227</v>
      </c>
      <c r="AA19" s="408">
        <v>0</v>
      </c>
      <c r="AB19" s="408">
        <v>0</v>
      </c>
      <c r="AC19" s="408">
        <v>0</v>
      </c>
      <c r="AD19" s="408">
        <v>35337.561283707313</v>
      </c>
      <c r="AE19" s="408">
        <v>136922.78635009608</v>
      </c>
      <c r="AF19" s="408">
        <v>73657.25519935906</v>
      </c>
      <c r="AG19" s="408">
        <v>0</v>
      </c>
      <c r="AH19" s="408">
        <v>0</v>
      </c>
      <c r="AI19" s="408">
        <v>0</v>
      </c>
      <c r="AJ19" s="408">
        <v>0</v>
      </c>
      <c r="AK19" s="408">
        <v>0</v>
      </c>
      <c r="AL19" s="408">
        <v>2728.7121412366837</v>
      </c>
      <c r="AM19" s="408"/>
      <c r="AN19" s="408">
        <v>630.42429717652612</v>
      </c>
      <c r="AO19" s="408">
        <v>0</v>
      </c>
      <c r="AP19" s="408">
        <v>0</v>
      </c>
      <c r="AQ19" s="408">
        <v>0</v>
      </c>
      <c r="AR19" s="408">
        <v>0</v>
      </c>
      <c r="AS19" s="408">
        <v>0</v>
      </c>
      <c r="AT19" s="408">
        <v>0</v>
      </c>
      <c r="AU19" s="408">
        <v>0</v>
      </c>
      <c r="AV19" s="408">
        <v>0</v>
      </c>
      <c r="AW19" s="408">
        <v>0</v>
      </c>
      <c r="AX19" s="408">
        <v>0</v>
      </c>
      <c r="AY19" s="408">
        <v>0</v>
      </c>
      <c r="AZ19" s="408">
        <v>0</v>
      </c>
      <c r="BA19" s="408"/>
      <c r="BB19" s="408">
        <v>0</v>
      </c>
      <c r="BC19" s="408">
        <v>0</v>
      </c>
      <c r="BD19" s="408">
        <v>427.87692805748333</v>
      </c>
      <c r="BE19" s="408">
        <v>0</v>
      </c>
      <c r="BF19" s="408">
        <v>0</v>
      </c>
      <c r="BG19" s="408">
        <v>10408.496806717156</v>
      </c>
      <c r="BH19" s="408">
        <v>0</v>
      </c>
      <c r="BI19" s="408">
        <v>301.73</v>
      </c>
      <c r="BJ19" s="408">
        <v>107.57</v>
      </c>
      <c r="BK19" s="408">
        <v>81643.45</v>
      </c>
      <c r="BL19" s="408">
        <v>883</v>
      </c>
      <c r="BM19" s="408"/>
      <c r="BN19" s="408"/>
      <c r="BO19" s="408"/>
      <c r="BP19" s="408"/>
      <c r="BQ19" s="408"/>
      <c r="BR19" s="408"/>
      <c r="BS19" s="408"/>
      <c r="BT19" s="408"/>
      <c r="BU19" s="408"/>
      <c r="BV19" s="408">
        <v>84493.628934133696</v>
      </c>
      <c r="BW19" s="408"/>
      <c r="BX19" s="408"/>
      <c r="BY19" s="408"/>
      <c r="BZ19" s="408"/>
      <c r="CA19" s="408"/>
      <c r="CB19" s="408"/>
      <c r="CC19" s="408"/>
      <c r="CD19" s="408"/>
      <c r="CE19" s="408"/>
      <c r="CF19" s="408"/>
      <c r="CG19" s="408"/>
      <c r="CH19" s="408"/>
      <c r="CI19" s="408">
        <v>189609.45300000004</v>
      </c>
      <c r="CJ19" s="408">
        <v>-88152.212839999993</v>
      </c>
      <c r="CK19" s="408"/>
      <c r="CL19" s="408"/>
      <c r="CM19" s="408"/>
      <c r="CN19" s="408"/>
      <c r="CO19" s="408">
        <v>-92740.334079999986</v>
      </c>
      <c r="CP19" s="408">
        <v>4590.7929600000025</v>
      </c>
      <c r="CQ19" s="408">
        <v>31</v>
      </c>
      <c r="CR19" s="408">
        <v>3816.5556234522082</v>
      </c>
      <c r="CS19" s="408">
        <v>0</v>
      </c>
      <c r="CT19" s="408">
        <v>0</v>
      </c>
      <c r="CU19" s="408">
        <v>0</v>
      </c>
      <c r="CV19" s="408">
        <v>0</v>
      </c>
      <c r="CW19" s="408">
        <v>0</v>
      </c>
      <c r="CX19" s="408">
        <v>0</v>
      </c>
      <c r="CY19" s="408">
        <v>0</v>
      </c>
      <c r="CZ19" s="408">
        <v>-159.72799956737435</v>
      </c>
      <c r="DA19" s="408">
        <v>0</v>
      </c>
      <c r="DB19" s="408">
        <v>0</v>
      </c>
      <c r="DC19" s="408">
        <v>4588.7342420078057</v>
      </c>
      <c r="DD19" s="408">
        <v>0</v>
      </c>
      <c r="DE19" s="408">
        <v>0</v>
      </c>
      <c r="DF19" s="408">
        <v>26.656077610119837</v>
      </c>
      <c r="DG19" s="408">
        <v>648.43341739440439</v>
      </c>
      <c r="DH19" s="408">
        <v>0</v>
      </c>
      <c r="DI19" s="408">
        <v>-1097.5218156357842</v>
      </c>
      <c r="DJ19" s="408"/>
      <c r="DK19" s="408">
        <v>0</v>
      </c>
      <c r="DL19" s="408">
        <v>0</v>
      </c>
      <c r="DM19" s="408">
        <v>0</v>
      </c>
      <c r="DN19" s="408">
        <v>0</v>
      </c>
      <c r="DO19" s="408">
        <v>-149.73177763338845</v>
      </c>
      <c r="DP19" s="408">
        <v>-40.286520723595459</v>
      </c>
      <c r="DQ19" s="408">
        <v>0</v>
      </c>
      <c r="DR19" s="408">
        <v>0</v>
      </c>
      <c r="DS19" s="408"/>
      <c r="DT19" s="408"/>
      <c r="DU19" s="408"/>
      <c r="DV19" s="408">
        <v>136922.78635009608</v>
      </c>
      <c r="DW19" s="408">
        <v>0</v>
      </c>
      <c r="DX19" s="408">
        <v>0</v>
      </c>
      <c r="DY19" s="408">
        <v>-92740.334079999986</v>
      </c>
      <c r="DZ19" s="408">
        <v>4590.7929600000061</v>
      </c>
      <c r="EA19" s="408">
        <v>0</v>
      </c>
      <c r="EB19" s="408">
        <v>0</v>
      </c>
      <c r="EC19" s="408">
        <v>-91967.567132661366</v>
      </c>
      <c r="ED19" s="408">
        <v>0</v>
      </c>
      <c r="EE19" s="408">
        <v>0</v>
      </c>
      <c r="EF19" s="408">
        <v>0</v>
      </c>
      <c r="EG19" s="408">
        <v>0</v>
      </c>
      <c r="EH19" s="408">
        <v>0</v>
      </c>
      <c r="EI19" s="408">
        <v>0</v>
      </c>
      <c r="EJ19" s="408">
        <v>0</v>
      </c>
      <c r="EK19" s="408">
        <v>0</v>
      </c>
      <c r="EL19" s="408">
        <v>0</v>
      </c>
      <c r="EM19" s="408">
        <v>0</v>
      </c>
      <c r="EN19" s="408">
        <v>0</v>
      </c>
      <c r="EO19" s="408">
        <v>0</v>
      </c>
      <c r="EP19" s="408">
        <v>0</v>
      </c>
      <c r="EQ19" s="408">
        <v>0</v>
      </c>
      <c r="ER19" s="408">
        <v>0</v>
      </c>
      <c r="ES19" s="408">
        <v>0</v>
      </c>
      <c r="ET19" s="408">
        <v>0</v>
      </c>
      <c r="EU19" s="408">
        <v>0</v>
      </c>
      <c r="EV19" s="408">
        <v>257</v>
      </c>
      <c r="EW19" s="408">
        <v>0</v>
      </c>
      <c r="EX19" s="408">
        <v>0</v>
      </c>
      <c r="EY19" s="408">
        <v>0</v>
      </c>
      <c r="EZ19" s="408"/>
      <c r="FA19" s="408">
        <v>0</v>
      </c>
      <c r="FB19" s="408"/>
      <c r="FC19" s="408"/>
      <c r="FD19" s="408"/>
      <c r="FE19" s="408"/>
      <c r="FF19" s="408">
        <v>0</v>
      </c>
      <c r="FG19" s="408">
        <v>0</v>
      </c>
      <c r="FH19" s="408">
        <v>0</v>
      </c>
      <c r="FI19" s="408">
        <v>0</v>
      </c>
    </row>
    <row r="20" spans="1:165" customFormat="1">
      <c r="A20" s="408">
        <v>18</v>
      </c>
      <c r="B20" s="408" t="s">
        <v>2235</v>
      </c>
      <c r="C20" s="408" t="s">
        <v>2233</v>
      </c>
      <c r="D20" s="408" t="s">
        <v>1958</v>
      </c>
      <c r="E20" s="408" t="s">
        <v>997</v>
      </c>
      <c r="F20" s="408" t="s">
        <v>1321</v>
      </c>
      <c r="G20" s="408" t="s">
        <v>1321</v>
      </c>
      <c r="H20" s="408" t="s">
        <v>1321</v>
      </c>
      <c r="I20" s="408" t="s">
        <v>1321</v>
      </c>
      <c r="J20" s="408" t="s">
        <v>2234</v>
      </c>
      <c r="K20" s="828">
        <v>44378</v>
      </c>
      <c r="L20" s="408">
        <v>0</v>
      </c>
      <c r="M20" s="408">
        <v>0</v>
      </c>
      <c r="N20" s="408">
        <v>-1.381</v>
      </c>
      <c r="O20" s="408">
        <v>-1.381</v>
      </c>
      <c r="P20" s="408">
        <v>-1.381</v>
      </c>
      <c r="Q20" s="408">
        <v>-1.381</v>
      </c>
      <c r="R20" s="408"/>
      <c r="S20" s="408">
        <v>710.91</v>
      </c>
      <c r="T20" s="408">
        <v>256.55</v>
      </c>
      <c r="U20" s="408"/>
      <c r="V20" s="408">
        <v>-1336.0622599999999</v>
      </c>
      <c r="W20" s="408">
        <v>-1336.0622599999999</v>
      </c>
      <c r="X20" s="408">
        <v>-912.05382999999995</v>
      </c>
      <c r="Y20" s="408">
        <v>0</v>
      </c>
      <c r="Z20" s="408">
        <v>-84.896535010589119</v>
      </c>
      <c r="AA20" s="408">
        <v>0</v>
      </c>
      <c r="AB20" s="408">
        <v>0</v>
      </c>
      <c r="AC20" s="408">
        <v>0</v>
      </c>
      <c r="AD20" s="408">
        <v>-169.97733271845672</v>
      </c>
      <c r="AE20" s="408">
        <v>-658.61279518739798</v>
      </c>
      <c r="AF20" s="408">
        <v>-354.29903251196384</v>
      </c>
      <c r="AG20" s="408">
        <v>0</v>
      </c>
      <c r="AH20" s="408">
        <v>0</v>
      </c>
      <c r="AI20" s="408">
        <v>0</v>
      </c>
      <c r="AJ20" s="408">
        <v>0</v>
      </c>
      <c r="AK20" s="408">
        <v>0</v>
      </c>
      <c r="AL20" s="408">
        <v>-13.12538824623781</v>
      </c>
      <c r="AM20" s="408"/>
      <c r="AN20" s="408">
        <v>-3.0324062165653651</v>
      </c>
      <c r="AO20" s="408">
        <v>0</v>
      </c>
      <c r="AP20" s="408">
        <v>0</v>
      </c>
      <c r="AQ20" s="408">
        <v>0</v>
      </c>
      <c r="AR20" s="408">
        <v>0</v>
      </c>
      <c r="AS20" s="408">
        <v>0</v>
      </c>
      <c r="AT20" s="408">
        <v>0</v>
      </c>
      <c r="AU20" s="408">
        <v>0</v>
      </c>
      <c r="AV20" s="408">
        <v>0</v>
      </c>
      <c r="AW20" s="408">
        <v>0</v>
      </c>
      <c r="AX20" s="408">
        <v>0</v>
      </c>
      <c r="AY20" s="408">
        <v>0</v>
      </c>
      <c r="AZ20" s="408">
        <v>0</v>
      </c>
      <c r="BA20" s="408"/>
      <c r="BB20" s="408">
        <v>0</v>
      </c>
      <c r="BC20" s="408">
        <v>0</v>
      </c>
      <c r="BD20" s="408">
        <v>-2.0581323758895191</v>
      </c>
      <c r="BE20" s="408">
        <v>0</v>
      </c>
      <c r="BF20" s="408">
        <v>0</v>
      </c>
      <c r="BG20" s="408">
        <v>-50.06594854156122</v>
      </c>
      <c r="BH20" s="408">
        <v>0</v>
      </c>
      <c r="BI20" s="408">
        <v>-0.14000000000000001</v>
      </c>
      <c r="BJ20" s="408">
        <v>-0.51</v>
      </c>
      <c r="BK20" s="408">
        <v>-386.54</v>
      </c>
      <c r="BL20" s="408">
        <v>0</v>
      </c>
      <c r="BM20" s="408"/>
      <c r="BN20" s="408"/>
      <c r="BO20" s="408"/>
      <c r="BP20" s="408"/>
      <c r="BQ20" s="408"/>
      <c r="BR20" s="408"/>
      <c r="BS20" s="408"/>
      <c r="BT20" s="408"/>
      <c r="BU20" s="408"/>
      <c r="BV20" s="408">
        <v>-406.42311342941457</v>
      </c>
      <c r="BW20" s="408"/>
      <c r="BX20" s="408"/>
      <c r="BY20" s="408"/>
      <c r="BZ20" s="408"/>
      <c r="CA20" s="408"/>
      <c r="CB20" s="408"/>
      <c r="CC20" s="408"/>
      <c r="CD20" s="408"/>
      <c r="CE20" s="408"/>
      <c r="CF20" s="408"/>
      <c r="CG20" s="408"/>
      <c r="CH20" s="408"/>
      <c r="CI20" s="408">
        <v>-911.39339999999993</v>
      </c>
      <c r="CJ20" s="408">
        <v>424.63886000000002</v>
      </c>
      <c r="CK20" s="408"/>
      <c r="CL20" s="408"/>
      <c r="CM20" s="408"/>
      <c r="CN20" s="408"/>
      <c r="CO20" s="408">
        <v>446.09062</v>
      </c>
      <c r="CP20" s="408">
        <v>-22.082190000000011</v>
      </c>
      <c r="CQ20" s="408">
        <v>31</v>
      </c>
      <c r="CR20" s="408">
        <v>-18.358028157000604</v>
      </c>
      <c r="CS20" s="408">
        <v>0</v>
      </c>
      <c r="CT20" s="408">
        <v>0</v>
      </c>
      <c r="CU20" s="408">
        <v>0</v>
      </c>
      <c r="CV20" s="408">
        <v>0</v>
      </c>
      <c r="CW20" s="408">
        <v>0</v>
      </c>
      <c r="CX20" s="408">
        <v>0</v>
      </c>
      <c r="CY20" s="408">
        <v>0</v>
      </c>
      <c r="CZ20" s="408">
        <v>0.76830823465553522</v>
      </c>
      <c r="DA20" s="408">
        <v>0</v>
      </c>
      <c r="DB20" s="408">
        <v>0</v>
      </c>
      <c r="DC20" s="408">
        <v>-22.072287353059494</v>
      </c>
      <c r="DD20" s="408">
        <v>0</v>
      </c>
      <c r="DE20" s="408">
        <v>0</v>
      </c>
      <c r="DF20" s="408">
        <v>-0.12821849636220861</v>
      </c>
      <c r="DG20" s="408">
        <v>-3.119031951563457</v>
      </c>
      <c r="DH20" s="408">
        <v>0</v>
      </c>
      <c r="DI20" s="408">
        <v>5.2791936977298235</v>
      </c>
      <c r="DJ20" s="408"/>
      <c r="DK20" s="408">
        <v>0</v>
      </c>
      <c r="DL20" s="408">
        <v>0</v>
      </c>
      <c r="DM20" s="408">
        <v>0</v>
      </c>
      <c r="DN20" s="408">
        <v>0</v>
      </c>
      <c r="DO20" s="408">
        <v>0.72022537098650474</v>
      </c>
      <c r="DP20" s="408">
        <v>0.19378234061275812</v>
      </c>
      <c r="DQ20" s="408">
        <v>0</v>
      </c>
      <c r="DR20" s="408">
        <v>0</v>
      </c>
      <c r="DS20" s="408"/>
      <c r="DT20" s="408"/>
      <c r="DU20" s="408"/>
      <c r="DV20" s="408">
        <v>-658.61279518739798</v>
      </c>
      <c r="DW20" s="408">
        <v>0</v>
      </c>
      <c r="DX20" s="408">
        <v>0</v>
      </c>
      <c r="DY20" s="408">
        <v>446.09062000000006</v>
      </c>
      <c r="DZ20" s="408">
        <v>-22.082190000000026</v>
      </c>
      <c r="EA20" s="408">
        <v>0</v>
      </c>
      <c r="EB20" s="408">
        <v>0</v>
      </c>
      <c r="EC20" s="408">
        <v>442.3735308815111</v>
      </c>
      <c r="ED20" s="408">
        <v>0</v>
      </c>
      <c r="EE20" s="408">
        <v>0</v>
      </c>
      <c r="EF20" s="408">
        <v>0</v>
      </c>
      <c r="EG20" s="408">
        <v>0</v>
      </c>
      <c r="EH20" s="408">
        <v>0</v>
      </c>
      <c r="EI20" s="408">
        <v>0</v>
      </c>
      <c r="EJ20" s="408">
        <v>0</v>
      </c>
      <c r="EK20" s="408">
        <v>0</v>
      </c>
      <c r="EL20" s="408">
        <v>0</v>
      </c>
      <c r="EM20" s="408">
        <v>0</v>
      </c>
      <c r="EN20" s="408">
        <v>0</v>
      </c>
      <c r="EO20" s="408">
        <v>0</v>
      </c>
      <c r="EP20" s="408">
        <v>0</v>
      </c>
      <c r="EQ20" s="408">
        <v>0</v>
      </c>
      <c r="ER20" s="408">
        <v>0</v>
      </c>
      <c r="ES20" s="408">
        <v>0</v>
      </c>
      <c r="ET20" s="408">
        <v>0</v>
      </c>
      <c r="EU20" s="408">
        <v>0</v>
      </c>
      <c r="EV20" s="408">
        <v>257</v>
      </c>
      <c r="EW20" s="408">
        <v>0</v>
      </c>
      <c r="EX20" s="408">
        <v>0</v>
      </c>
      <c r="EY20" s="408">
        <v>0</v>
      </c>
      <c r="EZ20" s="408"/>
      <c r="FA20" s="408">
        <v>0</v>
      </c>
      <c r="FB20" s="408"/>
      <c r="FC20" s="408"/>
      <c r="FD20" s="408"/>
      <c r="FE20" s="408"/>
      <c r="FF20" s="408">
        <v>0</v>
      </c>
      <c r="FG20" s="408">
        <v>0</v>
      </c>
      <c r="FH20" s="408">
        <v>0</v>
      </c>
      <c r="FI20" s="408">
        <v>0</v>
      </c>
    </row>
    <row r="21" spans="1:165" customFormat="1">
      <c r="A21" s="408">
        <v>19</v>
      </c>
      <c r="B21" s="408" t="s">
        <v>2236</v>
      </c>
      <c r="C21" s="408" t="s">
        <v>2233</v>
      </c>
      <c r="D21" s="408" t="s">
        <v>1958</v>
      </c>
      <c r="E21" s="408" t="s">
        <v>997</v>
      </c>
      <c r="F21" s="408" t="s">
        <v>1321</v>
      </c>
      <c r="G21" s="408" t="s">
        <v>1321</v>
      </c>
      <c r="H21" s="408" t="s">
        <v>1321</v>
      </c>
      <c r="I21" s="408" t="s">
        <v>1321</v>
      </c>
      <c r="J21" s="408" t="s">
        <v>2234</v>
      </c>
      <c r="K21" s="828">
        <v>44378</v>
      </c>
      <c r="L21" s="408">
        <v>0</v>
      </c>
      <c r="M21" s="408">
        <v>0</v>
      </c>
      <c r="N21" s="408">
        <v>16.911999999999999</v>
      </c>
      <c r="O21" s="408">
        <v>16.911999999999999</v>
      </c>
      <c r="P21" s="408">
        <v>16.911999999999999</v>
      </c>
      <c r="Q21" s="408">
        <v>16.911999999999999</v>
      </c>
      <c r="R21" s="408"/>
      <c r="S21" s="408">
        <v>710.91</v>
      </c>
      <c r="T21" s="408">
        <v>256.55</v>
      </c>
      <c r="U21" s="408"/>
      <c r="V21" s="408">
        <v>16361.683519999999</v>
      </c>
      <c r="W21" s="408">
        <v>16361.683519999999</v>
      </c>
      <c r="X21" s="408">
        <v>11169.192159999999</v>
      </c>
      <c r="Y21" s="408">
        <v>0</v>
      </c>
      <c r="Z21" s="408">
        <v>1039.6598118023774</v>
      </c>
      <c r="AA21" s="408">
        <v>0</v>
      </c>
      <c r="AB21" s="408">
        <v>0</v>
      </c>
      <c r="AC21" s="408">
        <v>0</v>
      </c>
      <c r="AD21" s="408">
        <v>2081.5761411546268</v>
      </c>
      <c r="AE21" s="408">
        <v>8065.5029632217766</v>
      </c>
      <c r="AF21" s="408">
        <v>4338.8162475324634</v>
      </c>
      <c r="AG21" s="408">
        <v>0</v>
      </c>
      <c r="AH21" s="408">
        <v>0</v>
      </c>
      <c r="AI21" s="408">
        <v>0</v>
      </c>
      <c r="AJ21" s="408">
        <v>0</v>
      </c>
      <c r="AK21" s="408">
        <v>0</v>
      </c>
      <c r="AL21" s="408">
        <v>160.73610863169719</v>
      </c>
      <c r="AM21" s="408"/>
      <c r="AN21" s="408">
        <v>37.135448178532549</v>
      </c>
      <c r="AO21" s="408">
        <v>0</v>
      </c>
      <c r="AP21" s="408">
        <v>0</v>
      </c>
      <c r="AQ21" s="408">
        <v>0</v>
      </c>
      <c r="AR21" s="408">
        <v>0</v>
      </c>
      <c r="AS21" s="408">
        <v>0</v>
      </c>
      <c r="AT21" s="408">
        <v>0</v>
      </c>
      <c r="AU21" s="408">
        <v>0</v>
      </c>
      <c r="AV21" s="408">
        <v>0</v>
      </c>
      <c r="AW21" s="408">
        <v>0</v>
      </c>
      <c r="AX21" s="408">
        <v>0</v>
      </c>
      <c r="AY21" s="408">
        <v>0</v>
      </c>
      <c r="AZ21" s="408">
        <v>0</v>
      </c>
      <c r="BA21" s="408"/>
      <c r="BB21" s="408">
        <v>0</v>
      </c>
      <c r="BC21" s="408">
        <v>0</v>
      </c>
      <c r="BD21" s="408">
        <v>25.204297422913502</v>
      </c>
      <c r="BE21" s="408">
        <v>0</v>
      </c>
      <c r="BF21" s="408">
        <v>0</v>
      </c>
      <c r="BG21" s="408">
        <v>613.11753927218194</v>
      </c>
      <c r="BH21" s="408">
        <v>0</v>
      </c>
      <c r="BI21" s="408">
        <v>17.989999999999998</v>
      </c>
      <c r="BJ21" s="408">
        <v>6.39</v>
      </c>
      <c r="BK21" s="408">
        <v>4849.6099999999997</v>
      </c>
      <c r="BL21" s="408">
        <v>27</v>
      </c>
      <c r="BM21" s="408"/>
      <c r="BN21" s="408"/>
      <c r="BO21" s="408"/>
      <c r="BP21" s="408"/>
      <c r="BQ21" s="408"/>
      <c r="BR21" s="408"/>
      <c r="BS21" s="408"/>
      <c r="BT21" s="408"/>
      <c r="BU21" s="408"/>
      <c r="BV21" s="408">
        <v>4977.1380842275585</v>
      </c>
      <c r="BW21" s="408"/>
      <c r="BX21" s="408"/>
      <c r="BY21" s="408"/>
      <c r="BZ21" s="408"/>
      <c r="CA21" s="408"/>
      <c r="CB21" s="408"/>
      <c r="CC21" s="408"/>
      <c r="CD21" s="408"/>
      <c r="CE21" s="408"/>
      <c r="CF21" s="408"/>
      <c r="CG21" s="408"/>
      <c r="CH21" s="408"/>
      <c r="CI21" s="408">
        <v>11167.871300000001</v>
      </c>
      <c r="CJ21" s="408">
        <v>-5193.8422199999986</v>
      </c>
      <c r="CK21" s="408"/>
      <c r="CL21" s="408"/>
      <c r="CM21" s="408"/>
      <c r="CN21" s="408"/>
      <c r="CO21" s="408">
        <v>-5462.9142399999992</v>
      </c>
      <c r="CP21" s="408">
        <v>270.42288000000013</v>
      </c>
      <c r="CQ21" s="408">
        <v>31</v>
      </c>
      <c r="CR21" s="408">
        <v>224.81605517102798</v>
      </c>
      <c r="CS21" s="408">
        <v>0</v>
      </c>
      <c r="CT21" s="408">
        <v>0</v>
      </c>
      <c r="CU21" s="408">
        <v>0</v>
      </c>
      <c r="CV21" s="408">
        <v>0</v>
      </c>
      <c r="CW21" s="408">
        <v>0</v>
      </c>
      <c r="CX21" s="408">
        <v>0</v>
      </c>
      <c r="CY21" s="408">
        <v>0</v>
      </c>
      <c r="CZ21" s="408">
        <v>-9.4088550792862407</v>
      </c>
      <c r="DA21" s="408">
        <v>0</v>
      </c>
      <c r="DB21" s="408">
        <v>0</v>
      </c>
      <c r="DC21" s="408">
        <v>270.30161022081211</v>
      </c>
      <c r="DD21" s="408">
        <v>0</v>
      </c>
      <c r="DE21" s="408">
        <v>0</v>
      </c>
      <c r="DF21" s="408">
        <v>1.5701891458925914</v>
      </c>
      <c r="DG21" s="408">
        <v>38.196284116467154</v>
      </c>
      <c r="DH21" s="408">
        <v>0</v>
      </c>
      <c r="DI21" s="408">
        <v>-64.650053451127292</v>
      </c>
      <c r="DJ21" s="408"/>
      <c r="DK21" s="408">
        <v>0</v>
      </c>
      <c r="DL21" s="408">
        <v>0</v>
      </c>
      <c r="DM21" s="408">
        <v>0</v>
      </c>
      <c r="DN21" s="408">
        <v>0</v>
      </c>
      <c r="DO21" s="408">
        <v>-8.820022790820957</v>
      </c>
      <c r="DP21" s="408">
        <v>-2.3730969909072854</v>
      </c>
      <c r="DQ21" s="408">
        <v>0</v>
      </c>
      <c r="DR21" s="408">
        <v>0</v>
      </c>
      <c r="DS21" s="408"/>
      <c r="DT21" s="408"/>
      <c r="DU21" s="408"/>
      <c r="DV21" s="408">
        <v>8065.5029632217766</v>
      </c>
      <c r="DW21" s="408">
        <v>0</v>
      </c>
      <c r="DX21" s="408">
        <v>0</v>
      </c>
      <c r="DY21" s="408">
        <v>-5462.9142399999992</v>
      </c>
      <c r="DZ21" s="408">
        <v>270.42288000000099</v>
      </c>
      <c r="EA21" s="408">
        <v>0</v>
      </c>
      <c r="EB21" s="408">
        <v>0</v>
      </c>
      <c r="EC21" s="408">
        <v>-5417.3940291586641</v>
      </c>
      <c r="ED21" s="408">
        <v>0</v>
      </c>
      <c r="EE21" s="408">
        <v>0</v>
      </c>
      <c r="EF21" s="408">
        <v>0</v>
      </c>
      <c r="EG21" s="408">
        <v>0</v>
      </c>
      <c r="EH21" s="408">
        <v>0</v>
      </c>
      <c r="EI21" s="408">
        <v>0</v>
      </c>
      <c r="EJ21" s="408">
        <v>0</v>
      </c>
      <c r="EK21" s="408">
        <v>0</v>
      </c>
      <c r="EL21" s="408">
        <v>0</v>
      </c>
      <c r="EM21" s="408">
        <v>0</v>
      </c>
      <c r="EN21" s="408">
        <v>0</v>
      </c>
      <c r="EO21" s="408">
        <v>0</v>
      </c>
      <c r="EP21" s="408">
        <v>0</v>
      </c>
      <c r="EQ21" s="408">
        <v>0</v>
      </c>
      <c r="ER21" s="408">
        <v>0</v>
      </c>
      <c r="ES21" s="408">
        <v>0</v>
      </c>
      <c r="ET21" s="408">
        <v>0</v>
      </c>
      <c r="EU21" s="408">
        <v>0</v>
      </c>
      <c r="EV21" s="408">
        <v>257</v>
      </c>
      <c r="EW21" s="408">
        <v>0</v>
      </c>
      <c r="EX21" s="408">
        <v>0</v>
      </c>
      <c r="EY21" s="408">
        <v>0</v>
      </c>
      <c r="EZ21" s="408"/>
      <c r="FA21" s="408">
        <v>0</v>
      </c>
      <c r="FB21" s="408"/>
      <c r="FC21" s="408"/>
      <c r="FD21" s="408"/>
      <c r="FE21" s="408"/>
      <c r="FF21" s="408">
        <v>0</v>
      </c>
      <c r="FG21" s="408">
        <v>0</v>
      </c>
      <c r="FH21" s="408">
        <v>0</v>
      </c>
      <c r="FI21" s="408">
        <v>0</v>
      </c>
    </row>
    <row r="22" spans="1:165" customFormat="1">
      <c r="A22" s="408">
        <v>20</v>
      </c>
      <c r="B22" s="408" t="s">
        <v>1035</v>
      </c>
      <c r="C22" s="408" t="s">
        <v>2241</v>
      </c>
      <c r="D22" s="408" t="s">
        <v>596</v>
      </c>
      <c r="E22" s="408" t="s">
        <v>997</v>
      </c>
      <c r="F22" s="408" t="s">
        <v>1321</v>
      </c>
      <c r="G22" s="408" t="s">
        <v>1321</v>
      </c>
      <c r="H22" s="408" t="s">
        <v>1321</v>
      </c>
      <c r="I22" s="408" t="s">
        <v>972</v>
      </c>
      <c r="J22" s="408" t="s">
        <v>2234</v>
      </c>
      <c r="K22" s="828">
        <v>44378</v>
      </c>
      <c r="L22" s="408">
        <v>0</v>
      </c>
      <c r="M22" s="408">
        <v>0</v>
      </c>
      <c r="N22" s="408">
        <v>14.521000000000001</v>
      </c>
      <c r="O22" s="408">
        <v>14.521000000000001</v>
      </c>
      <c r="P22" s="408">
        <v>14.521000000000001</v>
      </c>
      <c r="Q22" s="408">
        <v>14.521000000000001</v>
      </c>
      <c r="R22" s="408"/>
      <c r="S22" s="408">
        <v>3130.62</v>
      </c>
      <c r="T22" s="408">
        <v>256.55</v>
      </c>
      <c r="U22" s="408"/>
      <c r="V22" s="408">
        <v>49185.095569999998</v>
      </c>
      <c r="W22" s="408">
        <v>49185.095569999998</v>
      </c>
      <c r="X22" s="408">
        <v>25885.570229999998</v>
      </c>
      <c r="Y22" s="408">
        <v>0</v>
      </c>
      <c r="Z22" s="408">
        <v>776.62624826446427</v>
      </c>
      <c r="AA22" s="408">
        <v>0</v>
      </c>
      <c r="AB22" s="408">
        <v>0</v>
      </c>
      <c r="AC22" s="408">
        <v>0</v>
      </c>
      <c r="AD22" s="408">
        <v>9354.6286954089683</v>
      </c>
      <c r="AE22" s="408">
        <v>34910.642735692949</v>
      </c>
      <c r="AF22" s="408">
        <v>3725.3991680711274</v>
      </c>
      <c r="AG22" s="408">
        <v>0</v>
      </c>
      <c r="AH22" s="408">
        <v>0</v>
      </c>
      <c r="AI22" s="408">
        <v>0</v>
      </c>
      <c r="AJ22" s="408">
        <v>0</v>
      </c>
      <c r="AK22" s="408">
        <v>0</v>
      </c>
      <c r="AL22" s="408">
        <v>138.01141399248317</v>
      </c>
      <c r="AM22" s="408"/>
      <c r="AN22" s="408">
        <v>19.589627579704693</v>
      </c>
      <c r="AO22" s="408">
        <v>0</v>
      </c>
      <c r="AP22" s="408">
        <v>0</v>
      </c>
      <c r="AQ22" s="408">
        <v>0</v>
      </c>
      <c r="AR22" s="408">
        <v>0</v>
      </c>
      <c r="AS22" s="408">
        <v>0</v>
      </c>
      <c r="AT22" s="408">
        <v>0</v>
      </c>
      <c r="AU22" s="408">
        <v>0</v>
      </c>
      <c r="AV22" s="408">
        <v>0</v>
      </c>
      <c r="AW22" s="408">
        <v>0</v>
      </c>
      <c r="AX22" s="408">
        <v>0</v>
      </c>
      <c r="AY22" s="408">
        <v>0</v>
      </c>
      <c r="AZ22" s="408">
        <v>0</v>
      </c>
      <c r="BA22" s="408"/>
      <c r="BB22" s="408">
        <v>0</v>
      </c>
      <c r="BC22" s="408">
        <v>0</v>
      </c>
      <c r="BD22" s="408">
        <v>17.890238179051813</v>
      </c>
      <c r="BE22" s="408">
        <v>0</v>
      </c>
      <c r="BF22" s="408">
        <v>0</v>
      </c>
      <c r="BG22" s="408">
        <v>242.34515391728135</v>
      </c>
      <c r="BH22" s="408">
        <v>0</v>
      </c>
      <c r="BI22" s="408">
        <v>0</v>
      </c>
      <c r="BJ22" s="408">
        <v>0</v>
      </c>
      <c r="BK22" s="408">
        <v>0</v>
      </c>
      <c r="BL22" s="408">
        <v>0</v>
      </c>
      <c r="BM22" s="408"/>
      <c r="BN22" s="408"/>
      <c r="BO22" s="408"/>
      <c r="BP22" s="408"/>
      <c r="BQ22" s="408"/>
      <c r="BR22" s="408"/>
      <c r="BS22" s="408"/>
      <c r="BT22" s="408"/>
      <c r="BU22" s="408"/>
      <c r="BV22" s="408">
        <v>3985.6345601674607</v>
      </c>
      <c r="BW22" s="408"/>
      <c r="BX22" s="408"/>
      <c r="BY22" s="408"/>
      <c r="BZ22" s="408"/>
      <c r="CA22" s="408"/>
      <c r="CB22" s="408"/>
      <c r="CC22" s="408"/>
      <c r="CD22" s="408"/>
      <c r="CE22" s="408"/>
      <c r="CF22" s="408"/>
      <c r="CG22" s="408"/>
      <c r="CH22" s="408"/>
      <c r="CI22" s="408">
        <v>25883.7876</v>
      </c>
      <c r="CJ22" s="408">
        <v>-23301.337970000004</v>
      </c>
      <c r="CK22" s="408"/>
      <c r="CL22" s="408"/>
      <c r="CM22" s="408"/>
      <c r="CN22" s="408"/>
      <c r="CO22" s="408">
        <v>-23531.716130000001</v>
      </c>
      <c r="CP22" s="408">
        <v>232.19079000000013</v>
      </c>
      <c r="CQ22" s="408">
        <v>31</v>
      </c>
      <c r="CR22" s="408">
        <v>148.89689915034614</v>
      </c>
      <c r="CS22" s="408">
        <v>0</v>
      </c>
      <c r="CT22" s="408">
        <v>0</v>
      </c>
      <c r="CU22" s="408">
        <v>0</v>
      </c>
      <c r="CV22" s="408">
        <v>0</v>
      </c>
      <c r="CW22" s="408">
        <v>0</v>
      </c>
      <c r="CX22" s="408">
        <v>0</v>
      </c>
      <c r="CY22" s="408">
        <v>0</v>
      </c>
      <c r="CZ22" s="408">
        <v>-42.283510065035443</v>
      </c>
      <c r="DA22" s="408">
        <v>0</v>
      </c>
      <c r="DB22" s="408">
        <v>0</v>
      </c>
      <c r="DC22" s="408">
        <v>232.0866652091072</v>
      </c>
      <c r="DD22" s="408">
        <v>0</v>
      </c>
      <c r="DE22" s="408">
        <v>0</v>
      </c>
      <c r="DF22" s="408">
        <v>1.1145344515988462</v>
      </c>
      <c r="DG22" s="408">
        <v>15.097732099234719</v>
      </c>
      <c r="DH22" s="408">
        <v>0</v>
      </c>
      <c r="DI22" s="408">
        <v>-48.293612864387796</v>
      </c>
      <c r="DJ22" s="408"/>
      <c r="DK22" s="408">
        <v>0</v>
      </c>
      <c r="DL22" s="408">
        <v>0</v>
      </c>
      <c r="DM22" s="408">
        <v>0</v>
      </c>
      <c r="DN22" s="408">
        <v>0</v>
      </c>
      <c r="DO22" s="408">
        <v>-7.573057648149927</v>
      </c>
      <c r="DP22" s="408">
        <v>-1.2518520320233328</v>
      </c>
      <c r="DQ22" s="408">
        <v>0</v>
      </c>
      <c r="DR22" s="408">
        <v>0</v>
      </c>
      <c r="DS22" s="408"/>
      <c r="DT22" s="408"/>
      <c r="DU22" s="408"/>
      <c r="DV22" s="408">
        <v>34910.642735692949</v>
      </c>
      <c r="DW22" s="408">
        <v>0</v>
      </c>
      <c r="DX22" s="408">
        <v>0</v>
      </c>
      <c r="DY22" s="408">
        <v>-23531.716130000001</v>
      </c>
      <c r="DZ22" s="408">
        <v>232.19079000000011</v>
      </c>
      <c r="EA22" s="408">
        <v>0</v>
      </c>
      <c r="EB22" s="408">
        <v>0</v>
      </c>
      <c r="EC22" s="408">
        <v>-23448.594386838828</v>
      </c>
      <c r="ED22" s="408">
        <v>0</v>
      </c>
      <c r="EE22" s="408">
        <v>0</v>
      </c>
      <c r="EF22" s="408">
        <v>0</v>
      </c>
      <c r="EG22" s="408">
        <v>0</v>
      </c>
      <c r="EH22" s="408">
        <v>0</v>
      </c>
      <c r="EI22" s="408">
        <v>0</v>
      </c>
      <c r="EJ22" s="408">
        <v>0</v>
      </c>
      <c r="EK22" s="408">
        <v>0</v>
      </c>
      <c r="EL22" s="408">
        <v>0</v>
      </c>
      <c r="EM22" s="408">
        <v>0</v>
      </c>
      <c r="EN22" s="408">
        <v>0</v>
      </c>
      <c r="EO22" s="408">
        <v>0</v>
      </c>
      <c r="EP22" s="408">
        <v>0</v>
      </c>
      <c r="EQ22" s="408">
        <v>0</v>
      </c>
      <c r="ER22" s="408">
        <v>0</v>
      </c>
      <c r="ES22" s="408">
        <v>0</v>
      </c>
      <c r="ET22" s="408">
        <v>0</v>
      </c>
      <c r="EU22" s="408">
        <v>0</v>
      </c>
      <c r="EV22" s="408">
        <v>257</v>
      </c>
      <c r="EW22" s="408">
        <v>0</v>
      </c>
      <c r="EX22" s="408">
        <v>0</v>
      </c>
      <c r="EY22" s="408">
        <v>0</v>
      </c>
      <c r="EZ22" s="408"/>
      <c r="FA22" s="408">
        <v>0</v>
      </c>
      <c r="FB22" s="408"/>
      <c r="FC22" s="408"/>
      <c r="FD22" s="408"/>
      <c r="FE22" s="408"/>
      <c r="FF22" s="408">
        <v>0</v>
      </c>
      <c r="FG22" s="408">
        <v>0</v>
      </c>
      <c r="FH22" s="408">
        <v>0</v>
      </c>
      <c r="FI22" s="408">
        <v>0</v>
      </c>
    </row>
    <row r="23" spans="1:165" customFormat="1">
      <c r="A23" s="408">
        <v>21</v>
      </c>
      <c r="B23" s="408" t="s">
        <v>1035</v>
      </c>
      <c r="C23" s="408" t="s">
        <v>2241</v>
      </c>
      <c r="D23" s="408" t="s">
        <v>596</v>
      </c>
      <c r="E23" s="408" t="s">
        <v>997</v>
      </c>
      <c r="F23" s="408" t="s">
        <v>1321</v>
      </c>
      <c r="G23" s="408" t="s">
        <v>1321</v>
      </c>
      <c r="H23" s="408" t="s">
        <v>1321</v>
      </c>
      <c r="I23" s="408" t="s">
        <v>2242</v>
      </c>
      <c r="J23" s="408" t="s">
        <v>2234</v>
      </c>
      <c r="K23" s="828">
        <v>44378</v>
      </c>
      <c r="L23" s="408">
        <v>0</v>
      </c>
      <c r="M23" s="408">
        <v>0</v>
      </c>
      <c r="N23" s="408">
        <v>111.569</v>
      </c>
      <c r="O23" s="408">
        <v>111.569</v>
      </c>
      <c r="P23" s="408">
        <v>111.569</v>
      </c>
      <c r="Q23" s="408">
        <v>111.569</v>
      </c>
      <c r="R23" s="408"/>
      <c r="S23" s="408">
        <v>82.26</v>
      </c>
      <c r="T23" s="408">
        <v>256.55</v>
      </c>
      <c r="U23" s="408"/>
      <c r="V23" s="408">
        <v>37800.692890000006</v>
      </c>
      <c r="W23" s="408">
        <v>37800.692890000006</v>
      </c>
      <c r="X23" s="408">
        <v>39270.056620000003</v>
      </c>
      <c r="Y23" s="408">
        <v>0</v>
      </c>
      <c r="Z23" s="408">
        <v>5967.0417941338756</v>
      </c>
      <c r="AA23" s="408">
        <v>0</v>
      </c>
      <c r="AB23" s="408">
        <v>0</v>
      </c>
      <c r="AC23" s="408">
        <v>0</v>
      </c>
      <c r="AD23" s="408">
        <v>0</v>
      </c>
      <c r="AE23" s="408">
        <v>0</v>
      </c>
      <c r="AF23" s="408">
        <v>28623.308297123313</v>
      </c>
      <c r="AG23" s="408">
        <v>0</v>
      </c>
      <c r="AH23" s="408">
        <v>0</v>
      </c>
      <c r="AI23" s="408">
        <v>0</v>
      </c>
      <c r="AJ23" s="408">
        <v>0</v>
      </c>
      <c r="AK23" s="408">
        <v>0</v>
      </c>
      <c r="AL23" s="408">
        <v>1060.3812029286794</v>
      </c>
      <c r="AM23" s="408"/>
      <c r="AN23" s="408">
        <v>150.51271671648459</v>
      </c>
      <c r="AO23" s="408">
        <v>0</v>
      </c>
      <c r="AP23" s="408">
        <v>0</v>
      </c>
      <c r="AQ23" s="408">
        <v>0</v>
      </c>
      <c r="AR23" s="408">
        <v>0</v>
      </c>
      <c r="AS23" s="408">
        <v>0</v>
      </c>
      <c r="AT23" s="408">
        <v>0</v>
      </c>
      <c r="AU23" s="408">
        <v>0</v>
      </c>
      <c r="AV23" s="408">
        <v>0</v>
      </c>
      <c r="AW23" s="408">
        <v>0</v>
      </c>
      <c r="AX23" s="408">
        <v>0</v>
      </c>
      <c r="AY23" s="408">
        <v>0</v>
      </c>
      <c r="AZ23" s="408">
        <v>0</v>
      </c>
      <c r="BA23" s="408"/>
      <c r="BB23" s="408">
        <v>0</v>
      </c>
      <c r="BC23" s="408">
        <v>0</v>
      </c>
      <c r="BD23" s="408">
        <v>137.455821458483</v>
      </c>
      <c r="BE23" s="408">
        <v>0</v>
      </c>
      <c r="BF23" s="408">
        <v>0</v>
      </c>
      <c r="BG23" s="408">
        <v>1862.0071949175101</v>
      </c>
      <c r="BH23" s="408">
        <v>0</v>
      </c>
      <c r="BI23" s="408">
        <v>0</v>
      </c>
      <c r="BJ23" s="408">
        <v>0</v>
      </c>
      <c r="BK23" s="408">
        <v>0</v>
      </c>
      <c r="BL23" s="408">
        <v>0</v>
      </c>
      <c r="BM23" s="408"/>
      <c r="BN23" s="408"/>
      <c r="BO23" s="408"/>
      <c r="BP23" s="408"/>
      <c r="BQ23" s="408"/>
      <c r="BR23" s="408"/>
      <c r="BS23" s="408"/>
      <c r="BT23" s="408"/>
      <c r="BU23" s="408"/>
      <c r="BV23" s="408">
        <v>30622.771313499306</v>
      </c>
      <c r="BW23" s="408"/>
      <c r="BX23" s="408"/>
      <c r="BY23" s="408"/>
      <c r="BZ23" s="408"/>
      <c r="CA23" s="408"/>
      <c r="CB23" s="408"/>
      <c r="CC23" s="408"/>
      <c r="CD23" s="408"/>
      <c r="CE23" s="408"/>
      <c r="CF23" s="408"/>
      <c r="CG23" s="408"/>
      <c r="CH23" s="408"/>
      <c r="CI23" s="408">
        <v>39270.408600000002</v>
      </c>
      <c r="CJ23" s="408">
        <v>1469.6857099999979</v>
      </c>
      <c r="CK23" s="408"/>
      <c r="CL23" s="408"/>
      <c r="CM23" s="408"/>
      <c r="CN23" s="408"/>
      <c r="CO23" s="408">
        <v>-314.62458000000083</v>
      </c>
      <c r="CP23" s="408">
        <v>1783.9883100000011</v>
      </c>
      <c r="CQ23" s="408">
        <v>31</v>
      </c>
      <c r="CR23" s="408">
        <v>1468.893814182964</v>
      </c>
      <c r="CS23" s="408">
        <v>0</v>
      </c>
      <c r="CT23" s="408">
        <v>0</v>
      </c>
      <c r="CU23" s="408">
        <v>0</v>
      </c>
      <c r="CV23" s="408">
        <v>0</v>
      </c>
      <c r="CW23" s="408">
        <v>0</v>
      </c>
      <c r="CX23" s="408">
        <v>0</v>
      </c>
      <c r="CY23" s="408">
        <v>0</v>
      </c>
      <c r="CZ23" s="408">
        <v>0</v>
      </c>
      <c r="DA23" s="408">
        <v>0</v>
      </c>
      <c r="DB23" s="408">
        <v>0</v>
      </c>
      <c r="DC23" s="408">
        <v>1783.1882894232403</v>
      </c>
      <c r="DD23" s="408">
        <v>0</v>
      </c>
      <c r="DE23" s="408">
        <v>0</v>
      </c>
      <c r="DF23" s="408">
        <v>8.563287255039711</v>
      </c>
      <c r="DG23" s="408">
        <v>116.00019782243089</v>
      </c>
      <c r="DH23" s="408">
        <v>0</v>
      </c>
      <c r="DI23" s="408">
        <v>-371.0536528935254</v>
      </c>
      <c r="DJ23" s="408"/>
      <c r="DK23" s="408">
        <v>0</v>
      </c>
      <c r="DL23" s="408">
        <v>0</v>
      </c>
      <c r="DM23" s="408">
        <v>0</v>
      </c>
      <c r="DN23" s="408">
        <v>0</v>
      </c>
      <c r="DO23" s="408">
        <v>-58.185969888192062</v>
      </c>
      <c r="DP23" s="408">
        <v>-9.6183375360382115</v>
      </c>
      <c r="DQ23" s="408">
        <v>0</v>
      </c>
      <c r="DR23" s="408">
        <v>0</v>
      </c>
      <c r="DS23" s="408"/>
      <c r="DT23" s="408"/>
      <c r="DU23" s="408"/>
      <c r="DV23" s="408">
        <v>0</v>
      </c>
      <c r="DW23" s="408">
        <v>0</v>
      </c>
      <c r="DX23" s="408">
        <v>0</v>
      </c>
      <c r="DY23" s="408">
        <v>-314.62458000000152</v>
      </c>
      <c r="DZ23" s="408">
        <v>1783.9883100000006</v>
      </c>
      <c r="EA23" s="408">
        <v>0</v>
      </c>
      <c r="EB23" s="408">
        <v>0</v>
      </c>
      <c r="EC23" s="408">
        <v>0</v>
      </c>
      <c r="ED23" s="408">
        <v>0</v>
      </c>
      <c r="EE23" s="408">
        <v>0</v>
      </c>
      <c r="EF23" s="408">
        <v>0</v>
      </c>
      <c r="EG23" s="408">
        <v>0</v>
      </c>
      <c r="EH23" s="408">
        <v>0</v>
      </c>
      <c r="EI23" s="408">
        <v>0</v>
      </c>
      <c r="EJ23" s="408">
        <v>0</v>
      </c>
      <c r="EK23" s="408">
        <v>0</v>
      </c>
      <c r="EL23" s="408">
        <v>0</v>
      </c>
      <c r="EM23" s="408">
        <v>0</v>
      </c>
      <c r="EN23" s="408">
        <v>0</v>
      </c>
      <c r="EO23" s="408">
        <v>0</v>
      </c>
      <c r="EP23" s="408">
        <v>0</v>
      </c>
      <c r="EQ23" s="408">
        <v>0</v>
      </c>
      <c r="ER23" s="408">
        <v>0</v>
      </c>
      <c r="ES23" s="408">
        <v>0</v>
      </c>
      <c r="ET23" s="408">
        <v>0</v>
      </c>
      <c r="EU23" s="408">
        <v>0</v>
      </c>
      <c r="EV23" s="408">
        <v>257</v>
      </c>
      <c r="EW23" s="408">
        <v>0</v>
      </c>
      <c r="EX23" s="408">
        <v>0</v>
      </c>
      <c r="EY23" s="408">
        <v>0</v>
      </c>
      <c r="EZ23" s="408"/>
      <c r="FA23" s="408">
        <v>0</v>
      </c>
      <c r="FB23" s="408"/>
      <c r="FC23" s="408"/>
      <c r="FD23" s="408"/>
      <c r="FE23" s="408"/>
      <c r="FF23" s="408">
        <v>0</v>
      </c>
      <c r="FG23" s="408">
        <v>0</v>
      </c>
      <c r="FH23" s="408">
        <v>0</v>
      </c>
      <c r="FI23" s="408">
        <v>0</v>
      </c>
    </row>
    <row r="24" spans="1:165" customFormat="1">
      <c r="A24" s="408">
        <v>22</v>
      </c>
      <c r="B24" s="408" t="s">
        <v>1035</v>
      </c>
      <c r="C24" s="408" t="s">
        <v>2241</v>
      </c>
      <c r="D24" s="408" t="s">
        <v>596</v>
      </c>
      <c r="E24" s="408" t="s">
        <v>997</v>
      </c>
      <c r="F24" s="408" t="s">
        <v>1321</v>
      </c>
      <c r="G24" s="408" t="s">
        <v>1321</v>
      </c>
      <c r="H24" s="408" t="s">
        <v>1321</v>
      </c>
      <c r="I24" s="408" t="s">
        <v>1321</v>
      </c>
      <c r="J24" s="408" t="s">
        <v>2234</v>
      </c>
      <c r="K24" s="828">
        <v>44378</v>
      </c>
      <c r="L24" s="408">
        <v>849</v>
      </c>
      <c r="M24" s="408">
        <v>849</v>
      </c>
      <c r="N24" s="408">
        <v>0</v>
      </c>
      <c r="O24" s="408">
        <v>0</v>
      </c>
      <c r="P24" s="408">
        <v>0</v>
      </c>
      <c r="Q24" s="408">
        <v>0</v>
      </c>
      <c r="R24" s="408">
        <v>47.39</v>
      </c>
      <c r="S24" s="408"/>
      <c r="T24" s="408"/>
      <c r="U24" s="408">
        <v>40234.11</v>
      </c>
      <c r="V24" s="408"/>
      <c r="W24" s="408">
        <v>40234.11</v>
      </c>
      <c r="X24" s="408">
        <v>27354.78</v>
      </c>
      <c r="Y24" s="408">
        <v>0</v>
      </c>
      <c r="Z24" s="408">
        <v>0</v>
      </c>
      <c r="AA24" s="408">
        <v>0</v>
      </c>
      <c r="AB24" s="408">
        <v>0</v>
      </c>
      <c r="AC24" s="408">
        <v>0</v>
      </c>
      <c r="AD24" s="408">
        <v>21199.615052366378</v>
      </c>
      <c r="AE24" s="408">
        <v>19034.467291624343</v>
      </c>
      <c r="AF24" s="408"/>
      <c r="AG24" s="408"/>
      <c r="AH24" s="408"/>
      <c r="AI24" s="408">
        <v>0</v>
      </c>
      <c r="AJ24" s="408">
        <v>0</v>
      </c>
      <c r="AK24" s="408">
        <v>0</v>
      </c>
      <c r="AL24" s="408">
        <v>0</v>
      </c>
      <c r="AM24" s="408"/>
      <c r="AN24" s="408">
        <v>0</v>
      </c>
      <c r="AO24" s="408">
        <v>0</v>
      </c>
      <c r="AP24" s="408">
        <v>0</v>
      </c>
      <c r="AQ24" s="408">
        <v>0</v>
      </c>
      <c r="AR24" s="408">
        <v>0</v>
      </c>
      <c r="AS24" s="408"/>
      <c r="AT24" s="408"/>
      <c r="AU24" s="408">
        <v>0</v>
      </c>
      <c r="AV24" s="408">
        <v>0</v>
      </c>
      <c r="AW24" s="408">
        <v>0</v>
      </c>
      <c r="AX24" s="408"/>
      <c r="AY24" s="408"/>
      <c r="AZ24" s="408">
        <v>0</v>
      </c>
      <c r="BA24" s="408"/>
      <c r="BB24" s="408">
        <v>0</v>
      </c>
      <c r="BC24" s="408">
        <v>0</v>
      </c>
      <c r="BD24" s="408">
        <v>0</v>
      </c>
      <c r="BE24" s="408">
        <v>0</v>
      </c>
      <c r="BF24" s="408"/>
      <c r="BG24" s="408">
        <v>0</v>
      </c>
      <c r="BH24" s="408">
        <v>0</v>
      </c>
      <c r="BI24" s="408">
        <v>161.47999999999999</v>
      </c>
      <c r="BJ24" s="408">
        <v>56.74</v>
      </c>
      <c r="BK24" s="408">
        <v>41998.94</v>
      </c>
      <c r="BL24" s="408">
        <v>11</v>
      </c>
      <c r="BM24" s="408"/>
      <c r="BN24" s="408"/>
      <c r="BO24" s="408"/>
      <c r="BP24" s="408"/>
      <c r="BQ24" s="408"/>
      <c r="BR24" s="408"/>
      <c r="BS24" s="408"/>
      <c r="BT24" s="408"/>
      <c r="BU24" s="408"/>
      <c r="BV24" s="408">
        <v>0</v>
      </c>
      <c r="BW24" s="408"/>
      <c r="BX24" s="408"/>
      <c r="BY24" s="408"/>
      <c r="BZ24" s="408"/>
      <c r="CA24" s="408"/>
      <c r="CB24" s="408"/>
      <c r="CC24" s="408"/>
      <c r="CD24" s="408"/>
      <c r="CE24" s="408"/>
      <c r="CF24" s="408"/>
      <c r="CG24" s="408"/>
      <c r="CH24" s="408"/>
      <c r="CI24" s="408">
        <v>27354.78</v>
      </c>
      <c r="CJ24" s="408">
        <v>-12879.360000000008</v>
      </c>
      <c r="CK24" s="408"/>
      <c r="CL24" s="408"/>
      <c r="CM24" s="408"/>
      <c r="CN24" s="408"/>
      <c r="CO24" s="408">
        <v>-12879.330000000002</v>
      </c>
      <c r="CP24" s="408">
        <v>0</v>
      </c>
      <c r="CQ24" s="408">
        <v>31</v>
      </c>
      <c r="CR24" s="408">
        <v>-95.823593391971372</v>
      </c>
      <c r="CS24" s="408">
        <v>0</v>
      </c>
      <c r="CT24" s="408">
        <v>0</v>
      </c>
      <c r="CU24" s="408">
        <v>0</v>
      </c>
      <c r="CV24" s="408">
        <v>0</v>
      </c>
      <c r="CW24" s="408"/>
      <c r="CX24" s="408"/>
      <c r="CY24" s="408"/>
      <c r="CZ24" s="408">
        <v>-95.823593391971372</v>
      </c>
      <c r="DA24" s="408">
        <v>0</v>
      </c>
      <c r="DB24" s="408">
        <v>0</v>
      </c>
      <c r="DC24" s="408"/>
      <c r="DD24" s="408"/>
      <c r="DE24" s="408">
        <v>0</v>
      </c>
      <c r="DF24" s="408">
        <v>0</v>
      </c>
      <c r="DG24" s="408">
        <v>0</v>
      </c>
      <c r="DH24" s="408">
        <v>0</v>
      </c>
      <c r="DI24" s="408">
        <v>0</v>
      </c>
      <c r="DJ24" s="408"/>
      <c r="DK24" s="408">
        <v>0</v>
      </c>
      <c r="DL24" s="408">
        <v>0</v>
      </c>
      <c r="DM24" s="408"/>
      <c r="DN24" s="408">
        <v>0</v>
      </c>
      <c r="DO24" s="408">
        <v>0</v>
      </c>
      <c r="DP24" s="408">
        <v>0</v>
      </c>
      <c r="DQ24" s="408">
        <v>0</v>
      </c>
      <c r="DR24" s="408">
        <v>0</v>
      </c>
      <c r="DS24" s="408"/>
      <c r="DT24" s="408"/>
      <c r="DU24" s="408">
        <v>19034.467291624343</v>
      </c>
      <c r="DV24" s="408"/>
      <c r="DW24" s="408">
        <v>0</v>
      </c>
      <c r="DX24" s="408">
        <v>0</v>
      </c>
      <c r="DY24" s="408">
        <v>-12879.330000000002</v>
      </c>
      <c r="DZ24" s="408"/>
      <c r="EA24" s="408">
        <v>0</v>
      </c>
      <c r="EB24" s="408"/>
      <c r="EC24" s="408">
        <v>-12784.969508296015</v>
      </c>
      <c r="ED24" s="408"/>
      <c r="EE24" s="408">
        <v>0</v>
      </c>
      <c r="EF24" s="408">
        <v>0</v>
      </c>
      <c r="EG24" s="408"/>
      <c r="EH24" s="408">
        <v>0</v>
      </c>
      <c r="EI24" s="408">
        <v>0</v>
      </c>
      <c r="EJ24" s="408">
        <v>0</v>
      </c>
      <c r="EK24" s="408">
        <v>0</v>
      </c>
      <c r="EL24" s="408">
        <v>0</v>
      </c>
      <c r="EM24" s="408"/>
      <c r="EN24" s="408"/>
      <c r="EO24" s="408">
        <v>0</v>
      </c>
      <c r="EP24" s="408">
        <v>0</v>
      </c>
      <c r="EQ24" s="408"/>
      <c r="ER24" s="408">
        <v>0</v>
      </c>
      <c r="ES24" s="408"/>
      <c r="ET24" s="408">
        <v>0</v>
      </c>
      <c r="EU24" s="408"/>
      <c r="EV24" s="408">
        <v>257</v>
      </c>
      <c r="EW24" s="408"/>
      <c r="EX24" s="408"/>
      <c r="EY24" s="408"/>
      <c r="EZ24" s="408"/>
      <c r="FA24" s="408">
        <v>0</v>
      </c>
      <c r="FB24" s="408"/>
      <c r="FC24" s="408"/>
      <c r="FD24" s="408"/>
      <c r="FE24" s="408"/>
      <c r="FF24" s="408">
        <v>0</v>
      </c>
      <c r="FG24" s="408">
        <v>0</v>
      </c>
      <c r="FH24" s="408">
        <v>0</v>
      </c>
      <c r="FI24" s="408">
        <v>0</v>
      </c>
    </row>
    <row r="25" spans="1:165" customFormat="1">
      <c r="A25" s="408">
        <v>23</v>
      </c>
      <c r="B25" s="408" t="s">
        <v>2236</v>
      </c>
      <c r="C25" s="408" t="s">
        <v>2241</v>
      </c>
      <c r="D25" s="408" t="s">
        <v>596</v>
      </c>
      <c r="E25" s="408" t="s">
        <v>997</v>
      </c>
      <c r="F25" s="408" t="s">
        <v>1321</v>
      </c>
      <c r="G25" s="408" t="s">
        <v>1321</v>
      </c>
      <c r="H25" s="408" t="s">
        <v>1321</v>
      </c>
      <c r="I25" s="408" t="s">
        <v>1321</v>
      </c>
      <c r="J25" s="408" t="s">
        <v>2234</v>
      </c>
      <c r="K25" s="828">
        <v>44378</v>
      </c>
      <c r="L25" s="408">
        <v>95</v>
      </c>
      <c r="M25" s="408">
        <v>95</v>
      </c>
      <c r="N25" s="408">
        <v>0</v>
      </c>
      <c r="O25" s="408">
        <v>0</v>
      </c>
      <c r="P25" s="408">
        <v>0</v>
      </c>
      <c r="Q25" s="408">
        <v>0</v>
      </c>
      <c r="R25" s="408">
        <v>47.39</v>
      </c>
      <c r="S25" s="408"/>
      <c r="T25" s="408"/>
      <c r="U25" s="408">
        <v>4502.05</v>
      </c>
      <c r="V25" s="408"/>
      <c r="W25" s="408">
        <v>4502.05</v>
      </c>
      <c r="X25" s="408">
        <v>3060.9</v>
      </c>
      <c r="Y25" s="408">
        <v>0</v>
      </c>
      <c r="Z25" s="408">
        <v>0</v>
      </c>
      <c r="AA25" s="408">
        <v>0</v>
      </c>
      <c r="AB25" s="408">
        <v>0</v>
      </c>
      <c r="AC25" s="408">
        <v>0</v>
      </c>
      <c r="AD25" s="408">
        <v>2372.1595170492415</v>
      </c>
      <c r="AE25" s="408">
        <v>2129.8873883443025</v>
      </c>
      <c r="AF25" s="408"/>
      <c r="AG25" s="408"/>
      <c r="AH25" s="408"/>
      <c r="AI25" s="408">
        <v>0</v>
      </c>
      <c r="AJ25" s="408">
        <v>0</v>
      </c>
      <c r="AK25" s="408">
        <v>0</v>
      </c>
      <c r="AL25" s="408">
        <v>0</v>
      </c>
      <c r="AM25" s="408"/>
      <c r="AN25" s="408">
        <v>0</v>
      </c>
      <c r="AO25" s="408">
        <v>0</v>
      </c>
      <c r="AP25" s="408">
        <v>0</v>
      </c>
      <c r="AQ25" s="408">
        <v>0</v>
      </c>
      <c r="AR25" s="408">
        <v>0</v>
      </c>
      <c r="AS25" s="408"/>
      <c r="AT25" s="408"/>
      <c r="AU25" s="408">
        <v>0</v>
      </c>
      <c r="AV25" s="408">
        <v>0</v>
      </c>
      <c r="AW25" s="408">
        <v>0</v>
      </c>
      <c r="AX25" s="408"/>
      <c r="AY25" s="408"/>
      <c r="AZ25" s="408">
        <v>0</v>
      </c>
      <c r="BA25" s="408"/>
      <c r="BB25" s="408">
        <v>0</v>
      </c>
      <c r="BC25" s="408">
        <v>0</v>
      </c>
      <c r="BD25" s="408">
        <v>0</v>
      </c>
      <c r="BE25" s="408">
        <v>0</v>
      </c>
      <c r="BF25" s="408"/>
      <c r="BG25" s="408">
        <v>0</v>
      </c>
      <c r="BH25" s="408">
        <v>0</v>
      </c>
      <c r="BI25" s="408">
        <v>7.52</v>
      </c>
      <c r="BJ25" s="408">
        <v>2.64</v>
      </c>
      <c r="BK25" s="408">
        <v>2011.38</v>
      </c>
      <c r="BL25" s="408">
        <v>1</v>
      </c>
      <c r="BM25" s="408"/>
      <c r="BN25" s="408"/>
      <c r="BO25" s="408"/>
      <c r="BP25" s="408"/>
      <c r="BQ25" s="408"/>
      <c r="BR25" s="408"/>
      <c r="BS25" s="408"/>
      <c r="BT25" s="408"/>
      <c r="BU25" s="408"/>
      <c r="BV25" s="408">
        <v>0</v>
      </c>
      <c r="BW25" s="408"/>
      <c r="BX25" s="408"/>
      <c r="BY25" s="408"/>
      <c r="BZ25" s="408"/>
      <c r="CA25" s="408"/>
      <c r="CB25" s="408"/>
      <c r="CC25" s="408"/>
      <c r="CD25" s="408"/>
      <c r="CE25" s="408"/>
      <c r="CF25" s="408"/>
      <c r="CG25" s="408"/>
      <c r="CH25" s="408"/>
      <c r="CI25" s="408">
        <v>3060.9</v>
      </c>
      <c r="CJ25" s="408">
        <v>-1441.1800000000007</v>
      </c>
      <c r="CK25" s="408"/>
      <c r="CL25" s="408"/>
      <c r="CM25" s="408"/>
      <c r="CN25" s="408"/>
      <c r="CO25" s="408">
        <v>-1441.15</v>
      </c>
      <c r="CP25" s="408">
        <v>0</v>
      </c>
      <c r="CQ25" s="408">
        <v>31</v>
      </c>
      <c r="CR25" s="408">
        <v>-10.722310214649497</v>
      </c>
      <c r="CS25" s="408">
        <v>0</v>
      </c>
      <c r="CT25" s="408">
        <v>0</v>
      </c>
      <c r="CU25" s="408">
        <v>0</v>
      </c>
      <c r="CV25" s="408">
        <v>0</v>
      </c>
      <c r="CW25" s="408"/>
      <c r="CX25" s="408"/>
      <c r="CY25" s="408"/>
      <c r="CZ25" s="408">
        <v>-10.722310214649497</v>
      </c>
      <c r="DA25" s="408">
        <v>0</v>
      </c>
      <c r="DB25" s="408">
        <v>0</v>
      </c>
      <c r="DC25" s="408"/>
      <c r="DD25" s="408"/>
      <c r="DE25" s="408">
        <v>0</v>
      </c>
      <c r="DF25" s="408">
        <v>0</v>
      </c>
      <c r="DG25" s="408">
        <v>0</v>
      </c>
      <c r="DH25" s="408">
        <v>0</v>
      </c>
      <c r="DI25" s="408">
        <v>0</v>
      </c>
      <c r="DJ25" s="408"/>
      <c r="DK25" s="408">
        <v>0</v>
      </c>
      <c r="DL25" s="408">
        <v>0</v>
      </c>
      <c r="DM25" s="408"/>
      <c r="DN25" s="408">
        <v>0</v>
      </c>
      <c r="DO25" s="408">
        <v>0</v>
      </c>
      <c r="DP25" s="408">
        <v>0</v>
      </c>
      <c r="DQ25" s="408">
        <v>0</v>
      </c>
      <c r="DR25" s="408">
        <v>0</v>
      </c>
      <c r="DS25" s="408"/>
      <c r="DT25" s="408"/>
      <c r="DU25" s="408">
        <v>2129.8873883443025</v>
      </c>
      <c r="DV25" s="408"/>
      <c r="DW25" s="408">
        <v>0</v>
      </c>
      <c r="DX25" s="408">
        <v>0</v>
      </c>
      <c r="DY25" s="408">
        <v>-1441.15</v>
      </c>
      <c r="DZ25" s="408"/>
      <c r="EA25" s="408">
        <v>0</v>
      </c>
      <c r="EB25" s="408"/>
      <c r="EC25" s="408">
        <v>-1430.5914055219337</v>
      </c>
      <c r="ED25" s="408"/>
      <c r="EE25" s="408">
        <v>0</v>
      </c>
      <c r="EF25" s="408">
        <v>0</v>
      </c>
      <c r="EG25" s="408"/>
      <c r="EH25" s="408">
        <v>0</v>
      </c>
      <c r="EI25" s="408">
        <v>0</v>
      </c>
      <c r="EJ25" s="408">
        <v>0</v>
      </c>
      <c r="EK25" s="408">
        <v>0</v>
      </c>
      <c r="EL25" s="408">
        <v>0</v>
      </c>
      <c r="EM25" s="408"/>
      <c r="EN25" s="408"/>
      <c r="EO25" s="408">
        <v>0</v>
      </c>
      <c r="EP25" s="408">
        <v>0</v>
      </c>
      <c r="EQ25" s="408"/>
      <c r="ER25" s="408">
        <v>0</v>
      </c>
      <c r="ES25" s="408"/>
      <c r="ET25" s="408">
        <v>0</v>
      </c>
      <c r="EU25" s="408"/>
      <c r="EV25" s="408">
        <v>257</v>
      </c>
      <c r="EW25" s="408"/>
      <c r="EX25" s="408"/>
      <c r="EY25" s="408"/>
      <c r="EZ25" s="408"/>
      <c r="FA25" s="408">
        <v>0</v>
      </c>
      <c r="FB25" s="408"/>
      <c r="FC25" s="408"/>
      <c r="FD25" s="408"/>
      <c r="FE25" s="408"/>
      <c r="FF25" s="408">
        <v>0</v>
      </c>
      <c r="FG25" s="408">
        <v>0</v>
      </c>
      <c r="FH25" s="408">
        <v>0</v>
      </c>
      <c r="FI25" s="408">
        <v>0</v>
      </c>
    </row>
    <row r="26" spans="1:165" customFormat="1">
      <c r="A26" s="408">
        <v>24</v>
      </c>
      <c r="B26" s="408" t="s">
        <v>1035</v>
      </c>
      <c r="C26" s="408" t="s">
        <v>2233</v>
      </c>
      <c r="D26" s="408" t="s">
        <v>2243</v>
      </c>
      <c r="E26" s="408" t="s">
        <v>973</v>
      </c>
      <c r="F26" s="408" t="s">
        <v>1321</v>
      </c>
      <c r="G26" s="408" t="s">
        <v>1321</v>
      </c>
      <c r="H26" s="408" t="s">
        <v>1321</v>
      </c>
      <c r="I26" s="408" t="s">
        <v>1321</v>
      </c>
      <c r="J26" s="408" t="s">
        <v>2234</v>
      </c>
      <c r="K26" s="828">
        <v>44378</v>
      </c>
      <c r="L26" s="408">
        <v>0</v>
      </c>
      <c r="M26" s="408">
        <v>0</v>
      </c>
      <c r="N26" s="408">
        <v>2763.3310000000001</v>
      </c>
      <c r="O26" s="408">
        <v>2763.3310000000001</v>
      </c>
      <c r="P26" s="408">
        <v>2763.3310000000001</v>
      </c>
      <c r="Q26" s="408">
        <v>2763.3310000000001</v>
      </c>
      <c r="R26" s="408"/>
      <c r="S26" s="408">
        <v>710.91</v>
      </c>
      <c r="T26" s="408">
        <v>256.55</v>
      </c>
      <c r="U26" s="408"/>
      <c r="V26" s="408">
        <v>2673412.2092599999</v>
      </c>
      <c r="W26" s="408">
        <v>2673412.2092599999</v>
      </c>
      <c r="X26" s="408">
        <v>1824986.69233</v>
      </c>
      <c r="Y26" s="408">
        <v>0</v>
      </c>
      <c r="Z26" s="408">
        <v>169874.89282211894</v>
      </c>
      <c r="AA26" s="408">
        <v>0</v>
      </c>
      <c r="AB26" s="408">
        <v>0</v>
      </c>
      <c r="AC26" s="408">
        <v>0</v>
      </c>
      <c r="AD26" s="408">
        <v>340118.48863014177</v>
      </c>
      <c r="AE26" s="408">
        <v>1317860.357666899</v>
      </c>
      <c r="AF26" s="408">
        <v>708939.53643035307</v>
      </c>
      <c r="AG26" s="408">
        <v>0</v>
      </c>
      <c r="AH26" s="408">
        <v>0</v>
      </c>
      <c r="AI26" s="408">
        <v>0</v>
      </c>
      <c r="AJ26" s="408">
        <v>0</v>
      </c>
      <c r="AK26" s="408">
        <v>0</v>
      </c>
      <c r="AL26" s="408">
        <v>26263.426667534088</v>
      </c>
      <c r="AM26" s="408"/>
      <c r="AN26" s="408">
        <v>6067.73504911498</v>
      </c>
      <c r="AO26" s="408">
        <v>0</v>
      </c>
      <c r="AP26" s="408">
        <v>0</v>
      </c>
      <c r="AQ26" s="408">
        <v>0</v>
      </c>
      <c r="AR26" s="408">
        <v>0</v>
      </c>
      <c r="AS26" s="408">
        <v>0</v>
      </c>
      <c r="AT26" s="408">
        <v>0</v>
      </c>
      <c r="AU26" s="408">
        <v>0</v>
      </c>
      <c r="AV26" s="408">
        <v>0</v>
      </c>
      <c r="AW26" s="408">
        <v>0</v>
      </c>
      <c r="AX26" s="408">
        <v>0</v>
      </c>
      <c r="AY26" s="408">
        <v>0</v>
      </c>
      <c r="AZ26" s="408">
        <v>0</v>
      </c>
      <c r="BA26" s="408"/>
      <c r="BB26" s="408">
        <v>0</v>
      </c>
      <c r="BC26" s="408">
        <v>0</v>
      </c>
      <c r="BD26" s="408">
        <v>4118.2483681384219</v>
      </c>
      <c r="BE26" s="408">
        <v>0</v>
      </c>
      <c r="BF26" s="408">
        <v>0</v>
      </c>
      <c r="BG26" s="408">
        <v>100180.15036155027</v>
      </c>
      <c r="BH26" s="408">
        <v>0</v>
      </c>
      <c r="BI26" s="408">
        <v>1909.62</v>
      </c>
      <c r="BJ26" s="408">
        <v>697.01</v>
      </c>
      <c r="BK26" s="408">
        <v>198352.64000000001</v>
      </c>
      <c r="BL26" s="408">
        <v>10245</v>
      </c>
      <c r="BM26" s="408"/>
      <c r="BN26" s="408"/>
      <c r="BO26" s="408"/>
      <c r="BP26" s="408"/>
      <c r="BQ26" s="408"/>
      <c r="BR26" s="408">
        <v>218993.98174999992</v>
      </c>
      <c r="BS26" s="408"/>
      <c r="BT26" s="408"/>
      <c r="BU26" s="408"/>
      <c r="BV26" s="408">
        <v>813237.93516004179</v>
      </c>
      <c r="BW26" s="408"/>
      <c r="BX26" s="408"/>
      <c r="BY26" s="408"/>
      <c r="BZ26" s="408"/>
      <c r="CA26" s="408"/>
      <c r="CB26" s="408"/>
      <c r="CC26" s="408"/>
      <c r="CD26" s="408"/>
      <c r="CE26" s="408"/>
      <c r="CF26" s="408"/>
      <c r="CG26" s="408"/>
      <c r="CH26" s="408"/>
      <c r="CI26" s="408">
        <v>1605992.1294</v>
      </c>
      <c r="CJ26" s="408">
        <v>-746625.01407000003</v>
      </c>
      <c r="CK26" s="408"/>
      <c r="CL26" s="408"/>
      <c r="CM26" s="408"/>
      <c r="CN26" s="408"/>
      <c r="CO26" s="408">
        <v>-892611.17961999995</v>
      </c>
      <c r="CP26" s="408">
        <v>44185.662690000026</v>
      </c>
      <c r="CQ26" s="408">
        <v>31</v>
      </c>
      <c r="CR26" s="408">
        <v>36733.749677850865</v>
      </c>
      <c r="CS26" s="408">
        <v>0</v>
      </c>
      <c r="CT26" s="408">
        <v>0</v>
      </c>
      <c r="CU26" s="408">
        <v>0</v>
      </c>
      <c r="CV26" s="408">
        <v>0</v>
      </c>
      <c r="CW26" s="408">
        <v>0</v>
      </c>
      <c r="CX26" s="408">
        <v>0</v>
      </c>
      <c r="CY26" s="408">
        <v>0</v>
      </c>
      <c r="CZ26" s="408">
        <v>-1537.3569604482036</v>
      </c>
      <c r="DA26" s="408">
        <v>0</v>
      </c>
      <c r="DB26" s="408">
        <v>0</v>
      </c>
      <c r="DC26" s="408">
        <v>44165.847852003761</v>
      </c>
      <c r="DD26" s="408">
        <v>0</v>
      </c>
      <c r="DE26" s="408">
        <v>0</v>
      </c>
      <c r="DF26" s="408">
        <v>256.56056898702263</v>
      </c>
      <c r="DG26" s="408">
        <v>6241.0700085052667</v>
      </c>
      <c r="DH26" s="408">
        <v>0</v>
      </c>
      <c r="DI26" s="408">
        <v>-10563.47545252819</v>
      </c>
      <c r="DJ26" s="408"/>
      <c r="DK26" s="408">
        <v>0</v>
      </c>
      <c r="DL26" s="408">
        <v>0</v>
      </c>
      <c r="DM26" s="408">
        <v>0</v>
      </c>
      <c r="DN26" s="408">
        <v>0</v>
      </c>
      <c r="DO26" s="408">
        <v>-1441.144891117674</v>
      </c>
      <c r="DP26" s="408">
        <v>-387.75144755090059</v>
      </c>
      <c r="DQ26" s="408">
        <v>0</v>
      </c>
      <c r="DR26" s="408">
        <v>0</v>
      </c>
      <c r="DS26" s="408"/>
      <c r="DT26" s="408"/>
      <c r="DU26" s="408"/>
      <c r="DV26" s="408">
        <v>1317860.357666899</v>
      </c>
      <c r="DW26" s="408">
        <v>0</v>
      </c>
      <c r="DX26" s="408">
        <v>0</v>
      </c>
      <c r="DY26" s="408">
        <v>-892611.17962000007</v>
      </c>
      <c r="DZ26" s="408">
        <v>44185.662690000026</v>
      </c>
      <c r="EA26" s="408">
        <v>0</v>
      </c>
      <c r="EB26" s="408">
        <v>0</v>
      </c>
      <c r="EC26" s="408">
        <v>-885173.41887352406</v>
      </c>
      <c r="ED26" s="408">
        <v>0</v>
      </c>
      <c r="EE26" s="408">
        <v>0</v>
      </c>
      <c r="EF26" s="408">
        <v>0</v>
      </c>
      <c r="EG26" s="408">
        <v>0</v>
      </c>
      <c r="EH26" s="408">
        <v>0</v>
      </c>
      <c r="EI26" s="408">
        <v>0</v>
      </c>
      <c r="EJ26" s="408">
        <v>0</v>
      </c>
      <c r="EK26" s="408">
        <v>0</v>
      </c>
      <c r="EL26" s="408">
        <v>0</v>
      </c>
      <c r="EM26" s="408">
        <v>0</v>
      </c>
      <c r="EN26" s="408">
        <v>0</v>
      </c>
      <c r="EO26" s="408">
        <v>0</v>
      </c>
      <c r="EP26" s="408">
        <v>0</v>
      </c>
      <c r="EQ26" s="408">
        <v>0</v>
      </c>
      <c r="ER26" s="408">
        <v>0</v>
      </c>
      <c r="ES26" s="408">
        <v>0</v>
      </c>
      <c r="ET26" s="408">
        <v>0</v>
      </c>
      <c r="EU26" s="408">
        <v>0</v>
      </c>
      <c r="EV26" s="408">
        <v>257</v>
      </c>
      <c r="EW26" s="408">
        <v>0</v>
      </c>
      <c r="EX26" s="408">
        <v>0</v>
      </c>
      <c r="EY26" s="408">
        <v>0</v>
      </c>
      <c r="EZ26" s="408"/>
      <c r="FA26" s="408">
        <v>0</v>
      </c>
      <c r="FB26" s="408"/>
      <c r="FC26" s="408"/>
      <c r="FD26" s="408"/>
      <c r="FE26" s="408"/>
      <c r="FF26" s="408">
        <v>0</v>
      </c>
      <c r="FG26" s="408">
        <v>0</v>
      </c>
      <c r="FH26" s="408">
        <v>0</v>
      </c>
      <c r="FI26" s="408">
        <v>0</v>
      </c>
    </row>
    <row r="27" spans="1:165" customFormat="1">
      <c r="A27" s="408">
        <v>25</v>
      </c>
      <c r="B27" s="408" t="s">
        <v>2235</v>
      </c>
      <c r="C27" s="408" t="s">
        <v>2233</v>
      </c>
      <c r="D27" s="408" t="s">
        <v>2243</v>
      </c>
      <c r="E27" s="408" t="s">
        <v>973</v>
      </c>
      <c r="F27" s="408" t="s">
        <v>1321</v>
      </c>
      <c r="G27" s="408" t="s">
        <v>1321</v>
      </c>
      <c r="H27" s="408" t="s">
        <v>1321</v>
      </c>
      <c r="I27" s="408" t="s">
        <v>1321</v>
      </c>
      <c r="J27" s="408" t="s">
        <v>2234</v>
      </c>
      <c r="K27" s="828">
        <v>44378</v>
      </c>
      <c r="L27" s="408">
        <v>0</v>
      </c>
      <c r="M27" s="408">
        <v>0</v>
      </c>
      <c r="N27" s="408">
        <v>-14.597</v>
      </c>
      <c r="O27" s="408">
        <v>-14.597</v>
      </c>
      <c r="P27" s="408">
        <v>-14.597</v>
      </c>
      <c r="Q27" s="408">
        <v>-14.597</v>
      </c>
      <c r="R27" s="408"/>
      <c r="S27" s="408">
        <v>710.91</v>
      </c>
      <c r="T27" s="408">
        <v>256.55</v>
      </c>
      <c r="U27" s="408"/>
      <c r="V27" s="408">
        <v>-14122.013619999998</v>
      </c>
      <c r="W27" s="408">
        <v>-14122.013619999998</v>
      </c>
      <c r="X27" s="408">
        <v>-9640.2967099999987</v>
      </c>
      <c r="Y27" s="408">
        <v>0</v>
      </c>
      <c r="Z27" s="408">
        <v>-897.34592436608932</v>
      </c>
      <c r="AA27" s="408">
        <v>0</v>
      </c>
      <c r="AB27" s="408">
        <v>0</v>
      </c>
      <c r="AC27" s="408">
        <v>0</v>
      </c>
      <c r="AD27" s="408">
        <v>-1796.639482759821</v>
      </c>
      <c r="AE27" s="408">
        <v>-6961.4561704203097</v>
      </c>
      <c r="AF27" s="408">
        <v>-3744.8971597227633</v>
      </c>
      <c r="AG27" s="408">
        <v>0</v>
      </c>
      <c r="AH27" s="408">
        <v>0</v>
      </c>
      <c r="AI27" s="408">
        <v>0</v>
      </c>
      <c r="AJ27" s="408">
        <v>0</v>
      </c>
      <c r="AK27" s="408">
        <v>0</v>
      </c>
      <c r="AL27" s="408">
        <v>-138.73373803789522</v>
      </c>
      <c r="AM27" s="408"/>
      <c r="AN27" s="408">
        <v>-32.052160422306031</v>
      </c>
      <c r="AO27" s="408">
        <v>0</v>
      </c>
      <c r="AP27" s="408">
        <v>0</v>
      </c>
      <c r="AQ27" s="408">
        <v>0</v>
      </c>
      <c r="AR27" s="408">
        <v>0</v>
      </c>
      <c r="AS27" s="408">
        <v>0</v>
      </c>
      <c r="AT27" s="408">
        <v>0</v>
      </c>
      <c r="AU27" s="408">
        <v>0</v>
      </c>
      <c r="AV27" s="408">
        <v>0</v>
      </c>
      <c r="AW27" s="408">
        <v>0</v>
      </c>
      <c r="AX27" s="408">
        <v>0</v>
      </c>
      <c r="AY27" s="408">
        <v>0</v>
      </c>
      <c r="AZ27" s="408">
        <v>0</v>
      </c>
      <c r="BA27" s="408"/>
      <c r="BB27" s="408">
        <v>0</v>
      </c>
      <c r="BC27" s="408">
        <v>0</v>
      </c>
      <c r="BD27" s="408">
        <v>-21.754205858696096</v>
      </c>
      <c r="BE27" s="408">
        <v>0</v>
      </c>
      <c r="BF27" s="408">
        <v>0</v>
      </c>
      <c r="BG27" s="408">
        <v>-529.19091300591538</v>
      </c>
      <c r="BH27" s="408">
        <v>0</v>
      </c>
      <c r="BI27" s="408">
        <v>-0.8</v>
      </c>
      <c r="BJ27" s="408">
        <v>-2.95</v>
      </c>
      <c r="BK27" s="408">
        <v>519.64</v>
      </c>
      <c r="BL27" s="408">
        <v>0</v>
      </c>
      <c r="BM27" s="408"/>
      <c r="BN27" s="408"/>
      <c r="BO27" s="408"/>
      <c r="BP27" s="408"/>
      <c r="BQ27" s="408"/>
      <c r="BR27" s="408">
        <v>-1156.8122499999995</v>
      </c>
      <c r="BS27" s="408"/>
      <c r="BT27" s="408"/>
      <c r="BU27" s="408"/>
      <c r="BV27" s="408">
        <v>-4295.8422785873745</v>
      </c>
      <c r="BW27" s="408"/>
      <c r="BX27" s="408"/>
      <c r="BY27" s="408"/>
      <c r="BZ27" s="408"/>
      <c r="CA27" s="408"/>
      <c r="CB27" s="408"/>
      <c r="CC27" s="408"/>
      <c r="CD27" s="408"/>
      <c r="CE27" s="408"/>
      <c r="CF27" s="408"/>
      <c r="CG27" s="408"/>
      <c r="CH27" s="408"/>
      <c r="CI27" s="408">
        <v>-8485.2279999999992</v>
      </c>
      <c r="CJ27" s="408">
        <v>3942.1898899999997</v>
      </c>
      <c r="CK27" s="408"/>
      <c r="CL27" s="408"/>
      <c r="CM27" s="408"/>
      <c r="CN27" s="408"/>
      <c r="CO27" s="408">
        <v>4715.1229399999993</v>
      </c>
      <c r="CP27" s="408">
        <v>-233.40603000000013</v>
      </c>
      <c r="CQ27" s="408">
        <v>31</v>
      </c>
      <c r="CR27" s="408">
        <v>-194.0420977608519</v>
      </c>
      <c r="CS27" s="408">
        <v>0</v>
      </c>
      <c r="CT27" s="408">
        <v>0</v>
      </c>
      <c r="CU27" s="408">
        <v>0</v>
      </c>
      <c r="CV27" s="408">
        <v>0</v>
      </c>
      <c r="CW27" s="408">
        <v>0</v>
      </c>
      <c r="CX27" s="408">
        <v>0</v>
      </c>
      <c r="CY27" s="408">
        <v>0</v>
      </c>
      <c r="CZ27" s="408">
        <v>8.1209234621774158</v>
      </c>
      <c r="DA27" s="408">
        <v>0</v>
      </c>
      <c r="DB27" s="408">
        <v>0</v>
      </c>
      <c r="DC27" s="408">
        <v>-233.30136024084641</v>
      </c>
      <c r="DD27" s="408">
        <v>0</v>
      </c>
      <c r="DE27" s="408">
        <v>0</v>
      </c>
      <c r="DF27" s="408">
        <v>-1.3552537229537727</v>
      </c>
      <c r="DG27" s="408">
        <v>-32.9677837776768</v>
      </c>
      <c r="DH27" s="408">
        <v>0</v>
      </c>
      <c r="DI27" s="408">
        <v>55.800427520465064</v>
      </c>
      <c r="DJ27" s="408"/>
      <c r="DK27" s="408">
        <v>0</v>
      </c>
      <c r="DL27" s="408">
        <v>0</v>
      </c>
      <c r="DM27" s="408">
        <v>0</v>
      </c>
      <c r="DN27" s="408">
        <v>0</v>
      </c>
      <c r="DO27" s="408">
        <v>7.612693512157847</v>
      </c>
      <c r="DP27" s="408">
        <v>2.0482554858250737</v>
      </c>
      <c r="DQ27" s="408">
        <v>0</v>
      </c>
      <c r="DR27" s="408">
        <v>0</v>
      </c>
      <c r="DS27" s="408"/>
      <c r="DT27" s="408"/>
      <c r="DU27" s="408"/>
      <c r="DV27" s="408">
        <v>-6961.4561704203097</v>
      </c>
      <c r="DW27" s="408">
        <v>0</v>
      </c>
      <c r="DX27" s="408">
        <v>0</v>
      </c>
      <c r="DY27" s="408">
        <v>4715.1229399999993</v>
      </c>
      <c r="DZ27" s="408">
        <v>-233.4060300000001</v>
      </c>
      <c r="EA27" s="408">
        <v>0</v>
      </c>
      <c r="EB27" s="408">
        <v>0</v>
      </c>
      <c r="EC27" s="408">
        <v>4675.8337655882824</v>
      </c>
      <c r="ED27" s="408">
        <v>0</v>
      </c>
      <c r="EE27" s="408">
        <v>0</v>
      </c>
      <c r="EF27" s="408">
        <v>0</v>
      </c>
      <c r="EG27" s="408">
        <v>0</v>
      </c>
      <c r="EH27" s="408">
        <v>0</v>
      </c>
      <c r="EI27" s="408">
        <v>0</v>
      </c>
      <c r="EJ27" s="408">
        <v>0</v>
      </c>
      <c r="EK27" s="408">
        <v>0</v>
      </c>
      <c r="EL27" s="408">
        <v>0</v>
      </c>
      <c r="EM27" s="408">
        <v>0</v>
      </c>
      <c r="EN27" s="408">
        <v>0</v>
      </c>
      <c r="EO27" s="408">
        <v>0</v>
      </c>
      <c r="EP27" s="408">
        <v>0</v>
      </c>
      <c r="EQ27" s="408">
        <v>0</v>
      </c>
      <c r="ER27" s="408">
        <v>0</v>
      </c>
      <c r="ES27" s="408">
        <v>0</v>
      </c>
      <c r="ET27" s="408">
        <v>0</v>
      </c>
      <c r="EU27" s="408">
        <v>0</v>
      </c>
      <c r="EV27" s="408">
        <v>257</v>
      </c>
      <c r="EW27" s="408">
        <v>0</v>
      </c>
      <c r="EX27" s="408">
        <v>0</v>
      </c>
      <c r="EY27" s="408">
        <v>0</v>
      </c>
      <c r="EZ27" s="408"/>
      <c r="FA27" s="408">
        <v>0</v>
      </c>
      <c r="FB27" s="408"/>
      <c r="FC27" s="408"/>
      <c r="FD27" s="408"/>
      <c r="FE27" s="408"/>
      <c r="FF27" s="408">
        <v>0</v>
      </c>
      <c r="FG27" s="408">
        <v>0</v>
      </c>
      <c r="FH27" s="408">
        <v>0</v>
      </c>
      <c r="FI27" s="408">
        <v>0</v>
      </c>
    </row>
    <row r="28" spans="1:165" customFormat="1">
      <c r="A28" s="408">
        <v>26</v>
      </c>
      <c r="B28" s="408" t="s">
        <v>2236</v>
      </c>
      <c r="C28" s="408" t="s">
        <v>2233</v>
      </c>
      <c r="D28" s="408" t="s">
        <v>2243</v>
      </c>
      <c r="E28" s="408" t="s">
        <v>973</v>
      </c>
      <c r="F28" s="408" t="s">
        <v>1321</v>
      </c>
      <c r="G28" s="408" t="s">
        <v>1321</v>
      </c>
      <c r="H28" s="408" t="s">
        <v>1321</v>
      </c>
      <c r="I28" s="408" t="s">
        <v>1321</v>
      </c>
      <c r="J28" s="408" t="s">
        <v>2234</v>
      </c>
      <c r="K28" s="828">
        <v>44378</v>
      </c>
      <c r="L28" s="408">
        <v>0</v>
      </c>
      <c r="M28" s="408">
        <v>0</v>
      </c>
      <c r="N28" s="408">
        <v>102.232</v>
      </c>
      <c r="O28" s="408">
        <v>102.232</v>
      </c>
      <c r="P28" s="408">
        <v>102.232</v>
      </c>
      <c r="Q28" s="408">
        <v>102.232</v>
      </c>
      <c r="R28" s="408"/>
      <c r="S28" s="408">
        <v>710.91</v>
      </c>
      <c r="T28" s="408">
        <v>256.55</v>
      </c>
      <c r="U28" s="408"/>
      <c r="V28" s="408">
        <v>98905.370720000006</v>
      </c>
      <c r="W28" s="408">
        <v>98905.370720000006</v>
      </c>
      <c r="X28" s="408">
        <v>67517.079759999993</v>
      </c>
      <c r="Y28" s="408">
        <v>0</v>
      </c>
      <c r="Z28" s="408">
        <v>6284.6796286767176</v>
      </c>
      <c r="AA28" s="408">
        <v>0</v>
      </c>
      <c r="AB28" s="408">
        <v>0</v>
      </c>
      <c r="AC28" s="408">
        <v>0</v>
      </c>
      <c r="AD28" s="408">
        <v>12582.999767178326</v>
      </c>
      <c r="AE28" s="408">
        <v>48755.469426211486</v>
      </c>
      <c r="AF28" s="408">
        <v>26227.877401711143</v>
      </c>
      <c r="AG28" s="408">
        <v>0</v>
      </c>
      <c r="AH28" s="408">
        <v>0</v>
      </c>
      <c r="AI28" s="408">
        <v>0</v>
      </c>
      <c r="AJ28" s="408">
        <v>0</v>
      </c>
      <c r="AK28" s="408">
        <v>0</v>
      </c>
      <c r="AL28" s="408">
        <v>971.63989224430395</v>
      </c>
      <c r="AM28" s="408"/>
      <c r="AN28" s="408">
        <v>224.48150060239712</v>
      </c>
      <c r="AO28" s="408">
        <v>0</v>
      </c>
      <c r="AP28" s="408">
        <v>0</v>
      </c>
      <c r="AQ28" s="408">
        <v>0</v>
      </c>
      <c r="AR28" s="408">
        <v>0</v>
      </c>
      <c r="AS28" s="408">
        <v>0</v>
      </c>
      <c r="AT28" s="408">
        <v>0</v>
      </c>
      <c r="AU28" s="408">
        <v>0</v>
      </c>
      <c r="AV28" s="408">
        <v>0</v>
      </c>
      <c r="AW28" s="408">
        <v>0</v>
      </c>
      <c r="AX28" s="408">
        <v>0</v>
      </c>
      <c r="AY28" s="408">
        <v>0</v>
      </c>
      <c r="AZ28" s="408">
        <v>0</v>
      </c>
      <c r="BA28" s="408"/>
      <c r="BB28" s="408">
        <v>0</v>
      </c>
      <c r="BC28" s="408">
        <v>0</v>
      </c>
      <c r="BD28" s="408">
        <v>152.35842798836882</v>
      </c>
      <c r="BE28" s="408">
        <v>0</v>
      </c>
      <c r="BF28" s="408">
        <v>0</v>
      </c>
      <c r="BG28" s="408">
        <v>3706.2578213619745</v>
      </c>
      <c r="BH28" s="408">
        <v>0</v>
      </c>
      <c r="BI28" s="408">
        <v>67.55</v>
      </c>
      <c r="BJ28" s="408">
        <v>23.74</v>
      </c>
      <c r="BK28" s="408">
        <v>1671.23</v>
      </c>
      <c r="BL28" s="408">
        <v>131</v>
      </c>
      <c r="BM28" s="408"/>
      <c r="BN28" s="408"/>
      <c r="BO28" s="408"/>
      <c r="BP28" s="408"/>
      <c r="BQ28" s="408"/>
      <c r="BR28" s="408">
        <v>8101.8859999999968</v>
      </c>
      <c r="BS28" s="408"/>
      <c r="BT28" s="408"/>
      <c r="BU28" s="408"/>
      <c r="BV28" s="408">
        <v>30086.493651061486</v>
      </c>
      <c r="BW28" s="408"/>
      <c r="BX28" s="408"/>
      <c r="BY28" s="408"/>
      <c r="BZ28" s="408"/>
      <c r="CA28" s="408"/>
      <c r="CB28" s="408"/>
      <c r="CC28" s="408"/>
      <c r="CD28" s="408"/>
      <c r="CE28" s="408"/>
      <c r="CF28" s="408"/>
      <c r="CG28" s="408"/>
      <c r="CH28" s="408"/>
      <c r="CI28" s="408">
        <v>59414.031400000007</v>
      </c>
      <c r="CJ28" s="408">
        <v>-27623.256439999997</v>
      </c>
      <c r="CK28" s="408"/>
      <c r="CL28" s="408"/>
      <c r="CM28" s="408"/>
      <c r="CN28" s="408"/>
      <c r="CO28" s="408">
        <v>-33022.980639999994</v>
      </c>
      <c r="CP28" s="408">
        <v>1634.6896800000009</v>
      </c>
      <c r="CQ28" s="408">
        <v>31</v>
      </c>
      <c r="CR28" s="408">
        <v>1358.9992284912951</v>
      </c>
      <c r="CS28" s="408">
        <v>0</v>
      </c>
      <c r="CT28" s="408">
        <v>0</v>
      </c>
      <c r="CU28" s="408">
        <v>0</v>
      </c>
      <c r="CV28" s="408">
        <v>0</v>
      </c>
      <c r="CW28" s="408">
        <v>0</v>
      </c>
      <c r="CX28" s="408">
        <v>0</v>
      </c>
      <c r="CY28" s="408">
        <v>0</v>
      </c>
      <c r="CZ28" s="408">
        <v>-56.875950358657064</v>
      </c>
      <c r="DA28" s="408">
        <v>0</v>
      </c>
      <c r="DB28" s="408">
        <v>0</v>
      </c>
      <c r="DC28" s="408">
        <v>1633.956611642272</v>
      </c>
      <c r="DD28" s="408">
        <v>0</v>
      </c>
      <c r="DE28" s="408">
        <v>0</v>
      </c>
      <c r="DF28" s="408">
        <v>9.4916968284585721</v>
      </c>
      <c r="DG28" s="408">
        <v>230.89418861132162</v>
      </c>
      <c r="DH28" s="408">
        <v>0</v>
      </c>
      <c r="DI28" s="408">
        <v>-390.80559747017742</v>
      </c>
      <c r="DJ28" s="408"/>
      <c r="DK28" s="408">
        <v>0</v>
      </c>
      <c r="DL28" s="408">
        <v>0</v>
      </c>
      <c r="DM28" s="408">
        <v>0</v>
      </c>
      <c r="DN28" s="408">
        <v>0</v>
      </c>
      <c r="DO28" s="408">
        <v>-53.316495385005283</v>
      </c>
      <c r="DP28" s="408">
        <v>-14.345225376917824</v>
      </c>
      <c r="DQ28" s="408">
        <v>0</v>
      </c>
      <c r="DR28" s="408">
        <v>0</v>
      </c>
      <c r="DS28" s="408"/>
      <c r="DT28" s="408"/>
      <c r="DU28" s="408"/>
      <c r="DV28" s="408">
        <v>48755.469426211486</v>
      </c>
      <c r="DW28" s="408">
        <v>0</v>
      </c>
      <c r="DX28" s="408">
        <v>0</v>
      </c>
      <c r="DY28" s="408">
        <v>-33022.980640000002</v>
      </c>
      <c r="DZ28" s="408">
        <v>1634.6896799999995</v>
      </c>
      <c r="EA28" s="408">
        <v>0</v>
      </c>
      <c r="EB28" s="408">
        <v>0</v>
      </c>
      <c r="EC28" s="408">
        <v>-32747.813764720231</v>
      </c>
      <c r="ED28" s="408">
        <v>0</v>
      </c>
      <c r="EE28" s="408">
        <v>0</v>
      </c>
      <c r="EF28" s="408">
        <v>0</v>
      </c>
      <c r="EG28" s="408">
        <v>0</v>
      </c>
      <c r="EH28" s="408">
        <v>0</v>
      </c>
      <c r="EI28" s="408">
        <v>0</v>
      </c>
      <c r="EJ28" s="408">
        <v>0</v>
      </c>
      <c r="EK28" s="408">
        <v>0</v>
      </c>
      <c r="EL28" s="408">
        <v>0</v>
      </c>
      <c r="EM28" s="408">
        <v>0</v>
      </c>
      <c r="EN28" s="408">
        <v>0</v>
      </c>
      <c r="EO28" s="408">
        <v>0</v>
      </c>
      <c r="EP28" s="408">
        <v>0</v>
      </c>
      <c r="EQ28" s="408">
        <v>0</v>
      </c>
      <c r="ER28" s="408">
        <v>0</v>
      </c>
      <c r="ES28" s="408">
        <v>0</v>
      </c>
      <c r="ET28" s="408">
        <v>0</v>
      </c>
      <c r="EU28" s="408">
        <v>0</v>
      </c>
      <c r="EV28" s="408">
        <v>257</v>
      </c>
      <c r="EW28" s="408">
        <v>0</v>
      </c>
      <c r="EX28" s="408">
        <v>0</v>
      </c>
      <c r="EY28" s="408">
        <v>0</v>
      </c>
      <c r="EZ28" s="408"/>
      <c r="FA28" s="408">
        <v>0</v>
      </c>
      <c r="FB28" s="408"/>
      <c r="FC28" s="408"/>
      <c r="FD28" s="408"/>
      <c r="FE28" s="408"/>
      <c r="FF28" s="408">
        <v>0</v>
      </c>
      <c r="FG28" s="408">
        <v>0</v>
      </c>
      <c r="FH28" s="408">
        <v>0</v>
      </c>
      <c r="FI28" s="408">
        <v>0</v>
      </c>
    </row>
    <row r="29" spans="1:165" customFormat="1">
      <c r="A29" s="408">
        <v>27</v>
      </c>
      <c r="B29" s="408" t="s">
        <v>1035</v>
      </c>
      <c r="C29" s="408" t="s">
        <v>2241</v>
      </c>
      <c r="D29" s="408" t="s">
        <v>596</v>
      </c>
      <c r="E29" s="408" t="s">
        <v>973</v>
      </c>
      <c r="F29" s="408" t="s">
        <v>1321</v>
      </c>
      <c r="G29" s="408" t="s">
        <v>1321</v>
      </c>
      <c r="H29" s="408" t="s">
        <v>1321</v>
      </c>
      <c r="I29" s="408" t="s">
        <v>972</v>
      </c>
      <c r="J29" s="408" t="s">
        <v>2234</v>
      </c>
      <c r="K29" s="828">
        <v>44378</v>
      </c>
      <c r="L29" s="408">
        <v>0</v>
      </c>
      <c r="M29" s="408">
        <v>0</v>
      </c>
      <c r="N29" s="408">
        <v>10.884</v>
      </c>
      <c r="O29" s="408">
        <v>10.448639999999999</v>
      </c>
      <c r="P29" s="408">
        <v>10.884</v>
      </c>
      <c r="Q29" s="408">
        <v>10.448639999999999</v>
      </c>
      <c r="R29" s="408"/>
      <c r="S29" s="408">
        <v>3130.62</v>
      </c>
      <c r="T29" s="408">
        <v>256.55</v>
      </c>
      <c r="U29" s="408"/>
      <c r="V29" s="408">
        <v>36865.958280000006</v>
      </c>
      <c r="W29" s="408">
        <v>36865.958280000006</v>
      </c>
      <c r="X29" s="408">
        <v>19402.144919999999</v>
      </c>
      <c r="Y29" s="408">
        <v>0</v>
      </c>
      <c r="Z29" s="408">
        <v>582.10867613183859</v>
      </c>
      <c r="AA29" s="408">
        <v>0</v>
      </c>
      <c r="AB29" s="408">
        <v>0</v>
      </c>
      <c r="AC29" s="408">
        <v>0</v>
      </c>
      <c r="AD29" s="408">
        <v>7011.6230783576339</v>
      </c>
      <c r="AE29" s="408">
        <v>26166.754048294333</v>
      </c>
      <c r="AF29" s="408">
        <v>2792.3176465316542</v>
      </c>
      <c r="AG29" s="408">
        <v>0</v>
      </c>
      <c r="AH29" s="408">
        <v>0</v>
      </c>
      <c r="AI29" s="408">
        <v>0</v>
      </c>
      <c r="AJ29" s="408">
        <v>0</v>
      </c>
      <c r="AK29" s="408">
        <v>0</v>
      </c>
      <c r="AL29" s="408">
        <v>103.44440671401327</v>
      </c>
      <c r="AM29" s="408"/>
      <c r="AN29" s="408">
        <v>14.683114563563521</v>
      </c>
      <c r="AO29" s="408">
        <v>0</v>
      </c>
      <c r="AP29" s="408">
        <v>0</v>
      </c>
      <c r="AQ29" s="408">
        <v>0</v>
      </c>
      <c r="AR29" s="408">
        <v>0</v>
      </c>
      <c r="AS29" s="408">
        <v>0</v>
      </c>
      <c r="AT29" s="408">
        <v>0</v>
      </c>
      <c r="AU29" s="408">
        <v>0</v>
      </c>
      <c r="AV29" s="408">
        <v>0</v>
      </c>
      <c r="AW29" s="408">
        <v>0</v>
      </c>
      <c r="AX29" s="408">
        <v>0</v>
      </c>
      <c r="AY29" s="408">
        <v>0</v>
      </c>
      <c r="AZ29" s="408">
        <v>0</v>
      </c>
      <c r="BA29" s="408"/>
      <c r="BB29" s="408">
        <v>0</v>
      </c>
      <c r="BC29" s="408">
        <v>0</v>
      </c>
      <c r="BD29" s="408">
        <v>13.409362464072716</v>
      </c>
      <c r="BE29" s="408">
        <v>0</v>
      </c>
      <c r="BF29" s="408">
        <v>0</v>
      </c>
      <c r="BG29" s="408">
        <v>181.64621274262726</v>
      </c>
      <c r="BH29" s="408">
        <v>0</v>
      </c>
      <c r="BI29" s="408">
        <v>0</v>
      </c>
      <c r="BJ29" s="408">
        <v>0</v>
      </c>
      <c r="BK29" s="408">
        <v>0</v>
      </c>
      <c r="BL29" s="408">
        <v>0</v>
      </c>
      <c r="BM29" s="408"/>
      <c r="BN29" s="408"/>
      <c r="BO29" s="408"/>
      <c r="BP29" s="408"/>
      <c r="BQ29" s="408"/>
      <c r="BR29" s="408">
        <v>776.08579680000184</v>
      </c>
      <c r="BS29" s="408"/>
      <c r="BT29" s="408"/>
      <c r="BU29" s="408"/>
      <c r="BV29" s="408">
        <v>2987.373221738354</v>
      </c>
      <c r="BW29" s="408"/>
      <c r="BX29" s="408"/>
      <c r="BY29" s="408"/>
      <c r="BZ29" s="408"/>
      <c r="CA29" s="408"/>
      <c r="CB29" s="408"/>
      <c r="CC29" s="408"/>
      <c r="CD29" s="408"/>
      <c r="CE29" s="408"/>
      <c r="CF29" s="408"/>
      <c r="CG29" s="408"/>
      <c r="CH29" s="408"/>
      <c r="CI29" s="408">
        <v>18628.483499999998</v>
      </c>
      <c r="CJ29" s="408">
        <v>-16762.866448799996</v>
      </c>
      <c r="CK29" s="408"/>
      <c r="CL29" s="408"/>
      <c r="CM29" s="408"/>
      <c r="CN29" s="408"/>
      <c r="CO29" s="408">
        <v>-17637.84852</v>
      </c>
      <c r="CP29" s="408">
        <v>174.0351600000001</v>
      </c>
      <c r="CQ29" s="408">
        <v>31</v>
      </c>
      <c r="CR29" s="408">
        <v>111.60346052973728</v>
      </c>
      <c r="CS29" s="408">
        <v>0</v>
      </c>
      <c r="CT29" s="408">
        <v>0</v>
      </c>
      <c r="CU29" s="408">
        <v>0</v>
      </c>
      <c r="CV29" s="408">
        <v>0</v>
      </c>
      <c r="CW29" s="408">
        <v>0</v>
      </c>
      <c r="CX29" s="408">
        <v>0</v>
      </c>
      <c r="CY29" s="408">
        <v>0</v>
      </c>
      <c r="CZ29" s="408">
        <v>-31.692977312020048</v>
      </c>
      <c r="DA29" s="408">
        <v>0</v>
      </c>
      <c r="DB29" s="408">
        <v>0</v>
      </c>
      <c r="DC29" s="408">
        <v>173.95711480861655</v>
      </c>
      <c r="DD29" s="408">
        <v>0</v>
      </c>
      <c r="DE29" s="408">
        <v>0</v>
      </c>
      <c r="DF29" s="408">
        <v>0.83538275402533202</v>
      </c>
      <c r="DG29" s="408">
        <v>11.316280983959132</v>
      </c>
      <c r="DH29" s="408">
        <v>0</v>
      </c>
      <c r="DI29" s="408">
        <v>-36.197760651194585</v>
      </c>
      <c r="DJ29" s="408"/>
      <c r="DK29" s="408">
        <v>0</v>
      </c>
      <c r="DL29" s="408">
        <v>0</v>
      </c>
      <c r="DM29" s="408">
        <v>0</v>
      </c>
      <c r="DN29" s="408">
        <v>0</v>
      </c>
      <c r="DO29" s="408">
        <v>-5.6762729455590915</v>
      </c>
      <c r="DP29" s="408">
        <v>-0.93830710808773254</v>
      </c>
      <c r="DQ29" s="408">
        <v>0</v>
      </c>
      <c r="DR29" s="408">
        <v>0</v>
      </c>
      <c r="DS29" s="408"/>
      <c r="DT29" s="408"/>
      <c r="DU29" s="408"/>
      <c r="DV29" s="408">
        <v>26166.754048294333</v>
      </c>
      <c r="DW29" s="408">
        <v>0</v>
      </c>
      <c r="DX29" s="408">
        <v>0</v>
      </c>
      <c r="DY29" s="408">
        <v>-17637.848520000003</v>
      </c>
      <c r="DZ29" s="408">
        <v>174.03515999999991</v>
      </c>
      <c r="EA29" s="408">
        <v>0</v>
      </c>
      <c r="EB29" s="408">
        <v>0</v>
      </c>
      <c r="EC29" s="408">
        <v>-17575.545851274277</v>
      </c>
      <c r="ED29" s="408">
        <v>0</v>
      </c>
      <c r="EE29" s="408">
        <v>0</v>
      </c>
      <c r="EF29" s="408">
        <v>0</v>
      </c>
      <c r="EG29" s="408">
        <v>0</v>
      </c>
      <c r="EH29" s="408">
        <v>0</v>
      </c>
      <c r="EI29" s="408">
        <v>0</v>
      </c>
      <c r="EJ29" s="408">
        <v>0</v>
      </c>
      <c r="EK29" s="408">
        <v>0</v>
      </c>
      <c r="EL29" s="408">
        <v>0</v>
      </c>
      <c r="EM29" s="408">
        <v>0</v>
      </c>
      <c r="EN29" s="408">
        <v>0</v>
      </c>
      <c r="EO29" s="408">
        <v>0</v>
      </c>
      <c r="EP29" s="408">
        <v>0</v>
      </c>
      <c r="EQ29" s="408">
        <v>0</v>
      </c>
      <c r="ER29" s="408">
        <v>0</v>
      </c>
      <c r="ES29" s="408">
        <v>0</v>
      </c>
      <c r="ET29" s="408">
        <v>0</v>
      </c>
      <c r="EU29" s="408">
        <v>0</v>
      </c>
      <c r="EV29" s="408">
        <v>257</v>
      </c>
      <c r="EW29" s="408">
        <v>0</v>
      </c>
      <c r="EX29" s="408">
        <v>0</v>
      </c>
      <c r="EY29" s="408">
        <v>0</v>
      </c>
      <c r="EZ29" s="408"/>
      <c r="FA29" s="408">
        <v>0</v>
      </c>
      <c r="FB29" s="408"/>
      <c r="FC29" s="408"/>
      <c r="FD29" s="408"/>
      <c r="FE29" s="408"/>
      <c r="FF29" s="408">
        <v>0</v>
      </c>
      <c r="FG29" s="408">
        <v>0</v>
      </c>
      <c r="FH29" s="408">
        <v>0</v>
      </c>
      <c r="FI29" s="408">
        <v>0</v>
      </c>
    </row>
    <row r="30" spans="1:165" customFormat="1">
      <c r="A30" s="408">
        <v>28</v>
      </c>
      <c r="B30" s="408" t="s">
        <v>1035</v>
      </c>
      <c r="C30" s="408" t="s">
        <v>2241</v>
      </c>
      <c r="D30" s="408" t="s">
        <v>596</v>
      </c>
      <c r="E30" s="408" t="s">
        <v>973</v>
      </c>
      <c r="F30" s="408" t="s">
        <v>1321</v>
      </c>
      <c r="G30" s="408" t="s">
        <v>1321</v>
      </c>
      <c r="H30" s="408" t="s">
        <v>1321</v>
      </c>
      <c r="I30" s="408" t="s">
        <v>2242</v>
      </c>
      <c r="J30" s="408" t="s">
        <v>2234</v>
      </c>
      <c r="K30" s="828">
        <v>44378</v>
      </c>
      <c r="L30" s="408">
        <v>0</v>
      </c>
      <c r="M30" s="408">
        <v>0</v>
      </c>
      <c r="N30" s="408">
        <v>125.26</v>
      </c>
      <c r="O30" s="408">
        <v>120.2496</v>
      </c>
      <c r="P30" s="408">
        <v>125.26</v>
      </c>
      <c r="Q30" s="408">
        <v>120.2496</v>
      </c>
      <c r="R30" s="408"/>
      <c r="S30" s="408">
        <v>82.26</v>
      </c>
      <c r="T30" s="408">
        <v>256.55</v>
      </c>
      <c r="U30" s="408"/>
      <c r="V30" s="408">
        <v>42439.340600000003</v>
      </c>
      <c r="W30" s="408">
        <v>42439.340600000003</v>
      </c>
      <c r="X30" s="408">
        <v>44089.014800000004</v>
      </c>
      <c r="Y30" s="408">
        <v>0</v>
      </c>
      <c r="Z30" s="408">
        <v>6699.2771749608701</v>
      </c>
      <c r="AA30" s="408">
        <v>0</v>
      </c>
      <c r="AB30" s="408">
        <v>0</v>
      </c>
      <c r="AC30" s="408">
        <v>0</v>
      </c>
      <c r="AD30" s="408">
        <v>0</v>
      </c>
      <c r="AE30" s="408">
        <v>0</v>
      </c>
      <c r="AF30" s="408">
        <v>32135.768872156837</v>
      </c>
      <c r="AG30" s="408">
        <v>0</v>
      </c>
      <c r="AH30" s="408">
        <v>0</v>
      </c>
      <c r="AI30" s="408">
        <v>0</v>
      </c>
      <c r="AJ30" s="408">
        <v>0</v>
      </c>
      <c r="AK30" s="408">
        <v>0</v>
      </c>
      <c r="AL30" s="408">
        <v>1190.5040780041622</v>
      </c>
      <c r="AM30" s="408"/>
      <c r="AN30" s="408">
        <v>168.98262865049307</v>
      </c>
      <c r="AO30" s="408">
        <v>0</v>
      </c>
      <c r="AP30" s="408">
        <v>0</v>
      </c>
      <c r="AQ30" s="408">
        <v>0</v>
      </c>
      <c r="AR30" s="408">
        <v>0</v>
      </c>
      <c r="AS30" s="408">
        <v>0</v>
      </c>
      <c r="AT30" s="408">
        <v>0</v>
      </c>
      <c r="AU30" s="408">
        <v>0</v>
      </c>
      <c r="AV30" s="408">
        <v>0</v>
      </c>
      <c r="AW30" s="408">
        <v>0</v>
      </c>
      <c r="AX30" s="408">
        <v>0</v>
      </c>
      <c r="AY30" s="408">
        <v>0</v>
      </c>
      <c r="AZ30" s="408">
        <v>0</v>
      </c>
      <c r="BA30" s="408"/>
      <c r="BB30" s="408">
        <v>0</v>
      </c>
      <c r="BC30" s="408">
        <v>0</v>
      </c>
      <c r="BD30" s="408">
        <v>154.32347870725363</v>
      </c>
      <c r="BE30" s="408">
        <v>0</v>
      </c>
      <c r="BF30" s="408">
        <v>0</v>
      </c>
      <c r="BG30" s="408">
        <v>2090.5002396307873</v>
      </c>
      <c r="BH30" s="408">
        <v>0</v>
      </c>
      <c r="BI30" s="408">
        <v>0</v>
      </c>
      <c r="BJ30" s="408">
        <v>0</v>
      </c>
      <c r="BK30" s="408">
        <v>0</v>
      </c>
      <c r="BL30" s="408">
        <v>0</v>
      </c>
      <c r="BM30" s="408"/>
      <c r="BN30" s="408"/>
      <c r="BO30" s="408"/>
      <c r="BP30" s="408"/>
      <c r="BQ30" s="408"/>
      <c r="BR30" s="408">
        <v>1763.5605920000016</v>
      </c>
      <c r="BS30" s="408"/>
      <c r="BT30" s="408"/>
      <c r="BU30" s="408"/>
      <c r="BV30" s="408">
        <v>34380.592590494882</v>
      </c>
      <c r="BW30" s="408"/>
      <c r="BX30" s="408"/>
      <c r="BY30" s="408"/>
      <c r="BZ30" s="408"/>
      <c r="CA30" s="408"/>
      <c r="CB30" s="408"/>
      <c r="CC30" s="408"/>
      <c r="CD30" s="408"/>
      <c r="CE30" s="408"/>
      <c r="CF30" s="408"/>
      <c r="CG30" s="408"/>
      <c r="CH30" s="408"/>
      <c r="CI30" s="408">
        <v>42325.595000000001</v>
      </c>
      <c r="CJ30" s="408">
        <v>1583.7980239999961</v>
      </c>
      <c r="CK30" s="408"/>
      <c r="CL30" s="408"/>
      <c r="CM30" s="408"/>
      <c r="CN30" s="408"/>
      <c r="CO30" s="408">
        <v>-353.23320000000092</v>
      </c>
      <c r="CP30" s="408">
        <v>2002.9074000000012</v>
      </c>
      <c r="CQ30" s="408">
        <v>31</v>
      </c>
      <c r="CR30" s="408">
        <v>1649.1466192630323</v>
      </c>
      <c r="CS30" s="408">
        <v>0</v>
      </c>
      <c r="CT30" s="408">
        <v>0</v>
      </c>
      <c r="CU30" s="408">
        <v>0</v>
      </c>
      <c r="CV30" s="408">
        <v>0</v>
      </c>
      <c r="CW30" s="408">
        <v>0</v>
      </c>
      <c r="CX30" s="408">
        <v>0</v>
      </c>
      <c r="CY30" s="408">
        <v>0</v>
      </c>
      <c r="CZ30" s="408">
        <v>0</v>
      </c>
      <c r="DA30" s="408">
        <v>0</v>
      </c>
      <c r="DB30" s="408">
        <v>0</v>
      </c>
      <c r="DC30" s="408">
        <v>2002.0092062594013</v>
      </c>
      <c r="DD30" s="408">
        <v>0</v>
      </c>
      <c r="DE30" s="408">
        <v>0</v>
      </c>
      <c r="DF30" s="408">
        <v>9.6141164800820604</v>
      </c>
      <c r="DG30" s="408">
        <v>130.23496472351371</v>
      </c>
      <c r="DH30" s="408">
        <v>0</v>
      </c>
      <c r="DI30" s="408">
        <v>-416.58687055941209</v>
      </c>
      <c r="DJ30" s="408"/>
      <c r="DK30" s="408">
        <v>0</v>
      </c>
      <c r="DL30" s="408">
        <v>0</v>
      </c>
      <c r="DM30" s="408">
        <v>0</v>
      </c>
      <c r="DN30" s="408">
        <v>0</v>
      </c>
      <c r="DO30" s="408">
        <v>-65.326162179413132</v>
      </c>
      <c r="DP30" s="408">
        <v>-10.79863546114197</v>
      </c>
      <c r="DQ30" s="408">
        <v>0</v>
      </c>
      <c r="DR30" s="408">
        <v>0</v>
      </c>
      <c r="DS30" s="408"/>
      <c r="DT30" s="408"/>
      <c r="DU30" s="408"/>
      <c r="DV30" s="408">
        <v>0</v>
      </c>
      <c r="DW30" s="408">
        <v>0</v>
      </c>
      <c r="DX30" s="408">
        <v>0</v>
      </c>
      <c r="DY30" s="408">
        <v>-353.2332000000024</v>
      </c>
      <c r="DZ30" s="408">
        <v>2002.9074000000037</v>
      </c>
      <c r="EA30" s="408">
        <v>0</v>
      </c>
      <c r="EB30" s="408">
        <v>0</v>
      </c>
      <c r="EC30" s="408">
        <v>0</v>
      </c>
      <c r="ED30" s="408">
        <v>0</v>
      </c>
      <c r="EE30" s="408">
        <v>0</v>
      </c>
      <c r="EF30" s="408">
        <v>0</v>
      </c>
      <c r="EG30" s="408">
        <v>0</v>
      </c>
      <c r="EH30" s="408">
        <v>0</v>
      </c>
      <c r="EI30" s="408">
        <v>0</v>
      </c>
      <c r="EJ30" s="408">
        <v>0</v>
      </c>
      <c r="EK30" s="408">
        <v>0</v>
      </c>
      <c r="EL30" s="408">
        <v>0</v>
      </c>
      <c r="EM30" s="408">
        <v>0</v>
      </c>
      <c r="EN30" s="408">
        <v>0</v>
      </c>
      <c r="EO30" s="408">
        <v>0</v>
      </c>
      <c r="EP30" s="408">
        <v>0</v>
      </c>
      <c r="EQ30" s="408">
        <v>0</v>
      </c>
      <c r="ER30" s="408">
        <v>0</v>
      </c>
      <c r="ES30" s="408">
        <v>0</v>
      </c>
      <c r="ET30" s="408">
        <v>0</v>
      </c>
      <c r="EU30" s="408">
        <v>0</v>
      </c>
      <c r="EV30" s="408">
        <v>257</v>
      </c>
      <c r="EW30" s="408">
        <v>0</v>
      </c>
      <c r="EX30" s="408">
        <v>0</v>
      </c>
      <c r="EY30" s="408">
        <v>0</v>
      </c>
      <c r="EZ30" s="408"/>
      <c r="FA30" s="408">
        <v>0</v>
      </c>
      <c r="FB30" s="408"/>
      <c r="FC30" s="408"/>
      <c r="FD30" s="408"/>
      <c r="FE30" s="408"/>
      <c r="FF30" s="408">
        <v>0</v>
      </c>
      <c r="FG30" s="408">
        <v>0</v>
      </c>
      <c r="FH30" s="408">
        <v>0</v>
      </c>
      <c r="FI30" s="408">
        <v>0</v>
      </c>
    </row>
    <row r="31" spans="1:165" customFormat="1">
      <c r="A31" s="408">
        <v>29</v>
      </c>
      <c r="B31" s="408" t="s">
        <v>1035</v>
      </c>
      <c r="C31" s="408" t="s">
        <v>2241</v>
      </c>
      <c r="D31" s="408" t="s">
        <v>596</v>
      </c>
      <c r="E31" s="408" t="s">
        <v>973</v>
      </c>
      <c r="F31" s="408" t="s">
        <v>1321</v>
      </c>
      <c r="G31" s="408" t="s">
        <v>1321</v>
      </c>
      <c r="H31" s="408" t="s">
        <v>1321</v>
      </c>
      <c r="I31" s="408" t="s">
        <v>1321</v>
      </c>
      <c r="J31" s="408" t="s">
        <v>2234</v>
      </c>
      <c r="K31" s="828">
        <v>44378</v>
      </c>
      <c r="L31" s="408">
        <v>804</v>
      </c>
      <c r="M31" s="408">
        <v>771.83999999999992</v>
      </c>
      <c r="N31" s="408">
        <v>0</v>
      </c>
      <c r="O31" s="408">
        <v>0</v>
      </c>
      <c r="P31" s="408">
        <v>0</v>
      </c>
      <c r="Q31" s="408">
        <v>0</v>
      </c>
      <c r="R31" s="408">
        <v>47.39</v>
      </c>
      <c r="S31" s="408"/>
      <c r="T31" s="408"/>
      <c r="U31" s="408">
        <v>38101.56</v>
      </c>
      <c r="V31" s="408"/>
      <c r="W31" s="408">
        <v>38101.56</v>
      </c>
      <c r="X31" s="408">
        <v>25904.879999999997</v>
      </c>
      <c r="Y31" s="408">
        <v>0</v>
      </c>
      <c r="Z31" s="408">
        <v>0</v>
      </c>
      <c r="AA31" s="408">
        <v>0</v>
      </c>
      <c r="AB31" s="408">
        <v>0</v>
      </c>
      <c r="AC31" s="408">
        <v>0</v>
      </c>
      <c r="AD31" s="408">
        <v>20075.960544290421</v>
      </c>
      <c r="AE31" s="408">
        <v>18025.573265566516</v>
      </c>
      <c r="AF31" s="408"/>
      <c r="AG31" s="408"/>
      <c r="AH31" s="408"/>
      <c r="AI31" s="408">
        <v>0</v>
      </c>
      <c r="AJ31" s="408">
        <v>0</v>
      </c>
      <c r="AK31" s="408">
        <v>0</v>
      </c>
      <c r="AL31" s="408">
        <v>0</v>
      </c>
      <c r="AM31" s="408"/>
      <c r="AN31" s="408">
        <v>0</v>
      </c>
      <c r="AO31" s="408">
        <v>0</v>
      </c>
      <c r="AP31" s="408">
        <v>0</v>
      </c>
      <c r="AQ31" s="408">
        <v>0</v>
      </c>
      <c r="AR31" s="408">
        <v>0</v>
      </c>
      <c r="AS31" s="408"/>
      <c r="AT31" s="408"/>
      <c r="AU31" s="408">
        <v>0</v>
      </c>
      <c r="AV31" s="408">
        <v>0</v>
      </c>
      <c r="AW31" s="408">
        <v>0</v>
      </c>
      <c r="AX31" s="408"/>
      <c r="AY31" s="408"/>
      <c r="AZ31" s="408">
        <v>0</v>
      </c>
      <c r="BA31" s="408"/>
      <c r="BB31" s="408">
        <v>0</v>
      </c>
      <c r="BC31" s="408">
        <v>0</v>
      </c>
      <c r="BD31" s="408">
        <v>0</v>
      </c>
      <c r="BE31" s="408">
        <v>0</v>
      </c>
      <c r="BF31" s="408"/>
      <c r="BG31" s="408">
        <v>0</v>
      </c>
      <c r="BH31" s="408">
        <v>0</v>
      </c>
      <c r="BI31" s="408">
        <v>109.12</v>
      </c>
      <c r="BJ31" s="408">
        <v>38.32</v>
      </c>
      <c r="BK31" s="408">
        <v>6827.41</v>
      </c>
      <c r="BL31" s="408">
        <v>7</v>
      </c>
      <c r="BM31" s="408"/>
      <c r="BN31" s="408"/>
      <c r="BO31" s="408"/>
      <c r="BP31" s="408"/>
      <c r="BQ31" s="408"/>
      <c r="BR31" s="408">
        <v>1036.1952000000026</v>
      </c>
      <c r="BS31" s="408"/>
      <c r="BT31" s="408"/>
      <c r="BU31" s="408"/>
      <c r="BV31" s="408">
        <v>0</v>
      </c>
      <c r="BW31" s="408"/>
      <c r="BX31" s="408"/>
      <c r="BY31" s="408"/>
      <c r="BZ31" s="408"/>
      <c r="CA31" s="408"/>
      <c r="CB31" s="408"/>
      <c r="CC31" s="408"/>
      <c r="CD31" s="408"/>
      <c r="CE31" s="408"/>
      <c r="CF31" s="408"/>
      <c r="CG31" s="408"/>
      <c r="CH31" s="408"/>
      <c r="CI31" s="408">
        <v>24868.684799999999</v>
      </c>
      <c r="CJ31" s="408">
        <v>-11708.842800000002</v>
      </c>
      <c r="CK31" s="408"/>
      <c r="CL31" s="408"/>
      <c r="CM31" s="408"/>
      <c r="CN31" s="408"/>
      <c r="CO31" s="408">
        <v>-12196.680000000002</v>
      </c>
      <c r="CP31" s="408">
        <v>0</v>
      </c>
      <c r="CQ31" s="408">
        <v>31</v>
      </c>
      <c r="CR31" s="408">
        <v>-90.744604342926323</v>
      </c>
      <c r="CS31" s="408">
        <v>0</v>
      </c>
      <c r="CT31" s="408">
        <v>0</v>
      </c>
      <c r="CU31" s="408">
        <v>0</v>
      </c>
      <c r="CV31" s="408">
        <v>0</v>
      </c>
      <c r="CW31" s="408"/>
      <c r="CX31" s="408"/>
      <c r="CY31" s="408"/>
      <c r="CZ31" s="408">
        <v>-90.744604342926323</v>
      </c>
      <c r="DA31" s="408">
        <v>0</v>
      </c>
      <c r="DB31" s="408">
        <v>0</v>
      </c>
      <c r="DC31" s="408"/>
      <c r="DD31" s="408"/>
      <c r="DE31" s="408">
        <v>0</v>
      </c>
      <c r="DF31" s="408">
        <v>0</v>
      </c>
      <c r="DG31" s="408">
        <v>0</v>
      </c>
      <c r="DH31" s="408">
        <v>0</v>
      </c>
      <c r="DI31" s="408">
        <v>0</v>
      </c>
      <c r="DJ31" s="408"/>
      <c r="DK31" s="408">
        <v>0</v>
      </c>
      <c r="DL31" s="408">
        <v>0</v>
      </c>
      <c r="DM31" s="408"/>
      <c r="DN31" s="408">
        <v>0</v>
      </c>
      <c r="DO31" s="408">
        <v>0</v>
      </c>
      <c r="DP31" s="408">
        <v>0</v>
      </c>
      <c r="DQ31" s="408">
        <v>0</v>
      </c>
      <c r="DR31" s="408">
        <v>0</v>
      </c>
      <c r="DS31" s="408"/>
      <c r="DT31" s="408"/>
      <c r="DU31" s="408">
        <v>18025.573265566516</v>
      </c>
      <c r="DV31" s="408"/>
      <c r="DW31" s="408">
        <v>0</v>
      </c>
      <c r="DX31" s="408">
        <v>0</v>
      </c>
      <c r="DY31" s="408">
        <v>-12196.68</v>
      </c>
      <c r="DZ31" s="408"/>
      <c r="EA31" s="408">
        <v>0</v>
      </c>
      <c r="EB31" s="408"/>
      <c r="EC31" s="408">
        <v>-12107.320947785625</v>
      </c>
      <c r="ED31" s="408"/>
      <c r="EE31" s="408">
        <v>0</v>
      </c>
      <c r="EF31" s="408">
        <v>0</v>
      </c>
      <c r="EG31" s="408"/>
      <c r="EH31" s="408">
        <v>0</v>
      </c>
      <c r="EI31" s="408">
        <v>0</v>
      </c>
      <c r="EJ31" s="408">
        <v>0</v>
      </c>
      <c r="EK31" s="408">
        <v>0</v>
      </c>
      <c r="EL31" s="408">
        <v>0</v>
      </c>
      <c r="EM31" s="408"/>
      <c r="EN31" s="408"/>
      <c r="EO31" s="408">
        <v>0</v>
      </c>
      <c r="EP31" s="408">
        <v>0</v>
      </c>
      <c r="EQ31" s="408"/>
      <c r="ER31" s="408">
        <v>0</v>
      </c>
      <c r="ES31" s="408"/>
      <c r="ET31" s="408">
        <v>0</v>
      </c>
      <c r="EU31" s="408"/>
      <c r="EV31" s="408">
        <v>257</v>
      </c>
      <c r="EW31" s="408"/>
      <c r="EX31" s="408"/>
      <c r="EY31" s="408"/>
      <c r="EZ31" s="408"/>
      <c r="FA31" s="408">
        <v>0</v>
      </c>
      <c r="FB31" s="408"/>
      <c r="FC31" s="408"/>
      <c r="FD31" s="408"/>
      <c r="FE31" s="408"/>
      <c r="FF31" s="408">
        <v>0</v>
      </c>
      <c r="FG31" s="408">
        <v>0</v>
      </c>
      <c r="FH31" s="408">
        <v>0</v>
      </c>
      <c r="FI31" s="408">
        <v>0</v>
      </c>
    </row>
    <row r="32" spans="1:165" customFormat="1">
      <c r="A32" s="408">
        <v>30</v>
      </c>
      <c r="B32" s="408" t="s">
        <v>1035</v>
      </c>
      <c r="C32" s="408" t="s">
        <v>2233</v>
      </c>
      <c r="D32" s="408" t="s">
        <v>1958</v>
      </c>
      <c r="E32" s="408" t="s">
        <v>2244</v>
      </c>
      <c r="F32" s="408" t="s">
        <v>1321</v>
      </c>
      <c r="G32" s="408" t="s">
        <v>1321</v>
      </c>
      <c r="H32" s="408" t="s">
        <v>1321</v>
      </c>
      <c r="I32" s="408" t="s">
        <v>1321</v>
      </c>
      <c r="J32" s="408" t="s">
        <v>2234</v>
      </c>
      <c r="K32" s="828">
        <v>44378</v>
      </c>
      <c r="L32" s="408">
        <v>0</v>
      </c>
      <c r="M32" s="408">
        <v>0</v>
      </c>
      <c r="N32" s="408">
        <v>160.87700000000001</v>
      </c>
      <c r="O32" s="408">
        <v>160.87700000000001</v>
      </c>
      <c r="P32" s="408">
        <v>160.87700000000001</v>
      </c>
      <c r="Q32" s="408">
        <v>160.87700000000001</v>
      </c>
      <c r="R32" s="408"/>
      <c r="S32" s="408">
        <v>710.91</v>
      </c>
      <c r="T32" s="408">
        <v>256.55</v>
      </c>
      <c r="U32" s="408"/>
      <c r="V32" s="408">
        <v>155642.06242</v>
      </c>
      <c r="W32" s="408">
        <v>155642.06242</v>
      </c>
      <c r="X32" s="408">
        <v>106247.99711000001</v>
      </c>
      <c r="Y32" s="408">
        <v>0</v>
      </c>
      <c r="Z32" s="408">
        <v>9889.8623192603518</v>
      </c>
      <c r="AA32" s="408">
        <v>0</v>
      </c>
      <c r="AB32" s="408">
        <v>0</v>
      </c>
      <c r="AC32" s="408">
        <v>0</v>
      </c>
      <c r="AD32" s="408">
        <v>19801.189975197078</v>
      </c>
      <c r="AE32" s="408">
        <v>76723.859993745849</v>
      </c>
      <c r="AF32" s="408">
        <v>41273.400038687338</v>
      </c>
      <c r="AG32" s="408">
        <v>0</v>
      </c>
      <c r="AH32" s="408">
        <v>0</v>
      </c>
      <c r="AI32" s="408">
        <v>0</v>
      </c>
      <c r="AJ32" s="408">
        <v>0</v>
      </c>
      <c r="AK32" s="408">
        <v>0</v>
      </c>
      <c r="AL32" s="408">
        <v>1529.0174401810284</v>
      </c>
      <c r="AM32" s="408"/>
      <c r="AN32" s="408">
        <v>353.25446408572503</v>
      </c>
      <c r="AO32" s="408">
        <v>0</v>
      </c>
      <c r="AP32" s="408">
        <v>0</v>
      </c>
      <c r="AQ32" s="408">
        <v>0</v>
      </c>
      <c r="AR32" s="408">
        <v>0</v>
      </c>
      <c r="AS32" s="408">
        <v>0</v>
      </c>
      <c r="AT32" s="408">
        <v>0</v>
      </c>
      <c r="AU32" s="408">
        <v>0</v>
      </c>
      <c r="AV32" s="408">
        <v>0</v>
      </c>
      <c r="AW32" s="408">
        <v>0</v>
      </c>
      <c r="AX32" s="408">
        <v>0</v>
      </c>
      <c r="AY32" s="408">
        <v>0</v>
      </c>
      <c r="AZ32" s="408">
        <v>0</v>
      </c>
      <c r="BA32" s="408"/>
      <c r="BB32" s="408">
        <v>0</v>
      </c>
      <c r="BC32" s="408">
        <v>0</v>
      </c>
      <c r="BD32" s="408">
        <v>239.75826374799291</v>
      </c>
      <c r="BE32" s="408">
        <v>0</v>
      </c>
      <c r="BF32" s="408">
        <v>0</v>
      </c>
      <c r="BG32" s="408">
        <v>5832.3385977702719</v>
      </c>
      <c r="BH32" s="408">
        <v>0</v>
      </c>
      <c r="BI32" s="408">
        <v>167.93</v>
      </c>
      <c r="BJ32" s="408">
        <v>59.24</v>
      </c>
      <c r="BK32" s="408">
        <v>42979.61</v>
      </c>
      <c r="BL32" s="408">
        <v>269</v>
      </c>
      <c r="BM32" s="408"/>
      <c r="BN32" s="408"/>
      <c r="BO32" s="408"/>
      <c r="BP32" s="408"/>
      <c r="BQ32" s="408"/>
      <c r="BR32" s="408"/>
      <c r="BS32" s="408"/>
      <c r="BT32" s="408"/>
      <c r="BU32" s="408"/>
      <c r="BV32" s="408">
        <v>47345.496900205602</v>
      </c>
      <c r="BW32" s="408"/>
      <c r="BX32" s="408"/>
      <c r="BY32" s="408"/>
      <c r="BZ32" s="408"/>
      <c r="CA32" s="408"/>
      <c r="CB32" s="408"/>
      <c r="CC32" s="408"/>
      <c r="CD32" s="408"/>
      <c r="CE32" s="408"/>
      <c r="CF32" s="408"/>
      <c r="CG32" s="408"/>
      <c r="CH32" s="408"/>
      <c r="CI32" s="408">
        <v>106249.97839999999</v>
      </c>
      <c r="CJ32" s="408">
        <v>-49392.114020000008</v>
      </c>
      <c r="CK32" s="408"/>
      <c r="CL32" s="408"/>
      <c r="CM32" s="408"/>
      <c r="CN32" s="408"/>
      <c r="CO32" s="408">
        <v>-51966.488539999998</v>
      </c>
      <c r="CP32" s="408">
        <v>2572.4232300000017</v>
      </c>
      <c r="CQ32" s="408">
        <v>31</v>
      </c>
      <c r="CR32" s="408">
        <v>2138.5839940722362</v>
      </c>
      <c r="CS32" s="408">
        <v>0</v>
      </c>
      <c r="CT32" s="408">
        <v>0</v>
      </c>
      <c r="CU32" s="408">
        <v>0</v>
      </c>
      <c r="CV32" s="408">
        <v>0</v>
      </c>
      <c r="CW32" s="408">
        <v>0</v>
      </c>
      <c r="CX32" s="408">
        <v>0</v>
      </c>
      <c r="CY32" s="408">
        <v>0</v>
      </c>
      <c r="CZ32" s="408">
        <v>-89.502624088832818</v>
      </c>
      <c r="DA32" s="408">
        <v>0</v>
      </c>
      <c r="DB32" s="408">
        <v>0</v>
      </c>
      <c r="DC32" s="408">
        <v>2571.269639752456</v>
      </c>
      <c r="DD32" s="408">
        <v>0</v>
      </c>
      <c r="DE32" s="408">
        <v>0</v>
      </c>
      <c r="DF32" s="408">
        <v>14.936572801783484</v>
      </c>
      <c r="DG32" s="408">
        <v>363.3457663082354</v>
      </c>
      <c r="DH32" s="408">
        <v>0</v>
      </c>
      <c r="DI32" s="408">
        <v>-614.98974982598156</v>
      </c>
      <c r="DJ32" s="408"/>
      <c r="DK32" s="408">
        <v>0</v>
      </c>
      <c r="DL32" s="408">
        <v>0</v>
      </c>
      <c r="DM32" s="408">
        <v>0</v>
      </c>
      <c r="DN32" s="408">
        <v>0</v>
      </c>
      <c r="DO32" s="408">
        <v>-83.901301236926656</v>
      </c>
      <c r="DP32" s="408">
        <v>-22.574309638492934</v>
      </c>
      <c r="DQ32" s="408">
        <v>0</v>
      </c>
      <c r="DR32" s="408">
        <v>0</v>
      </c>
      <c r="DS32" s="408"/>
      <c r="DT32" s="408"/>
      <c r="DU32" s="408"/>
      <c r="DV32" s="408">
        <v>76723.859993745849</v>
      </c>
      <c r="DW32" s="408">
        <v>0</v>
      </c>
      <c r="DX32" s="408">
        <v>0</v>
      </c>
      <c r="DY32" s="408">
        <v>-51966.488540000006</v>
      </c>
      <c r="DZ32" s="408">
        <v>2572.4232300000076</v>
      </c>
      <c r="EA32" s="408">
        <v>0</v>
      </c>
      <c r="EB32" s="408">
        <v>0</v>
      </c>
      <c r="EC32" s="408">
        <v>-51533.473227823939</v>
      </c>
      <c r="ED32" s="408">
        <v>0</v>
      </c>
      <c r="EE32" s="408">
        <v>0</v>
      </c>
      <c r="EF32" s="408">
        <v>0</v>
      </c>
      <c r="EG32" s="408">
        <v>0</v>
      </c>
      <c r="EH32" s="408">
        <v>0</v>
      </c>
      <c r="EI32" s="408">
        <v>0</v>
      </c>
      <c r="EJ32" s="408">
        <v>0</v>
      </c>
      <c r="EK32" s="408">
        <v>0</v>
      </c>
      <c r="EL32" s="408">
        <v>0</v>
      </c>
      <c r="EM32" s="408">
        <v>0</v>
      </c>
      <c r="EN32" s="408">
        <v>0</v>
      </c>
      <c r="EO32" s="408">
        <v>0</v>
      </c>
      <c r="EP32" s="408">
        <v>0</v>
      </c>
      <c r="EQ32" s="408">
        <v>0</v>
      </c>
      <c r="ER32" s="408">
        <v>0</v>
      </c>
      <c r="ES32" s="408">
        <v>0</v>
      </c>
      <c r="ET32" s="408">
        <v>0</v>
      </c>
      <c r="EU32" s="408">
        <v>0</v>
      </c>
      <c r="EV32" s="408">
        <v>257</v>
      </c>
      <c r="EW32" s="408">
        <v>0</v>
      </c>
      <c r="EX32" s="408">
        <v>0</v>
      </c>
      <c r="EY32" s="408">
        <v>0</v>
      </c>
      <c r="EZ32" s="408"/>
      <c r="FA32" s="408">
        <v>0</v>
      </c>
      <c r="FB32" s="408"/>
      <c r="FC32" s="408"/>
      <c r="FD32" s="408"/>
      <c r="FE32" s="408"/>
      <c r="FF32" s="408">
        <v>0</v>
      </c>
      <c r="FG32" s="408">
        <v>0</v>
      </c>
      <c r="FH32" s="408">
        <v>0</v>
      </c>
      <c r="FI32" s="408">
        <v>0</v>
      </c>
    </row>
    <row r="33" spans="1:165" customFormat="1">
      <c r="A33" s="408">
        <v>31</v>
      </c>
      <c r="B33" s="408" t="s">
        <v>1035</v>
      </c>
      <c r="C33" s="408" t="s">
        <v>2233</v>
      </c>
      <c r="D33" s="408" t="s">
        <v>2245</v>
      </c>
      <c r="E33" s="408" t="s">
        <v>2246</v>
      </c>
      <c r="F33" s="408" t="s">
        <v>2247</v>
      </c>
      <c r="G33" s="408" t="s">
        <v>1321</v>
      </c>
      <c r="H33" s="408" t="s">
        <v>1321</v>
      </c>
      <c r="I33" s="408" t="s">
        <v>1321</v>
      </c>
      <c r="J33" s="408" t="s">
        <v>2234</v>
      </c>
      <c r="K33" s="828">
        <v>44378</v>
      </c>
      <c r="L33" s="408">
        <v>0</v>
      </c>
      <c r="M33" s="408">
        <v>0</v>
      </c>
      <c r="N33" s="408">
        <v>219.31800000000001</v>
      </c>
      <c r="O33" s="408">
        <v>219.31800000000001</v>
      </c>
      <c r="P33" s="408">
        <v>219.31800000000001</v>
      </c>
      <c r="Q33" s="408">
        <v>219.31800000000001</v>
      </c>
      <c r="R33" s="408"/>
      <c r="S33" s="408">
        <v>391</v>
      </c>
      <c r="T33" s="408">
        <v>141.1</v>
      </c>
      <c r="U33" s="408"/>
      <c r="V33" s="408">
        <v>116699.1078</v>
      </c>
      <c r="W33" s="408">
        <v>116699.1078</v>
      </c>
      <c r="X33" s="408">
        <v>79662.877139999997</v>
      </c>
      <c r="Y33" s="408">
        <v>0</v>
      </c>
      <c r="Z33" s="408">
        <v>7415.3772961613558</v>
      </c>
      <c r="AA33" s="408">
        <v>0</v>
      </c>
      <c r="AB33" s="408">
        <v>0</v>
      </c>
      <c r="AC33" s="408">
        <v>0</v>
      </c>
      <c r="AD33" s="408">
        <v>14846.849211752766</v>
      </c>
      <c r="AE33" s="408">
        <v>57527.228499782927</v>
      </c>
      <c r="AF33" s="408">
        <v>30946.622278676692</v>
      </c>
      <c r="AG33" s="408">
        <v>0</v>
      </c>
      <c r="AH33" s="408">
        <v>0</v>
      </c>
      <c r="AI33" s="408">
        <v>0</v>
      </c>
      <c r="AJ33" s="408">
        <v>0</v>
      </c>
      <c r="AK33" s="408">
        <v>0</v>
      </c>
      <c r="AL33" s="408">
        <v>1146.4508650714056</v>
      </c>
      <c r="AM33" s="408"/>
      <c r="AN33" s="408">
        <v>264.86871588166389</v>
      </c>
      <c r="AO33" s="408">
        <v>0</v>
      </c>
      <c r="AP33" s="408">
        <v>0</v>
      </c>
      <c r="AQ33" s="408">
        <v>0</v>
      </c>
      <c r="AR33" s="408">
        <v>0</v>
      </c>
      <c r="AS33" s="408">
        <v>0</v>
      </c>
      <c r="AT33" s="408">
        <v>0</v>
      </c>
      <c r="AU33" s="408">
        <v>0</v>
      </c>
      <c r="AV33" s="408">
        <v>0</v>
      </c>
      <c r="AW33" s="408">
        <v>0</v>
      </c>
      <c r="AX33" s="408">
        <v>0</v>
      </c>
      <c r="AY33" s="408">
        <v>0</v>
      </c>
      <c r="AZ33" s="408">
        <v>0</v>
      </c>
      <c r="BA33" s="408"/>
      <c r="BB33" s="408">
        <v>0</v>
      </c>
      <c r="BC33" s="408">
        <v>0</v>
      </c>
      <c r="BD33" s="408">
        <v>179.7697407881505</v>
      </c>
      <c r="BE33" s="408">
        <v>0</v>
      </c>
      <c r="BF33" s="408">
        <v>0</v>
      </c>
      <c r="BG33" s="408">
        <v>4373.0630240629835</v>
      </c>
      <c r="BH33" s="408">
        <v>0</v>
      </c>
      <c r="BI33" s="408">
        <v>133.26</v>
      </c>
      <c r="BJ33" s="408">
        <v>46.9</v>
      </c>
      <c r="BK33" s="408">
        <v>23778.41</v>
      </c>
      <c r="BL33" s="408">
        <v>26</v>
      </c>
      <c r="BM33" s="408"/>
      <c r="BN33" s="408"/>
      <c r="BO33" s="408"/>
      <c r="BP33" s="408"/>
      <c r="BQ33" s="408"/>
      <c r="BR33" s="408"/>
      <c r="BS33" s="408"/>
      <c r="BT33" s="408"/>
      <c r="BU33" s="408"/>
      <c r="BV33" s="408">
        <v>35499.455043527822</v>
      </c>
      <c r="BW33" s="408"/>
      <c r="BX33" s="408"/>
      <c r="BY33" s="408"/>
      <c r="BZ33" s="408"/>
      <c r="CA33" s="408"/>
      <c r="CB33" s="408"/>
      <c r="CC33" s="408"/>
      <c r="CD33" s="408"/>
      <c r="CE33" s="408"/>
      <c r="CF33" s="408"/>
      <c r="CG33" s="408"/>
      <c r="CH33" s="408"/>
      <c r="CI33" s="408">
        <v>79663.603600000002</v>
      </c>
      <c r="CJ33" s="408">
        <v>-37035.53419999998</v>
      </c>
      <c r="CK33" s="408"/>
      <c r="CL33" s="408"/>
      <c r="CM33" s="408"/>
      <c r="CN33" s="408"/>
      <c r="CO33" s="408">
        <v>-38964.035880000003</v>
      </c>
      <c r="CP33" s="408">
        <v>1927.8052199999984</v>
      </c>
      <c r="CQ33" s="408">
        <v>31</v>
      </c>
      <c r="CR33" s="408">
        <v>1603.5013111045628</v>
      </c>
      <c r="CS33" s="408">
        <v>0</v>
      </c>
      <c r="CT33" s="408">
        <v>0</v>
      </c>
      <c r="CU33" s="408">
        <v>0</v>
      </c>
      <c r="CV33" s="408">
        <v>0</v>
      </c>
      <c r="CW33" s="408">
        <v>0</v>
      </c>
      <c r="CX33" s="408">
        <v>0</v>
      </c>
      <c r="CY33" s="408">
        <v>0</v>
      </c>
      <c r="CZ33" s="408">
        <v>-67.108692233536203</v>
      </c>
      <c r="DA33" s="408">
        <v>0</v>
      </c>
      <c r="DB33" s="408">
        <v>0</v>
      </c>
      <c r="DC33" s="408">
        <v>1927.9271938697457</v>
      </c>
      <c r="DD33" s="408">
        <v>0</v>
      </c>
      <c r="DE33" s="408">
        <v>0</v>
      </c>
      <c r="DF33" s="408">
        <v>11.199379653759195</v>
      </c>
      <c r="DG33" s="408">
        <v>272.43513197257562</v>
      </c>
      <c r="DH33" s="408">
        <v>0</v>
      </c>
      <c r="DI33" s="408">
        <v>-461.11673560412601</v>
      </c>
      <c r="DJ33" s="408"/>
      <c r="DK33" s="408">
        <v>0</v>
      </c>
      <c r="DL33" s="408">
        <v>0</v>
      </c>
      <c r="DM33" s="408">
        <v>0</v>
      </c>
      <c r="DN33" s="408">
        <v>0</v>
      </c>
      <c r="DO33" s="408">
        <v>-62.908843847001663</v>
      </c>
      <c r="DP33" s="408">
        <v>-16.926122706866181</v>
      </c>
      <c r="DQ33" s="408">
        <v>0</v>
      </c>
      <c r="DR33" s="408">
        <v>0</v>
      </c>
      <c r="DS33" s="408"/>
      <c r="DT33" s="408"/>
      <c r="DU33" s="408"/>
      <c r="DV33" s="408">
        <v>57527.228499782927</v>
      </c>
      <c r="DW33" s="408">
        <v>0</v>
      </c>
      <c r="DX33" s="408">
        <v>0</v>
      </c>
      <c r="DY33" s="408">
        <v>-38964.035880000003</v>
      </c>
      <c r="DZ33" s="408">
        <v>1927.8052199999947</v>
      </c>
      <c r="EA33" s="408">
        <v>0</v>
      </c>
      <c r="EB33" s="408">
        <v>0</v>
      </c>
      <c r="EC33" s="408">
        <v>-38639.582132678537</v>
      </c>
      <c r="ED33" s="408">
        <v>0</v>
      </c>
      <c r="EE33" s="408">
        <v>0</v>
      </c>
      <c r="EF33" s="408">
        <v>0</v>
      </c>
      <c r="EG33" s="408">
        <v>0</v>
      </c>
      <c r="EH33" s="408">
        <v>0</v>
      </c>
      <c r="EI33" s="408">
        <v>0</v>
      </c>
      <c r="EJ33" s="408">
        <v>0</v>
      </c>
      <c r="EK33" s="408">
        <v>0</v>
      </c>
      <c r="EL33" s="408">
        <v>0</v>
      </c>
      <c r="EM33" s="408">
        <v>0</v>
      </c>
      <c r="EN33" s="408">
        <v>0</v>
      </c>
      <c r="EO33" s="408">
        <v>0</v>
      </c>
      <c r="EP33" s="408">
        <v>0</v>
      </c>
      <c r="EQ33" s="408">
        <v>0</v>
      </c>
      <c r="ER33" s="408">
        <v>0</v>
      </c>
      <c r="ES33" s="408">
        <v>0</v>
      </c>
      <c r="ET33" s="408">
        <v>0</v>
      </c>
      <c r="EU33" s="408">
        <v>0</v>
      </c>
      <c r="EV33" s="408">
        <v>257</v>
      </c>
      <c r="EW33" s="408">
        <v>0</v>
      </c>
      <c r="EX33" s="408">
        <v>0</v>
      </c>
      <c r="EY33" s="408">
        <v>0</v>
      </c>
      <c r="EZ33" s="408"/>
      <c r="FA33" s="408">
        <v>0</v>
      </c>
      <c r="FB33" s="408"/>
      <c r="FC33" s="408"/>
      <c r="FD33" s="408"/>
      <c r="FE33" s="408"/>
      <c r="FF33" s="408">
        <v>0</v>
      </c>
      <c r="FG33" s="408">
        <v>0</v>
      </c>
      <c r="FH33" s="408">
        <v>0</v>
      </c>
      <c r="FI33" s="408">
        <v>0</v>
      </c>
    </row>
    <row r="34" spans="1:165" customFormat="1">
      <c r="A34" s="408">
        <v>32</v>
      </c>
      <c r="B34" s="408" t="s">
        <v>1035</v>
      </c>
      <c r="C34" s="408" t="s">
        <v>2233</v>
      </c>
      <c r="D34" s="408" t="s">
        <v>1958</v>
      </c>
      <c r="E34" s="408" t="s">
        <v>1000</v>
      </c>
      <c r="F34" s="408" t="s">
        <v>2248</v>
      </c>
      <c r="G34" s="408" t="s">
        <v>1321</v>
      </c>
      <c r="H34" s="408" t="s">
        <v>1321</v>
      </c>
      <c r="I34" s="408" t="s">
        <v>1321</v>
      </c>
      <c r="J34" s="408" t="s">
        <v>2234</v>
      </c>
      <c r="K34" s="828">
        <v>44378</v>
      </c>
      <c r="L34" s="408">
        <v>0</v>
      </c>
      <c r="M34" s="408">
        <v>0</v>
      </c>
      <c r="N34" s="408">
        <v>38.856999999999999</v>
      </c>
      <c r="O34" s="408">
        <v>36.525579999999998</v>
      </c>
      <c r="P34" s="408">
        <v>38.856999999999999</v>
      </c>
      <c r="Q34" s="408">
        <v>36.525579999999998</v>
      </c>
      <c r="R34" s="408"/>
      <c r="S34" s="408">
        <v>710.91</v>
      </c>
      <c r="T34" s="408">
        <v>256.55</v>
      </c>
      <c r="U34" s="408"/>
      <c r="V34" s="408">
        <v>37592.593219999995</v>
      </c>
      <c r="W34" s="408">
        <v>37592.593219999995</v>
      </c>
      <c r="X34" s="408">
        <v>25662.328509999999</v>
      </c>
      <c r="Y34" s="408">
        <v>0</v>
      </c>
      <c r="Z34" s="408">
        <v>2388.7216950807106</v>
      </c>
      <c r="AA34" s="408">
        <v>0</v>
      </c>
      <c r="AB34" s="408">
        <v>0</v>
      </c>
      <c r="AC34" s="408">
        <v>0</v>
      </c>
      <c r="AD34" s="408">
        <v>4782.6279633896256</v>
      </c>
      <c r="AE34" s="408">
        <v>18531.294266905665</v>
      </c>
      <c r="AF34" s="408">
        <v>9968.8613369423456</v>
      </c>
      <c r="AG34" s="408">
        <v>0</v>
      </c>
      <c r="AH34" s="408">
        <v>0</v>
      </c>
      <c r="AI34" s="408">
        <v>0</v>
      </c>
      <c r="AJ34" s="408">
        <v>0</v>
      </c>
      <c r="AK34" s="408">
        <v>0</v>
      </c>
      <c r="AL34" s="408">
        <v>369.30717674443343</v>
      </c>
      <c r="AM34" s="408"/>
      <c r="AN34" s="408">
        <v>85.322381141984351</v>
      </c>
      <c r="AO34" s="408">
        <v>0</v>
      </c>
      <c r="AP34" s="408">
        <v>0</v>
      </c>
      <c r="AQ34" s="408">
        <v>0</v>
      </c>
      <c r="AR34" s="408">
        <v>0</v>
      </c>
      <c r="AS34" s="408">
        <v>0</v>
      </c>
      <c r="AT34" s="408">
        <v>0</v>
      </c>
      <c r="AU34" s="408">
        <v>0</v>
      </c>
      <c r="AV34" s="408">
        <v>0</v>
      </c>
      <c r="AW34" s="408">
        <v>0</v>
      </c>
      <c r="AX34" s="408">
        <v>0</v>
      </c>
      <c r="AY34" s="408">
        <v>0</v>
      </c>
      <c r="AZ34" s="408">
        <v>0</v>
      </c>
      <c r="BA34" s="408"/>
      <c r="BB34" s="408">
        <v>0</v>
      </c>
      <c r="BC34" s="408">
        <v>0</v>
      </c>
      <c r="BD34" s="408">
        <v>57.909377067298365</v>
      </c>
      <c r="BE34" s="408">
        <v>0</v>
      </c>
      <c r="BF34" s="408">
        <v>0</v>
      </c>
      <c r="BG34" s="408">
        <v>1408.6984521936599</v>
      </c>
      <c r="BH34" s="408">
        <v>0</v>
      </c>
      <c r="BI34" s="408">
        <v>38.78</v>
      </c>
      <c r="BJ34" s="408">
        <v>13.67</v>
      </c>
      <c r="BK34" s="408">
        <v>11027.21</v>
      </c>
      <c r="BL34" s="408">
        <v>9</v>
      </c>
      <c r="BM34" s="408"/>
      <c r="BN34" s="408"/>
      <c r="BO34" s="408"/>
      <c r="BP34" s="408"/>
      <c r="BQ34" s="408">
        <v>1539.7397106000008</v>
      </c>
      <c r="BR34" s="408"/>
      <c r="BS34" s="408"/>
      <c r="BT34" s="408"/>
      <c r="BU34" s="408"/>
      <c r="BV34" s="408">
        <v>11435.469166203304</v>
      </c>
      <c r="BW34" s="408"/>
      <c r="BX34" s="408"/>
      <c r="BY34" s="408"/>
      <c r="BZ34" s="408"/>
      <c r="CA34" s="408"/>
      <c r="CB34" s="408"/>
      <c r="CC34" s="408"/>
      <c r="CD34" s="408"/>
      <c r="CE34" s="408"/>
      <c r="CF34" s="408"/>
      <c r="CG34" s="408"/>
      <c r="CH34" s="408"/>
      <c r="CI34" s="408">
        <v>24125.507900000001</v>
      </c>
      <c r="CJ34" s="408">
        <v>-11211.559726799995</v>
      </c>
      <c r="CK34" s="408"/>
      <c r="CL34" s="408"/>
      <c r="CM34" s="408"/>
      <c r="CN34" s="408"/>
      <c r="CO34" s="408">
        <v>-12551.58814</v>
      </c>
      <c r="CP34" s="408">
        <v>621.32343000000037</v>
      </c>
      <c r="CQ34" s="408">
        <v>31</v>
      </c>
      <c r="CR34" s="408">
        <v>516.53721947615486</v>
      </c>
      <c r="CS34" s="408">
        <v>0</v>
      </c>
      <c r="CT34" s="408">
        <v>0</v>
      </c>
      <c r="CU34" s="408">
        <v>0</v>
      </c>
      <c r="CV34" s="408">
        <v>0</v>
      </c>
      <c r="CW34" s="408">
        <v>0</v>
      </c>
      <c r="CX34" s="408">
        <v>0</v>
      </c>
      <c r="CY34" s="408">
        <v>0</v>
      </c>
      <c r="CZ34" s="408">
        <v>-21.617779199138567</v>
      </c>
      <c r="DA34" s="408">
        <v>0</v>
      </c>
      <c r="DB34" s="408">
        <v>0</v>
      </c>
      <c r="DC34" s="408">
        <v>621.04480063564915</v>
      </c>
      <c r="DD34" s="408">
        <v>0</v>
      </c>
      <c r="DE34" s="408">
        <v>0</v>
      </c>
      <c r="DF34" s="408">
        <v>3.6076655417424561</v>
      </c>
      <c r="DG34" s="408">
        <v>87.759757090442463</v>
      </c>
      <c r="DH34" s="408">
        <v>0</v>
      </c>
      <c r="DI34" s="408">
        <v>-148.53991999470509</v>
      </c>
      <c r="DJ34" s="408"/>
      <c r="DK34" s="408">
        <v>0</v>
      </c>
      <c r="DL34" s="408">
        <v>0</v>
      </c>
      <c r="DM34" s="408">
        <v>0</v>
      </c>
      <c r="DN34" s="408">
        <v>0</v>
      </c>
      <c r="DO34" s="408">
        <v>-20.264878523115556</v>
      </c>
      <c r="DP34" s="408">
        <v>-5.4524260747211741</v>
      </c>
      <c r="DQ34" s="408">
        <v>0</v>
      </c>
      <c r="DR34" s="408">
        <v>0</v>
      </c>
      <c r="DS34" s="408"/>
      <c r="DT34" s="408"/>
      <c r="DU34" s="408"/>
      <c r="DV34" s="408">
        <v>18531.294266905665</v>
      </c>
      <c r="DW34" s="408">
        <v>0</v>
      </c>
      <c r="DX34" s="408">
        <v>0</v>
      </c>
      <c r="DY34" s="408">
        <v>-12551.588139999998</v>
      </c>
      <c r="DZ34" s="408">
        <v>621.32343000000037</v>
      </c>
      <c r="EA34" s="408">
        <v>0</v>
      </c>
      <c r="EB34" s="408">
        <v>0</v>
      </c>
      <c r="EC34" s="408">
        <v>-12447.000933716783</v>
      </c>
      <c r="ED34" s="408">
        <v>0</v>
      </c>
      <c r="EE34" s="408">
        <v>0</v>
      </c>
      <c r="EF34" s="408">
        <v>0</v>
      </c>
      <c r="EG34" s="408">
        <v>0</v>
      </c>
      <c r="EH34" s="408">
        <v>0</v>
      </c>
      <c r="EI34" s="408">
        <v>0</v>
      </c>
      <c r="EJ34" s="408">
        <v>0</v>
      </c>
      <c r="EK34" s="408">
        <v>0</v>
      </c>
      <c r="EL34" s="408">
        <v>0</v>
      </c>
      <c r="EM34" s="408">
        <v>0</v>
      </c>
      <c r="EN34" s="408">
        <v>0</v>
      </c>
      <c r="EO34" s="408">
        <v>0</v>
      </c>
      <c r="EP34" s="408">
        <v>0</v>
      </c>
      <c r="EQ34" s="408">
        <v>0</v>
      </c>
      <c r="ER34" s="408">
        <v>0</v>
      </c>
      <c r="ES34" s="408">
        <v>0</v>
      </c>
      <c r="ET34" s="408">
        <v>0</v>
      </c>
      <c r="EU34" s="408">
        <v>0</v>
      </c>
      <c r="EV34" s="408">
        <v>257</v>
      </c>
      <c r="EW34" s="408">
        <v>0</v>
      </c>
      <c r="EX34" s="408">
        <v>0</v>
      </c>
      <c r="EY34" s="408">
        <v>0</v>
      </c>
      <c r="EZ34" s="408"/>
      <c r="FA34" s="408">
        <v>0</v>
      </c>
      <c r="FB34" s="408"/>
      <c r="FC34" s="408"/>
      <c r="FD34" s="408"/>
      <c r="FE34" s="408"/>
      <c r="FF34" s="408">
        <v>0</v>
      </c>
      <c r="FG34" s="408">
        <v>0</v>
      </c>
      <c r="FH34" s="408">
        <v>0</v>
      </c>
      <c r="FI34" s="408">
        <v>0</v>
      </c>
    </row>
    <row r="35" spans="1:165" customFormat="1">
      <c r="A35" s="408">
        <v>33</v>
      </c>
      <c r="B35" s="408" t="s">
        <v>1035</v>
      </c>
      <c r="C35" s="408" t="s">
        <v>2241</v>
      </c>
      <c r="D35" s="408" t="s">
        <v>596</v>
      </c>
      <c r="E35" s="408" t="s">
        <v>1000</v>
      </c>
      <c r="F35" s="408" t="s">
        <v>2248</v>
      </c>
      <c r="G35" s="408" t="s">
        <v>1321</v>
      </c>
      <c r="H35" s="408" t="s">
        <v>1321</v>
      </c>
      <c r="I35" s="408" t="s">
        <v>972</v>
      </c>
      <c r="J35" s="408" t="s">
        <v>2234</v>
      </c>
      <c r="K35" s="828">
        <v>44378</v>
      </c>
      <c r="L35" s="408">
        <v>0</v>
      </c>
      <c r="M35" s="408">
        <v>0</v>
      </c>
      <c r="N35" s="408">
        <v>1.5549999999999999</v>
      </c>
      <c r="O35" s="408">
        <v>1.4616999999999998</v>
      </c>
      <c r="P35" s="408">
        <v>1.5549999999999999</v>
      </c>
      <c r="Q35" s="408">
        <v>1.4616999999999998</v>
      </c>
      <c r="R35" s="408"/>
      <c r="S35" s="408">
        <v>3130.62</v>
      </c>
      <c r="T35" s="408">
        <v>256.55</v>
      </c>
      <c r="U35" s="408"/>
      <c r="V35" s="408">
        <v>5267.0493499999993</v>
      </c>
      <c r="W35" s="408">
        <v>5267.0493499999993</v>
      </c>
      <c r="X35" s="408">
        <v>2771.98965</v>
      </c>
      <c r="Y35" s="408">
        <v>0</v>
      </c>
      <c r="Z35" s="408">
        <v>83.166022729236403</v>
      </c>
      <c r="AA35" s="408">
        <v>0</v>
      </c>
      <c r="AB35" s="408">
        <v>0</v>
      </c>
      <c r="AC35" s="408">
        <v>0</v>
      </c>
      <c r="AD35" s="408">
        <v>1001.7524703092723</v>
      </c>
      <c r="AE35" s="408">
        <v>3738.4511709939075</v>
      </c>
      <c r="AF35" s="408">
        <v>398.93917129334085</v>
      </c>
      <c r="AG35" s="408">
        <v>0</v>
      </c>
      <c r="AH35" s="408">
        <v>0</v>
      </c>
      <c r="AI35" s="408">
        <v>0</v>
      </c>
      <c r="AJ35" s="408">
        <v>0</v>
      </c>
      <c r="AK35" s="408">
        <v>0</v>
      </c>
      <c r="AL35" s="408">
        <v>14.779130139681241</v>
      </c>
      <c r="AM35" s="408"/>
      <c r="AN35" s="408">
        <v>2.097780516936905</v>
      </c>
      <c r="AO35" s="408">
        <v>0</v>
      </c>
      <c r="AP35" s="408">
        <v>0</v>
      </c>
      <c r="AQ35" s="408">
        <v>0</v>
      </c>
      <c r="AR35" s="408">
        <v>0</v>
      </c>
      <c r="AS35" s="408">
        <v>0</v>
      </c>
      <c r="AT35" s="408">
        <v>0</v>
      </c>
      <c r="AU35" s="408">
        <v>0</v>
      </c>
      <c r="AV35" s="408">
        <v>0</v>
      </c>
      <c r="AW35" s="408">
        <v>0</v>
      </c>
      <c r="AX35" s="408">
        <v>0</v>
      </c>
      <c r="AY35" s="408">
        <v>0</v>
      </c>
      <c r="AZ35" s="408">
        <v>0</v>
      </c>
      <c r="BA35" s="408"/>
      <c r="BB35" s="408">
        <v>0</v>
      </c>
      <c r="BC35" s="408">
        <v>0</v>
      </c>
      <c r="BD35" s="408">
        <v>1.9157992127557031</v>
      </c>
      <c r="BE35" s="408">
        <v>0</v>
      </c>
      <c r="BF35" s="408">
        <v>0</v>
      </c>
      <c r="BG35" s="408">
        <v>25.951843147260689</v>
      </c>
      <c r="BH35" s="408">
        <v>0</v>
      </c>
      <c r="BI35" s="408">
        <v>0</v>
      </c>
      <c r="BJ35" s="408">
        <v>0</v>
      </c>
      <c r="BK35" s="408">
        <v>0</v>
      </c>
      <c r="BL35" s="408">
        <v>0</v>
      </c>
      <c r="BM35" s="408"/>
      <c r="BN35" s="408"/>
      <c r="BO35" s="408"/>
      <c r="BP35" s="408"/>
      <c r="BQ35" s="408">
        <v>166.31937900000028</v>
      </c>
      <c r="BR35" s="408"/>
      <c r="BS35" s="408"/>
      <c r="BT35" s="408"/>
      <c r="BU35" s="408"/>
      <c r="BV35" s="408">
        <v>426.80681365335727</v>
      </c>
      <c r="BW35" s="408"/>
      <c r="BX35" s="408"/>
      <c r="BY35" s="408"/>
      <c r="BZ35" s="408"/>
      <c r="CA35" s="408"/>
      <c r="CB35" s="408"/>
      <c r="CC35" s="408"/>
      <c r="CD35" s="408"/>
      <c r="CE35" s="408"/>
      <c r="CF35" s="408"/>
      <c r="CG35" s="408"/>
      <c r="CH35" s="408"/>
      <c r="CI35" s="408">
        <v>2602.6397999999999</v>
      </c>
      <c r="CJ35" s="408">
        <v>-2348.4165889999995</v>
      </c>
      <c r="CK35" s="408"/>
      <c r="CL35" s="408"/>
      <c r="CM35" s="408"/>
      <c r="CN35" s="408"/>
      <c r="CO35" s="408">
        <v>-2519.9241499999998</v>
      </c>
      <c r="CP35" s="408">
        <v>24.864450000000012</v>
      </c>
      <c r="CQ35" s="408">
        <v>31</v>
      </c>
      <c r="CR35" s="408">
        <v>15.944816347275264</v>
      </c>
      <c r="CS35" s="408">
        <v>0</v>
      </c>
      <c r="CT35" s="408">
        <v>0</v>
      </c>
      <c r="CU35" s="408">
        <v>0</v>
      </c>
      <c r="CV35" s="408">
        <v>0</v>
      </c>
      <c r="CW35" s="408">
        <v>0</v>
      </c>
      <c r="CX35" s="408">
        <v>0</v>
      </c>
      <c r="CY35" s="408">
        <v>0</v>
      </c>
      <c r="CZ35" s="408">
        <v>-4.527984171278149</v>
      </c>
      <c r="DA35" s="408">
        <v>0</v>
      </c>
      <c r="DB35" s="408">
        <v>0</v>
      </c>
      <c r="DC35" s="408">
        <v>24.853299662568816</v>
      </c>
      <c r="DD35" s="408">
        <v>0</v>
      </c>
      <c r="DE35" s="408">
        <v>0</v>
      </c>
      <c r="DF35" s="408">
        <v>0.11935135818719145</v>
      </c>
      <c r="DG35" s="408">
        <v>1.6167601001521952</v>
      </c>
      <c r="DH35" s="408">
        <v>0</v>
      </c>
      <c r="DI35" s="408">
        <v>-5.1715837755060221</v>
      </c>
      <c r="DJ35" s="408"/>
      <c r="DK35" s="408">
        <v>0</v>
      </c>
      <c r="DL35" s="408">
        <v>0</v>
      </c>
      <c r="DM35" s="408">
        <v>0</v>
      </c>
      <c r="DN35" s="408">
        <v>0</v>
      </c>
      <c r="DO35" s="408">
        <v>-0.81097063858364571</v>
      </c>
      <c r="DP35" s="408">
        <v>-0.13405618826501509</v>
      </c>
      <c r="DQ35" s="408">
        <v>0</v>
      </c>
      <c r="DR35" s="408">
        <v>0</v>
      </c>
      <c r="DS35" s="408"/>
      <c r="DT35" s="408"/>
      <c r="DU35" s="408"/>
      <c r="DV35" s="408">
        <v>3738.4511709939075</v>
      </c>
      <c r="DW35" s="408">
        <v>0</v>
      </c>
      <c r="DX35" s="408">
        <v>0</v>
      </c>
      <c r="DY35" s="408">
        <v>-2519.9241499999998</v>
      </c>
      <c r="DZ35" s="408">
        <v>24.864450000000033</v>
      </c>
      <c r="EA35" s="408">
        <v>0</v>
      </c>
      <c r="EB35" s="408">
        <v>0</v>
      </c>
      <c r="EC35" s="408">
        <v>-2511.0229510043646</v>
      </c>
      <c r="ED35" s="408">
        <v>0</v>
      </c>
      <c r="EE35" s="408">
        <v>0</v>
      </c>
      <c r="EF35" s="408">
        <v>0</v>
      </c>
      <c r="EG35" s="408">
        <v>0</v>
      </c>
      <c r="EH35" s="408">
        <v>0</v>
      </c>
      <c r="EI35" s="408">
        <v>0</v>
      </c>
      <c r="EJ35" s="408">
        <v>0</v>
      </c>
      <c r="EK35" s="408">
        <v>0</v>
      </c>
      <c r="EL35" s="408">
        <v>0</v>
      </c>
      <c r="EM35" s="408">
        <v>0</v>
      </c>
      <c r="EN35" s="408">
        <v>0</v>
      </c>
      <c r="EO35" s="408">
        <v>0</v>
      </c>
      <c r="EP35" s="408">
        <v>0</v>
      </c>
      <c r="EQ35" s="408">
        <v>0</v>
      </c>
      <c r="ER35" s="408">
        <v>0</v>
      </c>
      <c r="ES35" s="408">
        <v>0</v>
      </c>
      <c r="ET35" s="408">
        <v>0</v>
      </c>
      <c r="EU35" s="408">
        <v>0</v>
      </c>
      <c r="EV35" s="408">
        <v>257</v>
      </c>
      <c r="EW35" s="408">
        <v>0</v>
      </c>
      <c r="EX35" s="408">
        <v>0</v>
      </c>
      <c r="EY35" s="408">
        <v>0</v>
      </c>
      <c r="EZ35" s="408"/>
      <c r="FA35" s="408">
        <v>0</v>
      </c>
      <c r="FB35" s="408"/>
      <c r="FC35" s="408"/>
      <c r="FD35" s="408"/>
      <c r="FE35" s="408"/>
      <c r="FF35" s="408">
        <v>0</v>
      </c>
      <c r="FG35" s="408">
        <v>0</v>
      </c>
      <c r="FH35" s="408">
        <v>0</v>
      </c>
      <c r="FI35" s="408">
        <v>0</v>
      </c>
    </row>
    <row r="36" spans="1:165" customFormat="1">
      <c r="A36" s="408">
        <v>34</v>
      </c>
      <c r="B36" s="408" t="s">
        <v>1035</v>
      </c>
      <c r="C36" s="408" t="s">
        <v>2241</v>
      </c>
      <c r="D36" s="408" t="s">
        <v>596</v>
      </c>
      <c r="E36" s="408" t="s">
        <v>1000</v>
      </c>
      <c r="F36" s="408" t="s">
        <v>2248</v>
      </c>
      <c r="G36" s="408" t="s">
        <v>1321</v>
      </c>
      <c r="H36" s="408" t="s">
        <v>1321</v>
      </c>
      <c r="I36" s="408" t="s">
        <v>2242</v>
      </c>
      <c r="J36" s="408" t="s">
        <v>2234</v>
      </c>
      <c r="K36" s="828">
        <v>44378</v>
      </c>
      <c r="L36" s="408">
        <v>0</v>
      </c>
      <c r="M36" s="408">
        <v>0</v>
      </c>
      <c r="N36" s="408">
        <v>14.303000000000001</v>
      </c>
      <c r="O36" s="408">
        <v>13.44482</v>
      </c>
      <c r="P36" s="408">
        <v>14.303000000000001</v>
      </c>
      <c r="Q36" s="408">
        <v>13.44482</v>
      </c>
      <c r="R36" s="408"/>
      <c r="S36" s="408">
        <v>82.26</v>
      </c>
      <c r="T36" s="408">
        <v>256.55</v>
      </c>
      <c r="U36" s="408"/>
      <c r="V36" s="408">
        <v>4845.9994299999998</v>
      </c>
      <c r="W36" s="408">
        <v>4845.9994299999998</v>
      </c>
      <c r="X36" s="408">
        <v>5034.3699400000005</v>
      </c>
      <c r="Y36" s="408">
        <v>0</v>
      </c>
      <c r="Z36" s="408">
        <v>764.96696019052627</v>
      </c>
      <c r="AA36" s="408">
        <v>0</v>
      </c>
      <c r="AB36" s="408">
        <v>0</v>
      </c>
      <c r="AC36" s="408">
        <v>0</v>
      </c>
      <c r="AD36" s="408">
        <v>0</v>
      </c>
      <c r="AE36" s="408">
        <v>0</v>
      </c>
      <c r="AF36" s="408">
        <v>3669.4707183335404</v>
      </c>
      <c r="AG36" s="408">
        <v>0</v>
      </c>
      <c r="AH36" s="408">
        <v>0</v>
      </c>
      <c r="AI36" s="408">
        <v>0</v>
      </c>
      <c r="AJ36" s="408">
        <v>0</v>
      </c>
      <c r="AK36" s="408">
        <v>0</v>
      </c>
      <c r="AL36" s="408">
        <v>135.93948449380116</v>
      </c>
      <c r="AM36" s="408"/>
      <c r="AN36" s="408">
        <v>19.295533590835081</v>
      </c>
      <c r="AO36" s="408">
        <v>0</v>
      </c>
      <c r="AP36" s="408">
        <v>0</v>
      </c>
      <c r="AQ36" s="408">
        <v>0</v>
      </c>
      <c r="AR36" s="408">
        <v>0</v>
      </c>
      <c r="AS36" s="408">
        <v>0</v>
      </c>
      <c r="AT36" s="408">
        <v>0</v>
      </c>
      <c r="AU36" s="408">
        <v>0</v>
      </c>
      <c r="AV36" s="408">
        <v>0</v>
      </c>
      <c r="AW36" s="408">
        <v>0</v>
      </c>
      <c r="AX36" s="408">
        <v>0</v>
      </c>
      <c r="AY36" s="408">
        <v>0</v>
      </c>
      <c r="AZ36" s="408">
        <v>0</v>
      </c>
      <c r="BA36" s="408"/>
      <c r="BB36" s="408">
        <v>0</v>
      </c>
      <c r="BC36" s="408">
        <v>0</v>
      </c>
      <c r="BD36" s="408">
        <v>17.621656681700852</v>
      </c>
      <c r="BE36" s="408">
        <v>0</v>
      </c>
      <c r="BF36" s="408">
        <v>0</v>
      </c>
      <c r="BG36" s="408">
        <v>238.70688909020558</v>
      </c>
      <c r="BH36" s="408">
        <v>0</v>
      </c>
      <c r="BI36" s="408">
        <v>0</v>
      </c>
      <c r="BJ36" s="408">
        <v>0</v>
      </c>
      <c r="BK36" s="408">
        <v>0</v>
      </c>
      <c r="BL36" s="408">
        <v>0</v>
      </c>
      <c r="BM36" s="408"/>
      <c r="BN36" s="408"/>
      <c r="BO36" s="408"/>
      <c r="BP36" s="408"/>
      <c r="BQ36" s="408">
        <v>302.06219640000029</v>
      </c>
      <c r="BR36" s="408"/>
      <c r="BS36" s="408"/>
      <c r="BT36" s="408"/>
      <c r="BU36" s="408"/>
      <c r="BV36" s="408">
        <v>3925.7992641054466</v>
      </c>
      <c r="BW36" s="408"/>
      <c r="BX36" s="408"/>
      <c r="BY36" s="408"/>
      <c r="BZ36" s="408"/>
      <c r="CA36" s="408"/>
      <c r="CB36" s="408"/>
      <c r="CC36" s="408"/>
      <c r="CD36" s="408"/>
      <c r="CE36" s="408"/>
      <c r="CF36" s="408"/>
      <c r="CG36" s="408"/>
      <c r="CH36" s="408"/>
      <c r="CI36" s="408">
        <v>4730.6112000000003</v>
      </c>
      <c r="CJ36" s="408">
        <v>175.3417357999997</v>
      </c>
      <c r="CK36" s="408"/>
      <c r="CL36" s="408"/>
      <c r="CM36" s="408"/>
      <c r="CN36" s="408"/>
      <c r="CO36" s="408">
        <v>-40.334460000000107</v>
      </c>
      <c r="CP36" s="408">
        <v>228.70497000000015</v>
      </c>
      <c r="CQ36" s="408">
        <v>31</v>
      </c>
      <c r="CR36" s="408">
        <v>188.3102674063457</v>
      </c>
      <c r="CS36" s="408">
        <v>0</v>
      </c>
      <c r="CT36" s="408">
        <v>0</v>
      </c>
      <c r="CU36" s="408">
        <v>0</v>
      </c>
      <c r="CV36" s="408">
        <v>0</v>
      </c>
      <c r="CW36" s="408">
        <v>0</v>
      </c>
      <c r="CX36" s="408">
        <v>0</v>
      </c>
      <c r="CY36" s="408">
        <v>0</v>
      </c>
      <c r="CZ36" s="408">
        <v>0</v>
      </c>
      <c r="DA36" s="408">
        <v>0</v>
      </c>
      <c r="DB36" s="408">
        <v>0</v>
      </c>
      <c r="DC36" s="408">
        <v>228.6024084075375</v>
      </c>
      <c r="DD36" s="408">
        <v>0</v>
      </c>
      <c r="DE36" s="408">
        <v>0</v>
      </c>
      <c r="DF36" s="408">
        <v>1.0978022354671353</v>
      </c>
      <c r="DG36" s="408">
        <v>14.87107377008158</v>
      </c>
      <c r="DH36" s="408">
        <v>0</v>
      </c>
      <c r="DI36" s="408">
        <v>-47.568593402612692</v>
      </c>
      <c r="DJ36" s="408"/>
      <c r="DK36" s="408">
        <v>0</v>
      </c>
      <c r="DL36" s="408">
        <v>0</v>
      </c>
      <c r="DM36" s="408">
        <v>0</v>
      </c>
      <c r="DN36" s="408">
        <v>0</v>
      </c>
      <c r="DO36" s="408">
        <v>-7.4593653013902781</v>
      </c>
      <c r="DP36" s="408">
        <v>-1.2330583027360191</v>
      </c>
      <c r="DQ36" s="408">
        <v>0</v>
      </c>
      <c r="DR36" s="408">
        <v>0</v>
      </c>
      <c r="DS36" s="408"/>
      <c r="DT36" s="408"/>
      <c r="DU36" s="408"/>
      <c r="DV36" s="408">
        <v>0</v>
      </c>
      <c r="DW36" s="408">
        <v>0</v>
      </c>
      <c r="DX36" s="408">
        <v>0</v>
      </c>
      <c r="DY36" s="408">
        <v>-40.334460000000036</v>
      </c>
      <c r="DZ36" s="408">
        <v>228.70497000000023</v>
      </c>
      <c r="EA36" s="408">
        <v>0</v>
      </c>
      <c r="EB36" s="408">
        <v>0</v>
      </c>
      <c r="EC36" s="408">
        <v>0</v>
      </c>
      <c r="ED36" s="408">
        <v>0</v>
      </c>
      <c r="EE36" s="408">
        <v>0</v>
      </c>
      <c r="EF36" s="408">
        <v>0</v>
      </c>
      <c r="EG36" s="408">
        <v>0</v>
      </c>
      <c r="EH36" s="408">
        <v>0</v>
      </c>
      <c r="EI36" s="408">
        <v>0</v>
      </c>
      <c r="EJ36" s="408">
        <v>0</v>
      </c>
      <c r="EK36" s="408">
        <v>0</v>
      </c>
      <c r="EL36" s="408">
        <v>0</v>
      </c>
      <c r="EM36" s="408">
        <v>0</v>
      </c>
      <c r="EN36" s="408">
        <v>0</v>
      </c>
      <c r="EO36" s="408">
        <v>0</v>
      </c>
      <c r="EP36" s="408">
        <v>0</v>
      </c>
      <c r="EQ36" s="408">
        <v>0</v>
      </c>
      <c r="ER36" s="408">
        <v>0</v>
      </c>
      <c r="ES36" s="408">
        <v>0</v>
      </c>
      <c r="ET36" s="408">
        <v>0</v>
      </c>
      <c r="EU36" s="408">
        <v>0</v>
      </c>
      <c r="EV36" s="408">
        <v>257</v>
      </c>
      <c r="EW36" s="408">
        <v>0</v>
      </c>
      <c r="EX36" s="408">
        <v>0</v>
      </c>
      <c r="EY36" s="408">
        <v>0</v>
      </c>
      <c r="EZ36" s="408"/>
      <c r="FA36" s="408">
        <v>0</v>
      </c>
      <c r="FB36" s="408"/>
      <c r="FC36" s="408"/>
      <c r="FD36" s="408"/>
      <c r="FE36" s="408"/>
      <c r="FF36" s="408">
        <v>0</v>
      </c>
      <c r="FG36" s="408">
        <v>0</v>
      </c>
      <c r="FH36" s="408">
        <v>0</v>
      </c>
      <c r="FI36" s="408">
        <v>0</v>
      </c>
    </row>
    <row r="37" spans="1:165" customFormat="1">
      <c r="A37" s="408">
        <v>35</v>
      </c>
      <c r="B37" s="408" t="s">
        <v>1035</v>
      </c>
      <c r="C37" s="408" t="s">
        <v>2241</v>
      </c>
      <c r="D37" s="408" t="s">
        <v>596</v>
      </c>
      <c r="E37" s="408" t="s">
        <v>1000</v>
      </c>
      <c r="F37" s="408" t="s">
        <v>2248</v>
      </c>
      <c r="G37" s="408" t="s">
        <v>1321</v>
      </c>
      <c r="H37" s="408" t="s">
        <v>1321</v>
      </c>
      <c r="I37" s="408" t="s">
        <v>1321</v>
      </c>
      <c r="J37" s="408" t="s">
        <v>2234</v>
      </c>
      <c r="K37" s="828">
        <v>44378</v>
      </c>
      <c r="L37" s="408">
        <v>79</v>
      </c>
      <c r="M37" s="408">
        <v>74.259999999999991</v>
      </c>
      <c r="N37" s="408">
        <v>0</v>
      </c>
      <c r="O37" s="408">
        <v>0</v>
      </c>
      <c r="P37" s="408">
        <v>0</v>
      </c>
      <c r="Q37" s="408">
        <v>0</v>
      </c>
      <c r="R37" s="408">
        <v>47.39</v>
      </c>
      <c r="S37" s="408"/>
      <c r="T37" s="408"/>
      <c r="U37" s="408">
        <v>3743.81</v>
      </c>
      <c r="V37" s="408"/>
      <c r="W37" s="408">
        <v>3743.81</v>
      </c>
      <c r="X37" s="408">
        <v>2545.38</v>
      </c>
      <c r="Y37" s="408">
        <v>0</v>
      </c>
      <c r="Z37" s="408">
        <v>0</v>
      </c>
      <c r="AA37" s="408">
        <v>0</v>
      </c>
      <c r="AB37" s="408">
        <v>0</v>
      </c>
      <c r="AC37" s="408">
        <v>0</v>
      </c>
      <c r="AD37" s="408">
        <v>1972.6379141777902</v>
      </c>
      <c r="AE37" s="408">
        <v>1771.1695124126304</v>
      </c>
      <c r="AF37" s="408"/>
      <c r="AG37" s="408"/>
      <c r="AH37" s="408"/>
      <c r="AI37" s="408">
        <v>0</v>
      </c>
      <c r="AJ37" s="408">
        <v>0</v>
      </c>
      <c r="AK37" s="408">
        <v>0</v>
      </c>
      <c r="AL37" s="408">
        <v>0</v>
      </c>
      <c r="AM37" s="408"/>
      <c r="AN37" s="408">
        <v>0</v>
      </c>
      <c r="AO37" s="408">
        <v>0</v>
      </c>
      <c r="AP37" s="408">
        <v>0</v>
      </c>
      <c r="AQ37" s="408">
        <v>0</v>
      </c>
      <c r="AR37" s="408">
        <v>0</v>
      </c>
      <c r="AS37" s="408"/>
      <c r="AT37" s="408"/>
      <c r="AU37" s="408">
        <v>0</v>
      </c>
      <c r="AV37" s="408">
        <v>0</v>
      </c>
      <c r="AW37" s="408">
        <v>0</v>
      </c>
      <c r="AX37" s="408"/>
      <c r="AY37" s="408"/>
      <c r="AZ37" s="408">
        <v>0</v>
      </c>
      <c r="BA37" s="408"/>
      <c r="BB37" s="408">
        <v>0</v>
      </c>
      <c r="BC37" s="408">
        <v>0</v>
      </c>
      <c r="BD37" s="408">
        <v>0</v>
      </c>
      <c r="BE37" s="408">
        <v>0</v>
      </c>
      <c r="BF37" s="408"/>
      <c r="BG37" s="408">
        <v>0</v>
      </c>
      <c r="BH37" s="408">
        <v>0</v>
      </c>
      <c r="BI37" s="408">
        <v>16.559999999999999</v>
      </c>
      <c r="BJ37" s="408">
        <v>5.82</v>
      </c>
      <c r="BK37" s="408">
        <v>4586.5</v>
      </c>
      <c r="BL37" s="408">
        <v>1</v>
      </c>
      <c r="BM37" s="408"/>
      <c r="BN37" s="408"/>
      <c r="BO37" s="408"/>
      <c r="BP37" s="408"/>
      <c r="BQ37" s="408">
        <v>152.72280000000029</v>
      </c>
      <c r="BR37" s="408"/>
      <c r="BS37" s="408"/>
      <c r="BT37" s="408"/>
      <c r="BU37" s="408"/>
      <c r="BV37" s="408">
        <v>0</v>
      </c>
      <c r="BW37" s="408"/>
      <c r="BX37" s="408"/>
      <c r="BY37" s="408"/>
      <c r="BZ37" s="408"/>
      <c r="CA37" s="408"/>
      <c r="CB37" s="408"/>
      <c r="CC37" s="408"/>
      <c r="CD37" s="408"/>
      <c r="CE37" s="408"/>
      <c r="CF37" s="408"/>
      <c r="CG37" s="408"/>
      <c r="CH37" s="408"/>
      <c r="CI37" s="408">
        <v>2392.6572000000001</v>
      </c>
      <c r="CJ37" s="408">
        <v>-1126.5542</v>
      </c>
      <c r="CK37" s="408"/>
      <c r="CL37" s="408"/>
      <c r="CM37" s="408"/>
      <c r="CN37" s="408"/>
      <c r="CO37" s="408">
        <v>-1198.43</v>
      </c>
      <c r="CP37" s="408">
        <v>0</v>
      </c>
      <c r="CQ37" s="408">
        <v>31</v>
      </c>
      <c r="CR37" s="408">
        <v>-8.9164474416556914</v>
      </c>
      <c r="CS37" s="408">
        <v>0</v>
      </c>
      <c r="CT37" s="408">
        <v>0</v>
      </c>
      <c r="CU37" s="408">
        <v>0</v>
      </c>
      <c r="CV37" s="408">
        <v>0</v>
      </c>
      <c r="CW37" s="408"/>
      <c r="CX37" s="408"/>
      <c r="CY37" s="408"/>
      <c r="CZ37" s="408">
        <v>-8.9164474416556914</v>
      </c>
      <c r="DA37" s="408">
        <v>0</v>
      </c>
      <c r="DB37" s="408">
        <v>0</v>
      </c>
      <c r="DC37" s="408"/>
      <c r="DD37" s="408"/>
      <c r="DE37" s="408">
        <v>0</v>
      </c>
      <c r="DF37" s="408">
        <v>0</v>
      </c>
      <c r="DG37" s="408">
        <v>0</v>
      </c>
      <c r="DH37" s="408">
        <v>0</v>
      </c>
      <c r="DI37" s="408">
        <v>0</v>
      </c>
      <c r="DJ37" s="408"/>
      <c r="DK37" s="408">
        <v>0</v>
      </c>
      <c r="DL37" s="408">
        <v>0</v>
      </c>
      <c r="DM37" s="408"/>
      <c r="DN37" s="408">
        <v>0</v>
      </c>
      <c r="DO37" s="408">
        <v>0</v>
      </c>
      <c r="DP37" s="408">
        <v>0</v>
      </c>
      <c r="DQ37" s="408">
        <v>0</v>
      </c>
      <c r="DR37" s="408">
        <v>0</v>
      </c>
      <c r="DS37" s="408"/>
      <c r="DT37" s="408"/>
      <c r="DU37" s="408">
        <v>1771.1695124126304</v>
      </c>
      <c r="DV37" s="408"/>
      <c r="DW37" s="408">
        <v>0</v>
      </c>
      <c r="DX37" s="408">
        <v>0</v>
      </c>
      <c r="DY37" s="408">
        <v>-1198.4299999999998</v>
      </c>
      <c r="DZ37" s="408"/>
      <c r="EA37" s="408">
        <v>0</v>
      </c>
      <c r="EB37" s="408"/>
      <c r="EC37" s="408">
        <v>-1189.6496951182394</v>
      </c>
      <c r="ED37" s="408"/>
      <c r="EE37" s="408">
        <v>0</v>
      </c>
      <c r="EF37" s="408">
        <v>0</v>
      </c>
      <c r="EG37" s="408"/>
      <c r="EH37" s="408">
        <v>0</v>
      </c>
      <c r="EI37" s="408">
        <v>0</v>
      </c>
      <c r="EJ37" s="408">
        <v>0</v>
      </c>
      <c r="EK37" s="408">
        <v>0</v>
      </c>
      <c r="EL37" s="408">
        <v>0</v>
      </c>
      <c r="EM37" s="408"/>
      <c r="EN37" s="408"/>
      <c r="EO37" s="408">
        <v>0</v>
      </c>
      <c r="EP37" s="408">
        <v>0</v>
      </c>
      <c r="EQ37" s="408"/>
      <c r="ER37" s="408">
        <v>0</v>
      </c>
      <c r="ES37" s="408"/>
      <c r="ET37" s="408">
        <v>0</v>
      </c>
      <c r="EU37" s="408"/>
      <c r="EV37" s="408">
        <v>257</v>
      </c>
      <c r="EW37" s="408"/>
      <c r="EX37" s="408"/>
      <c r="EY37" s="408"/>
      <c r="EZ37" s="408"/>
      <c r="FA37" s="408">
        <v>0</v>
      </c>
      <c r="FB37" s="408"/>
      <c r="FC37" s="408"/>
      <c r="FD37" s="408"/>
      <c r="FE37" s="408"/>
      <c r="FF37" s="408">
        <v>0</v>
      </c>
      <c r="FG37" s="408">
        <v>0</v>
      </c>
      <c r="FH37" s="408">
        <v>0</v>
      </c>
      <c r="FI37" s="408">
        <v>0</v>
      </c>
    </row>
    <row r="38" spans="1:165" customFormat="1">
      <c r="A38" s="408">
        <v>36</v>
      </c>
      <c r="B38" s="408" t="s">
        <v>1035</v>
      </c>
      <c r="C38" s="408" t="s">
        <v>2233</v>
      </c>
      <c r="D38" s="408" t="s">
        <v>1958</v>
      </c>
      <c r="E38" s="408" t="s">
        <v>2249</v>
      </c>
      <c r="F38" s="408" t="s">
        <v>1321</v>
      </c>
      <c r="G38" s="408" t="s">
        <v>1321</v>
      </c>
      <c r="H38" s="408" t="s">
        <v>1321</v>
      </c>
      <c r="I38" s="408" t="s">
        <v>1321</v>
      </c>
      <c r="J38" s="408" t="s">
        <v>2234</v>
      </c>
      <c r="K38" s="828">
        <v>44378</v>
      </c>
      <c r="L38" s="408">
        <v>0</v>
      </c>
      <c r="M38" s="408">
        <v>0</v>
      </c>
      <c r="N38" s="408">
        <v>0.50600000000000001</v>
      </c>
      <c r="O38" s="408">
        <v>0.50600000000000001</v>
      </c>
      <c r="P38" s="408">
        <v>0.50600000000000001</v>
      </c>
      <c r="Q38" s="408">
        <v>0.50600000000000001</v>
      </c>
      <c r="R38" s="408"/>
      <c r="S38" s="408">
        <v>710.91</v>
      </c>
      <c r="T38" s="408">
        <v>256.55</v>
      </c>
      <c r="U38" s="408"/>
      <c r="V38" s="408">
        <v>489.53476000000001</v>
      </c>
      <c r="W38" s="408">
        <v>489.53476000000001</v>
      </c>
      <c r="X38" s="408">
        <v>334.17758000000003</v>
      </c>
      <c r="Y38" s="408">
        <v>0</v>
      </c>
      <c r="Z38" s="408">
        <v>31.10618878737009</v>
      </c>
      <c r="AA38" s="408">
        <v>0</v>
      </c>
      <c r="AB38" s="408">
        <v>0</v>
      </c>
      <c r="AC38" s="408">
        <v>0</v>
      </c>
      <c r="AD38" s="408">
        <v>62.279891640506229</v>
      </c>
      <c r="AE38" s="408">
        <v>241.31649121276129</v>
      </c>
      <c r="AF38" s="408">
        <v>129.81557599641832</v>
      </c>
      <c r="AG38" s="408">
        <v>0</v>
      </c>
      <c r="AH38" s="408">
        <v>0</v>
      </c>
      <c r="AI38" s="408">
        <v>0</v>
      </c>
      <c r="AJ38" s="408">
        <v>0</v>
      </c>
      <c r="AK38" s="408">
        <v>0</v>
      </c>
      <c r="AL38" s="408">
        <v>4.8091574602435418</v>
      </c>
      <c r="AM38" s="408"/>
      <c r="AN38" s="408">
        <v>1.1110771510369839</v>
      </c>
      <c r="AO38" s="408">
        <v>0</v>
      </c>
      <c r="AP38" s="408">
        <v>0</v>
      </c>
      <c r="AQ38" s="408">
        <v>0</v>
      </c>
      <c r="AR38" s="408">
        <v>0</v>
      </c>
      <c r="AS38" s="408">
        <v>0</v>
      </c>
      <c r="AT38" s="408">
        <v>0</v>
      </c>
      <c r="AU38" s="408">
        <v>0</v>
      </c>
      <c r="AV38" s="408">
        <v>0</v>
      </c>
      <c r="AW38" s="408">
        <v>0</v>
      </c>
      <c r="AX38" s="408">
        <v>0</v>
      </c>
      <c r="AY38" s="408">
        <v>0</v>
      </c>
      <c r="AZ38" s="408">
        <v>0</v>
      </c>
      <c r="BA38" s="408"/>
      <c r="BB38" s="408">
        <v>0</v>
      </c>
      <c r="BC38" s="408">
        <v>0</v>
      </c>
      <c r="BD38" s="408">
        <v>0.75410208703844805</v>
      </c>
      <c r="BE38" s="408">
        <v>0</v>
      </c>
      <c r="BF38" s="408">
        <v>0</v>
      </c>
      <c r="BG38" s="408">
        <v>18.344221551071673</v>
      </c>
      <c r="BH38" s="408">
        <v>0</v>
      </c>
      <c r="BI38" s="408">
        <v>0.52</v>
      </c>
      <c r="BJ38" s="408">
        <v>0.19</v>
      </c>
      <c r="BK38" s="408">
        <v>144.77000000000001</v>
      </c>
      <c r="BL38" s="408">
        <v>4</v>
      </c>
      <c r="BM38" s="408"/>
      <c r="BN38" s="408"/>
      <c r="BO38" s="408"/>
      <c r="BP38" s="408"/>
      <c r="BQ38" s="408"/>
      <c r="BR38" s="408"/>
      <c r="BS38" s="408"/>
      <c r="BT38" s="408"/>
      <c r="BU38" s="408"/>
      <c r="BV38" s="408">
        <v>148.91389963452846</v>
      </c>
      <c r="BW38" s="408"/>
      <c r="BX38" s="408"/>
      <c r="BY38" s="408"/>
      <c r="BZ38" s="408"/>
      <c r="CA38" s="408"/>
      <c r="CB38" s="408"/>
      <c r="CC38" s="408"/>
      <c r="CD38" s="408"/>
      <c r="CE38" s="408"/>
      <c r="CF38" s="408"/>
      <c r="CG38" s="408"/>
      <c r="CH38" s="408"/>
      <c r="CI38" s="408">
        <v>336.8193</v>
      </c>
      <c r="CJ38" s="408">
        <v>-152.74545999999998</v>
      </c>
      <c r="CK38" s="408"/>
      <c r="CL38" s="408"/>
      <c r="CM38" s="408"/>
      <c r="CN38" s="408"/>
      <c r="CO38" s="408">
        <v>-163.44811999999999</v>
      </c>
      <c r="CP38" s="408">
        <v>8.0909400000000051</v>
      </c>
      <c r="CQ38" s="408">
        <v>31</v>
      </c>
      <c r="CR38" s="408">
        <v>6.7264027859827706</v>
      </c>
      <c r="CS38" s="408">
        <v>0</v>
      </c>
      <c r="CT38" s="408">
        <v>0</v>
      </c>
      <c r="CU38" s="408">
        <v>0</v>
      </c>
      <c r="CV38" s="408">
        <v>0</v>
      </c>
      <c r="CW38" s="408">
        <v>0</v>
      </c>
      <c r="CX38" s="408">
        <v>0</v>
      </c>
      <c r="CY38" s="408">
        <v>0</v>
      </c>
      <c r="CZ38" s="408">
        <v>-0.28150902732490835</v>
      </c>
      <c r="DA38" s="408">
        <v>0</v>
      </c>
      <c r="DB38" s="408">
        <v>0</v>
      </c>
      <c r="DC38" s="408">
        <v>8.0873116586879803</v>
      </c>
      <c r="DD38" s="408">
        <v>0</v>
      </c>
      <c r="DE38" s="408">
        <v>0</v>
      </c>
      <c r="DF38" s="408">
        <v>4.6979405618593373E-2</v>
      </c>
      <c r="DG38" s="408">
        <v>1.14281692070319</v>
      </c>
      <c r="DH38" s="408">
        <v>0</v>
      </c>
      <c r="DI38" s="408">
        <v>-1.9343026872203382</v>
      </c>
      <c r="DJ38" s="408"/>
      <c r="DK38" s="408">
        <v>0</v>
      </c>
      <c r="DL38" s="408">
        <v>0</v>
      </c>
      <c r="DM38" s="408">
        <v>0</v>
      </c>
      <c r="DN38" s="408">
        <v>0</v>
      </c>
      <c r="DO38" s="408">
        <v>-0.26389141036869734</v>
      </c>
      <c r="DP38" s="408">
        <v>-7.1002074113001967E-2</v>
      </c>
      <c r="DQ38" s="408">
        <v>0</v>
      </c>
      <c r="DR38" s="408">
        <v>0</v>
      </c>
      <c r="DS38" s="408"/>
      <c r="DT38" s="408"/>
      <c r="DU38" s="408"/>
      <c r="DV38" s="408">
        <v>241.31649121276129</v>
      </c>
      <c r="DW38" s="408">
        <v>0</v>
      </c>
      <c r="DX38" s="408">
        <v>0</v>
      </c>
      <c r="DY38" s="408">
        <v>-163.44812000000002</v>
      </c>
      <c r="DZ38" s="408">
        <v>8.0909400000000176</v>
      </c>
      <c r="EA38" s="408">
        <v>0</v>
      </c>
      <c r="EB38" s="408">
        <v>0</v>
      </c>
      <c r="EC38" s="408">
        <v>-162.0861742404378</v>
      </c>
      <c r="ED38" s="408">
        <v>0</v>
      </c>
      <c r="EE38" s="408">
        <v>0</v>
      </c>
      <c r="EF38" s="408">
        <v>0</v>
      </c>
      <c r="EG38" s="408">
        <v>0</v>
      </c>
      <c r="EH38" s="408">
        <v>0</v>
      </c>
      <c r="EI38" s="408">
        <v>0</v>
      </c>
      <c r="EJ38" s="408">
        <v>0</v>
      </c>
      <c r="EK38" s="408">
        <v>0</v>
      </c>
      <c r="EL38" s="408">
        <v>0</v>
      </c>
      <c r="EM38" s="408">
        <v>0</v>
      </c>
      <c r="EN38" s="408">
        <v>0</v>
      </c>
      <c r="EO38" s="408">
        <v>0</v>
      </c>
      <c r="EP38" s="408">
        <v>0</v>
      </c>
      <c r="EQ38" s="408">
        <v>0</v>
      </c>
      <c r="ER38" s="408">
        <v>0</v>
      </c>
      <c r="ES38" s="408">
        <v>0</v>
      </c>
      <c r="ET38" s="408">
        <v>0</v>
      </c>
      <c r="EU38" s="408">
        <v>0</v>
      </c>
      <c r="EV38" s="408">
        <v>257</v>
      </c>
      <c r="EW38" s="408">
        <v>0</v>
      </c>
      <c r="EX38" s="408">
        <v>0</v>
      </c>
      <c r="EY38" s="408">
        <v>0</v>
      </c>
      <c r="EZ38" s="408"/>
      <c r="FA38" s="408">
        <v>0</v>
      </c>
      <c r="FB38" s="408"/>
      <c r="FC38" s="408"/>
      <c r="FD38" s="408"/>
      <c r="FE38" s="408"/>
      <c r="FF38" s="408">
        <v>0</v>
      </c>
      <c r="FG38" s="408">
        <v>0</v>
      </c>
      <c r="FH38" s="408">
        <v>0</v>
      </c>
      <c r="FI38" s="408">
        <v>0</v>
      </c>
    </row>
    <row r="39" spans="1:165" customFormat="1">
      <c r="A39" s="408">
        <v>37</v>
      </c>
      <c r="B39" s="408" t="s">
        <v>1035</v>
      </c>
      <c r="C39" s="408" t="s">
        <v>2233</v>
      </c>
      <c r="D39" s="408" t="s">
        <v>1955</v>
      </c>
      <c r="E39" s="408" t="s">
        <v>968</v>
      </c>
      <c r="F39" s="408" t="s">
        <v>968</v>
      </c>
      <c r="G39" s="408" t="s">
        <v>1321</v>
      </c>
      <c r="H39" s="408" t="s">
        <v>1321</v>
      </c>
      <c r="I39" s="408" t="s">
        <v>1321</v>
      </c>
      <c r="J39" s="408" t="s">
        <v>2234</v>
      </c>
      <c r="K39" s="828">
        <v>44409</v>
      </c>
      <c r="L39" s="408">
        <v>0</v>
      </c>
      <c r="M39" s="408">
        <v>0</v>
      </c>
      <c r="N39" s="408">
        <v>599.39800000000002</v>
      </c>
      <c r="O39" s="408">
        <v>599.39800000000002</v>
      </c>
      <c r="P39" s="408">
        <v>599.39800000000002</v>
      </c>
      <c r="Q39" s="408">
        <v>599.39800000000002</v>
      </c>
      <c r="R39" s="408"/>
      <c r="S39" s="408">
        <v>710.91</v>
      </c>
      <c r="T39" s="408">
        <v>256.55</v>
      </c>
      <c r="U39" s="408"/>
      <c r="V39" s="408">
        <v>579893.58908000006</v>
      </c>
      <c r="W39" s="408">
        <v>579893.58908000006</v>
      </c>
      <c r="X39" s="408">
        <v>395860.42113999999</v>
      </c>
      <c r="Y39" s="408">
        <v>0</v>
      </c>
      <c r="Z39" s="408">
        <v>36847.801080577185</v>
      </c>
      <c r="AA39" s="408">
        <v>0</v>
      </c>
      <c r="AB39" s="408">
        <v>0</v>
      </c>
      <c r="AC39" s="408">
        <v>0</v>
      </c>
      <c r="AD39" s="408">
        <v>73775.578042561567</v>
      </c>
      <c r="AE39" s="408">
        <v>285858.93715404486</v>
      </c>
      <c r="AF39" s="408">
        <v>153777.06842114852</v>
      </c>
      <c r="AG39" s="408">
        <v>0</v>
      </c>
      <c r="AH39" s="408">
        <v>0</v>
      </c>
      <c r="AI39" s="408">
        <v>0</v>
      </c>
      <c r="AJ39" s="408">
        <v>0</v>
      </c>
      <c r="AK39" s="408">
        <v>0</v>
      </c>
      <c r="AL39" s="408">
        <v>5696.8366864724485</v>
      </c>
      <c r="AM39" s="408"/>
      <c r="AN39" s="408">
        <v>1316.1609133938066</v>
      </c>
      <c r="AO39" s="408">
        <v>0</v>
      </c>
      <c r="AP39" s="408">
        <v>0</v>
      </c>
      <c r="AQ39" s="408">
        <v>0</v>
      </c>
      <c r="AR39" s="408">
        <v>0</v>
      </c>
      <c r="AS39" s="408">
        <v>0</v>
      </c>
      <c r="AT39" s="408">
        <v>0</v>
      </c>
      <c r="AU39" s="408">
        <v>0</v>
      </c>
      <c r="AV39" s="408">
        <v>0</v>
      </c>
      <c r="AW39" s="408">
        <v>0</v>
      </c>
      <c r="AX39" s="408">
        <v>0</v>
      </c>
      <c r="AY39" s="408">
        <v>0</v>
      </c>
      <c r="AZ39" s="408">
        <v>0</v>
      </c>
      <c r="BA39" s="408"/>
      <c r="BB39" s="408">
        <v>0</v>
      </c>
      <c r="BC39" s="408">
        <v>0</v>
      </c>
      <c r="BD39" s="408">
        <v>893.29502523057647</v>
      </c>
      <c r="BE39" s="408">
        <v>0</v>
      </c>
      <c r="BF39" s="408">
        <v>0</v>
      </c>
      <c r="BG39" s="408">
        <v>21730.216816737666</v>
      </c>
      <c r="BH39" s="408">
        <v>0</v>
      </c>
      <c r="BI39" s="408">
        <v>660.26</v>
      </c>
      <c r="BJ39" s="408">
        <v>240.95</v>
      </c>
      <c r="BK39" s="408">
        <v>177791.92</v>
      </c>
      <c r="BL39" s="408">
        <v>4113</v>
      </c>
      <c r="BM39" s="408"/>
      <c r="BN39" s="408"/>
      <c r="BO39" s="408"/>
      <c r="BP39" s="408"/>
      <c r="BQ39" s="408"/>
      <c r="BR39" s="408"/>
      <c r="BS39" s="408"/>
      <c r="BT39" s="408"/>
      <c r="BU39" s="408"/>
      <c r="BV39" s="408">
        <v>176400.58026311678</v>
      </c>
      <c r="BW39" s="408"/>
      <c r="BX39" s="408"/>
      <c r="BY39" s="408"/>
      <c r="BZ39" s="408"/>
      <c r="CA39" s="408"/>
      <c r="CB39" s="408"/>
      <c r="CC39" s="408"/>
      <c r="CD39" s="408"/>
      <c r="CE39" s="408"/>
      <c r="CF39" s="408"/>
      <c r="CG39" s="408"/>
      <c r="CH39" s="408"/>
      <c r="CI39" s="408">
        <v>395861.74199999997</v>
      </c>
      <c r="CJ39" s="408">
        <v>-184031.87708000012</v>
      </c>
      <c r="CK39" s="408"/>
      <c r="CL39" s="408"/>
      <c r="CM39" s="408"/>
      <c r="CN39" s="408"/>
      <c r="CO39" s="408">
        <v>-193617.54196</v>
      </c>
      <c r="CP39" s="408">
        <v>9584.3740200000066</v>
      </c>
      <c r="CQ39" s="408">
        <v>31</v>
      </c>
      <c r="CR39" s="408">
        <v>7967.9691247283481</v>
      </c>
      <c r="CS39" s="408">
        <v>0</v>
      </c>
      <c r="CT39" s="408">
        <v>0</v>
      </c>
      <c r="CU39" s="408">
        <v>0</v>
      </c>
      <c r="CV39" s="408">
        <v>0</v>
      </c>
      <c r="CW39" s="408">
        <v>0</v>
      </c>
      <c r="CX39" s="408">
        <v>0</v>
      </c>
      <c r="CY39" s="408">
        <v>0</v>
      </c>
      <c r="CZ39" s="408">
        <v>-333.47025288635632</v>
      </c>
      <c r="DA39" s="408">
        <v>0</v>
      </c>
      <c r="DB39" s="408">
        <v>0</v>
      </c>
      <c r="DC39" s="408">
        <v>9580.0759557198908</v>
      </c>
      <c r="DD39" s="408">
        <v>0</v>
      </c>
      <c r="DE39" s="408">
        <v>0</v>
      </c>
      <c r="DF39" s="408">
        <v>55.650912586904383</v>
      </c>
      <c r="DG39" s="408">
        <v>1353.7592423629467</v>
      </c>
      <c r="DH39" s="408">
        <v>0</v>
      </c>
      <c r="DI39" s="408">
        <v>-2291.3382650484054</v>
      </c>
      <c r="DJ39" s="408"/>
      <c r="DK39" s="408">
        <v>0</v>
      </c>
      <c r="DL39" s="408">
        <v>0</v>
      </c>
      <c r="DM39" s="408">
        <v>0</v>
      </c>
      <c r="DN39" s="408">
        <v>0</v>
      </c>
      <c r="DO39" s="408">
        <v>-312.60075808730562</v>
      </c>
      <c r="DP39" s="408">
        <v>-84.107709919338276</v>
      </c>
      <c r="DQ39" s="408">
        <v>0</v>
      </c>
      <c r="DR39" s="408">
        <v>0</v>
      </c>
      <c r="DS39" s="408"/>
      <c r="DT39" s="408"/>
      <c r="DU39" s="408"/>
      <c r="DV39" s="408">
        <v>285858.93715404486</v>
      </c>
      <c r="DW39" s="408">
        <v>0</v>
      </c>
      <c r="DX39" s="408">
        <v>0</v>
      </c>
      <c r="DY39" s="408">
        <v>-193617.54195999997</v>
      </c>
      <c r="DZ39" s="408">
        <v>9584.3740199999884</v>
      </c>
      <c r="EA39" s="408">
        <v>0</v>
      </c>
      <c r="EB39" s="408">
        <v>0</v>
      </c>
      <c r="EC39" s="408">
        <v>-192004.20685250976</v>
      </c>
      <c r="ED39" s="408">
        <v>0</v>
      </c>
      <c r="EE39" s="408">
        <v>0</v>
      </c>
      <c r="EF39" s="408">
        <v>0</v>
      </c>
      <c r="EG39" s="408">
        <v>0</v>
      </c>
      <c r="EH39" s="408">
        <v>0</v>
      </c>
      <c r="EI39" s="408">
        <v>0</v>
      </c>
      <c r="EJ39" s="408">
        <v>0</v>
      </c>
      <c r="EK39" s="408">
        <v>0</v>
      </c>
      <c r="EL39" s="408">
        <v>0</v>
      </c>
      <c r="EM39" s="408">
        <v>0</v>
      </c>
      <c r="EN39" s="408">
        <v>0</v>
      </c>
      <c r="EO39" s="408">
        <v>0</v>
      </c>
      <c r="EP39" s="408">
        <v>0</v>
      </c>
      <c r="EQ39" s="408">
        <v>0</v>
      </c>
      <c r="ER39" s="408">
        <v>0</v>
      </c>
      <c r="ES39" s="408">
        <v>0</v>
      </c>
      <c r="ET39" s="408">
        <v>0</v>
      </c>
      <c r="EU39" s="408">
        <v>0</v>
      </c>
      <c r="EV39" s="408">
        <v>257</v>
      </c>
      <c r="EW39" s="408">
        <v>0</v>
      </c>
      <c r="EX39" s="408">
        <v>0</v>
      </c>
      <c r="EY39" s="408">
        <v>0</v>
      </c>
      <c r="EZ39" s="408"/>
      <c r="FA39" s="408">
        <v>0</v>
      </c>
      <c r="FB39" s="408"/>
      <c r="FC39" s="408"/>
      <c r="FD39" s="408"/>
      <c r="FE39" s="408"/>
      <c r="FF39" s="408">
        <v>0</v>
      </c>
      <c r="FG39" s="408">
        <v>0</v>
      </c>
      <c r="FH39" s="408">
        <v>0</v>
      </c>
      <c r="FI39" s="408">
        <v>0</v>
      </c>
    </row>
    <row r="40" spans="1:165" customFormat="1">
      <c r="A40" s="408">
        <v>38</v>
      </c>
      <c r="B40" s="408" t="s">
        <v>2235</v>
      </c>
      <c r="C40" s="408" t="s">
        <v>2233</v>
      </c>
      <c r="D40" s="408" t="s">
        <v>1955</v>
      </c>
      <c r="E40" s="408" t="s">
        <v>968</v>
      </c>
      <c r="F40" s="408" t="s">
        <v>968</v>
      </c>
      <c r="G40" s="408" t="s">
        <v>1321</v>
      </c>
      <c r="H40" s="408" t="s">
        <v>1321</v>
      </c>
      <c r="I40" s="408" t="s">
        <v>1321</v>
      </c>
      <c r="J40" s="408" t="s">
        <v>2234</v>
      </c>
      <c r="K40" s="828">
        <v>44409</v>
      </c>
      <c r="L40" s="408">
        <v>0</v>
      </c>
      <c r="M40" s="408">
        <v>0</v>
      </c>
      <c r="N40" s="408">
        <v>-3.33</v>
      </c>
      <c r="O40" s="408">
        <v>-3.33</v>
      </c>
      <c r="P40" s="408">
        <v>-3.33</v>
      </c>
      <c r="Q40" s="408">
        <v>-3.33</v>
      </c>
      <c r="R40" s="408"/>
      <c r="S40" s="408">
        <v>710.91</v>
      </c>
      <c r="T40" s="408">
        <v>256.55</v>
      </c>
      <c r="U40" s="408"/>
      <c r="V40" s="408">
        <v>-3221.6418000000003</v>
      </c>
      <c r="W40" s="408">
        <v>-3221.6418000000003</v>
      </c>
      <c r="X40" s="408">
        <v>-2199.2319000000002</v>
      </c>
      <c r="Y40" s="408">
        <v>0</v>
      </c>
      <c r="Z40" s="408">
        <v>-204.71068905522213</v>
      </c>
      <c r="AA40" s="408">
        <v>0</v>
      </c>
      <c r="AB40" s="408">
        <v>0</v>
      </c>
      <c r="AC40" s="408">
        <v>0</v>
      </c>
      <c r="AD40" s="408">
        <v>-409.86569004522875</v>
      </c>
      <c r="AE40" s="408">
        <v>-1588.1105054120458</v>
      </c>
      <c r="AF40" s="408">
        <v>-854.31989736773323</v>
      </c>
      <c r="AG40" s="408">
        <v>0</v>
      </c>
      <c r="AH40" s="408">
        <v>0</v>
      </c>
      <c r="AI40" s="408">
        <v>0</v>
      </c>
      <c r="AJ40" s="408">
        <v>0</v>
      </c>
      <c r="AK40" s="408">
        <v>0</v>
      </c>
      <c r="AL40" s="408">
        <v>-31.649198305555327</v>
      </c>
      <c r="AM40" s="408"/>
      <c r="AN40" s="408">
        <v>-7.3120294722394394</v>
      </c>
      <c r="AO40" s="408">
        <v>0</v>
      </c>
      <c r="AP40" s="408">
        <v>0</v>
      </c>
      <c r="AQ40" s="408">
        <v>0</v>
      </c>
      <c r="AR40" s="408">
        <v>0</v>
      </c>
      <c r="AS40" s="408">
        <v>0</v>
      </c>
      <c r="AT40" s="408">
        <v>0</v>
      </c>
      <c r="AU40" s="408">
        <v>0</v>
      </c>
      <c r="AV40" s="408">
        <v>0</v>
      </c>
      <c r="AW40" s="408">
        <v>0</v>
      </c>
      <c r="AX40" s="408">
        <v>0</v>
      </c>
      <c r="AY40" s="408">
        <v>0</v>
      </c>
      <c r="AZ40" s="408">
        <v>0</v>
      </c>
      <c r="BA40" s="408"/>
      <c r="BB40" s="408">
        <v>0</v>
      </c>
      <c r="BC40" s="408">
        <v>0</v>
      </c>
      <c r="BD40" s="408">
        <v>-4.9627666992846482</v>
      </c>
      <c r="BE40" s="408">
        <v>0</v>
      </c>
      <c r="BF40" s="408">
        <v>0</v>
      </c>
      <c r="BG40" s="408">
        <v>-120.72382957523452</v>
      </c>
      <c r="BH40" s="408">
        <v>0</v>
      </c>
      <c r="BI40" s="408">
        <v>-3.55</v>
      </c>
      <c r="BJ40" s="408">
        <v>-1.24</v>
      </c>
      <c r="BK40" s="408">
        <v>-952.2</v>
      </c>
      <c r="BL40" s="408">
        <v>0</v>
      </c>
      <c r="BM40" s="408"/>
      <c r="BN40" s="408"/>
      <c r="BO40" s="408"/>
      <c r="BP40" s="408"/>
      <c r="BQ40" s="408"/>
      <c r="BR40" s="408"/>
      <c r="BS40" s="408"/>
      <c r="BT40" s="408"/>
      <c r="BU40" s="408"/>
      <c r="BV40" s="408">
        <v>-980.00649364225239</v>
      </c>
      <c r="BW40" s="408"/>
      <c r="BX40" s="408"/>
      <c r="BY40" s="408"/>
      <c r="BZ40" s="408"/>
      <c r="CA40" s="408"/>
      <c r="CB40" s="408"/>
      <c r="CC40" s="408"/>
      <c r="CD40" s="408"/>
      <c r="CE40" s="408"/>
      <c r="CF40" s="408"/>
      <c r="CG40" s="408"/>
      <c r="CH40" s="408"/>
      <c r="CI40" s="408">
        <v>-2199.2319000000002</v>
      </c>
      <c r="CJ40" s="408">
        <v>1022.3798999999995</v>
      </c>
      <c r="CK40" s="408"/>
      <c r="CL40" s="408"/>
      <c r="CM40" s="408"/>
      <c r="CN40" s="408"/>
      <c r="CO40" s="408">
        <v>1075.6566</v>
      </c>
      <c r="CP40" s="408">
        <v>-53.246700000000033</v>
      </c>
      <c r="CQ40" s="408">
        <v>31</v>
      </c>
      <c r="CR40" s="408">
        <v>-44.266642840559143</v>
      </c>
      <c r="CS40" s="408">
        <v>0</v>
      </c>
      <c r="CT40" s="408">
        <v>0</v>
      </c>
      <c r="CU40" s="408">
        <v>0</v>
      </c>
      <c r="CV40" s="408">
        <v>0</v>
      </c>
      <c r="CW40" s="408">
        <v>0</v>
      </c>
      <c r="CX40" s="408">
        <v>0</v>
      </c>
      <c r="CY40" s="408">
        <v>0</v>
      </c>
      <c r="CZ40" s="408">
        <v>1.8526186976125132</v>
      </c>
      <c r="DA40" s="408">
        <v>0</v>
      </c>
      <c r="DB40" s="408">
        <v>0</v>
      </c>
      <c r="DC40" s="408">
        <v>-53.222821785436736</v>
      </c>
      <c r="DD40" s="408">
        <v>0</v>
      </c>
      <c r="DE40" s="408">
        <v>0</v>
      </c>
      <c r="DF40" s="408">
        <v>-0.3091727682014147</v>
      </c>
      <c r="DG40" s="408">
        <v>-7.5209097745881905</v>
      </c>
      <c r="DH40" s="408">
        <v>0</v>
      </c>
      <c r="DI40" s="408">
        <v>12.729699502853208</v>
      </c>
      <c r="DJ40" s="408"/>
      <c r="DK40" s="408">
        <v>0</v>
      </c>
      <c r="DL40" s="408">
        <v>0</v>
      </c>
      <c r="DM40" s="408">
        <v>0</v>
      </c>
      <c r="DN40" s="408">
        <v>0</v>
      </c>
      <c r="DO40" s="408">
        <v>1.7366766729797654</v>
      </c>
      <c r="DP40" s="408">
        <v>0.46726661422192972</v>
      </c>
      <c r="DQ40" s="408">
        <v>0</v>
      </c>
      <c r="DR40" s="408">
        <v>0</v>
      </c>
      <c r="DS40" s="408"/>
      <c r="DT40" s="408"/>
      <c r="DU40" s="408"/>
      <c r="DV40" s="408">
        <v>-1588.1105054120458</v>
      </c>
      <c r="DW40" s="408">
        <v>0</v>
      </c>
      <c r="DX40" s="408">
        <v>0</v>
      </c>
      <c r="DY40" s="408">
        <v>1075.6566</v>
      </c>
      <c r="DZ40" s="408">
        <v>-53.246700000000033</v>
      </c>
      <c r="EA40" s="408">
        <v>0</v>
      </c>
      <c r="EB40" s="408">
        <v>0</v>
      </c>
      <c r="EC40" s="408">
        <v>1066.6935972740275</v>
      </c>
      <c r="ED40" s="408">
        <v>0</v>
      </c>
      <c r="EE40" s="408">
        <v>0</v>
      </c>
      <c r="EF40" s="408">
        <v>0</v>
      </c>
      <c r="EG40" s="408">
        <v>0</v>
      </c>
      <c r="EH40" s="408">
        <v>0</v>
      </c>
      <c r="EI40" s="408">
        <v>0</v>
      </c>
      <c r="EJ40" s="408">
        <v>0</v>
      </c>
      <c r="EK40" s="408">
        <v>0</v>
      </c>
      <c r="EL40" s="408">
        <v>0</v>
      </c>
      <c r="EM40" s="408">
        <v>0</v>
      </c>
      <c r="EN40" s="408">
        <v>0</v>
      </c>
      <c r="EO40" s="408">
        <v>0</v>
      </c>
      <c r="EP40" s="408">
        <v>0</v>
      </c>
      <c r="EQ40" s="408">
        <v>0</v>
      </c>
      <c r="ER40" s="408">
        <v>0</v>
      </c>
      <c r="ES40" s="408">
        <v>0</v>
      </c>
      <c r="ET40" s="408">
        <v>0</v>
      </c>
      <c r="EU40" s="408">
        <v>0</v>
      </c>
      <c r="EV40" s="408">
        <v>257</v>
      </c>
      <c r="EW40" s="408">
        <v>0</v>
      </c>
      <c r="EX40" s="408">
        <v>0</v>
      </c>
      <c r="EY40" s="408">
        <v>0</v>
      </c>
      <c r="EZ40" s="408"/>
      <c r="FA40" s="408">
        <v>0</v>
      </c>
      <c r="FB40" s="408"/>
      <c r="FC40" s="408"/>
      <c r="FD40" s="408"/>
      <c r="FE40" s="408"/>
      <c r="FF40" s="408">
        <v>0</v>
      </c>
      <c r="FG40" s="408">
        <v>0</v>
      </c>
      <c r="FH40" s="408">
        <v>0</v>
      </c>
      <c r="FI40" s="408">
        <v>0</v>
      </c>
    </row>
    <row r="41" spans="1:165" customFormat="1">
      <c r="A41" s="408">
        <v>39</v>
      </c>
      <c r="B41" s="408" t="s">
        <v>1035</v>
      </c>
      <c r="C41" s="408" t="s">
        <v>2233</v>
      </c>
      <c r="D41" s="408" t="s">
        <v>1955</v>
      </c>
      <c r="E41" s="408" t="s">
        <v>968</v>
      </c>
      <c r="F41" s="408" t="s">
        <v>2237</v>
      </c>
      <c r="G41" s="408" t="s">
        <v>1321</v>
      </c>
      <c r="H41" s="408" t="s">
        <v>1321</v>
      </c>
      <c r="I41" s="408" t="s">
        <v>1321</v>
      </c>
      <c r="J41" s="408" t="s">
        <v>2234</v>
      </c>
      <c r="K41" s="828">
        <v>44409</v>
      </c>
      <c r="L41" s="408">
        <v>0</v>
      </c>
      <c r="M41" s="408">
        <v>0</v>
      </c>
      <c r="N41" s="408">
        <v>3.39</v>
      </c>
      <c r="O41" s="408">
        <v>3.39</v>
      </c>
      <c r="P41" s="408">
        <v>3.39</v>
      </c>
      <c r="Q41" s="408">
        <v>3.39</v>
      </c>
      <c r="R41" s="408"/>
      <c r="S41" s="408">
        <v>639.92999999999995</v>
      </c>
      <c r="T41" s="408">
        <v>256.55</v>
      </c>
      <c r="U41" s="408"/>
      <c r="V41" s="408">
        <v>3039.0672000000004</v>
      </c>
      <c r="W41" s="408">
        <v>3039.0672000000004</v>
      </c>
      <c r="X41" s="408">
        <v>2012.9820000000002</v>
      </c>
      <c r="Y41" s="408">
        <v>0</v>
      </c>
      <c r="Z41" s="408">
        <v>0</v>
      </c>
      <c r="AA41" s="408">
        <v>0</v>
      </c>
      <c r="AB41" s="408">
        <v>0</v>
      </c>
      <c r="AC41" s="408">
        <v>0</v>
      </c>
      <c r="AD41" s="408">
        <v>417.25065743343106</v>
      </c>
      <c r="AE41" s="408">
        <v>1616.7251091131636</v>
      </c>
      <c r="AF41" s="408">
        <v>869.71304867165634</v>
      </c>
      <c r="AG41" s="408">
        <v>0</v>
      </c>
      <c r="AH41" s="408">
        <v>0</v>
      </c>
      <c r="AI41" s="408">
        <v>0</v>
      </c>
      <c r="AJ41" s="408">
        <v>0</v>
      </c>
      <c r="AK41" s="408">
        <v>0</v>
      </c>
      <c r="AL41" s="408">
        <v>0</v>
      </c>
      <c r="AM41" s="408"/>
      <c r="AN41" s="408">
        <v>7.443777751018529</v>
      </c>
      <c r="AO41" s="408">
        <v>0</v>
      </c>
      <c r="AP41" s="408">
        <v>0</v>
      </c>
      <c r="AQ41" s="408">
        <v>0</v>
      </c>
      <c r="AR41" s="408">
        <v>0</v>
      </c>
      <c r="AS41" s="408">
        <v>0</v>
      </c>
      <c r="AT41" s="408">
        <v>0</v>
      </c>
      <c r="AU41" s="408">
        <v>0</v>
      </c>
      <c r="AV41" s="408">
        <v>0</v>
      </c>
      <c r="AW41" s="408">
        <v>0</v>
      </c>
      <c r="AX41" s="408">
        <v>0</v>
      </c>
      <c r="AY41" s="408">
        <v>0</v>
      </c>
      <c r="AZ41" s="408">
        <v>0</v>
      </c>
      <c r="BA41" s="408"/>
      <c r="BB41" s="408">
        <v>0</v>
      </c>
      <c r="BC41" s="408">
        <v>0</v>
      </c>
      <c r="BD41" s="408">
        <v>5.0521859190915785</v>
      </c>
      <c r="BE41" s="408">
        <v>0</v>
      </c>
      <c r="BF41" s="408">
        <v>0</v>
      </c>
      <c r="BG41" s="408">
        <v>122.89903371172524</v>
      </c>
      <c r="BH41" s="408">
        <v>0</v>
      </c>
      <c r="BI41" s="408">
        <v>1.03</v>
      </c>
      <c r="BJ41" s="408">
        <v>0.06</v>
      </c>
      <c r="BK41" s="408">
        <v>261.2</v>
      </c>
      <c r="BL41" s="408">
        <v>5</v>
      </c>
      <c r="BM41" s="408"/>
      <c r="BN41" s="408"/>
      <c r="BO41" s="408"/>
      <c r="BP41" s="408"/>
      <c r="BQ41" s="408"/>
      <c r="BR41" s="408"/>
      <c r="BS41" s="408"/>
      <c r="BT41" s="408">
        <v>1308.4383000000003</v>
      </c>
      <c r="BU41" s="408"/>
      <c r="BV41" s="408">
        <v>997.66426830247315</v>
      </c>
      <c r="BW41" s="408"/>
      <c r="BX41" s="408"/>
      <c r="BY41" s="408"/>
      <c r="BZ41" s="408"/>
      <c r="CA41" s="408"/>
      <c r="CB41" s="408"/>
      <c r="CC41" s="408"/>
      <c r="CD41" s="408"/>
      <c r="CE41" s="408"/>
      <c r="CF41" s="408"/>
      <c r="CG41" s="408"/>
      <c r="CH41" s="408"/>
      <c r="CI41" s="408">
        <v>704.54369999999994</v>
      </c>
      <c r="CJ41" s="408">
        <v>-359.16660000000002</v>
      </c>
      <c r="CK41" s="408"/>
      <c r="CL41" s="408"/>
      <c r="CM41" s="408"/>
      <c r="CN41" s="408"/>
      <c r="CO41" s="408">
        <v>-1080.2912999999999</v>
      </c>
      <c r="CP41" s="408">
        <v>54.206100000000035</v>
      </c>
      <c r="CQ41" s="408">
        <v>31</v>
      </c>
      <c r="CR41" s="408">
        <v>59.791271611281672</v>
      </c>
      <c r="CS41" s="408">
        <v>0</v>
      </c>
      <c r="CT41" s="408">
        <v>0</v>
      </c>
      <c r="CU41" s="408">
        <v>0</v>
      </c>
      <c r="CV41" s="408">
        <v>0</v>
      </c>
      <c r="CW41" s="408">
        <v>0</v>
      </c>
      <c r="CX41" s="408">
        <v>0</v>
      </c>
      <c r="CY41" s="408">
        <v>0</v>
      </c>
      <c r="CZ41" s="408">
        <v>-1.8859992146866489</v>
      </c>
      <c r="DA41" s="408">
        <v>0</v>
      </c>
      <c r="DB41" s="408">
        <v>0</v>
      </c>
      <c r="DC41" s="408">
        <v>54.181791547336502</v>
      </c>
      <c r="DD41" s="408">
        <v>0</v>
      </c>
      <c r="DE41" s="408">
        <v>0</v>
      </c>
      <c r="DF41" s="408">
        <v>0.31474344870954862</v>
      </c>
      <c r="DG41" s="408">
        <v>7.656421662418623</v>
      </c>
      <c r="DH41" s="408">
        <v>0</v>
      </c>
      <c r="DI41" s="408">
        <v>0</v>
      </c>
      <c r="DJ41" s="408"/>
      <c r="DK41" s="408">
        <v>0</v>
      </c>
      <c r="DL41" s="408">
        <v>0</v>
      </c>
      <c r="DM41" s="408">
        <v>0</v>
      </c>
      <c r="DN41" s="408">
        <v>0</v>
      </c>
      <c r="DO41" s="408">
        <v>0</v>
      </c>
      <c r="DP41" s="408">
        <v>-0.47568583249619945</v>
      </c>
      <c r="DQ41" s="408">
        <v>0</v>
      </c>
      <c r="DR41" s="408">
        <v>0</v>
      </c>
      <c r="DS41" s="408"/>
      <c r="DT41" s="408"/>
      <c r="DU41" s="408"/>
      <c r="DV41" s="408">
        <v>1616.7251091131636</v>
      </c>
      <c r="DW41" s="408">
        <v>0</v>
      </c>
      <c r="DX41" s="408">
        <v>0</v>
      </c>
      <c r="DY41" s="408">
        <v>-1080.2913000000001</v>
      </c>
      <c r="DZ41" s="408">
        <v>54.206100000000106</v>
      </c>
      <c r="EA41" s="408">
        <v>0</v>
      </c>
      <c r="EB41" s="408">
        <v>0</v>
      </c>
      <c r="EC41" s="408">
        <v>-1085.9133017294153</v>
      </c>
      <c r="ED41" s="408">
        <v>0</v>
      </c>
      <c r="EE41" s="408">
        <v>0</v>
      </c>
      <c r="EF41" s="408">
        <v>0</v>
      </c>
      <c r="EG41" s="408">
        <v>0</v>
      </c>
      <c r="EH41" s="408">
        <v>0</v>
      </c>
      <c r="EI41" s="408">
        <v>0</v>
      </c>
      <c r="EJ41" s="408">
        <v>0</v>
      </c>
      <c r="EK41" s="408">
        <v>0</v>
      </c>
      <c r="EL41" s="408">
        <v>0</v>
      </c>
      <c r="EM41" s="408">
        <v>0</v>
      </c>
      <c r="EN41" s="408">
        <v>0</v>
      </c>
      <c r="EO41" s="408">
        <v>0</v>
      </c>
      <c r="EP41" s="408">
        <v>0</v>
      </c>
      <c r="EQ41" s="408">
        <v>0</v>
      </c>
      <c r="ER41" s="408">
        <v>0</v>
      </c>
      <c r="ES41" s="408">
        <v>0</v>
      </c>
      <c r="ET41" s="408">
        <v>0</v>
      </c>
      <c r="EU41" s="408">
        <v>0</v>
      </c>
      <c r="EV41" s="408">
        <v>257</v>
      </c>
      <c r="EW41" s="408">
        <v>0</v>
      </c>
      <c r="EX41" s="408">
        <v>0</v>
      </c>
      <c r="EY41" s="408">
        <v>0</v>
      </c>
      <c r="EZ41" s="408"/>
      <c r="FA41" s="408">
        <v>0</v>
      </c>
      <c r="FB41" s="408"/>
      <c r="FC41" s="408"/>
      <c r="FD41" s="408"/>
      <c r="FE41" s="408"/>
      <c r="FF41" s="408">
        <v>0</v>
      </c>
      <c r="FG41" s="408">
        <v>0</v>
      </c>
      <c r="FH41" s="408">
        <v>0</v>
      </c>
      <c r="FI41" s="408">
        <v>0</v>
      </c>
    </row>
    <row r="42" spans="1:165" customFormat="1">
      <c r="A42" s="408">
        <v>40</v>
      </c>
      <c r="B42" s="408" t="s">
        <v>1035</v>
      </c>
      <c r="C42" s="408" t="s">
        <v>2233</v>
      </c>
      <c r="D42" s="408" t="s">
        <v>1955</v>
      </c>
      <c r="E42" s="408" t="s">
        <v>968</v>
      </c>
      <c r="F42" s="408" t="s">
        <v>2238</v>
      </c>
      <c r="G42" s="408" t="s">
        <v>1321</v>
      </c>
      <c r="H42" s="408" t="s">
        <v>1321</v>
      </c>
      <c r="I42" s="408" t="s">
        <v>1321</v>
      </c>
      <c r="J42" s="408" t="s">
        <v>2234</v>
      </c>
      <c r="K42" s="828">
        <v>44409</v>
      </c>
      <c r="L42" s="408">
        <v>0</v>
      </c>
      <c r="M42" s="408">
        <v>0</v>
      </c>
      <c r="N42" s="408">
        <v>6.5170000000000003</v>
      </c>
      <c r="O42" s="408">
        <v>6.5170000000000003</v>
      </c>
      <c r="P42" s="408">
        <v>6.5170000000000003</v>
      </c>
      <c r="Q42" s="408">
        <v>6.5170000000000003</v>
      </c>
      <c r="R42" s="408"/>
      <c r="S42" s="408">
        <v>639.92999999999995</v>
      </c>
      <c r="T42" s="408">
        <v>256.55</v>
      </c>
      <c r="U42" s="408"/>
      <c r="V42" s="408">
        <v>5842.3601600000002</v>
      </c>
      <c r="W42" s="408">
        <v>5842.3601600000002</v>
      </c>
      <c r="X42" s="408">
        <v>3869.7946000000002</v>
      </c>
      <c r="Y42" s="408">
        <v>0</v>
      </c>
      <c r="Z42" s="408">
        <v>0</v>
      </c>
      <c r="AA42" s="408">
        <v>0</v>
      </c>
      <c r="AB42" s="408">
        <v>0</v>
      </c>
      <c r="AC42" s="408">
        <v>0</v>
      </c>
      <c r="AD42" s="408">
        <v>802.13054114857528</v>
      </c>
      <c r="AE42" s="408">
        <v>3108.0228720030937</v>
      </c>
      <c r="AF42" s="408">
        <v>1671.9527841277832</v>
      </c>
      <c r="AG42" s="408">
        <v>0</v>
      </c>
      <c r="AH42" s="408">
        <v>0</v>
      </c>
      <c r="AI42" s="408">
        <v>0</v>
      </c>
      <c r="AJ42" s="408">
        <v>0</v>
      </c>
      <c r="AK42" s="408">
        <v>0</v>
      </c>
      <c r="AL42" s="408">
        <v>0</v>
      </c>
      <c r="AM42" s="408"/>
      <c r="AN42" s="408">
        <v>14.310058880055385</v>
      </c>
      <c r="AO42" s="408">
        <v>0</v>
      </c>
      <c r="AP42" s="408">
        <v>0</v>
      </c>
      <c r="AQ42" s="408">
        <v>0</v>
      </c>
      <c r="AR42" s="408">
        <v>0</v>
      </c>
      <c r="AS42" s="408">
        <v>0</v>
      </c>
      <c r="AT42" s="408">
        <v>0</v>
      </c>
      <c r="AU42" s="408">
        <v>0</v>
      </c>
      <c r="AV42" s="408">
        <v>0</v>
      </c>
      <c r="AW42" s="408">
        <v>0</v>
      </c>
      <c r="AX42" s="408">
        <v>0</v>
      </c>
      <c r="AY42" s="408">
        <v>0</v>
      </c>
      <c r="AZ42" s="408">
        <v>0</v>
      </c>
      <c r="BA42" s="408"/>
      <c r="BB42" s="408">
        <v>0</v>
      </c>
      <c r="BC42" s="408">
        <v>0</v>
      </c>
      <c r="BD42" s="408">
        <v>9.7124175913627777</v>
      </c>
      <c r="BE42" s="408">
        <v>0</v>
      </c>
      <c r="BF42" s="408">
        <v>0</v>
      </c>
      <c r="BG42" s="408">
        <v>236.26342262516619</v>
      </c>
      <c r="BH42" s="408">
        <v>0</v>
      </c>
      <c r="BI42" s="408">
        <v>3.68</v>
      </c>
      <c r="BJ42" s="408">
        <v>1.25</v>
      </c>
      <c r="BK42" s="408">
        <v>975.34</v>
      </c>
      <c r="BL42" s="408">
        <v>36</v>
      </c>
      <c r="BM42" s="408"/>
      <c r="BN42" s="408"/>
      <c r="BO42" s="408"/>
      <c r="BP42" s="408"/>
      <c r="BQ42" s="408"/>
      <c r="BR42" s="408"/>
      <c r="BS42" s="408"/>
      <c r="BT42" s="408">
        <v>1547.9178400000001</v>
      </c>
      <c r="BU42" s="408"/>
      <c r="BV42" s="408">
        <v>1917.9286243443121</v>
      </c>
      <c r="BW42" s="408"/>
      <c r="BX42" s="408"/>
      <c r="BY42" s="408"/>
      <c r="BZ42" s="408"/>
      <c r="CA42" s="408"/>
      <c r="CB42" s="408"/>
      <c r="CC42" s="408"/>
      <c r="CD42" s="408"/>
      <c r="CE42" s="408"/>
      <c r="CF42" s="408"/>
      <c r="CG42" s="408"/>
      <c r="CH42" s="408"/>
      <c r="CI42" s="408">
        <v>2322.9456</v>
      </c>
      <c r="CJ42" s="408">
        <v>-1182.5135300000006</v>
      </c>
      <c r="CK42" s="408"/>
      <c r="CL42" s="408"/>
      <c r="CM42" s="408"/>
      <c r="CN42" s="408"/>
      <c r="CO42" s="408">
        <v>-2076.7723899999996</v>
      </c>
      <c r="CP42" s="408">
        <v>104.20683000000007</v>
      </c>
      <c r="CQ42" s="408">
        <v>31</v>
      </c>
      <c r="CR42" s="408">
        <v>114.94386934829572</v>
      </c>
      <c r="CS42" s="408">
        <v>0</v>
      </c>
      <c r="CT42" s="408">
        <v>0</v>
      </c>
      <c r="CU42" s="408">
        <v>0</v>
      </c>
      <c r="CV42" s="408">
        <v>0</v>
      </c>
      <c r="CW42" s="408">
        <v>0</v>
      </c>
      <c r="CX42" s="408">
        <v>0</v>
      </c>
      <c r="CY42" s="408">
        <v>0</v>
      </c>
      <c r="CZ42" s="408">
        <v>-3.6256804961984699</v>
      </c>
      <c r="DA42" s="408">
        <v>0</v>
      </c>
      <c r="DB42" s="408">
        <v>0</v>
      </c>
      <c r="DC42" s="408">
        <v>104.16009897167896</v>
      </c>
      <c r="DD42" s="408">
        <v>0</v>
      </c>
      <c r="DE42" s="408">
        <v>0</v>
      </c>
      <c r="DF42" s="408">
        <v>0.60506874785844644</v>
      </c>
      <c r="DG42" s="408">
        <v>14.718849549847221</v>
      </c>
      <c r="DH42" s="408">
        <v>0</v>
      </c>
      <c r="DI42" s="408">
        <v>0</v>
      </c>
      <c r="DJ42" s="408"/>
      <c r="DK42" s="408">
        <v>0</v>
      </c>
      <c r="DL42" s="408">
        <v>0</v>
      </c>
      <c r="DM42" s="408">
        <v>0</v>
      </c>
      <c r="DN42" s="408">
        <v>0</v>
      </c>
      <c r="DO42" s="408">
        <v>0</v>
      </c>
      <c r="DP42" s="408">
        <v>-0.9144674248901854</v>
      </c>
      <c r="DQ42" s="408">
        <v>0</v>
      </c>
      <c r="DR42" s="408">
        <v>0</v>
      </c>
      <c r="DS42" s="408"/>
      <c r="DT42" s="408"/>
      <c r="DU42" s="408"/>
      <c r="DV42" s="408">
        <v>3108.0228720030937</v>
      </c>
      <c r="DW42" s="408">
        <v>0</v>
      </c>
      <c r="DX42" s="408">
        <v>0</v>
      </c>
      <c r="DY42" s="408">
        <v>-2076.7723900000001</v>
      </c>
      <c r="DZ42" s="408">
        <v>104.20683000000008</v>
      </c>
      <c r="EA42" s="408">
        <v>0</v>
      </c>
      <c r="EB42" s="408">
        <v>0</v>
      </c>
      <c r="EC42" s="408">
        <v>-2087.5802322627137</v>
      </c>
      <c r="ED42" s="408">
        <v>0</v>
      </c>
      <c r="EE42" s="408">
        <v>0</v>
      </c>
      <c r="EF42" s="408">
        <v>0</v>
      </c>
      <c r="EG42" s="408">
        <v>0</v>
      </c>
      <c r="EH42" s="408">
        <v>0</v>
      </c>
      <c r="EI42" s="408">
        <v>0</v>
      </c>
      <c r="EJ42" s="408">
        <v>0</v>
      </c>
      <c r="EK42" s="408">
        <v>0</v>
      </c>
      <c r="EL42" s="408">
        <v>0</v>
      </c>
      <c r="EM42" s="408">
        <v>0</v>
      </c>
      <c r="EN42" s="408">
        <v>0</v>
      </c>
      <c r="EO42" s="408">
        <v>0</v>
      </c>
      <c r="EP42" s="408">
        <v>0</v>
      </c>
      <c r="EQ42" s="408">
        <v>0</v>
      </c>
      <c r="ER42" s="408">
        <v>0</v>
      </c>
      <c r="ES42" s="408">
        <v>0</v>
      </c>
      <c r="ET42" s="408">
        <v>0</v>
      </c>
      <c r="EU42" s="408">
        <v>0</v>
      </c>
      <c r="EV42" s="408">
        <v>257</v>
      </c>
      <c r="EW42" s="408">
        <v>0</v>
      </c>
      <c r="EX42" s="408">
        <v>0</v>
      </c>
      <c r="EY42" s="408">
        <v>0</v>
      </c>
      <c r="EZ42" s="408"/>
      <c r="FA42" s="408">
        <v>0</v>
      </c>
      <c r="FB42" s="408"/>
      <c r="FC42" s="408"/>
      <c r="FD42" s="408"/>
      <c r="FE42" s="408"/>
      <c r="FF42" s="408">
        <v>0</v>
      </c>
      <c r="FG42" s="408">
        <v>0</v>
      </c>
      <c r="FH42" s="408">
        <v>0</v>
      </c>
      <c r="FI42" s="408">
        <v>0</v>
      </c>
    </row>
    <row r="43" spans="1:165" customFormat="1">
      <c r="A43" s="408">
        <v>41</v>
      </c>
      <c r="B43" s="408" t="s">
        <v>1035</v>
      </c>
      <c r="C43" s="408" t="s">
        <v>2233</v>
      </c>
      <c r="D43" s="408" t="s">
        <v>1955</v>
      </c>
      <c r="E43" s="408" t="s">
        <v>968</v>
      </c>
      <c r="F43" s="408" t="s">
        <v>2239</v>
      </c>
      <c r="G43" s="408" t="s">
        <v>1321</v>
      </c>
      <c r="H43" s="408" t="s">
        <v>1321</v>
      </c>
      <c r="I43" s="408" t="s">
        <v>1321</v>
      </c>
      <c r="J43" s="408" t="s">
        <v>2234</v>
      </c>
      <c r="K43" s="828">
        <v>44409</v>
      </c>
      <c r="L43" s="408">
        <v>0</v>
      </c>
      <c r="M43" s="408">
        <v>0</v>
      </c>
      <c r="N43" s="408">
        <v>4.8369999999999997</v>
      </c>
      <c r="O43" s="408">
        <v>4.8369999999999997</v>
      </c>
      <c r="P43" s="408">
        <v>4.8369999999999997</v>
      </c>
      <c r="Q43" s="408">
        <v>4.8369999999999997</v>
      </c>
      <c r="R43" s="408"/>
      <c r="S43" s="408">
        <v>639.92999999999995</v>
      </c>
      <c r="T43" s="408">
        <v>256.55</v>
      </c>
      <c r="U43" s="408"/>
      <c r="V43" s="408">
        <v>4336.27376</v>
      </c>
      <c r="W43" s="408">
        <v>4336.27376</v>
      </c>
      <c r="X43" s="408">
        <v>2872.2105999999999</v>
      </c>
      <c r="Y43" s="408">
        <v>0</v>
      </c>
      <c r="Z43" s="408">
        <v>0</v>
      </c>
      <c r="AA43" s="408">
        <v>0</v>
      </c>
      <c r="AB43" s="408">
        <v>0</v>
      </c>
      <c r="AC43" s="408">
        <v>0</v>
      </c>
      <c r="AD43" s="408">
        <v>595.3514542789103</v>
      </c>
      <c r="AE43" s="408">
        <v>2306.8139683717914</v>
      </c>
      <c r="AF43" s="408">
        <v>1240.9445476179355</v>
      </c>
      <c r="AG43" s="408">
        <v>0</v>
      </c>
      <c r="AH43" s="408">
        <v>0</v>
      </c>
      <c r="AI43" s="408">
        <v>0</v>
      </c>
      <c r="AJ43" s="408">
        <v>0</v>
      </c>
      <c r="AK43" s="408">
        <v>0</v>
      </c>
      <c r="AL43" s="408">
        <v>0</v>
      </c>
      <c r="AM43" s="408"/>
      <c r="AN43" s="408">
        <v>10.621107074240891</v>
      </c>
      <c r="AO43" s="408">
        <v>0</v>
      </c>
      <c r="AP43" s="408">
        <v>0</v>
      </c>
      <c r="AQ43" s="408">
        <v>0</v>
      </c>
      <c r="AR43" s="408">
        <v>0</v>
      </c>
      <c r="AS43" s="408">
        <v>0</v>
      </c>
      <c r="AT43" s="408">
        <v>0</v>
      </c>
      <c r="AU43" s="408">
        <v>0</v>
      </c>
      <c r="AV43" s="408">
        <v>0</v>
      </c>
      <c r="AW43" s="408">
        <v>0</v>
      </c>
      <c r="AX43" s="408">
        <v>0</v>
      </c>
      <c r="AY43" s="408">
        <v>0</v>
      </c>
      <c r="AZ43" s="408">
        <v>0</v>
      </c>
      <c r="BA43" s="408"/>
      <c r="BB43" s="408">
        <v>0</v>
      </c>
      <c r="BC43" s="408">
        <v>0</v>
      </c>
      <c r="BD43" s="408">
        <v>7.2086794367687208</v>
      </c>
      <c r="BE43" s="408">
        <v>0</v>
      </c>
      <c r="BF43" s="408">
        <v>0</v>
      </c>
      <c r="BG43" s="408">
        <v>175.35770680342623</v>
      </c>
      <c r="BH43" s="408">
        <v>0</v>
      </c>
      <c r="BI43" s="408">
        <v>4.3600000000000003</v>
      </c>
      <c r="BJ43" s="408">
        <v>1.98</v>
      </c>
      <c r="BK43" s="408">
        <v>1275.95</v>
      </c>
      <c r="BL43" s="408">
        <v>56</v>
      </c>
      <c r="BM43" s="408"/>
      <c r="BN43" s="408"/>
      <c r="BO43" s="408"/>
      <c r="BP43" s="408"/>
      <c r="BQ43" s="408"/>
      <c r="BR43" s="408"/>
      <c r="BS43" s="408"/>
      <c r="BT43" s="408">
        <v>287.26943000000006</v>
      </c>
      <c r="BU43" s="408"/>
      <c r="BV43" s="408">
        <v>1423.5109338581306</v>
      </c>
      <c r="BW43" s="408"/>
      <c r="BX43" s="408"/>
      <c r="BY43" s="408"/>
      <c r="BZ43" s="408"/>
      <c r="CA43" s="408"/>
      <c r="CB43" s="408"/>
      <c r="CC43" s="408"/>
      <c r="CD43" s="408"/>
      <c r="CE43" s="408"/>
      <c r="CF43" s="408"/>
      <c r="CG43" s="408"/>
      <c r="CH43" s="408"/>
      <c r="CI43" s="408">
        <v>2586.5443999999998</v>
      </c>
      <c r="CJ43" s="408">
        <v>-1316.1706800000011</v>
      </c>
      <c r="CK43" s="408"/>
      <c r="CL43" s="408"/>
      <c r="CM43" s="408"/>
      <c r="CN43" s="408"/>
      <c r="CO43" s="408">
        <v>-1541.4067899999998</v>
      </c>
      <c r="CP43" s="408">
        <v>77.343630000000033</v>
      </c>
      <c r="CQ43" s="408">
        <v>31</v>
      </c>
      <c r="CR43" s="408">
        <v>85.312796691377798</v>
      </c>
      <c r="CS43" s="408">
        <v>0</v>
      </c>
      <c r="CT43" s="408">
        <v>0</v>
      </c>
      <c r="CU43" s="408">
        <v>0</v>
      </c>
      <c r="CV43" s="408">
        <v>0</v>
      </c>
      <c r="CW43" s="408">
        <v>0</v>
      </c>
      <c r="CX43" s="408">
        <v>0</v>
      </c>
      <c r="CY43" s="408">
        <v>0</v>
      </c>
      <c r="CZ43" s="408">
        <v>-2.6910260181236936</v>
      </c>
      <c r="DA43" s="408">
        <v>0</v>
      </c>
      <c r="DB43" s="408">
        <v>0</v>
      </c>
      <c r="DC43" s="408">
        <v>77.308945638485739</v>
      </c>
      <c r="DD43" s="408">
        <v>0</v>
      </c>
      <c r="DE43" s="408">
        <v>0</v>
      </c>
      <c r="DF43" s="408">
        <v>0.44908969363070383</v>
      </c>
      <c r="DG43" s="408">
        <v>10.924516690595539</v>
      </c>
      <c r="DH43" s="408">
        <v>0</v>
      </c>
      <c r="DI43" s="408">
        <v>0</v>
      </c>
      <c r="DJ43" s="408"/>
      <c r="DK43" s="408">
        <v>0</v>
      </c>
      <c r="DL43" s="408">
        <v>0</v>
      </c>
      <c r="DM43" s="408">
        <v>0</v>
      </c>
      <c r="DN43" s="408">
        <v>0</v>
      </c>
      <c r="DO43" s="408">
        <v>0</v>
      </c>
      <c r="DP43" s="408">
        <v>-0.67872931321065266</v>
      </c>
      <c r="DQ43" s="408">
        <v>0</v>
      </c>
      <c r="DR43" s="408">
        <v>0</v>
      </c>
      <c r="DS43" s="408"/>
      <c r="DT43" s="408"/>
      <c r="DU43" s="408"/>
      <c r="DV43" s="408">
        <v>2306.8139683717914</v>
      </c>
      <c r="DW43" s="408">
        <v>0</v>
      </c>
      <c r="DX43" s="408">
        <v>0</v>
      </c>
      <c r="DY43" s="408">
        <v>-1541.4067899999998</v>
      </c>
      <c r="DZ43" s="408">
        <v>77.343630000000076</v>
      </c>
      <c r="EA43" s="408">
        <v>0</v>
      </c>
      <c r="EB43" s="408">
        <v>0</v>
      </c>
      <c r="EC43" s="408">
        <v>-1549.4285075118532</v>
      </c>
      <c r="ED43" s="408">
        <v>0</v>
      </c>
      <c r="EE43" s="408">
        <v>0</v>
      </c>
      <c r="EF43" s="408">
        <v>0</v>
      </c>
      <c r="EG43" s="408">
        <v>0</v>
      </c>
      <c r="EH43" s="408">
        <v>0</v>
      </c>
      <c r="EI43" s="408">
        <v>0</v>
      </c>
      <c r="EJ43" s="408">
        <v>0</v>
      </c>
      <c r="EK43" s="408">
        <v>0</v>
      </c>
      <c r="EL43" s="408">
        <v>0</v>
      </c>
      <c r="EM43" s="408">
        <v>0</v>
      </c>
      <c r="EN43" s="408">
        <v>0</v>
      </c>
      <c r="EO43" s="408">
        <v>0</v>
      </c>
      <c r="EP43" s="408">
        <v>0</v>
      </c>
      <c r="EQ43" s="408">
        <v>0</v>
      </c>
      <c r="ER43" s="408">
        <v>0</v>
      </c>
      <c r="ES43" s="408">
        <v>0</v>
      </c>
      <c r="ET43" s="408">
        <v>0</v>
      </c>
      <c r="EU43" s="408">
        <v>0</v>
      </c>
      <c r="EV43" s="408">
        <v>257</v>
      </c>
      <c r="EW43" s="408">
        <v>0</v>
      </c>
      <c r="EX43" s="408">
        <v>0</v>
      </c>
      <c r="EY43" s="408">
        <v>0</v>
      </c>
      <c r="EZ43" s="408"/>
      <c r="FA43" s="408">
        <v>0</v>
      </c>
      <c r="FB43" s="408"/>
      <c r="FC43" s="408"/>
      <c r="FD43" s="408"/>
      <c r="FE43" s="408"/>
      <c r="FF43" s="408">
        <v>0</v>
      </c>
      <c r="FG43" s="408">
        <v>0</v>
      </c>
      <c r="FH43" s="408">
        <v>0</v>
      </c>
      <c r="FI43" s="408">
        <v>0</v>
      </c>
    </row>
    <row r="44" spans="1:165" customFormat="1">
      <c r="A44" s="408">
        <v>42</v>
      </c>
      <c r="B44" s="408" t="s">
        <v>1035</v>
      </c>
      <c r="C44" s="408" t="s">
        <v>2233</v>
      </c>
      <c r="D44" s="408" t="s">
        <v>1955</v>
      </c>
      <c r="E44" s="408" t="s">
        <v>968</v>
      </c>
      <c r="F44" s="408" t="s">
        <v>2240</v>
      </c>
      <c r="G44" s="408" t="s">
        <v>1321</v>
      </c>
      <c r="H44" s="408" t="s">
        <v>1321</v>
      </c>
      <c r="I44" s="408" t="s">
        <v>1321</v>
      </c>
      <c r="J44" s="408" t="s">
        <v>2234</v>
      </c>
      <c r="K44" s="828">
        <v>44409</v>
      </c>
      <c r="L44" s="408">
        <v>0</v>
      </c>
      <c r="M44" s="408">
        <v>0</v>
      </c>
      <c r="N44" s="408">
        <v>1.163</v>
      </c>
      <c r="O44" s="408">
        <v>1.163</v>
      </c>
      <c r="P44" s="408">
        <v>1.163</v>
      </c>
      <c r="Q44" s="408">
        <v>1.163</v>
      </c>
      <c r="R44" s="408"/>
      <c r="S44" s="408">
        <v>639.92999999999995</v>
      </c>
      <c r="T44" s="408">
        <v>256.55</v>
      </c>
      <c r="U44" s="408"/>
      <c r="V44" s="408">
        <v>1042.6062400000001</v>
      </c>
      <c r="W44" s="408">
        <v>1042.6062400000001</v>
      </c>
      <c r="X44" s="408">
        <v>690.58940000000007</v>
      </c>
      <c r="Y44" s="408">
        <v>0</v>
      </c>
      <c r="Z44" s="408">
        <v>0</v>
      </c>
      <c r="AA44" s="408">
        <v>0</v>
      </c>
      <c r="AB44" s="408">
        <v>0</v>
      </c>
      <c r="AC44" s="408">
        <v>0</v>
      </c>
      <c r="AD44" s="408">
        <v>143.14528454132164</v>
      </c>
      <c r="AE44" s="408">
        <v>554.64640174000272</v>
      </c>
      <c r="AF44" s="408">
        <v>298.37058277437649</v>
      </c>
      <c r="AG44" s="408">
        <v>0</v>
      </c>
      <c r="AH44" s="408">
        <v>0</v>
      </c>
      <c r="AI44" s="408">
        <v>0</v>
      </c>
      <c r="AJ44" s="408">
        <v>0</v>
      </c>
      <c r="AK44" s="408">
        <v>0</v>
      </c>
      <c r="AL44" s="408">
        <v>0</v>
      </c>
      <c r="AM44" s="408"/>
      <c r="AN44" s="408">
        <v>2.5537208036680084</v>
      </c>
      <c r="AO44" s="408">
        <v>0</v>
      </c>
      <c r="AP44" s="408">
        <v>0</v>
      </c>
      <c r="AQ44" s="408">
        <v>0</v>
      </c>
      <c r="AR44" s="408">
        <v>0</v>
      </c>
      <c r="AS44" s="408">
        <v>0</v>
      </c>
      <c r="AT44" s="408">
        <v>0</v>
      </c>
      <c r="AU44" s="408">
        <v>0</v>
      </c>
      <c r="AV44" s="408">
        <v>0</v>
      </c>
      <c r="AW44" s="408">
        <v>0</v>
      </c>
      <c r="AX44" s="408">
        <v>0</v>
      </c>
      <c r="AY44" s="408">
        <v>0</v>
      </c>
      <c r="AZ44" s="408">
        <v>0</v>
      </c>
      <c r="BA44" s="408"/>
      <c r="BB44" s="408">
        <v>0</v>
      </c>
      <c r="BC44" s="408">
        <v>0</v>
      </c>
      <c r="BD44" s="408">
        <v>1.733242543924338</v>
      </c>
      <c r="BE44" s="408">
        <v>0</v>
      </c>
      <c r="BF44" s="408">
        <v>0</v>
      </c>
      <c r="BG44" s="408">
        <v>42.162706845644969</v>
      </c>
      <c r="BH44" s="408">
        <v>0</v>
      </c>
      <c r="BI44" s="408">
        <v>1.47</v>
      </c>
      <c r="BJ44" s="408">
        <v>0.69</v>
      </c>
      <c r="BK44" s="408">
        <v>432.25</v>
      </c>
      <c r="BL44" s="408">
        <v>16</v>
      </c>
      <c r="BM44" s="408"/>
      <c r="BN44" s="408"/>
      <c r="BO44" s="408"/>
      <c r="BP44" s="408"/>
      <c r="BQ44" s="408"/>
      <c r="BR44" s="408"/>
      <c r="BS44" s="408"/>
      <c r="BT44" s="408"/>
      <c r="BU44" s="408"/>
      <c r="BV44" s="408">
        <v>342.26653216394578</v>
      </c>
      <c r="BW44" s="408"/>
      <c r="BX44" s="408"/>
      <c r="BY44" s="408"/>
      <c r="BZ44" s="408"/>
      <c r="CA44" s="408"/>
      <c r="CB44" s="408"/>
      <c r="CC44" s="408"/>
      <c r="CD44" s="408"/>
      <c r="CE44" s="408"/>
      <c r="CF44" s="408"/>
      <c r="CG44" s="408"/>
      <c r="CH44" s="408"/>
      <c r="CI44" s="408">
        <v>688.80799999999999</v>
      </c>
      <c r="CJ44" s="408">
        <v>-353.82824000000005</v>
      </c>
      <c r="CK44" s="408"/>
      <c r="CL44" s="408"/>
      <c r="CM44" s="408"/>
      <c r="CN44" s="408"/>
      <c r="CO44" s="408">
        <v>-370.61320999999998</v>
      </c>
      <c r="CP44" s="408">
        <v>18.596370000000011</v>
      </c>
      <c r="CQ44" s="408">
        <v>31</v>
      </c>
      <c r="CR44" s="408">
        <v>20.51246279761682</v>
      </c>
      <c r="CS44" s="408">
        <v>0</v>
      </c>
      <c r="CT44" s="408">
        <v>0</v>
      </c>
      <c r="CU44" s="408">
        <v>0</v>
      </c>
      <c r="CV44" s="408">
        <v>0</v>
      </c>
      <c r="CW44" s="408">
        <v>0</v>
      </c>
      <c r="CX44" s="408">
        <v>0</v>
      </c>
      <c r="CY44" s="408">
        <v>0</v>
      </c>
      <c r="CZ44" s="408">
        <v>-0.64702568928632331</v>
      </c>
      <c r="DA44" s="408">
        <v>0</v>
      </c>
      <c r="DB44" s="408">
        <v>0</v>
      </c>
      <c r="DC44" s="408">
        <v>18.588030551490363</v>
      </c>
      <c r="DD44" s="408">
        <v>0</v>
      </c>
      <c r="DE44" s="408">
        <v>0</v>
      </c>
      <c r="DF44" s="408">
        <v>0.10797835718265647</v>
      </c>
      <c r="DG44" s="408">
        <v>2.6266720924462703</v>
      </c>
      <c r="DH44" s="408">
        <v>0</v>
      </c>
      <c r="DI44" s="408">
        <v>0</v>
      </c>
      <c r="DJ44" s="408"/>
      <c r="DK44" s="408">
        <v>0</v>
      </c>
      <c r="DL44" s="408">
        <v>0</v>
      </c>
      <c r="DM44" s="408">
        <v>0</v>
      </c>
      <c r="DN44" s="408">
        <v>0</v>
      </c>
      <c r="DO44" s="408">
        <v>0</v>
      </c>
      <c r="DP44" s="408">
        <v>-0.16319251421624736</v>
      </c>
      <c r="DQ44" s="408">
        <v>0</v>
      </c>
      <c r="DR44" s="408">
        <v>0</v>
      </c>
      <c r="DS44" s="408"/>
      <c r="DT44" s="408"/>
      <c r="DU44" s="408"/>
      <c r="DV44" s="408">
        <v>554.64640174000272</v>
      </c>
      <c r="DW44" s="408">
        <v>0</v>
      </c>
      <c r="DX44" s="408">
        <v>0</v>
      </c>
      <c r="DY44" s="408">
        <v>-370.61320999999992</v>
      </c>
      <c r="DZ44" s="408">
        <v>18.596369999999979</v>
      </c>
      <c r="EA44" s="408">
        <v>0</v>
      </c>
      <c r="EB44" s="408">
        <v>0</v>
      </c>
      <c r="EC44" s="408">
        <v>-372.54193802693504</v>
      </c>
      <c r="ED44" s="408">
        <v>0</v>
      </c>
      <c r="EE44" s="408">
        <v>0</v>
      </c>
      <c r="EF44" s="408">
        <v>0</v>
      </c>
      <c r="EG44" s="408">
        <v>0</v>
      </c>
      <c r="EH44" s="408">
        <v>0</v>
      </c>
      <c r="EI44" s="408">
        <v>0</v>
      </c>
      <c r="EJ44" s="408">
        <v>0</v>
      </c>
      <c r="EK44" s="408">
        <v>0</v>
      </c>
      <c r="EL44" s="408">
        <v>0</v>
      </c>
      <c r="EM44" s="408">
        <v>0</v>
      </c>
      <c r="EN44" s="408">
        <v>0</v>
      </c>
      <c r="EO44" s="408">
        <v>0</v>
      </c>
      <c r="EP44" s="408">
        <v>0</v>
      </c>
      <c r="EQ44" s="408">
        <v>0</v>
      </c>
      <c r="ER44" s="408">
        <v>0</v>
      </c>
      <c r="ES44" s="408">
        <v>0</v>
      </c>
      <c r="ET44" s="408">
        <v>0</v>
      </c>
      <c r="EU44" s="408">
        <v>0</v>
      </c>
      <c r="EV44" s="408">
        <v>257</v>
      </c>
      <c r="EW44" s="408">
        <v>0</v>
      </c>
      <c r="EX44" s="408">
        <v>0</v>
      </c>
      <c r="EY44" s="408">
        <v>0</v>
      </c>
      <c r="EZ44" s="408"/>
      <c r="FA44" s="408">
        <v>0</v>
      </c>
      <c r="FB44" s="408"/>
      <c r="FC44" s="408"/>
      <c r="FD44" s="408"/>
      <c r="FE44" s="408"/>
      <c r="FF44" s="408">
        <v>0</v>
      </c>
      <c r="FG44" s="408">
        <v>0</v>
      </c>
      <c r="FH44" s="408">
        <v>0</v>
      </c>
      <c r="FI44" s="408">
        <v>0</v>
      </c>
    </row>
    <row r="45" spans="1:165" customFormat="1">
      <c r="A45" s="408">
        <v>43</v>
      </c>
      <c r="B45" s="408" t="s">
        <v>1035</v>
      </c>
      <c r="C45" s="408" t="s">
        <v>2233</v>
      </c>
      <c r="D45" s="408" t="s">
        <v>1958</v>
      </c>
      <c r="E45" s="408" t="s">
        <v>969</v>
      </c>
      <c r="F45" s="408" t="s">
        <v>1321</v>
      </c>
      <c r="G45" s="408" t="s">
        <v>1321</v>
      </c>
      <c r="H45" s="408" t="s">
        <v>1321</v>
      </c>
      <c r="I45" s="408" t="s">
        <v>1321</v>
      </c>
      <c r="J45" s="408" t="s">
        <v>2234</v>
      </c>
      <c r="K45" s="828">
        <v>44409</v>
      </c>
      <c r="L45" s="408">
        <v>0</v>
      </c>
      <c r="M45" s="408">
        <v>0</v>
      </c>
      <c r="N45" s="408">
        <v>65.528999999999996</v>
      </c>
      <c r="O45" s="408">
        <v>65.528999999999996</v>
      </c>
      <c r="P45" s="408">
        <v>65.528999999999996</v>
      </c>
      <c r="Q45" s="408">
        <v>65.528999999999996</v>
      </c>
      <c r="R45" s="408"/>
      <c r="S45" s="408">
        <v>710.91</v>
      </c>
      <c r="T45" s="408">
        <v>256.55</v>
      </c>
      <c r="U45" s="408"/>
      <c r="V45" s="408">
        <v>63396.68634</v>
      </c>
      <c r="W45" s="408">
        <v>63396.68634</v>
      </c>
      <c r="X45" s="408">
        <v>43277.317469999995</v>
      </c>
      <c r="Y45" s="408">
        <v>0</v>
      </c>
      <c r="Z45" s="408">
        <v>4028.3743973272221</v>
      </c>
      <c r="AA45" s="408">
        <v>0</v>
      </c>
      <c r="AB45" s="408">
        <v>0</v>
      </c>
      <c r="AC45" s="408">
        <v>0</v>
      </c>
      <c r="AD45" s="408">
        <v>8065.4921330251627</v>
      </c>
      <c r="AE45" s="408">
        <v>31251.439432175957</v>
      </c>
      <c r="AF45" s="408">
        <v>16811.630196579634</v>
      </c>
      <c r="AG45" s="408">
        <v>0</v>
      </c>
      <c r="AH45" s="408">
        <v>0</v>
      </c>
      <c r="AI45" s="408">
        <v>0</v>
      </c>
      <c r="AJ45" s="408">
        <v>0</v>
      </c>
      <c r="AK45" s="408">
        <v>0</v>
      </c>
      <c r="AL45" s="408">
        <v>622.80489962904949</v>
      </c>
      <c r="AM45" s="408"/>
      <c r="AN45" s="408">
        <v>143.88888266858203</v>
      </c>
      <c r="AO45" s="408">
        <v>0</v>
      </c>
      <c r="AP45" s="408">
        <v>0</v>
      </c>
      <c r="AQ45" s="408">
        <v>0</v>
      </c>
      <c r="AR45" s="408">
        <v>0</v>
      </c>
      <c r="AS45" s="408">
        <v>0</v>
      </c>
      <c r="AT45" s="408">
        <v>0</v>
      </c>
      <c r="AU45" s="408">
        <v>0</v>
      </c>
      <c r="AV45" s="408">
        <v>0</v>
      </c>
      <c r="AW45" s="408">
        <v>0</v>
      </c>
      <c r="AX45" s="408">
        <v>0</v>
      </c>
      <c r="AY45" s="408">
        <v>0</v>
      </c>
      <c r="AZ45" s="408">
        <v>0</v>
      </c>
      <c r="BA45" s="408"/>
      <c r="BB45" s="408">
        <v>0</v>
      </c>
      <c r="BC45" s="408">
        <v>0</v>
      </c>
      <c r="BD45" s="408">
        <v>97.659200912139241</v>
      </c>
      <c r="BE45" s="408">
        <v>0</v>
      </c>
      <c r="BF45" s="408">
        <v>0</v>
      </c>
      <c r="BG45" s="408">
        <v>2375.649197668331</v>
      </c>
      <c r="BH45" s="408">
        <v>0</v>
      </c>
      <c r="BI45" s="408">
        <v>64.77</v>
      </c>
      <c r="BJ45" s="408">
        <v>22.87</v>
      </c>
      <c r="BK45" s="408">
        <v>10368.48</v>
      </c>
      <c r="BL45" s="408">
        <v>45</v>
      </c>
      <c r="BM45" s="408"/>
      <c r="BN45" s="408"/>
      <c r="BO45" s="408"/>
      <c r="BP45" s="408"/>
      <c r="BQ45" s="408"/>
      <c r="BR45" s="408"/>
      <c r="BS45" s="408"/>
      <c r="BT45" s="408"/>
      <c r="BU45" s="408"/>
      <c r="BV45" s="408">
        <v>19284.938595160103</v>
      </c>
      <c r="BW45" s="408"/>
      <c r="BX45" s="408"/>
      <c r="BY45" s="408"/>
      <c r="BZ45" s="408"/>
      <c r="CA45" s="408"/>
      <c r="CB45" s="408"/>
      <c r="CC45" s="408"/>
      <c r="CD45" s="408"/>
      <c r="CE45" s="408"/>
      <c r="CF45" s="408"/>
      <c r="CG45" s="408"/>
      <c r="CH45" s="408"/>
      <c r="CI45" s="408">
        <v>43277.977899999998</v>
      </c>
      <c r="CJ45" s="408">
        <v>-20118.738440000008</v>
      </c>
      <c r="CK45" s="408"/>
      <c r="CL45" s="408"/>
      <c r="CM45" s="408"/>
      <c r="CN45" s="408"/>
      <c r="CO45" s="408">
        <v>-21167.177579999996</v>
      </c>
      <c r="CP45" s="408">
        <v>1047.8087100000005</v>
      </c>
      <c r="CQ45" s="408">
        <v>31</v>
      </c>
      <c r="CR45" s="408">
        <v>871.09574735705974</v>
      </c>
      <c r="CS45" s="408">
        <v>0</v>
      </c>
      <c r="CT45" s="408">
        <v>0</v>
      </c>
      <c r="CU45" s="408">
        <v>0</v>
      </c>
      <c r="CV45" s="408">
        <v>0</v>
      </c>
      <c r="CW45" s="408">
        <v>0</v>
      </c>
      <c r="CX45" s="408">
        <v>0</v>
      </c>
      <c r="CY45" s="408">
        <v>0</v>
      </c>
      <c r="CZ45" s="408">
        <v>-36.456531722477848</v>
      </c>
      <c r="DA45" s="408">
        <v>0</v>
      </c>
      <c r="DB45" s="408">
        <v>0</v>
      </c>
      <c r="DC45" s="408">
        <v>1047.3388254588244</v>
      </c>
      <c r="DD45" s="408">
        <v>0</v>
      </c>
      <c r="DE45" s="408">
        <v>0</v>
      </c>
      <c r="DF45" s="408">
        <v>6.0840187169581128</v>
      </c>
      <c r="DG45" s="408">
        <v>147.99930829399091</v>
      </c>
      <c r="DH45" s="408">
        <v>0</v>
      </c>
      <c r="DI45" s="408">
        <v>-250.49984346020074</v>
      </c>
      <c r="DJ45" s="408"/>
      <c r="DK45" s="408">
        <v>0</v>
      </c>
      <c r="DL45" s="408">
        <v>0</v>
      </c>
      <c r="DM45" s="408">
        <v>0</v>
      </c>
      <c r="DN45" s="408">
        <v>0</v>
      </c>
      <c r="DO45" s="408">
        <v>-34.174980691799078</v>
      </c>
      <c r="DP45" s="408">
        <v>-9.1950492382428877</v>
      </c>
      <c r="DQ45" s="408">
        <v>0</v>
      </c>
      <c r="DR45" s="408">
        <v>0</v>
      </c>
      <c r="DS45" s="408"/>
      <c r="DT45" s="408"/>
      <c r="DU45" s="408"/>
      <c r="DV45" s="408">
        <v>31251.439432175957</v>
      </c>
      <c r="DW45" s="408">
        <v>0</v>
      </c>
      <c r="DX45" s="408">
        <v>0</v>
      </c>
      <c r="DY45" s="408">
        <v>-21167.17758</v>
      </c>
      <c r="DZ45" s="408">
        <v>1047.8087099999975</v>
      </c>
      <c r="EA45" s="408">
        <v>0</v>
      </c>
      <c r="EB45" s="408">
        <v>0</v>
      </c>
      <c r="EC45" s="408">
        <v>-20990.800220951875</v>
      </c>
      <c r="ED45" s="408">
        <v>0</v>
      </c>
      <c r="EE45" s="408">
        <v>0</v>
      </c>
      <c r="EF45" s="408">
        <v>0</v>
      </c>
      <c r="EG45" s="408">
        <v>0</v>
      </c>
      <c r="EH45" s="408">
        <v>0</v>
      </c>
      <c r="EI45" s="408">
        <v>0</v>
      </c>
      <c r="EJ45" s="408">
        <v>0</v>
      </c>
      <c r="EK45" s="408">
        <v>0</v>
      </c>
      <c r="EL45" s="408">
        <v>0</v>
      </c>
      <c r="EM45" s="408">
        <v>0</v>
      </c>
      <c r="EN45" s="408">
        <v>0</v>
      </c>
      <c r="EO45" s="408">
        <v>0</v>
      </c>
      <c r="EP45" s="408">
        <v>0</v>
      </c>
      <c r="EQ45" s="408">
        <v>0</v>
      </c>
      <c r="ER45" s="408">
        <v>0</v>
      </c>
      <c r="ES45" s="408">
        <v>0</v>
      </c>
      <c r="ET45" s="408">
        <v>0</v>
      </c>
      <c r="EU45" s="408">
        <v>0</v>
      </c>
      <c r="EV45" s="408">
        <v>257</v>
      </c>
      <c r="EW45" s="408">
        <v>0</v>
      </c>
      <c r="EX45" s="408">
        <v>0</v>
      </c>
      <c r="EY45" s="408">
        <v>0</v>
      </c>
      <c r="EZ45" s="408"/>
      <c r="FA45" s="408">
        <v>0</v>
      </c>
      <c r="FB45" s="408"/>
      <c r="FC45" s="408"/>
      <c r="FD45" s="408"/>
      <c r="FE45" s="408"/>
      <c r="FF45" s="408">
        <v>0</v>
      </c>
      <c r="FG45" s="408">
        <v>0</v>
      </c>
      <c r="FH45" s="408">
        <v>0</v>
      </c>
      <c r="FI45" s="408">
        <v>0</v>
      </c>
    </row>
    <row r="46" spans="1:165" customFormat="1">
      <c r="A46" s="408">
        <v>44</v>
      </c>
      <c r="B46" s="408" t="s">
        <v>1035</v>
      </c>
      <c r="C46" s="408" t="s">
        <v>2241</v>
      </c>
      <c r="D46" s="408" t="s">
        <v>596</v>
      </c>
      <c r="E46" s="408" t="s">
        <v>969</v>
      </c>
      <c r="F46" s="408" t="s">
        <v>1321</v>
      </c>
      <c r="G46" s="408" t="s">
        <v>1321</v>
      </c>
      <c r="H46" s="408" t="s">
        <v>1321</v>
      </c>
      <c r="I46" s="408" t="s">
        <v>972</v>
      </c>
      <c r="J46" s="408" t="s">
        <v>2234</v>
      </c>
      <c r="K46" s="828">
        <v>44409</v>
      </c>
      <c r="L46" s="408">
        <v>0</v>
      </c>
      <c r="M46" s="408">
        <v>0</v>
      </c>
      <c r="N46" s="408">
        <v>5.4210000000000003</v>
      </c>
      <c r="O46" s="408">
        <v>5.4210000000000003</v>
      </c>
      <c r="P46" s="408">
        <v>5.4210000000000003</v>
      </c>
      <c r="Q46" s="408">
        <v>5.4210000000000003</v>
      </c>
      <c r="R46" s="408"/>
      <c r="S46" s="408">
        <v>3130.62</v>
      </c>
      <c r="T46" s="408">
        <v>256.55</v>
      </c>
      <c r="U46" s="408"/>
      <c r="V46" s="408">
        <v>18361.848569999998</v>
      </c>
      <c r="W46" s="408">
        <v>18361.848569999998</v>
      </c>
      <c r="X46" s="408">
        <v>9663.6372300000003</v>
      </c>
      <c r="Y46" s="408">
        <v>0</v>
      </c>
      <c r="Z46" s="408">
        <v>289.93119563677851</v>
      </c>
      <c r="AA46" s="408">
        <v>0</v>
      </c>
      <c r="AB46" s="408">
        <v>0</v>
      </c>
      <c r="AC46" s="408">
        <v>0</v>
      </c>
      <c r="AD46" s="408">
        <v>3492.2830492260873</v>
      </c>
      <c r="AE46" s="408">
        <v>13032.889902223777</v>
      </c>
      <c r="AF46" s="408">
        <v>1390.7712203094541</v>
      </c>
      <c r="AG46" s="408">
        <v>0</v>
      </c>
      <c r="AH46" s="408">
        <v>0</v>
      </c>
      <c r="AI46" s="408">
        <v>0</v>
      </c>
      <c r="AJ46" s="408">
        <v>0</v>
      </c>
      <c r="AK46" s="408">
        <v>0</v>
      </c>
      <c r="AL46" s="408">
        <v>51.522613818142773</v>
      </c>
      <c r="AM46" s="408"/>
      <c r="AN46" s="408">
        <v>7.3132271268906512</v>
      </c>
      <c r="AO46" s="408">
        <v>0</v>
      </c>
      <c r="AP46" s="408">
        <v>0</v>
      </c>
      <c r="AQ46" s="408">
        <v>0</v>
      </c>
      <c r="AR46" s="408">
        <v>0</v>
      </c>
      <c r="AS46" s="408">
        <v>0</v>
      </c>
      <c r="AT46" s="408">
        <v>0</v>
      </c>
      <c r="AU46" s="408">
        <v>0</v>
      </c>
      <c r="AV46" s="408">
        <v>0</v>
      </c>
      <c r="AW46" s="408">
        <v>0</v>
      </c>
      <c r="AX46" s="408">
        <v>0</v>
      </c>
      <c r="AY46" s="408">
        <v>0</v>
      </c>
      <c r="AZ46" s="408">
        <v>0</v>
      </c>
      <c r="BA46" s="408"/>
      <c r="BB46" s="408">
        <v>0</v>
      </c>
      <c r="BC46" s="408">
        <v>0</v>
      </c>
      <c r="BD46" s="408">
        <v>6.6788087024750276</v>
      </c>
      <c r="BE46" s="408">
        <v>0</v>
      </c>
      <c r="BF46" s="408">
        <v>0</v>
      </c>
      <c r="BG46" s="408">
        <v>90.472631319164122</v>
      </c>
      <c r="BH46" s="408">
        <v>0</v>
      </c>
      <c r="BI46" s="408">
        <v>0</v>
      </c>
      <c r="BJ46" s="408">
        <v>0</v>
      </c>
      <c r="BK46" s="408">
        <v>0</v>
      </c>
      <c r="BL46" s="408">
        <v>0</v>
      </c>
      <c r="BM46" s="408"/>
      <c r="BN46" s="408"/>
      <c r="BO46" s="408"/>
      <c r="BP46" s="408"/>
      <c r="BQ46" s="408"/>
      <c r="BR46" s="408"/>
      <c r="BS46" s="408"/>
      <c r="BT46" s="408"/>
      <c r="BU46" s="408"/>
      <c r="BV46" s="408">
        <v>1487.9226603310931</v>
      </c>
      <c r="BW46" s="408"/>
      <c r="BX46" s="408"/>
      <c r="BY46" s="408"/>
      <c r="BZ46" s="408"/>
      <c r="CA46" s="408"/>
      <c r="CB46" s="408"/>
      <c r="CC46" s="408"/>
      <c r="CD46" s="408"/>
      <c r="CE46" s="408"/>
      <c r="CF46" s="408"/>
      <c r="CG46" s="408"/>
      <c r="CH46" s="408"/>
      <c r="CI46" s="408">
        <v>9661.8546000000006</v>
      </c>
      <c r="CJ46" s="408">
        <v>-8700.0239699999929</v>
      </c>
      <c r="CK46" s="408"/>
      <c r="CL46" s="408"/>
      <c r="CM46" s="408"/>
      <c r="CN46" s="408"/>
      <c r="CO46" s="408">
        <v>-8784.8931300000004</v>
      </c>
      <c r="CP46" s="408">
        <v>86.681790000000049</v>
      </c>
      <c r="CQ46" s="408">
        <v>31</v>
      </c>
      <c r="CR46" s="408">
        <v>55.586398339922198</v>
      </c>
      <c r="CS46" s="408">
        <v>0</v>
      </c>
      <c r="CT46" s="408">
        <v>0</v>
      </c>
      <c r="CU46" s="408">
        <v>0</v>
      </c>
      <c r="CV46" s="408">
        <v>0</v>
      </c>
      <c r="CW46" s="408">
        <v>0</v>
      </c>
      <c r="CX46" s="408">
        <v>0</v>
      </c>
      <c r="CY46" s="408">
        <v>0</v>
      </c>
      <c r="CZ46" s="408">
        <v>-15.785339030545856</v>
      </c>
      <c r="DA46" s="408">
        <v>0</v>
      </c>
      <c r="DB46" s="408">
        <v>0</v>
      </c>
      <c r="DC46" s="408">
        <v>86.642917987643386</v>
      </c>
      <c r="DD46" s="408">
        <v>0</v>
      </c>
      <c r="DE46" s="408">
        <v>0</v>
      </c>
      <c r="DF46" s="408">
        <v>0.41607955802750141</v>
      </c>
      <c r="DG46" s="408">
        <v>5.6363064327492225</v>
      </c>
      <c r="DH46" s="408">
        <v>0</v>
      </c>
      <c r="DI46" s="408">
        <v>-18.029039001297861</v>
      </c>
      <c r="DJ46" s="408"/>
      <c r="DK46" s="408">
        <v>0</v>
      </c>
      <c r="DL46" s="408">
        <v>0</v>
      </c>
      <c r="DM46" s="408">
        <v>0</v>
      </c>
      <c r="DN46" s="408">
        <v>0</v>
      </c>
      <c r="DO46" s="408">
        <v>-2.8271844577247194</v>
      </c>
      <c r="DP46" s="408">
        <v>-0.46734314892903317</v>
      </c>
      <c r="DQ46" s="408">
        <v>0</v>
      </c>
      <c r="DR46" s="408">
        <v>0</v>
      </c>
      <c r="DS46" s="408"/>
      <c r="DT46" s="408"/>
      <c r="DU46" s="408"/>
      <c r="DV46" s="408">
        <v>13032.889902223777</v>
      </c>
      <c r="DW46" s="408">
        <v>0</v>
      </c>
      <c r="DX46" s="408">
        <v>0</v>
      </c>
      <c r="DY46" s="408">
        <v>-8784.8931300000004</v>
      </c>
      <c r="DZ46" s="408">
        <v>86.681790000000092</v>
      </c>
      <c r="EA46" s="408">
        <v>0</v>
      </c>
      <c r="EB46" s="408">
        <v>0</v>
      </c>
      <c r="EC46" s="408">
        <v>-8753.8620047554068</v>
      </c>
      <c r="ED46" s="408">
        <v>0</v>
      </c>
      <c r="EE46" s="408">
        <v>0</v>
      </c>
      <c r="EF46" s="408">
        <v>0</v>
      </c>
      <c r="EG46" s="408">
        <v>0</v>
      </c>
      <c r="EH46" s="408">
        <v>0</v>
      </c>
      <c r="EI46" s="408">
        <v>0</v>
      </c>
      <c r="EJ46" s="408">
        <v>0</v>
      </c>
      <c r="EK46" s="408">
        <v>0</v>
      </c>
      <c r="EL46" s="408">
        <v>0</v>
      </c>
      <c r="EM46" s="408">
        <v>0</v>
      </c>
      <c r="EN46" s="408">
        <v>0</v>
      </c>
      <c r="EO46" s="408">
        <v>0</v>
      </c>
      <c r="EP46" s="408">
        <v>0</v>
      </c>
      <c r="EQ46" s="408">
        <v>0</v>
      </c>
      <c r="ER46" s="408">
        <v>0</v>
      </c>
      <c r="ES46" s="408">
        <v>0</v>
      </c>
      <c r="ET46" s="408">
        <v>0</v>
      </c>
      <c r="EU46" s="408">
        <v>0</v>
      </c>
      <c r="EV46" s="408">
        <v>257</v>
      </c>
      <c r="EW46" s="408">
        <v>0</v>
      </c>
      <c r="EX46" s="408">
        <v>0</v>
      </c>
      <c r="EY46" s="408">
        <v>0</v>
      </c>
      <c r="EZ46" s="408"/>
      <c r="FA46" s="408">
        <v>0</v>
      </c>
      <c r="FB46" s="408"/>
      <c r="FC46" s="408"/>
      <c r="FD46" s="408"/>
      <c r="FE46" s="408"/>
      <c r="FF46" s="408">
        <v>0</v>
      </c>
      <c r="FG46" s="408">
        <v>0</v>
      </c>
      <c r="FH46" s="408">
        <v>0</v>
      </c>
      <c r="FI46" s="408">
        <v>0</v>
      </c>
    </row>
    <row r="47" spans="1:165" customFormat="1">
      <c r="A47" s="408">
        <v>45</v>
      </c>
      <c r="B47" s="408" t="s">
        <v>2236</v>
      </c>
      <c r="C47" s="408" t="s">
        <v>2241</v>
      </c>
      <c r="D47" s="408" t="s">
        <v>596</v>
      </c>
      <c r="E47" s="408" t="s">
        <v>969</v>
      </c>
      <c r="F47" s="408" t="s">
        <v>1321</v>
      </c>
      <c r="G47" s="408" t="s">
        <v>1321</v>
      </c>
      <c r="H47" s="408" t="s">
        <v>1321</v>
      </c>
      <c r="I47" s="408" t="s">
        <v>972</v>
      </c>
      <c r="J47" s="408" t="s">
        <v>2234</v>
      </c>
      <c r="K47" s="828">
        <v>44409</v>
      </c>
      <c r="L47" s="408">
        <v>0</v>
      </c>
      <c r="M47" s="408">
        <v>0</v>
      </c>
      <c r="N47" s="408">
        <v>0.18099999999999999</v>
      </c>
      <c r="O47" s="408">
        <v>0.18099999999999999</v>
      </c>
      <c r="P47" s="408">
        <v>0.18099999999999999</v>
      </c>
      <c r="Q47" s="408">
        <v>0.18099999999999999</v>
      </c>
      <c r="R47" s="408"/>
      <c r="S47" s="408">
        <v>3130.62</v>
      </c>
      <c r="T47" s="408">
        <v>256.55</v>
      </c>
      <c r="U47" s="408"/>
      <c r="V47" s="408">
        <v>613.07776999999999</v>
      </c>
      <c r="W47" s="408">
        <v>613.07776999999999</v>
      </c>
      <c r="X47" s="408">
        <v>322.65602999999999</v>
      </c>
      <c r="Y47" s="408">
        <v>0</v>
      </c>
      <c r="Z47" s="408">
        <v>9.6804180797374855</v>
      </c>
      <c r="AA47" s="408">
        <v>0</v>
      </c>
      <c r="AB47" s="408">
        <v>0</v>
      </c>
      <c r="AC47" s="408">
        <v>0</v>
      </c>
      <c r="AD47" s="408">
        <v>116.60269911638476</v>
      </c>
      <c r="AE47" s="408">
        <v>435.15090800636477</v>
      </c>
      <c r="AF47" s="408">
        <v>46.436006433501412</v>
      </c>
      <c r="AG47" s="408">
        <v>0</v>
      </c>
      <c r="AH47" s="408">
        <v>0</v>
      </c>
      <c r="AI47" s="408">
        <v>0</v>
      </c>
      <c r="AJ47" s="408">
        <v>0</v>
      </c>
      <c r="AK47" s="408">
        <v>0</v>
      </c>
      <c r="AL47" s="408">
        <v>1.7202717397313856</v>
      </c>
      <c r="AM47" s="408"/>
      <c r="AN47" s="408">
        <v>0.24417895406146611</v>
      </c>
      <c r="AO47" s="408">
        <v>0</v>
      </c>
      <c r="AP47" s="408">
        <v>0</v>
      </c>
      <c r="AQ47" s="408">
        <v>0</v>
      </c>
      <c r="AR47" s="408">
        <v>0</v>
      </c>
      <c r="AS47" s="408">
        <v>0</v>
      </c>
      <c r="AT47" s="408">
        <v>0</v>
      </c>
      <c r="AU47" s="408">
        <v>0</v>
      </c>
      <c r="AV47" s="408">
        <v>0</v>
      </c>
      <c r="AW47" s="408">
        <v>0</v>
      </c>
      <c r="AX47" s="408">
        <v>0</v>
      </c>
      <c r="AY47" s="408">
        <v>0</v>
      </c>
      <c r="AZ47" s="408">
        <v>0</v>
      </c>
      <c r="BA47" s="408"/>
      <c r="BB47" s="408">
        <v>0</v>
      </c>
      <c r="BC47" s="408">
        <v>0</v>
      </c>
      <c r="BD47" s="408">
        <v>0.22299656431432943</v>
      </c>
      <c r="BE47" s="408">
        <v>0</v>
      </c>
      <c r="BF47" s="408">
        <v>0</v>
      </c>
      <c r="BG47" s="408">
        <v>3.0207611637647491</v>
      </c>
      <c r="BH47" s="408">
        <v>0</v>
      </c>
      <c r="BI47" s="408">
        <v>0</v>
      </c>
      <c r="BJ47" s="408">
        <v>0</v>
      </c>
      <c r="BK47" s="408">
        <v>0</v>
      </c>
      <c r="BL47" s="408">
        <v>0</v>
      </c>
      <c r="BM47" s="408"/>
      <c r="BN47" s="408"/>
      <c r="BO47" s="408"/>
      <c r="BP47" s="408"/>
      <c r="BQ47" s="408"/>
      <c r="BR47" s="408"/>
      <c r="BS47" s="408"/>
      <c r="BT47" s="408"/>
      <c r="BU47" s="408"/>
      <c r="BV47" s="408">
        <v>49.679764161580486</v>
      </c>
      <c r="BW47" s="408"/>
      <c r="BX47" s="408"/>
      <c r="BY47" s="408"/>
      <c r="BZ47" s="408"/>
      <c r="CA47" s="408"/>
      <c r="CB47" s="408"/>
      <c r="CC47" s="408"/>
      <c r="CD47" s="408"/>
      <c r="CE47" s="408"/>
      <c r="CF47" s="408"/>
      <c r="CG47" s="408"/>
      <c r="CH47" s="408"/>
      <c r="CI47" s="408">
        <v>320.8734</v>
      </c>
      <c r="CJ47" s="408">
        <v>-292.23436999999996</v>
      </c>
      <c r="CK47" s="408"/>
      <c r="CL47" s="408"/>
      <c r="CM47" s="408"/>
      <c r="CN47" s="408"/>
      <c r="CO47" s="408">
        <v>-293.31592999999998</v>
      </c>
      <c r="CP47" s="408">
        <v>2.8941900000000014</v>
      </c>
      <c r="CQ47" s="408">
        <v>31</v>
      </c>
      <c r="CR47" s="408">
        <v>1.8559561150205184</v>
      </c>
      <c r="CS47" s="408">
        <v>0</v>
      </c>
      <c r="CT47" s="408">
        <v>0</v>
      </c>
      <c r="CU47" s="408">
        <v>0</v>
      </c>
      <c r="CV47" s="408">
        <v>0</v>
      </c>
      <c r="CW47" s="408">
        <v>0</v>
      </c>
      <c r="CX47" s="408">
        <v>0</v>
      </c>
      <c r="CY47" s="408">
        <v>0</v>
      </c>
      <c r="CZ47" s="408">
        <v>-0.52705153376291491</v>
      </c>
      <c r="DA47" s="408">
        <v>0</v>
      </c>
      <c r="DB47" s="408">
        <v>0</v>
      </c>
      <c r="DC47" s="408">
        <v>2.8928921150642779</v>
      </c>
      <c r="DD47" s="408">
        <v>0</v>
      </c>
      <c r="DE47" s="408">
        <v>0</v>
      </c>
      <c r="DF47" s="408">
        <v>1.3892344586419053E-2</v>
      </c>
      <c r="DG47" s="408">
        <v>0.18818879622350293</v>
      </c>
      <c r="DH47" s="408">
        <v>0</v>
      </c>
      <c r="DI47" s="408">
        <v>-0.60196569991420645</v>
      </c>
      <c r="DJ47" s="408"/>
      <c r="DK47" s="408">
        <v>0</v>
      </c>
      <c r="DL47" s="408">
        <v>0</v>
      </c>
      <c r="DM47" s="408">
        <v>0</v>
      </c>
      <c r="DN47" s="408">
        <v>0</v>
      </c>
      <c r="DO47" s="408">
        <v>-9.4395939282083452E-2</v>
      </c>
      <c r="DP47" s="408">
        <v>-1.5603967894513016E-2</v>
      </c>
      <c r="DQ47" s="408">
        <v>0</v>
      </c>
      <c r="DR47" s="408">
        <v>0</v>
      </c>
      <c r="DS47" s="408"/>
      <c r="DT47" s="408"/>
      <c r="DU47" s="408"/>
      <c r="DV47" s="408">
        <v>435.15090800636477</v>
      </c>
      <c r="DW47" s="408">
        <v>0</v>
      </c>
      <c r="DX47" s="408">
        <v>0</v>
      </c>
      <c r="DY47" s="408">
        <v>-293.31592999999998</v>
      </c>
      <c r="DZ47" s="408">
        <v>2.8941900000000018</v>
      </c>
      <c r="EA47" s="408">
        <v>0</v>
      </c>
      <c r="EB47" s="408">
        <v>0</v>
      </c>
      <c r="EC47" s="408">
        <v>-292.2798418853954</v>
      </c>
      <c r="ED47" s="408">
        <v>0</v>
      </c>
      <c r="EE47" s="408">
        <v>0</v>
      </c>
      <c r="EF47" s="408">
        <v>0</v>
      </c>
      <c r="EG47" s="408">
        <v>0</v>
      </c>
      <c r="EH47" s="408">
        <v>0</v>
      </c>
      <c r="EI47" s="408">
        <v>0</v>
      </c>
      <c r="EJ47" s="408">
        <v>0</v>
      </c>
      <c r="EK47" s="408">
        <v>0</v>
      </c>
      <c r="EL47" s="408">
        <v>0</v>
      </c>
      <c r="EM47" s="408">
        <v>0</v>
      </c>
      <c r="EN47" s="408">
        <v>0</v>
      </c>
      <c r="EO47" s="408">
        <v>0</v>
      </c>
      <c r="EP47" s="408">
        <v>0</v>
      </c>
      <c r="EQ47" s="408">
        <v>0</v>
      </c>
      <c r="ER47" s="408">
        <v>0</v>
      </c>
      <c r="ES47" s="408">
        <v>0</v>
      </c>
      <c r="ET47" s="408">
        <v>0</v>
      </c>
      <c r="EU47" s="408">
        <v>0</v>
      </c>
      <c r="EV47" s="408">
        <v>257</v>
      </c>
      <c r="EW47" s="408">
        <v>0</v>
      </c>
      <c r="EX47" s="408">
        <v>0</v>
      </c>
      <c r="EY47" s="408">
        <v>0</v>
      </c>
      <c r="EZ47" s="408"/>
      <c r="FA47" s="408">
        <v>0</v>
      </c>
      <c r="FB47" s="408"/>
      <c r="FC47" s="408"/>
      <c r="FD47" s="408"/>
      <c r="FE47" s="408"/>
      <c r="FF47" s="408">
        <v>0</v>
      </c>
      <c r="FG47" s="408">
        <v>0</v>
      </c>
      <c r="FH47" s="408">
        <v>0</v>
      </c>
      <c r="FI47" s="408">
        <v>0</v>
      </c>
    </row>
    <row r="48" spans="1:165" customFormat="1">
      <c r="A48" s="408">
        <v>46</v>
      </c>
      <c r="B48" s="408" t="s">
        <v>1035</v>
      </c>
      <c r="C48" s="408" t="s">
        <v>2241</v>
      </c>
      <c r="D48" s="408" t="s">
        <v>596</v>
      </c>
      <c r="E48" s="408" t="s">
        <v>969</v>
      </c>
      <c r="F48" s="408" t="s">
        <v>1321</v>
      </c>
      <c r="G48" s="408" t="s">
        <v>1321</v>
      </c>
      <c r="H48" s="408" t="s">
        <v>1321</v>
      </c>
      <c r="I48" s="408" t="s">
        <v>2242</v>
      </c>
      <c r="J48" s="408" t="s">
        <v>2234</v>
      </c>
      <c r="K48" s="828">
        <v>44409</v>
      </c>
      <c r="L48" s="408">
        <v>0</v>
      </c>
      <c r="M48" s="408">
        <v>0</v>
      </c>
      <c r="N48" s="408">
        <v>215.226</v>
      </c>
      <c r="O48" s="408">
        <v>215.226</v>
      </c>
      <c r="P48" s="408">
        <v>215.226</v>
      </c>
      <c r="Q48" s="408">
        <v>215.226</v>
      </c>
      <c r="R48" s="408"/>
      <c r="S48" s="408">
        <v>82.26</v>
      </c>
      <c r="T48" s="408">
        <v>256.55</v>
      </c>
      <c r="U48" s="408"/>
      <c r="V48" s="408">
        <v>72920.721060000011</v>
      </c>
      <c r="W48" s="408">
        <v>72920.721060000011</v>
      </c>
      <c r="X48" s="408">
        <v>75755.247480000005</v>
      </c>
      <c r="Y48" s="408">
        <v>0</v>
      </c>
      <c r="Z48" s="408">
        <v>11510.926307345746</v>
      </c>
      <c r="AA48" s="408">
        <v>0</v>
      </c>
      <c r="AB48" s="408">
        <v>0</v>
      </c>
      <c r="AC48" s="408">
        <v>0</v>
      </c>
      <c r="AD48" s="408">
        <v>0</v>
      </c>
      <c r="AE48" s="408">
        <v>0</v>
      </c>
      <c r="AF48" s="408">
        <v>55216.77304230263</v>
      </c>
      <c r="AG48" s="408">
        <v>0</v>
      </c>
      <c r="AH48" s="408">
        <v>0</v>
      </c>
      <c r="AI48" s="408">
        <v>0</v>
      </c>
      <c r="AJ48" s="408">
        <v>0</v>
      </c>
      <c r="AK48" s="408">
        <v>0</v>
      </c>
      <c r="AL48" s="408">
        <v>2045.5646710244596</v>
      </c>
      <c r="AM48" s="408"/>
      <c r="AN48" s="408">
        <v>290.35171031399506</v>
      </c>
      <c r="AO48" s="408">
        <v>0</v>
      </c>
      <c r="AP48" s="408">
        <v>0</v>
      </c>
      <c r="AQ48" s="408">
        <v>0</v>
      </c>
      <c r="AR48" s="408">
        <v>0</v>
      </c>
      <c r="AS48" s="408">
        <v>0</v>
      </c>
      <c r="AT48" s="408">
        <v>0</v>
      </c>
      <c r="AU48" s="408">
        <v>0</v>
      </c>
      <c r="AV48" s="408">
        <v>0</v>
      </c>
      <c r="AW48" s="408">
        <v>0</v>
      </c>
      <c r="AX48" s="408">
        <v>0</v>
      </c>
      <c r="AY48" s="408">
        <v>0</v>
      </c>
      <c r="AZ48" s="408">
        <v>0</v>
      </c>
      <c r="BA48" s="408"/>
      <c r="BB48" s="408">
        <v>0</v>
      </c>
      <c r="BC48" s="408">
        <v>0</v>
      </c>
      <c r="BD48" s="408">
        <v>265.16385939843019</v>
      </c>
      <c r="BE48" s="408">
        <v>0</v>
      </c>
      <c r="BF48" s="408">
        <v>0</v>
      </c>
      <c r="BG48" s="408">
        <v>3591.9687416156457</v>
      </c>
      <c r="BH48" s="408">
        <v>0</v>
      </c>
      <c r="BI48" s="408">
        <v>0</v>
      </c>
      <c r="BJ48" s="408">
        <v>0</v>
      </c>
      <c r="BK48" s="408">
        <v>0</v>
      </c>
      <c r="BL48" s="408">
        <v>0</v>
      </c>
      <c r="BM48" s="408"/>
      <c r="BN48" s="408"/>
      <c r="BO48" s="408"/>
      <c r="BP48" s="408"/>
      <c r="BQ48" s="408"/>
      <c r="BR48" s="408"/>
      <c r="BS48" s="408"/>
      <c r="BT48" s="408"/>
      <c r="BU48" s="408"/>
      <c r="BV48" s="408">
        <v>59073.905643316706</v>
      </c>
      <c r="BW48" s="408"/>
      <c r="BX48" s="408"/>
      <c r="BY48" s="408"/>
      <c r="BZ48" s="408"/>
      <c r="CA48" s="408"/>
      <c r="CB48" s="408"/>
      <c r="CC48" s="408"/>
      <c r="CD48" s="408"/>
      <c r="CE48" s="408"/>
      <c r="CF48" s="408"/>
      <c r="CG48" s="408"/>
      <c r="CH48" s="408"/>
      <c r="CI48" s="408">
        <v>75756.655400000003</v>
      </c>
      <c r="CJ48" s="408">
        <v>2835.9043400000082</v>
      </c>
      <c r="CK48" s="408"/>
      <c r="CL48" s="408"/>
      <c r="CM48" s="408"/>
      <c r="CN48" s="408"/>
      <c r="CO48" s="408">
        <v>-606.93732000000159</v>
      </c>
      <c r="CP48" s="408">
        <v>3441.463740000002</v>
      </c>
      <c r="CQ48" s="408">
        <v>31</v>
      </c>
      <c r="CR48" s="408">
        <v>2833.6199128014123</v>
      </c>
      <c r="CS48" s="408">
        <v>0</v>
      </c>
      <c r="CT48" s="408">
        <v>0</v>
      </c>
      <c r="CU48" s="408">
        <v>0</v>
      </c>
      <c r="CV48" s="408">
        <v>0</v>
      </c>
      <c r="CW48" s="408">
        <v>0</v>
      </c>
      <c r="CX48" s="408">
        <v>0</v>
      </c>
      <c r="CY48" s="408">
        <v>0</v>
      </c>
      <c r="CZ48" s="408">
        <v>0</v>
      </c>
      <c r="DA48" s="408">
        <v>0</v>
      </c>
      <c r="DB48" s="408">
        <v>0</v>
      </c>
      <c r="DC48" s="408">
        <v>3439.9204329106287</v>
      </c>
      <c r="DD48" s="408">
        <v>0</v>
      </c>
      <c r="DE48" s="408">
        <v>0</v>
      </c>
      <c r="DF48" s="408">
        <v>16.519302519097437</v>
      </c>
      <c r="DG48" s="408">
        <v>223.77415390055103</v>
      </c>
      <c r="DH48" s="408">
        <v>0</v>
      </c>
      <c r="DI48" s="408">
        <v>-715.79375541290028</v>
      </c>
      <c r="DJ48" s="408"/>
      <c r="DK48" s="408">
        <v>0</v>
      </c>
      <c r="DL48" s="408">
        <v>0</v>
      </c>
      <c r="DM48" s="408">
        <v>0</v>
      </c>
      <c r="DN48" s="408">
        <v>0</v>
      </c>
      <c r="DO48" s="408">
        <v>-112.24563772334614</v>
      </c>
      <c r="DP48" s="408">
        <v>-18.554583392621282</v>
      </c>
      <c r="DQ48" s="408">
        <v>0</v>
      </c>
      <c r="DR48" s="408">
        <v>0</v>
      </c>
      <c r="DS48" s="408"/>
      <c r="DT48" s="408"/>
      <c r="DU48" s="408"/>
      <c r="DV48" s="408">
        <v>0</v>
      </c>
      <c r="DW48" s="408">
        <v>0</v>
      </c>
      <c r="DX48" s="408">
        <v>0</v>
      </c>
      <c r="DY48" s="408">
        <v>-606.93732000000091</v>
      </c>
      <c r="DZ48" s="408">
        <v>3441.4637399999992</v>
      </c>
      <c r="EA48" s="408">
        <v>0</v>
      </c>
      <c r="EB48" s="408">
        <v>0</v>
      </c>
      <c r="EC48" s="408">
        <v>0</v>
      </c>
      <c r="ED48" s="408">
        <v>0</v>
      </c>
      <c r="EE48" s="408">
        <v>0</v>
      </c>
      <c r="EF48" s="408">
        <v>0</v>
      </c>
      <c r="EG48" s="408">
        <v>0</v>
      </c>
      <c r="EH48" s="408">
        <v>0</v>
      </c>
      <c r="EI48" s="408">
        <v>0</v>
      </c>
      <c r="EJ48" s="408">
        <v>0</v>
      </c>
      <c r="EK48" s="408">
        <v>0</v>
      </c>
      <c r="EL48" s="408">
        <v>0</v>
      </c>
      <c r="EM48" s="408">
        <v>0</v>
      </c>
      <c r="EN48" s="408">
        <v>0</v>
      </c>
      <c r="EO48" s="408">
        <v>0</v>
      </c>
      <c r="EP48" s="408">
        <v>0</v>
      </c>
      <c r="EQ48" s="408">
        <v>0</v>
      </c>
      <c r="ER48" s="408">
        <v>0</v>
      </c>
      <c r="ES48" s="408">
        <v>0</v>
      </c>
      <c r="ET48" s="408">
        <v>0</v>
      </c>
      <c r="EU48" s="408">
        <v>0</v>
      </c>
      <c r="EV48" s="408">
        <v>257</v>
      </c>
      <c r="EW48" s="408">
        <v>0</v>
      </c>
      <c r="EX48" s="408">
        <v>0</v>
      </c>
      <c r="EY48" s="408">
        <v>0</v>
      </c>
      <c r="EZ48" s="408"/>
      <c r="FA48" s="408">
        <v>0</v>
      </c>
      <c r="FB48" s="408"/>
      <c r="FC48" s="408"/>
      <c r="FD48" s="408"/>
      <c r="FE48" s="408"/>
      <c r="FF48" s="408">
        <v>0</v>
      </c>
      <c r="FG48" s="408">
        <v>0</v>
      </c>
      <c r="FH48" s="408">
        <v>0</v>
      </c>
      <c r="FI48" s="408">
        <v>0</v>
      </c>
    </row>
    <row r="49" spans="1:165" customFormat="1">
      <c r="A49" s="408">
        <v>47</v>
      </c>
      <c r="B49" s="408" t="s">
        <v>2236</v>
      </c>
      <c r="C49" s="408" t="s">
        <v>2241</v>
      </c>
      <c r="D49" s="408" t="s">
        <v>596</v>
      </c>
      <c r="E49" s="408" t="s">
        <v>969</v>
      </c>
      <c r="F49" s="408" t="s">
        <v>1321</v>
      </c>
      <c r="G49" s="408" t="s">
        <v>1321</v>
      </c>
      <c r="H49" s="408" t="s">
        <v>1321</v>
      </c>
      <c r="I49" s="408" t="s">
        <v>2242</v>
      </c>
      <c r="J49" s="408" t="s">
        <v>2234</v>
      </c>
      <c r="K49" s="828">
        <v>44409</v>
      </c>
      <c r="L49" s="408">
        <v>0</v>
      </c>
      <c r="M49" s="408">
        <v>0</v>
      </c>
      <c r="N49" s="408">
        <v>16.091999999999999</v>
      </c>
      <c r="O49" s="408">
        <v>16.091999999999999</v>
      </c>
      <c r="P49" s="408">
        <v>16.091999999999999</v>
      </c>
      <c r="Q49" s="408">
        <v>16.091999999999999</v>
      </c>
      <c r="R49" s="408"/>
      <c r="S49" s="408">
        <v>82.26</v>
      </c>
      <c r="T49" s="408">
        <v>256.55</v>
      </c>
      <c r="U49" s="408"/>
      <c r="V49" s="408">
        <v>5452.1305199999997</v>
      </c>
      <c r="W49" s="408">
        <v>5452.1305199999997</v>
      </c>
      <c r="X49" s="408">
        <v>5664.0621599999995</v>
      </c>
      <c r="Y49" s="408">
        <v>0</v>
      </c>
      <c r="Z49" s="408">
        <v>860.64799855876026</v>
      </c>
      <c r="AA49" s="408">
        <v>0</v>
      </c>
      <c r="AB49" s="408">
        <v>0</v>
      </c>
      <c r="AC49" s="408">
        <v>0</v>
      </c>
      <c r="AD49" s="408">
        <v>0</v>
      </c>
      <c r="AE49" s="408">
        <v>0</v>
      </c>
      <c r="AF49" s="408">
        <v>4128.4431797121806</v>
      </c>
      <c r="AG49" s="408">
        <v>0</v>
      </c>
      <c r="AH49" s="408">
        <v>0</v>
      </c>
      <c r="AI49" s="408">
        <v>0</v>
      </c>
      <c r="AJ49" s="408">
        <v>0</v>
      </c>
      <c r="AK49" s="408">
        <v>0</v>
      </c>
      <c r="AL49" s="408">
        <v>152.94261235225113</v>
      </c>
      <c r="AM49" s="408"/>
      <c r="AN49" s="408">
        <v>21.708992976558633</v>
      </c>
      <c r="AO49" s="408">
        <v>0</v>
      </c>
      <c r="AP49" s="408">
        <v>0</v>
      </c>
      <c r="AQ49" s="408">
        <v>0</v>
      </c>
      <c r="AR49" s="408">
        <v>0</v>
      </c>
      <c r="AS49" s="408">
        <v>0</v>
      </c>
      <c r="AT49" s="408">
        <v>0</v>
      </c>
      <c r="AU49" s="408">
        <v>0</v>
      </c>
      <c r="AV49" s="408">
        <v>0</v>
      </c>
      <c r="AW49" s="408">
        <v>0</v>
      </c>
      <c r="AX49" s="408">
        <v>0</v>
      </c>
      <c r="AY49" s="408">
        <v>0</v>
      </c>
      <c r="AZ49" s="408">
        <v>0</v>
      </c>
      <c r="BA49" s="408"/>
      <c r="BB49" s="408">
        <v>0</v>
      </c>
      <c r="BC49" s="408">
        <v>0</v>
      </c>
      <c r="BD49" s="408">
        <v>19.825749795282814</v>
      </c>
      <c r="BE49" s="408">
        <v>0</v>
      </c>
      <c r="BF49" s="408">
        <v>0</v>
      </c>
      <c r="BG49" s="408">
        <v>268.56402567570353</v>
      </c>
      <c r="BH49" s="408">
        <v>0</v>
      </c>
      <c r="BI49" s="408">
        <v>0</v>
      </c>
      <c r="BJ49" s="408">
        <v>0</v>
      </c>
      <c r="BK49" s="408">
        <v>0</v>
      </c>
      <c r="BL49" s="408">
        <v>0</v>
      </c>
      <c r="BM49" s="408"/>
      <c r="BN49" s="408"/>
      <c r="BO49" s="408"/>
      <c r="BP49" s="408"/>
      <c r="BQ49" s="408"/>
      <c r="BR49" s="408"/>
      <c r="BS49" s="408"/>
      <c r="BT49" s="408"/>
      <c r="BU49" s="408"/>
      <c r="BV49" s="408">
        <v>4416.8329551831666</v>
      </c>
      <c r="BW49" s="408"/>
      <c r="BX49" s="408"/>
      <c r="BY49" s="408"/>
      <c r="BZ49" s="408"/>
      <c r="CA49" s="408"/>
      <c r="CB49" s="408"/>
      <c r="CC49" s="408"/>
      <c r="CD49" s="408"/>
      <c r="CE49" s="408"/>
      <c r="CF49" s="408"/>
      <c r="CG49" s="408"/>
      <c r="CH49" s="408"/>
      <c r="CI49" s="408">
        <v>5663.3581999999997</v>
      </c>
      <c r="CJ49" s="408">
        <v>211.19768000000022</v>
      </c>
      <c r="CK49" s="408"/>
      <c r="CL49" s="408"/>
      <c r="CM49" s="408"/>
      <c r="CN49" s="408"/>
      <c r="CO49" s="408">
        <v>-45.379440000000116</v>
      </c>
      <c r="CP49" s="408">
        <v>257.31108000000012</v>
      </c>
      <c r="CQ49" s="408">
        <v>31</v>
      </c>
      <c r="CR49" s="408">
        <v>211.86386234377005</v>
      </c>
      <c r="CS49" s="408">
        <v>0</v>
      </c>
      <c r="CT49" s="408">
        <v>0</v>
      </c>
      <c r="CU49" s="408">
        <v>0</v>
      </c>
      <c r="CV49" s="408">
        <v>0</v>
      </c>
      <c r="CW49" s="408">
        <v>0</v>
      </c>
      <c r="CX49" s="408">
        <v>0</v>
      </c>
      <c r="CY49" s="408">
        <v>0</v>
      </c>
      <c r="CZ49" s="408">
        <v>0</v>
      </c>
      <c r="DA49" s="408">
        <v>0</v>
      </c>
      <c r="DB49" s="408">
        <v>0</v>
      </c>
      <c r="DC49" s="408">
        <v>257.19569014151602</v>
      </c>
      <c r="DD49" s="408">
        <v>0</v>
      </c>
      <c r="DE49" s="408">
        <v>0</v>
      </c>
      <c r="DF49" s="408">
        <v>1.2351138623461608</v>
      </c>
      <c r="DG49" s="408">
        <v>16.731127673086235</v>
      </c>
      <c r="DH49" s="408">
        <v>0</v>
      </c>
      <c r="DI49" s="408">
        <v>-53.518409077455317</v>
      </c>
      <c r="DJ49" s="408"/>
      <c r="DK49" s="408">
        <v>0</v>
      </c>
      <c r="DL49" s="408">
        <v>0</v>
      </c>
      <c r="DM49" s="408">
        <v>0</v>
      </c>
      <c r="DN49" s="408">
        <v>0</v>
      </c>
      <c r="DO49" s="408">
        <v>-8.3923726791562672</v>
      </c>
      <c r="DP49" s="408">
        <v>-1.3872875765663188</v>
      </c>
      <c r="DQ49" s="408">
        <v>0</v>
      </c>
      <c r="DR49" s="408">
        <v>0</v>
      </c>
      <c r="DS49" s="408"/>
      <c r="DT49" s="408"/>
      <c r="DU49" s="408"/>
      <c r="DV49" s="408">
        <v>0</v>
      </c>
      <c r="DW49" s="408">
        <v>0</v>
      </c>
      <c r="DX49" s="408">
        <v>0</v>
      </c>
      <c r="DY49" s="408">
        <v>-45.379440000000159</v>
      </c>
      <c r="DZ49" s="408">
        <v>257.3110800000004</v>
      </c>
      <c r="EA49" s="408">
        <v>0</v>
      </c>
      <c r="EB49" s="408">
        <v>0</v>
      </c>
      <c r="EC49" s="408">
        <v>0</v>
      </c>
      <c r="ED49" s="408">
        <v>0</v>
      </c>
      <c r="EE49" s="408">
        <v>0</v>
      </c>
      <c r="EF49" s="408">
        <v>0</v>
      </c>
      <c r="EG49" s="408">
        <v>0</v>
      </c>
      <c r="EH49" s="408">
        <v>0</v>
      </c>
      <c r="EI49" s="408">
        <v>0</v>
      </c>
      <c r="EJ49" s="408">
        <v>0</v>
      </c>
      <c r="EK49" s="408">
        <v>0</v>
      </c>
      <c r="EL49" s="408">
        <v>0</v>
      </c>
      <c r="EM49" s="408">
        <v>0</v>
      </c>
      <c r="EN49" s="408">
        <v>0</v>
      </c>
      <c r="EO49" s="408">
        <v>0</v>
      </c>
      <c r="EP49" s="408">
        <v>0</v>
      </c>
      <c r="EQ49" s="408">
        <v>0</v>
      </c>
      <c r="ER49" s="408">
        <v>0</v>
      </c>
      <c r="ES49" s="408">
        <v>0</v>
      </c>
      <c r="ET49" s="408">
        <v>0</v>
      </c>
      <c r="EU49" s="408">
        <v>0</v>
      </c>
      <c r="EV49" s="408">
        <v>257</v>
      </c>
      <c r="EW49" s="408">
        <v>0</v>
      </c>
      <c r="EX49" s="408">
        <v>0</v>
      </c>
      <c r="EY49" s="408">
        <v>0</v>
      </c>
      <c r="EZ49" s="408"/>
      <c r="FA49" s="408">
        <v>0</v>
      </c>
      <c r="FB49" s="408"/>
      <c r="FC49" s="408"/>
      <c r="FD49" s="408"/>
      <c r="FE49" s="408"/>
      <c r="FF49" s="408">
        <v>0</v>
      </c>
      <c r="FG49" s="408">
        <v>0</v>
      </c>
      <c r="FH49" s="408">
        <v>0</v>
      </c>
      <c r="FI49" s="408">
        <v>0</v>
      </c>
    </row>
    <row r="50" spans="1:165" customFormat="1">
      <c r="A50" s="408">
        <v>48</v>
      </c>
      <c r="B50" s="408" t="s">
        <v>1035</v>
      </c>
      <c r="C50" s="408" t="s">
        <v>2241</v>
      </c>
      <c r="D50" s="408" t="s">
        <v>596</v>
      </c>
      <c r="E50" s="408" t="s">
        <v>969</v>
      </c>
      <c r="F50" s="408" t="s">
        <v>1321</v>
      </c>
      <c r="G50" s="408" t="s">
        <v>1321</v>
      </c>
      <c r="H50" s="408" t="s">
        <v>1321</v>
      </c>
      <c r="I50" s="408" t="s">
        <v>1321</v>
      </c>
      <c r="J50" s="408" t="s">
        <v>2234</v>
      </c>
      <c r="K50" s="828">
        <v>44409</v>
      </c>
      <c r="L50" s="408">
        <v>1577</v>
      </c>
      <c r="M50" s="408">
        <v>1577</v>
      </c>
      <c r="N50" s="408">
        <v>0</v>
      </c>
      <c r="O50" s="408">
        <v>0</v>
      </c>
      <c r="P50" s="408">
        <v>0</v>
      </c>
      <c r="Q50" s="408">
        <v>0</v>
      </c>
      <c r="R50" s="408">
        <v>47.39</v>
      </c>
      <c r="S50" s="408"/>
      <c r="T50" s="408"/>
      <c r="U50" s="408">
        <v>74734.03</v>
      </c>
      <c r="V50" s="408"/>
      <c r="W50" s="408">
        <v>74734.03</v>
      </c>
      <c r="X50" s="408">
        <v>50810.939999999995</v>
      </c>
      <c r="Y50" s="408">
        <v>0</v>
      </c>
      <c r="Z50" s="408">
        <v>0</v>
      </c>
      <c r="AA50" s="408">
        <v>0</v>
      </c>
      <c r="AB50" s="408">
        <v>0</v>
      </c>
      <c r="AC50" s="408">
        <v>0</v>
      </c>
      <c r="AD50" s="408">
        <v>39377.847983017411</v>
      </c>
      <c r="AE50" s="408">
        <v>35356.130646515419</v>
      </c>
      <c r="AF50" s="408"/>
      <c r="AG50" s="408"/>
      <c r="AH50" s="408"/>
      <c r="AI50" s="408">
        <v>0</v>
      </c>
      <c r="AJ50" s="408">
        <v>0</v>
      </c>
      <c r="AK50" s="408">
        <v>0</v>
      </c>
      <c r="AL50" s="408">
        <v>0</v>
      </c>
      <c r="AM50" s="408"/>
      <c r="AN50" s="408">
        <v>0</v>
      </c>
      <c r="AO50" s="408">
        <v>0</v>
      </c>
      <c r="AP50" s="408">
        <v>0</v>
      </c>
      <c r="AQ50" s="408">
        <v>0</v>
      </c>
      <c r="AR50" s="408">
        <v>0</v>
      </c>
      <c r="AS50" s="408"/>
      <c r="AT50" s="408"/>
      <c r="AU50" s="408">
        <v>0</v>
      </c>
      <c r="AV50" s="408">
        <v>0</v>
      </c>
      <c r="AW50" s="408">
        <v>0</v>
      </c>
      <c r="AX50" s="408"/>
      <c r="AY50" s="408"/>
      <c r="AZ50" s="408">
        <v>0</v>
      </c>
      <c r="BA50" s="408"/>
      <c r="BB50" s="408">
        <v>0</v>
      </c>
      <c r="BC50" s="408">
        <v>0</v>
      </c>
      <c r="BD50" s="408">
        <v>0</v>
      </c>
      <c r="BE50" s="408">
        <v>0</v>
      </c>
      <c r="BF50" s="408"/>
      <c r="BG50" s="408">
        <v>0</v>
      </c>
      <c r="BH50" s="408">
        <v>0</v>
      </c>
      <c r="BI50" s="408">
        <v>197.94</v>
      </c>
      <c r="BJ50" s="408">
        <v>69.53</v>
      </c>
      <c r="BK50" s="408">
        <v>30297.09</v>
      </c>
      <c r="BL50" s="408">
        <v>12</v>
      </c>
      <c r="BM50" s="408"/>
      <c r="BN50" s="408"/>
      <c r="BO50" s="408"/>
      <c r="BP50" s="408"/>
      <c r="BQ50" s="408"/>
      <c r="BR50" s="408"/>
      <c r="BS50" s="408"/>
      <c r="BT50" s="408"/>
      <c r="BU50" s="408"/>
      <c r="BV50" s="408">
        <v>0</v>
      </c>
      <c r="BW50" s="408"/>
      <c r="BX50" s="408"/>
      <c r="BY50" s="408"/>
      <c r="BZ50" s="408"/>
      <c r="CA50" s="408"/>
      <c r="CB50" s="408"/>
      <c r="CC50" s="408"/>
      <c r="CD50" s="408"/>
      <c r="CE50" s="408"/>
      <c r="CF50" s="408"/>
      <c r="CG50" s="408"/>
      <c r="CH50" s="408"/>
      <c r="CI50" s="408">
        <v>50810.939999999995</v>
      </c>
      <c r="CJ50" s="408">
        <v>-23923.119999999988</v>
      </c>
      <c r="CK50" s="408"/>
      <c r="CL50" s="408"/>
      <c r="CM50" s="408"/>
      <c r="CN50" s="408"/>
      <c r="CO50" s="408">
        <v>-23923.090000000004</v>
      </c>
      <c r="CP50" s="408">
        <v>0</v>
      </c>
      <c r="CQ50" s="408">
        <v>31</v>
      </c>
      <c r="CR50" s="408">
        <v>-177.99034956318064</v>
      </c>
      <c r="CS50" s="408">
        <v>0</v>
      </c>
      <c r="CT50" s="408">
        <v>0</v>
      </c>
      <c r="CU50" s="408">
        <v>0</v>
      </c>
      <c r="CV50" s="408">
        <v>0</v>
      </c>
      <c r="CW50" s="408"/>
      <c r="CX50" s="408"/>
      <c r="CY50" s="408"/>
      <c r="CZ50" s="408">
        <v>-177.99034956318064</v>
      </c>
      <c r="DA50" s="408">
        <v>0</v>
      </c>
      <c r="DB50" s="408">
        <v>0</v>
      </c>
      <c r="DC50" s="408"/>
      <c r="DD50" s="408"/>
      <c r="DE50" s="408">
        <v>0</v>
      </c>
      <c r="DF50" s="408">
        <v>0</v>
      </c>
      <c r="DG50" s="408">
        <v>0</v>
      </c>
      <c r="DH50" s="408">
        <v>0</v>
      </c>
      <c r="DI50" s="408">
        <v>0</v>
      </c>
      <c r="DJ50" s="408"/>
      <c r="DK50" s="408">
        <v>0</v>
      </c>
      <c r="DL50" s="408">
        <v>0</v>
      </c>
      <c r="DM50" s="408"/>
      <c r="DN50" s="408">
        <v>0</v>
      </c>
      <c r="DO50" s="408">
        <v>0</v>
      </c>
      <c r="DP50" s="408">
        <v>0</v>
      </c>
      <c r="DQ50" s="408">
        <v>0</v>
      </c>
      <c r="DR50" s="408">
        <v>0</v>
      </c>
      <c r="DS50" s="408"/>
      <c r="DT50" s="408"/>
      <c r="DU50" s="408">
        <v>35356.130646515419</v>
      </c>
      <c r="DV50" s="408"/>
      <c r="DW50" s="408">
        <v>0</v>
      </c>
      <c r="DX50" s="408">
        <v>0</v>
      </c>
      <c r="DY50" s="408">
        <v>-23923.090000000004</v>
      </c>
      <c r="DZ50" s="408"/>
      <c r="EA50" s="408">
        <v>0</v>
      </c>
      <c r="EB50" s="408"/>
      <c r="EC50" s="408">
        <v>-23747.817331664097</v>
      </c>
      <c r="ED50" s="408"/>
      <c r="EE50" s="408">
        <v>0</v>
      </c>
      <c r="EF50" s="408">
        <v>0</v>
      </c>
      <c r="EG50" s="408"/>
      <c r="EH50" s="408">
        <v>0</v>
      </c>
      <c r="EI50" s="408">
        <v>0</v>
      </c>
      <c r="EJ50" s="408">
        <v>0</v>
      </c>
      <c r="EK50" s="408">
        <v>0</v>
      </c>
      <c r="EL50" s="408">
        <v>0</v>
      </c>
      <c r="EM50" s="408"/>
      <c r="EN50" s="408"/>
      <c r="EO50" s="408">
        <v>0</v>
      </c>
      <c r="EP50" s="408">
        <v>0</v>
      </c>
      <c r="EQ50" s="408"/>
      <c r="ER50" s="408">
        <v>0</v>
      </c>
      <c r="ES50" s="408"/>
      <c r="ET50" s="408">
        <v>0</v>
      </c>
      <c r="EU50" s="408"/>
      <c r="EV50" s="408">
        <v>257</v>
      </c>
      <c r="EW50" s="408"/>
      <c r="EX50" s="408"/>
      <c r="EY50" s="408"/>
      <c r="EZ50" s="408"/>
      <c r="FA50" s="408">
        <v>0</v>
      </c>
      <c r="FB50" s="408"/>
      <c r="FC50" s="408"/>
      <c r="FD50" s="408"/>
      <c r="FE50" s="408"/>
      <c r="FF50" s="408">
        <v>0</v>
      </c>
      <c r="FG50" s="408">
        <v>0</v>
      </c>
      <c r="FH50" s="408">
        <v>0</v>
      </c>
      <c r="FI50" s="408">
        <v>0</v>
      </c>
    </row>
    <row r="51" spans="1:165" customFormat="1">
      <c r="A51" s="408">
        <v>49</v>
      </c>
      <c r="B51" s="408" t="s">
        <v>2236</v>
      </c>
      <c r="C51" s="408" t="s">
        <v>2241</v>
      </c>
      <c r="D51" s="408" t="s">
        <v>596</v>
      </c>
      <c r="E51" s="408" t="s">
        <v>969</v>
      </c>
      <c r="F51" s="408" t="s">
        <v>1321</v>
      </c>
      <c r="G51" s="408" t="s">
        <v>1321</v>
      </c>
      <c r="H51" s="408" t="s">
        <v>1321</v>
      </c>
      <c r="I51" s="408" t="s">
        <v>1321</v>
      </c>
      <c r="J51" s="408" t="s">
        <v>2234</v>
      </c>
      <c r="K51" s="828">
        <v>44409</v>
      </c>
      <c r="L51" s="408">
        <v>576</v>
      </c>
      <c r="M51" s="408">
        <v>576</v>
      </c>
      <c r="N51" s="408">
        <v>0</v>
      </c>
      <c r="O51" s="408">
        <v>0</v>
      </c>
      <c r="P51" s="408">
        <v>0</v>
      </c>
      <c r="Q51" s="408">
        <v>0</v>
      </c>
      <c r="R51" s="408">
        <v>47.39</v>
      </c>
      <c r="S51" s="408"/>
      <c r="T51" s="408"/>
      <c r="U51" s="408">
        <v>27296.639999999999</v>
      </c>
      <c r="V51" s="408"/>
      <c r="W51" s="408">
        <v>27296.639999999999</v>
      </c>
      <c r="X51" s="408">
        <v>18558.72</v>
      </c>
      <c r="Y51" s="408">
        <v>0</v>
      </c>
      <c r="Z51" s="408">
        <v>0</v>
      </c>
      <c r="AA51" s="408">
        <v>0</v>
      </c>
      <c r="AB51" s="408">
        <v>0</v>
      </c>
      <c r="AC51" s="408">
        <v>0</v>
      </c>
      <c r="AD51" s="408">
        <v>14382.777703372243</v>
      </c>
      <c r="AE51" s="408">
        <v>12913.843533540192</v>
      </c>
      <c r="AF51" s="408"/>
      <c r="AG51" s="408"/>
      <c r="AH51" s="408"/>
      <c r="AI51" s="408">
        <v>0</v>
      </c>
      <c r="AJ51" s="408">
        <v>0</v>
      </c>
      <c r="AK51" s="408">
        <v>0</v>
      </c>
      <c r="AL51" s="408">
        <v>0</v>
      </c>
      <c r="AM51" s="408"/>
      <c r="AN51" s="408">
        <v>0</v>
      </c>
      <c r="AO51" s="408">
        <v>0</v>
      </c>
      <c r="AP51" s="408">
        <v>0</v>
      </c>
      <c r="AQ51" s="408">
        <v>0</v>
      </c>
      <c r="AR51" s="408">
        <v>0</v>
      </c>
      <c r="AS51" s="408"/>
      <c r="AT51" s="408"/>
      <c r="AU51" s="408">
        <v>0</v>
      </c>
      <c r="AV51" s="408">
        <v>0</v>
      </c>
      <c r="AW51" s="408">
        <v>0</v>
      </c>
      <c r="AX51" s="408"/>
      <c r="AY51" s="408"/>
      <c r="AZ51" s="408">
        <v>0</v>
      </c>
      <c r="BA51" s="408"/>
      <c r="BB51" s="408">
        <v>0</v>
      </c>
      <c r="BC51" s="408">
        <v>0</v>
      </c>
      <c r="BD51" s="408">
        <v>0</v>
      </c>
      <c r="BE51" s="408">
        <v>0</v>
      </c>
      <c r="BF51" s="408"/>
      <c r="BG51" s="408">
        <v>0</v>
      </c>
      <c r="BH51" s="408">
        <v>0</v>
      </c>
      <c r="BI51" s="408">
        <v>35.869999999999997</v>
      </c>
      <c r="BJ51" s="408">
        <v>12.62</v>
      </c>
      <c r="BK51" s="408">
        <v>6023.65</v>
      </c>
      <c r="BL51" s="408">
        <v>3</v>
      </c>
      <c r="BM51" s="408"/>
      <c r="BN51" s="408"/>
      <c r="BO51" s="408"/>
      <c r="BP51" s="408"/>
      <c r="BQ51" s="408"/>
      <c r="BR51" s="408"/>
      <c r="BS51" s="408"/>
      <c r="BT51" s="408"/>
      <c r="BU51" s="408"/>
      <c r="BV51" s="408">
        <v>0</v>
      </c>
      <c r="BW51" s="408"/>
      <c r="BX51" s="408"/>
      <c r="BY51" s="408"/>
      <c r="BZ51" s="408"/>
      <c r="CA51" s="408"/>
      <c r="CB51" s="408"/>
      <c r="CC51" s="408"/>
      <c r="CD51" s="408"/>
      <c r="CE51" s="408"/>
      <c r="CF51" s="408"/>
      <c r="CG51" s="408"/>
      <c r="CH51" s="408"/>
      <c r="CI51" s="408">
        <v>18558.72</v>
      </c>
      <c r="CJ51" s="408">
        <v>-8737.9499999999935</v>
      </c>
      <c r="CK51" s="408"/>
      <c r="CL51" s="408"/>
      <c r="CM51" s="408"/>
      <c r="CN51" s="408"/>
      <c r="CO51" s="408">
        <v>-8737.9200000000019</v>
      </c>
      <c r="CP51" s="408">
        <v>0</v>
      </c>
      <c r="CQ51" s="408">
        <v>31</v>
      </c>
      <c r="CR51" s="408">
        <v>-65.011059827769714</v>
      </c>
      <c r="CS51" s="408">
        <v>0</v>
      </c>
      <c r="CT51" s="408">
        <v>0</v>
      </c>
      <c r="CU51" s="408">
        <v>0</v>
      </c>
      <c r="CV51" s="408">
        <v>0</v>
      </c>
      <c r="CW51" s="408"/>
      <c r="CX51" s="408"/>
      <c r="CY51" s="408"/>
      <c r="CZ51" s="408">
        <v>-65.011059827769714</v>
      </c>
      <c r="DA51" s="408">
        <v>0</v>
      </c>
      <c r="DB51" s="408">
        <v>0</v>
      </c>
      <c r="DC51" s="408"/>
      <c r="DD51" s="408"/>
      <c r="DE51" s="408">
        <v>0</v>
      </c>
      <c r="DF51" s="408">
        <v>0</v>
      </c>
      <c r="DG51" s="408">
        <v>0</v>
      </c>
      <c r="DH51" s="408">
        <v>0</v>
      </c>
      <c r="DI51" s="408">
        <v>0</v>
      </c>
      <c r="DJ51" s="408"/>
      <c r="DK51" s="408">
        <v>0</v>
      </c>
      <c r="DL51" s="408">
        <v>0</v>
      </c>
      <c r="DM51" s="408"/>
      <c r="DN51" s="408">
        <v>0</v>
      </c>
      <c r="DO51" s="408">
        <v>0</v>
      </c>
      <c r="DP51" s="408">
        <v>0</v>
      </c>
      <c r="DQ51" s="408">
        <v>0</v>
      </c>
      <c r="DR51" s="408">
        <v>0</v>
      </c>
      <c r="DS51" s="408"/>
      <c r="DT51" s="408"/>
      <c r="DU51" s="408">
        <v>12913.843533540192</v>
      </c>
      <c r="DV51" s="408"/>
      <c r="DW51" s="408">
        <v>0</v>
      </c>
      <c r="DX51" s="408">
        <v>0</v>
      </c>
      <c r="DY51" s="408">
        <v>-8737.9199999999983</v>
      </c>
      <c r="DZ51" s="408"/>
      <c r="EA51" s="408">
        <v>0</v>
      </c>
      <c r="EB51" s="408"/>
      <c r="EC51" s="408">
        <v>-8673.9015745329871</v>
      </c>
      <c r="ED51" s="408"/>
      <c r="EE51" s="408">
        <v>0</v>
      </c>
      <c r="EF51" s="408">
        <v>0</v>
      </c>
      <c r="EG51" s="408"/>
      <c r="EH51" s="408">
        <v>0</v>
      </c>
      <c r="EI51" s="408">
        <v>0</v>
      </c>
      <c r="EJ51" s="408">
        <v>0</v>
      </c>
      <c r="EK51" s="408">
        <v>0</v>
      </c>
      <c r="EL51" s="408">
        <v>0</v>
      </c>
      <c r="EM51" s="408"/>
      <c r="EN51" s="408"/>
      <c r="EO51" s="408">
        <v>0</v>
      </c>
      <c r="EP51" s="408">
        <v>0</v>
      </c>
      <c r="EQ51" s="408"/>
      <c r="ER51" s="408">
        <v>0</v>
      </c>
      <c r="ES51" s="408"/>
      <c r="ET51" s="408">
        <v>0</v>
      </c>
      <c r="EU51" s="408"/>
      <c r="EV51" s="408">
        <v>257</v>
      </c>
      <c r="EW51" s="408"/>
      <c r="EX51" s="408"/>
      <c r="EY51" s="408"/>
      <c r="EZ51" s="408"/>
      <c r="FA51" s="408">
        <v>0</v>
      </c>
      <c r="FB51" s="408"/>
      <c r="FC51" s="408"/>
      <c r="FD51" s="408"/>
      <c r="FE51" s="408"/>
      <c r="FF51" s="408">
        <v>0</v>
      </c>
      <c r="FG51" s="408">
        <v>0</v>
      </c>
      <c r="FH51" s="408">
        <v>0</v>
      </c>
      <c r="FI51" s="408">
        <v>0</v>
      </c>
    </row>
    <row r="52" spans="1:165" customFormat="1">
      <c r="A52" s="408">
        <v>50</v>
      </c>
      <c r="B52" s="408" t="s">
        <v>1035</v>
      </c>
      <c r="C52" s="408" t="s">
        <v>2233</v>
      </c>
      <c r="D52" s="408" t="s">
        <v>1958</v>
      </c>
      <c r="E52" s="408" t="s">
        <v>997</v>
      </c>
      <c r="F52" s="408" t="s">
        <v>1321</v>
      </c>
      <c r="G52" s="408" t="s">
        <v>1321</v>
      </c>
      <c r="H52" s="408" t="s">
        <v>1321</v>
      </c>
      <c r="I52" s="408" t="s">
        <v>1321</v>
      </c>
      <c r="J52" s="408" t="s">
        <v>2234</v>
      </c>
      <c r="K52" s="828">
        <v>44409</v>
      </c>
      <c r="L52" s="408">
        <v>0</v>
      </c>
      <c r="M52" s="408">
        <v>0</v>
      </c>
      <c r="N52" s="408">
        <v>289.86799999999999</v>
      </c>
      <c r="O52" s="408">
        <v>289.86799999999999</v>
      </c>
      <c r="P52" s="408">
        <v>289.86799999999999</v>
      </c>
      <c r="Q52" s="408">
        <v>289.86799999999999</v>
      </c>
      <c r="R52" s="408"/>
      <c r="S52" s="408">
        <v>710.91</v>
      </c>
      <c r="T52" s="408">
        <v>256.55</v>
      </c>
      <c r="U52" s="408"/>
      <c r="V52" s="408">
        <v>280435.69527999999</v>
      </c>
      <c r="W52" s="408">
        <v>280435.69527999999</v>
      </c>
      <c r="X52" s="408">
        <v>191437.52324000001</v>
      </c>
      <c r="Y52" s="408">
        <v>0</v>
      </c>
      <c r="Z52" s="408">
        <v>17819.542947465205</v>
      </c>
      <c r="AA52" s="408">
        <v>0</v>
      </c>
      <c r="AB52" s="408">
        <v>0</v>
      </c>
      <c r="AC52" s="408">
        <v>0</v>
      </c>
      <c r="AD52" s="408">
        <v>35677.762114723831</v>
      </c>
      <c r="AE52" s="408">
        <v>138240.96576059426</v>
      </c>
      <c r="AF52" s="408">
        <v>74366.366369426454</v>
      </c>
      <c r="AG52" s="408">
        <v>0</v>
      </c>
      <c r="AH52" s="408">
        <v>0</v>
      </c>
      <c r="AI52" s="408">
        <v>0</v>
      </c>
      <c r="AJ52" s="408">
        <v>0</v>
      </c>
      <c r="AK52" s="408">
        <v>0</v>
      </c>
      <c r="AL52" s="408">
        <v>2754.9819262566702</v>
      </c>
      <c r="AM52" s="408"/>
      <c r="AN52" s="408">
        <v>636.49350121894952</v>
      </c>
      <c r="AO52" s="408">
        <v>0</v>
      </c>
      <c r="AP52" s="408">
        <v>0</v>
      </c>
      <c r="AQ52" s="408">
        <v>0</v>
      </c>
      <c r="AR52" s="408">
        <v>0</v>
      </c>
      <c r="AS52" s="408">
        <v>0</v>
      </c>
      <c r="AT52" s="408">
        <v>0</v>
      </c>
      <c r="AU52" s="408">
        <v>0</v>
      </c>
      <c r="AV52" s="408">
        <v>0</v>
      </c>
      <c r="AW52" s="408">
        <v>0</v>
      </c>
      <c r="AX52" s="408">
        <v>0</v>
      </c>
      <c r="AY52" s="408">
        <v>0</v>
      </c>
      <c r="AZ52" s="408">
        <v>0</v>
      </c>
      <c r="BA52" s="408"/>
      <c r="BB52" s="408">
        <v>0</v>
      </c>
      <c r="BC52" s="408">
        <v>0</v>
      </c>
      <c r="BD52" s="408">
        <v>431.99617344992259</v>
      </c>
      <c r="BE52" s="408">
        <v>0</v>
      </c>
      <c r="BF52" s="408">
        <v>0</v>
      </c>
      <c r="BG52" s="408">
        <v>10508.701210604828</v>
      </c>
      <c r="BH52" s="408">
        <v>0</v>
      </c>
      <c r="BI52" s="408">
        <v>329.69</v>
      </c>
      <c r="BJ52" s="408">
        <v>117.82</v>
      </c>
      <c r="BK52" s="408">
        <v>89268.15</v>
      </c>
      <c r="BL52" s="408">
        <v>880</v>
      </c>
      <c r="BM52" s="408"/>
      <c r="BN52" s="408"/>
      <c r="BO52" s="408"/>
      <c r="BP52" s="408"/>
      <c r="BQ52" s="408"/>
      <c r="BR52" s="408"/>
      <c r="BS52" s="408"/>
      <c r="BT52" s="408"/>
      <c r="BU52" s="408"/>
      <c r="BV52" s="408">
        <v>85307.063753481198</v>
      </c>
      <c r="BW52" s="408"/>
      <c r="BX52" s="408"/>
      <c r="BY52" s="408"/>
      <c r="BZ52" s="408"/>
      <c r="CA52" s="408"/>
      <c r="CB52" s="408"/>
      <c r="CC52" s="408"/>
      <c r="CD52" s="408"/>
      <c r="CE52" s="408"/>
      <c r="CF52" s="408"/>
      <c r="CG52" s="408"/>
      <c r="CH52" s="408"/>
      <c r="CI52" s="408">
        <v>191438.84409999999</v>
      </c>
      <c r="CJ52" s="408">
        <v>-88996.881180000026</v>
      </c>
      <c r="CK52" s="408"/>
      <c r="CL52" s="408"/>
      <c r="CM52" s="408"/>
      <c r="CN52" s="408"/>
      <c r="CO52" s="408">
        <v>-93633.161359999998</v>
      </c>
      <c r="CP52" s="408">
        <v>4634.9893200000024</v>
      </c>
      <c r="CQ52" s="408">
        <v>31</v>
      </c>
      <c r="CR52" s="408">
        <v>3853.2982663384755</v>
      </c>
      <c r="CS52" s="408">
        <v>0</v>
      </c>
      <c r="CT52" s="408">
        <v>0</v>
      </c>
      <c r="CU52" s="408">
        <v>0</v>
      </c>
      <c r="CV52" s="408">
        <v>0</v>
      </c>
      <c r="CW52" s="408">
        <v>0</v>
      </c>
      <c r="CX52" s="408">
        <v>0</v>
      </c>
      <c r="CY52" s="408">
        <v>0</v>
      </c>
      <c r="CZ52" s="408">
        <v>-161.2657287205875</v>
      </c>
      <c r="DA52" s="408">
        <v>0</v>
      </c>
      <c r="DB52" s="408">
        <v>0</v>
      </c>
      <c r="DC52" s="408">
        <v>4632.9107823726663</v>
      </c>
      <c r="DD52" s="408">
        <v>0</v>
      </c>
      <c r="DE52" s="408">
        <v>0</v>
      </c>
      <c r="DF52" s="408">
        <v>26.912700292194529</v>
      </c>
      <c r="DG52" s="408">
        <v>654.67599836046065</v>
      </c>
      <c r="DH52" s="408">
        <v>0</v>
      </c>
      <c r="DI52" s="408">
        <v>-1108.087848496416</v>
      </c>
      <c r="DJ52" s="408"/>
      <c r="DK52" s="408">
        <v>0</v>
      </c>
      <c r="DL52" s="408">
        <v>0</v>
      </c>
      <c r="DM52" s="408">
        <v>0</v>
      </c>
      <c r="DN52" s="408">
        <v>0</v>
      </c>
      <c r="DO52" s="408">
        <v>-151.17327142441445</v>
      </c>
      <c r="DP52" s="408">
        <v>-40.674366045430133</v>
      </c>
      <c r="DQ52" s="408">
        <v>0</v>
      </c>
      <c r="DR52" s="408">
        <v>0</v>
      </c>
      <c r="DS52" s="408"/>
      <c r="DT52" s="408"/>
      <c r="DU52" s="408"/>
      <c r="DV52" s="408">
        <v>138240.96576059426</v>
      </c>
      <c r="DW52" s="408">
        <v>0</v>
      </c>
      <c r="DX52" s="408">
        <v>0</v>
      </c>
      <c r="DY52" s="408">
        <v>-93633.161359999998</v>
      </c>
      <c r="DZ52" s="408">
        <v>4634.9893200000079</v>
      </c>
      <c r="EA52" s="408">
        <v>0</v>
      </c>
      <c r="EB52" s="408">
        <v>0</v>
      </c>
      <c r="EC52" s="408">
        <v>-92852.954851239585</v>
      </c>
      <c r="ED52" s="408">
        <v>0</v>
      </c>
      <c r="EE52" s="408">
        <v>0</v>
      </c>
      <c r="EF52" s="408">
        <v>0</v>
      </c>
      <c r="EG52" s="408">
        <v>0</v>
      </c>
      <c r="EH52" s="408">
        <v>0</v>
      </c>
      <c r="EI52" s="408">
        <v>0</v>
      </c>
      <c r="EJ52" s="408">
        <v>0</v>
      </c>
      <c r="EK52" s="408">
        <v>0</v>
      </c>
      <c r="EL52" s="408">
        <v>0</v>
      </c>
      <c r="EM52" s="408">
        <v>0</v>
      </c>
      <c r="EN52" s="408">
        <v>0</v>
      </c>
      <c r="EO52" s="408">
        <v>0</v>
      </c>
      <c r="EP52" s="408">
        <v>0</v>
      </c>
      <c r="EQ52" s="408">
        <v>0</v>
      </c>
      <c r="ER52" s="408">
        <v>0</v>
      </c>
      <c r="ES52" s="408">
        <v>0</v>
      </c>
      <c r="ET52" s="408">
        <v>0</v>
      </c>
      <c r="EU52" s="408">
        <v>0</v>
      </c>
      <c r="EV52" s="408">
        <v>257</v>
      </c>
      <c r="EW52" s="408">
        <v>0</v>
      </c>
      <c r="EX52" s="408">
        <v>0</v>
      </c>
      <c r="EY52" s="408">
        <v>0</v>
      </c>
      <c r="EZ52" s="408"/>
      <c r="FA52" s="408">
        <v>0</v>
      </c>
      <c r="FB52" s="408"/>
      <c r="FC52" s="408"/>
      <c r="FD52" s="408"/>
      <c r="FE52" s="408"/>
      <c r="FF52" s="408">
        <v>0</v>
      </c>
      <c r="FG52" s="408">
        <v>0</v>
      </c>
      <c r="FH52" s="408">
        <v>0</v>
      </c>
      <c r="FI52" s="408">
        <v>0</v>
      </c>
    </row>
    <row r="53" spans="1:165" customFormat="1">
      <c r="A53" s="408">
        <v>51</v>
      </c>
      <c r="B53" s="408" t="s">
        <v>2235</v>
      </c>
      <c r="C53" s="408" t="s">
        <v>2233</v>
      </c>
      <c r="D53" s="408" t="s">
        <v>1958</v>
      </c>
      <c r="E53" s="408" t="s">
        <v>997</v>
      </c>
      <c r="F53" s="408" t="s">
        <v>1321</v>
      </c>
      <c r="G53" s="408" t="s">
        <v>1321</v>
      </c>
      <c r="H53" s="408" t="s">
        <v>1321</v>
      </c>
      <c r="I53" s="408" t="s">
        <v>1321</v>
      </c>
      <c r="J53" s="408" t="s">
        <v>2234</v>
      </c>
      <c r="K53" s="828">
        <v>44409</v>
      </c>
      <c r="L53" s="408">
        <v>0</v>
      </c>
      <c r="M53" s="408">
        <v>0</v>
      </c>
      <c r="N53" s="408">
        <v>-1.032</v>
      </c>
      <c r="O53" s="408">
        <v>-1.032</v>
      </c>
      <c r="P53" s="408">
        <v>-1.032</v>
      </c>
      <c r="Q53" s="408">
        <v>-1.032</v>
      </c>
      <c r="R53" s="408"/>
      <c r="S53" s="408">
        <v>710.91</v>
      </c>
      <c r="T53" s="408">
        <v>256.55</v>
      </c>
      <c r="U53" s="408"/>
      <c r="V53" s="408">
        <v>-998.41872000000012</v>
      </c>
      <c r="W53" s="408">
        <v>-998.41872000000012</v>
      </c>
      <c r="X53" s="408">
        <v>-681.56376</v>
      </c>
      <c r="Y53" s="408">
        <v>0</v>
      </c>
      <c r="Z53" s="408">
        <v>-63.441871202699474</v>
      </c>
      <c r="AA53" s="408">
        <v>0</v>
      </c>
      <c r="AB53" s="408">
        <v>0</v>
      </c>
      <c r="AC53" s="408">
        <v>0</v>
      </c>
      <c r="AD53" s="408">
        <v>-127.0214390770799</v>
      </c>
      <c r="AE53" s="408">
        <v>-492.17118365922857</v>
      </c>
      <c r="AF53" s="408">
        <v>-264.76220242747769</v>
      </c>
      <c r="AG53" s="408">
        <v>0</v>
      </c>
      <c r="AH53" s="408">
        <v>0</v>
      </c>
      <c r="AI53" s="408">
        <v>0</v>
      </c>
      <c r="AJ53" s="408">
        <v>0</v>
      </c>
      <c r="AK53" s="408">
        <v>0</v>
      </c>
      <c r="AL53" s="408">
        <v>-9.8084001955955245</v>
      </c>
      <c r="AM53" s="408"/>
      <c r="AN53" s="408">
        <v>-2.2660703950003307</v>
      </c>
      <c r="AO53" s="408">
        <v>0</v>
      </c>
      <c r="AP53" s="408">
        <v>0</v>
      </c>
      <c r="AQ53" s="408">
        <v>0</v>
      </c>
      <c r="AR53" s="408">
        <v>0</v>
      </c>
      <c r="AS53" s="408">
        <v>0</v>
      </c>
      <c r="AT53" s="408">
        <v>0</v>
      </c>
      <c r="AU53" s="408">
        <v>0</v>
      </c>
      <c r="AV53" s="408">
        <v>0</v>
      </c>
      <c r="AW53" s="408">
        <v>0</v>
      </c>
      <c r="AX53" s="408">
        <v>0</v>
      </c>
      <c r="AY53" s="408">
        <v>0</v>
      </c>
      <c r="AZ53" s="408">
        <v>0</v>
      </c>
      <c r="BA53" s="408"/>
      <c r="BB53" s="408">
        <v>0</v>
      </c>
      <c r="BC53" s="408">
        <v>0</v>
      </c>
      <c r="BD53" s="408">
        <v>-1.5380105806792064</v>
      </c>
      <c r="BE53" s="408">
        <v>0</v>
      </c>
      <c r="BF53" s="408">
        <v>0</v>
      </c>
      <c r="BG53" s="408">
        <v>-37.41351114764025</v>
      </c>
      <c r="BH53" s="408">
        <v>0</v>
      </c>
      <c r="BI53" s="408">
        <v>-1</v>
      </c>
      <c r="BJ53" s="408">
        <v>-0.4</v>
      </c>
      <c r="BK53" s="408">
        <v>-294.05</v>
      </c>
      <c r="BL53" s="408">
        <v>0</v>
      </c>
      <c r="BM53" s="408"/>
      <c r="BN53" s="408"/>
      <c r="BO53" s="408"/>
      <c r="BP53" s="408"/>
      <c r="BQ53" s="408"/>
      <c r="BR53" s="408"/>
      <c r="BS53" s="408"/>
      <c r="BT53" s="408"/>
      <c r="BU53" s="408"/>
      <c r="BV53" s="408">
        <v>-303.71372415579714</v>
      </c>
      <c r="BW53" s="408"/>
      <c r="BX53" s="408"/>
      <c r="BY53" s="408"/>
      <c r="BZ53" s="408"/>
      <c r="CA53" s="408"/>
      <c r="CB53" s="408"/>
      <c r="CC53" s="408"/>
      <c r="CD53" s="408"/>
      <c r="CE53" s="408"/>
      <c r="CF53" s="408"/>
      <c r="CG53" s="408"/>
      <c r="CH53" s="408"/>
      <c r="CI53" s="408">
        <v>-680.24289999999996</v>
      </c>
      <c r="CJ53" s="408">
        <v>318.14582000000019</v>
      </c>
      <c r="CK53" s="408"/>
      <c r="CL53" s="408"/>
      <c r="CM53" s="408"/>
      <c r="CN53" s="408"/>
      <c r="CO53" s="408">
        <v>333.35663999999997</v>
      </c>
      <c r="CP53" s="408">
        <v>-16.501680000000011</v>
      </c>
      <c r="CQ53" s="408">
        <v>31</v>
      </c>
      <c r="CR53" s="408">
        <v>-13.718671294731735</v>
      </c>
      <c r="CS53" s="408">
        <v>0</v>
      </c>
      <c r="CT53" s="408">
        <v>0</v>
      </c>
      <c r="CU53" s="408">
        <v>0</v>
      </c>
      <c r="CV53" s="408">
        <v>0</v>
      </c>
      <c r="CW53" s="408">
        <v>0</v>
      </c>
      <c r="CX53" s="408">
        <v>0</v>
      </c>
      <c r="CY53" s="408">
        <v>0</v>
      </c>
      <c r="CZ53" s="408">
        <v>0.57414489367451438</v>
      </c>
      <c r="DA53" s="408">
        <v>0</v>
      </c>
      <c r="DB53" s="408">
        <v>0</v>
      </c>
      <c r="DC53" s="408">
        <v>-16.494279904675864</v>
      </c>
      <c r="DD53" s="408">
        <v>0</v>
      </c>
      <c r="DE53" s="408">
        <v>0</v>
      </c>
      <c r="DF53" s="408">
        <v>-9.5815704739897756E-2</v>
      </c>
      <c r="DG53" s="408">
        <v>-2.3308044706831836</v>
      </c>
      <c r="DH53" s="408">
        <v>0</v>
      </c>
      <c r="DI53" s="408">
        <v>3.9450600261094664</v>
      </c>
      <c r="DJ53" s="408"/>
      <c r="DK53" s="408">
        <v>0</v>
      </c>
      <c r="DL53" s="408">
        <v>0</v>
      </c>
      <c r="DM53" s="408">
        <v>0</v>
      </c>
      <c r="DN53" s="408">
        <v>0</v>
      </c>
      <c r="DO53" s="408">
        <v>0.53821331126580141</v>
      </c>
      <c r="DP53" s="408">
        <v>0.14481055431742673</v>
      </c>
      <c r="DQ53" s="408">
        <v>0</v>
      </c>
      <c r="DR53" s="408">
        <v>0</v>
      </c>
      <c r="DS53" s="408"/>
      <c r="DT53" s="408"/>
      <c r="DU53" s="408"/>
      <c r="DV53" s="408">
        <v>-492.17118365922857</v>
      </c>
      <c r="DW53" s="408">
        <v>0</v>
      </c>
      <c r="DX53" s="408">
        <v>0</v>
      </c>
      <c r="DY53" s="408">
        <v>333.35664000000003</v>
      </c>
      <c r="DZ53" s="408">
        <v>-16.501680000000022</v>
      </c>
      <c r="EA53" s="408">
        <v>0</v>
      </c>
      <c r="EB53" s="408">
        <v>0</v>
      </c>
      <c r="EC53" s="408">
        <v>330.57891663267151</v>
      </c>
      <c r="ED53" s="408">
        <v>0</v>
      </c>
      <c r="EE53" s="408">
        <v>0</v>
      </c>
      <c r="EF53" s="408">
        <v>0</v>
      </c>
      <c r="EG53" s="408">
        <v>0</v>
      </c>
      <c r="EH53" s="408">
        <v>0</v>
      </c>
      <c r="EI53" s="408">
        <v>0</v>
      </c>
      <c r="EJ53" s="408">
        <v>0</v>
      </c>
      <c r="EK53" s="408">
        <v>0</v>
      </c>
      <c r="EL53" s="408">
        <v>0</v>
      </c>
      <c r="EM53" s="408">
        <v>0</v>
      </c>
      <c r="EN53" s="408">
        <v>0</v>
      </c>
      <c r="EO53" s="408">
        <v>0</v>
      </c>
      <c r="EP53" s="408">
        <v>0</v>
      </c>
      <c r="EQ53" s="408">
        <v>0</v>
      </c>
      <c r="ER53" s="408">
        <v>0</v>
      </c>
      <c r="ES53" s="408">
        <v>0</v>
      </c>
      <c r="ET53" s="408">
        <v>0</v>
      </c>
      <c r="EU53" s="408">
        <v>0</v>
      </c>
      <c r="EV53" s="408">
        <v>257</v>
      </c>
      <c r="EW53" s="408">
        <v>0</v>
      </c>
      <c r="EX53" s="408">
        <v>0</v>
      </c>
      <c r="EY53" s="408">
        <v>0</v>
      </c>
      <c r="EZ53" s="408"/>
      <c r="FA53" s="408">
        <v>0</v>
      </c>
      <c r="FB53" s="408"/>
      <c r="FC53" s="408"/>
      <c r="FD53" s="408"/>
      <c r="FE53" s="408"/>
      <c r="FF53" s="408">
        <v>0</v>
      </c>
      <c r="FG53" s="408">
        <v>0</v>
      </c>
      <c r="FH53" s="408">
        <v>0</v>
      </c>
      <c r="FI53" s="408">
        <v>0</v>
      </c>
    </row>
    <row r="54" spans="1:165" customFormat="1">
      <c r="A54" s="408">
        <v>52</v>
      </c>
      <c r="B54" s="408" t="s">
        <v>2236</v>
      </c>
      <c r="C54" s="408" t="s">
        <v>2233</v>
      </c>
      <c r="D54" s="408" t="s">
        <v>1958</v>
      </c>
      <c r="E54" s="408" t="s">
        <v>997</v>
      </c>
      <c r="F54" s="408" t="s">
        <v>1321</v>
      </c>
      <c r="G54" s="408" t="s">
        <v>1321</v>
      </c>
      <c r="H54" s="408" t="s">
        <v>1321</v>
      </c>
      <c r="I54" s="408" t="s">
        <v>1321</v>
      </c>
      <c r="J54" s="408" t="s">
        <v>2234</v>
      </c>
      <c r="K54" s="828">
        <v>44409</v>
      </c>
      <c r="L54" s="408">
        <v>0</v>
      </c>
      <c r="M54" s="408">
        <v>0</v>
      </c>
      <c r="N54" s="408">
        <v>14.67</v>
      </c>
      <c r="O54" s="408">
        <v>14.67</v>
      </c>
      <c r="P54" s="408">
        <v>14.67</v>
      </c>
      <c r="Q54" s="408">
        <v>14.67</v>
      </c>
      <c r="R54" s="408"/>
      <c r="S54" s="408">
        <v>710.91</v>
      </c>
      <c r="T54" s="408">
        <v>256.55</v>
      </c>
      <c r="U54" s="408"/>
      <c r="V54" s="408">
        <v>14192.638199999999</v>
      </c>
      <c r="W54" s="408">
        <v>14192.638199999999</v>
      </c>
      <c r="X54" s="408">
        <v>9688.5081000000009</v>
      </c>
      <c r="Y54" s="408">
        <v>0</v>
      </c>
      <c r="Z54" s="408">
        <v>901.83357610814073</v>
      </c>
      <c r="AA54" s="408">
        <v>0</v>
      </c>
      <c r="AB54" s="408">
        <v>0</v>
      </c>
      <c r="AC54" s="408">
        <v>0</v>
      </c>
      <c r="AD54" s="408">
        <v>1805.6245264154672</v>
      </c>
      <c r="AE54" s="408">
        <v>6996.2706049233366</v>
      </c>
      <c r="AF54" s="408">
        <v>3763.6254938092029</v>
      </c>
      <c r="AG54" s="408">
        <v>0</v>
      </c>
      <c r="AH54" s="408">
        <v>0</v>
      </c>
      <c r="AI54" s="408">
        <v>0</v>
      </c>
      <c r="AJ54" s="408">
        <v>0</v>
      </c>
      <c r="AK54" s="408">
        <v>0</v>
      </c>
      <c r="AL54" s="408">
        <v>139.42754929204102</v>
      </c>
      <c r="AM54" s="408"/>
      <c r="AN54" s="408">
        <v>32.212454161487258</v>
      </c>
      <c r="AO54" s="408">
        <v>0</v>
      </c>
      <c r="AP54" s="408">
        <v>0</v>
      </c>
      <c r="AQ54" s="408">
        <v>0</v>
      </c>
      <c r="AR54" s="408">
        <v>0</v>
      </c>
      <c r="AS54" s="408">
        <v>0</v>
      </c>
      <c r="AT54" s="408">
        <v>0</v>
      </c>
      <c r="AU54" s="408">
        <v>0</v>
      </c>
      <c r="AV54" s="408">
        <v>0</v>
      </c>
      <c r="AW54" s="408">
        <v>0</v>
      </c>
      <c r="AX54" s="408">
        <v>0</v>
      </c>
      <c r="AY54" s="408">
        <v>0</v>
      </c>
      <c r="AZ54" s="408">
        <v>0</v>
      </c>
      <c r="BA54" s="408"/>
      <c r="BB54" s="408">
        <v>0</v>
      </c>
      <c r="BC54" s="408">
        <v>0</v>
      </c>
      <c r="BD54" s="408">
        <v>21.86299924279453</v>
      </c>
      <c r="BE54" s="408">
        <v>0</v>
      </c>
      <c r="BF54" s="408">
        <v>0</v>
      </c>
      <c r="BG54" s="408">
        <v>531.8374113719791</v>
      </c>
      <c r="BH54" s="408">
        <v>0</v>
      </c>
      <c r="BI54" s="408">
        <v>16.920000000000002</v>
      </c>
      <c r="BJ54" s="408">
        <v>5.99</v>
      </c>
      <c r="BK54" s="408">
        <v>8645.99</v>
      </c>
      <c r="BL54" s="408">
        <v>31</v>
      </c>
      <c r="BM54" s="408"/>
      <c r="BN54" s="408"/>
      <c r="BO54" s="408"/>
      <c r="BP54" s="408"/>
      <c r="BQ54" s="408"/>
      <c r="BR54" s="408"/>
      <c r="BS54" s="408"/>
      <c r="BT54" s="408"/>
      <c r="BU54" s="408"/>
      <c r="BV54" s="408">
        <v>4317.3259044239767</v>
      </c>
      <c r="BW54" s="408"/>
      <c r="BX54" s="408"/>
      <c r="BY54" s="408"/>
      <c r="BZ54" s="408"/>
      <c r="CA54" s="408"/>
      <c r="CB54" s="408"/>
      <c r="CC54" s="408"/>
      <c r="CD54" s="408"/>
      <c r="CE54" s="408"/>
      <c r="CF54" s="408"/>
      <c r="CG54" s="408"/>
      <c r="CH54" s="408"/>
      <c r="CI54" s="408">
        <v>9688.5081000000009</v>
      </c>
      <c r="CJ54" s="408">
        <v>-4504.1600999999991</v>
      </c>
      <c r="CK54" s="408"/>
      <c r="CL54" s="408"/>
      <c r="CM54" s="408"/>
      <c r="CN54" s="408"/>
      <c r="CO54" s="408">
        <v>-4738.7033999999994</v>
      </c>
      <c r="CP54" s="408">
        <v>234.57330000000013</v>
      </c>
      <c r="CQ54" s="408">
        <v>31</v>
      </c>
      <c r="CR54" s="408">
        <v>195.01250764894849</v>
      </c>
      <c r="CS54" s="408">
        <v>0</v>
      </c>
      <c r="CT54" s="408">
        <v>0</v>
      </c>
      <c r="CU54" s="408">
        <v>0</v>
      </c>
      <c r="CV54" s="408">
        <v>0</v>
      </c>
      <c r="CW54" s="408">
        <v>0</v>
      </c>
      <c r="CX54" s="408">
        <v>0</v>
      </c>
      <c r="CY54" s="408">
        <v>0</v>
      </c>
      <c r="CZ54" s="408">
        <v>-8.1615364246174522</v>
      </c>
      <c r="DA54" s="408">
        <v>0</v>
      </c>
      <c r="DB54" s="408">
        <v>0</v>
      </c>
      <c r="DC54" s="408">
        <v>234.46810678449174</v>
      </c>
      <c r="DD54" s="408">
        <v>0</v>
      </c>
      <c r="DE54" s="408">
        <v>0</v>
      </c>
      <c r="DF54" s="408">
        <v>1.3620313842386658</v>
      </c>
      <c r="DG54" s="408">
        <v>33.132656574537123</v>
      </c>
      <c r="DH54" s="408">
        <v>0</v>
      </c>
      <c r="DI54" s="408">
        <v>-56.07948699905603</v>
      </c>
      <c r="DJ54" s="408"/>
      <c r="DK54" s="408">
        <v>0</v>
      </c>
      <c r="DL54" s="408">
        <v>0</v>
      </c>
      <c r="DM54" s="408">
        <v>0</v>
      </c>
      <c r="DN54" s="408">
        <v>0</v>
      </c>
      <c r="DO54" s="408">
        <v>-7.6507648025865365</v>
      </c>
      <c r="DP54" s="408">
        <v>-2.0584988680587699</v>
      </c>
      <c r="DQ54" s="408">
        <v>0</v>
      </c>
      <c r="DR54" s="408">
        <v>0</v>
      </c>
      <c r="DS54" s="408"/>
      <c r="DT54" s="408"/>
      <c r="DU54" s="408"/>
      <c r="DV54" s="408">
        <v>6996.2706049233366</v>
      </c>
      <c r="DW54" s="408">
        <v>0</v>
      </c>
      <c r="DX54" s="408">
        <v>0</v>
      </c>
      <c r="DY54" s="408">
        <v>-4738.7033999999994</v>
      </c>
      <c r="DZ54" s="408">
        <v>234.57330000000002</v>
      </c>
      <c r="EA54" s="408">
        <v>0</v>
      </c>
      <c r="EB54" s="408">
        <v>0</v>
      </c>
      <c r="EC54" s="408">
        <v>-4699.2177393423372</v>
      </c>
      <c r="ED54" s="408">
        <v>0</v>
      </c>
      <c r="EE54" s="408">
        <v>0</v>
      </c>
      <c r="EF54" s="408">
        <v>0</v>
      </c>
      <c r="EG54" s="408">
        <v>0</v>
      </c>
      <c r="EH54" s="408">
        <v>0</v>
      </c>
      <c r="EI54" s="408">
        <v>0</v>
      </c>
      <c r="EJ54" s="408">
        <v>0</v>
      </c>
      <c r="EK54" s="408">
        <v>0</v>
      </c>
      <c r="EL54" s="408">
        <v>0</v>
      </c>
      <c r="EM54" s="408">
        <v>0</v>
      </c>
      <c r="EN54" s="408">
        <v>0</v>
      </c>
      <c r="EO54" s="408">
        <v>0</v>
      </c>
      <c r="EP54" s="408">
        <v>0</v>
      </c>
      <c r="EQ54" s="408">
        <v>0</v>
      </c>
      <c r="ER54" s="408">
        <v>0</v>
      </c>
      <c r="ES54" s="408">
        <v>0</v>
      </c>
      <c r="ET54" s="408">
        <v>0</v>
      </c>
      <c r="EU54" s="408">
        <v>0</v>
      </c>
      <c r="EV54" s="408">
        <v>257</v>
      </c>
      <c r="EW54" s="408">
        <v>0</v>
      </c>
      <c r="EX54" s="408">
        <v>0</v>
      </c>
      <c r="EY54" s="408">
        <v>0</v>
      </c>
      <c r="EZ54" s="408"/>
      <c r="FA54" s="408">
        <v>0</v>
      </c>
      <c r="FB54" s="408"/>
      <c r="FC54" s="408"/>
      <c r="FD54" s="408"/>
      <c r="FE54" s="408"/>
      <c r="FF54" s="408">
        <v>0</v>
      </c>
      <c r="FG54" s="408">
        <v>0</v>
      </c>
      <c r="FH54" s="408">
        <v>0</v>
      </c>
      <c r="FI54" s="408">
        <v>0</v>
      </c>
    </row>
    <row r="55" spans="1:165" customFormat="1">
      <c r="A55" s="408">
        <v>53</v>
      </c>
      <c r="B55" s="408" t="s">
        <v>1035</v>
      </c>
      <c r="C55" s="408" t="s">
        <v>2241</v>
      </c>
      <c r="D55" s="408" t="s">
        <v>596</v>
      </c>
      <c r="E55" s="408" t="s">
        <v>997</v>
      </c>
      <c r="F55" s="408" t="s">
        <v>1321</v>
      </c>
      <c r="G55" s="408" t="s">
        <v>1321</v>
      </c>
      <c r="H55" s="408" t="s">
        <v>1321</v>
      </c>
      <c r="I55" s="408" t="s">
        <v>972</v>
      </c>
      <c r="J55" s="408" t="s">
        <v>2234</v>
      </c>
      <c r="K55" s="828">
        <v>44409</v>
      </c>
      <c r="L55" s="408">
        <v>0</v>
      </c>
      <c r="M55" s="408">
        <v>0</v>
      </c>
      <c r="N55" s="408">
        <v>14.191000000000001</v>
      </c>
      <c r="O55" s="408">
        <v>14.191000000000001</v>
      </c>
      <c r="P55" s="408">
        <v>14.191000000000001</v>
      </c>
      <c r="Q55" s="408">
        <v>14.191000000000001</v>
      </c>
      <c r="R55" s="408"/>
      <c r="S55" s="408">
        <v>3130.62</v>
      </c>
      <c r="T55" s="408">
        <v>256.55</v>
      </c>
      <c r="U55" s="408"/>
      <c r="V55" s="408">
        <v>48067.329470000004</v>
      </c>
      <c r="W55" s="408">
        <v>48067.329470000004</v>
      </c>
      <c r="X55" s="408">
        <v>25297.302330000002</v>
      </c>
      <c r="Y55" s="408">
        <v>0</v>
      </c>
      <c r="Z55" s="408">
        <v>758.97686723510867</v>
      </c>
      <c r="AA55" s="408">
        <v>0</v>
      </c>
      <c r="AB55" s="408">
        <v>0</v>
      </c>
      <c r="AC55" s="408">
        <v>0</v>
      </c>
      <c r="AD55" s="408">
        <v>9142.0381390089296</v>
      </c>
      <c r="AE55" s="408">
        <v>34117.27367689681</v>
      </c>
      <c r="AF55" s="408">
        <v>3640.7368358995504</v>
      </c>
      <c r="AG55" s="408">
        <v>0</v>
      </c>
      <c r="AH55" s="408">
        <v>0</v>
      </c>
      <c r="AI55" s="408">
        <v>0</v>
      </c>
      <c r="AJ55" s="408">
        <v>0</v>
      </c>
      <c r="AK55" s="408">
        <v>0</v>
      </c>
      <c r="AL55" s="408">
        <v>134.87500695319389</v>
      </c>
      <c r="AM55" s="408"/>
      <c r="AN55" s="408">
        <v>19.144439431415833</v>
      </c>
      <c r="AO55" s="408">
        <v>0</v>
      </c>
      <c r="AP55" s="408">
        <v>0</v>
      </c>
      <c r="AQ55" s="408">
        <v>0</v>
      </c>
      <c r="AR55" s="408">
        <v>0</v>
      </c>
      <c r="AS55" s="408">
        <v>0</v>
      </c>
      <c r="AT55" s="408">
        <v>0</v>
      </c>
      <c r="AU55" s="408">
        <v>0</v>
      </c>
      <c r="AV55" s="408">
        <v>0</v>
      </c>
      <c r="AW55" s="408">
        <v>0</v>
      </c>
      <c r="AX55" s="408">
        <v>0</v>
      </c>
      <c r="AY55" s="408">
        <v>0</v>
      </c>
      <c r="AZ55" s="408">
        <v>0</v>
      </c>
      <c r="BA55" s="408"/>
      <c r="BB55" s="408">
        <v>0</v>
      </c>
      <c r="BC55" s="408">
        <v>0</v>
      </c>
      <c r="BD55" s="408">
        <v>17.483669857373751</v>
      </c>
      <c r="BE55" s="408">
        <v>0</v>
      </c>
      <c r="BF55" s="408">
        <v>0</v>
      </c>
      <c r="BG55" s="408">
        <v>236.8376888120749</v>
      </c>
      <c r="BH55" s="408">
        <v>0</v>
      </c>
      <c r="BI55" s="408">
        <v>0</v>
      </c>
      <c r="BJ55" s="408">
        <v>0</v>
      </c>
      <c r="BK55" s="408">
        <v>0</v>
      </c>
      <c r="BL55" s="408">
        <v>0</v>
      </c>
      <c r="BM55" s="408"/>
      <c r="BN55" s="408"/>
      <c r="BO55" s="408"/>
      <c r="BP55" s="408"/>
      <c r="BQ55" s="408"/>
      <c r="BR55" s="408"/>
      <c r="BS55" s="408"/>
      <c r="BT55" s="408"/>
      <c r="BU55" s="408"/>
      <c r="BV55" s="408">
        <v>3895.0581945689987</v>
      </c>
      <c r="BW55" s="408"/>
      <c r="BX55" s="408"/>
      <c r="BY55" s="408"/>
      <c r="BZ55" s="408"/>
      <c r="CA55" s="408"/>
      <c r="CB55" s="408"/>
      <c r="CC55" s="408"/>
      <c r="CD55" s="408"/>
      <c r="CE55" s="408"/>
      <c r="CF55" s="408"/>
      <c r="CG55" s="408"/>
      <c r="CH55" s="408"/>
      <c r="CI55" s="408">
        <v>25295.519699999997</v>
      </c>
      <c r="CJ55" s="408">
        <v>-22771.839770000013</v>
      </c>
      <c r="CK55" s="408"/>
      <c r="CL55" s="408"/>
      <c r="CM55" s="408"/>
      <c r="CN55" s="408"/>
      <c r="CO55" s="408">
        <v>-22996.94123</v>
      </c>
      <c r="CP55" s="408">
        <v>226.91409000000013</v>
      </c>
      <c r="CQ55" s="408">
        <v>31</v>
      </c>
      <c r="CR55" s="408">
        <v>145.51311175831688</v>
      </c>
      <c r="CS55" s="408">
        <v>0</v>
      </c>
      <c r="CT55" s="408">
        <v>0</v>
      </c>
      <c r="CU55" s="408">
        <v>0</v>
      </c>
      <c r="CV55" s="408">
        <v>0</v>
      </c>
      <c r="CW55" s="408">
        <v>0</v>
      </c>
      <c r="CX55" s="408">
        <v>0</v>
      </c>
      <c r="CY55" s="408">
        <v>0</v>
      </c>
      <c r="CZ55" s="408">
        <v>-41.322587379168908</v>
      </c>
      <c r="DA55" s="408">
        <v>0</v>
      </c>
      <c r="DB55" s="408">
        <v>0</v>
      </c>
      <c r="DC55" s="408">
        <v>226.81233151865808</v>
      </c>
      <c r="DD55" s="408">
        <v>0</v>
      </c>
      <c r="DE55" s="408">
        <v>0</v>
      </c>
      <c r="DF55" s="408">
        <v>1.0892058675462586</v>
      </c>
      <c r="DG55" s="408">
        <v>14.754625454186368</v>
      </c>
      <c r="DH55" s="408">
        <v>0</v>
      </c>
      <c r="DI55" s="408">
        <v>-47.196106339682387</v>
      </c>
      <c r="DJ55" s="408"/>
      <c r="DK55" s="408">
        <v>0</v>
      </c>
      <c r="DL55" s="408">
        <v>0</v>
      </c>
      <c r="DM55" s="408">
        <v>0</v>
      </c>
      <c r="DN55" s="408">
        <v>0</v>
      </c>
      <c r="DO55" s="408">
        <v>-7.4009545544311948</v>
      </c>
      <c r="DP55" s="408">
        <v>-1.2234028087902438</v>
      </c>
      <c r="DQ55" s="408">
        <v>0</v>
      </c>
      <c r="DR55" s="408">
        <v>0</v>
      </c>
      <c r="DS55" s="408"/>
      <c r="DT55" s="408"/>
      <c r="DU55" s="408"/>
      <c r="DV55" s="408">
        <v>34117.27367689681</v>
      </c>
      <c r="DW55" s="408">
        <v>0</v>
      </c>
      <c r="DX55" s="408">
        <v>0</v>
      </c>
      <c r="DY55" s="408">
        <v>-22996.94123</v>
      </c>
      <c r="DZ55" s="408">
        <v>226.91409000000021</v>
      </c>
      <c r="EA55" s="408">
        <v>0</v>
      </c>
      <c r="EB55" s="408">
        <v>0</v>
      </c>
      <c r="EC55" s="408">
        <v>-22915.708487268766</v>
      </c>
      <c r="ED55" s="408">
        <v>0</v>
      </c>
      <c r="EE55" s="408">
        <v>0</v>
      </c>
      <c r="EF55" s="408">
        <v>0</v>
      </c>
      <c r="EG55" s="408">
        <v>0</v>
      </c>
      <c r="EH55" s="408">
        <v>0</v>
      </c>
      <c r="EI55" s="408">
        <v>0</v>
      </c>
      <c r="EJ55" s="408">
        <v>0</v>
      </c>
      <c r="EK55" s="408">
        <v>0</v>
      </c>
      <c r="EL55" s="408">
        <v>0</v>
      </c>
      <c r="EM55" s="408">
        <v>0</v>
      </c>
      <c r="EN55" s="408">
        <v>0</v>
      </c>
      <c r="EO55" s="408">
        <v>0</v>
      </c>
      <c r="EP55" s="408">
        <v>0</v>
      </c>
      <c r="EQ55" s="408">
        <v>0</v>
      </c>
      <c r="ER55" s="408">
        <v>0</v>
      </c>
      <c r="ES55" s="408">
        <v>0</v>
      </c>
      <c r="ET55" s="408">
        <v>0</v>
      </c>
      <c r="EU55" s="408">
        <v>0</v>
      </c>
      <c r="EV55" s="408">
        <v>257</v>
      </c>
      <c r="EW55" s="408">
        <v>0</v>
      </c>
      <c r="EX55" s="408">
        <v>0</v>
      </c>
      <c r="EY55" s="408">
        <v>0</v>
      </c>
      <c r="EZ55" s="408"/>
      <c r="FA55" s="408">
        <v>0</v>
      </c>
      <c r="FB55" s="408"/>
      <c r="FC55" s="408"/>
      <c r="FD55" s="408"/>
      <c r="FE55" s="408"/>
      <c r="FF55" s="408">
        <v>0</v>
      </c>
      <c r="FG55" s="408">
        <v>0</v>
      </c>
      <c r="FH55" s="408">
        <v>0</v>
      </c>
      <c r="FI55" s="408">
        <v>0</v>
      </c>
    </row>
    <row r="56" spans="1:165" customFormat="1">
      <c r="A56" s="408">
        <v>54</v>
      </c>
      <c r="B56" s="408" t="s">
        <v>1035</v>
      </c>
      <c r="C56" s="408" t="s">
        <v>2241</v>
      </c>
      <c r="D56" s="408" t="s">
        <v>596</v>
      </c>
      <c r="E56" s="408" t="s">
        <v>997</v>
      </c>
      <c r="F56" s="408" t="s">
        <v>1321</v>
      </c>
      <c r="G56" s="408" t="s">
        <v>1321</v>
      </c>
      <c r="H56" s="408" t="s">
        <v>1321</v>
      </c>
      <c r="I56" s="408" t="s">
        <v>2242</v>
      </c>
      <c r="J56" s="408" t="s">
        <v>2234</v>
      </c>
      <c r="K56" s="828">
        <v>44409</v>
      </c>
      <c r="L56" s="408">
        <v>0</v>
      </c>
      <c r="M56" s="408">
        <v>0</v>
      </c>
      <c r="N56" s="408">
        <v>109.307</v>
      </c>
      <c r="O56" s="408">
        <v>109.307</v>
      </c>
      <c r="P56" s="408">
        <v>109.307</v>
      </c>
      <c r="Q56" s="408">
        <v>109.307</v>
      </c>
      <c r="R56" s="408"/>
      <c r="S56" s="408">
        <v>82.26</v>
      </c>
      <c r="T56" s="408">
        <v>256.55</v>
      </c>
      <c r="U56" s="408"/>
      <c r="V56" s="408">
        <v>37034.304670000005</v>
      </c>
      <c r="W56" s="408">
        <v>37034.304670000005</v>
      </c>
      <c r="X56" s="408">
        <v>38473.877860000008</v>
      </c>
      <c r="Y56" s="408">
        <v>0</v>
      </c>
      <c r="Z56" s="408">
        <v>5846.0633096235651</v>
      </c>
      <c r="AA56" s="408">
        <v>0</v>
      </c>
      <c r="AB56" s="408">
        <v>0</v>
      </c>
      <c r="AC56" s="408">
        <v>0</v>
      </c>
      <c r="AD56" s="408">
        <v>0</v>
      </c>
      <c r="AE56" s="408">
        <v>0</v>
      </c>
      <c r="AF56" s="408">
        <v>28042.98649296541</v>
      </c>
      <c r="AG56" s="408">
        <v>0</v>
      </c>
      <c r="AH56" s="408">
        <v>0</v>
      </c>
      <c r="AI56" s="408">
        <v>0</v>
      </c>
      <c r="AJ56" s="408">
        <v>0</v>
      </c>
      <c r="AK56" s="408">
        <v>0</v>
      </c>
      <c r="AL56" s="408">
        <v>1038.8825583139148</v>
      </c>
      <c r="AM56" s="408"/>
      <c r="AN56" s="408">
        <v>147.46115431821369</v>
      </c>
      <c r="AO56" s="408">
        <v>0</v>
      </c>
      <c r="AP56" s="408">
        <v>0</v>
      </c>
      <c r="AQ56" s="408">
        <v>0</v>
      </c>
      <c r="AR56" s="408">
        <v>0</v>
      </c>
      <c r="AS56" s="408">
        <v>0</v>
      </c>
      <c r="AT56" s="408">
        <v>0</v>
      </c>
      <c r="AU56" s="408">
        <v>0</v>
      </c>
      <c r="AV56" s="408">
        <v>0</v>
      </c>
      <c r="AW56" s="408">
        <v>0</v>
      </c>
      <c r="AX56" s="408">
        <v>0</v>
      </c>
      <c r="AY56" s="408">
        <v>0</v>
      </c>
      <c r="AZ56" s="408">
        <v>0</v>
      </c>
      <c r="BA56" s="408"/>
      <c r="BB56" s="408">
        <v>0</v>
      </c>
      <c r="BC56" s="408">
        <v>0</v>
      </c>
      <c r="BD56" s="408">
        <v>134.66898041716249</v>
      </c>
      <c r="BE56" s="408">
        <v>0</v>
      </c>
      <c r="BF56" s="408">
        <v>0</v>
      </c>
      <c r="BG56" s="408">
        <v>1824.2560250145496</v>
      </c>
      <c r="BH56" s="408">
        <v>0</v>
      </c>
      <c r="BI56" s="408">
        <v>0</v>
      </c>
      <c r="BJ56" s="408">
        <v>0</v>
      </c>
      <c r="BK56" s="408">
        <v>0</v>
      </c>
      <c r="BL56" s="408">
        <v>0</v>
      </c>
      <c r="BM56" s="408"/>
      <c r="BN56" s="408"/>
      <c r="BO56" s="408"/>
      <c r="BP56" s="408"/>
      <c r="BQ56" s="408"/>
      <c r="BR56" s="408"/>
      <c r="BS56" s="408"/>
      <c r="BT56" s="408"/>
      <c r="BU56" s="408"/>
      <c r="BV56" s="408">
        <v>30001.911498397123</v>
      </c>
      <c r="BW56" s="408"/>
      <c r="BX56" s="408"/>
      <c r="BY56" s="408"/>
      <c r="BZ56" s="408"/>
      <c r="CA56" s="408"/>
      <c r="CB56" s="408"/>
      <c r="CC56" s="408"/>
      <c r="CD56" s="408"/>
      <c r="CE56" s="408"/>
      <c r="CF56" s="408"/>
      <c r="CG56" s="408"/>
      <c r="CH56" s="408"/>
      <c r="CI56" s="408">
        <v>38474.933799999999</v>
      </c>
      <c r="CJ56" s="408">
        <v>1440.5991299999951</v>
      </c>
      <c r="CK56" s="408"/>
      <c r="CL56" s="408"/>
      <c r="CM56" s="408"/>
      <c r="CN56" s="408"/>
      <c r="CO56" s="408">
        <v>-308.24574000000081</v>
      </c>
      <c r="CP56" s="408">
        <v>1747.818930000001</v>
      </c>
      <c r="CQ56" s="408">
        <v>31</v>
      </c>
      <c r="CR56" s="408">
        <v>1439.1128014672286</v>
      </c>
      <c r="CS56" s="408">
        <v>0</v>
      </c>
      <c r="CT56" s="408">
        <v>0</v>
      </c>
      <c r="CU56" s="408">
        <v>0</v>
      </c>
      <c r="CV56" s="408">
        <v>0</v>
      </c>
      <c r="CW56" s="408">
        <v>0</v>
      </c>
      <c r="CX56" s="408">
        <v>0</v>
      </c>
      <c r="CY56" s="408">
        <v>0</v>
      </c>
      <c r="CZ56" s="408">
        <v>0</v>
      </c>
      <c r="DA56" s="408">
        <v>0</v>
      </c>
      <c r="DB56" s="408">
        <v>0</v>
      </c>
      <c r="DC56" s="408">
        <v>1747.0351293996173</v>
      </c>
      <c r="DD56" s="408">
        <v>0</v>
      </c>
      <c r="DE56" s="408">
        <v>0</v>
      </c>
      <c r="DF56" s="408">
        <v>8.3896713243519798</v>
      </c>
      <c r="DG56" s="408">
        <v>113.64835772819015</v>
      </c>
      <c r="DH56" s="408">
        <v>0</v>
      </c>
      <c r="DI56" s="408">
        <v>-363.53074453327099</v>
      </c>
      <c r="DJ56" s="408"/>
      <c r="DK56" s="408">
        <v>0</v>
      </c>
      <c r="DL56" s="408">
        <v>0</v>
      </c>
      <c r="DM56" s="408">
        <v>0</v>
      </c>
      <c r="DN56" s="408">
        <v>0</v>
      </c>
      <c r="DO56" s="408">
        <v>-57.006281409429334</v>
      </c>
      <c r="DP56" s="408">
        <v>-9.4233310422405054</v>
      </c>
      <c r="DQ56" s="408">
        <v>0</v>
      </c>
      <c r="DR56" s="408">
        <v>0</v>
      </c>
      <c r="DS56" s="408"/>
      <c r="DT56" s="408"/>
      <c r="DU56" s="408"/>
      <c r="DV56" s="408">
        <v>0</v>
      </c>
      <c r="DW56" s="408">
        <v>0</v>
      </c>
      <c r="DX56" s="408">
        <v>0</v>
      </c>
      <c r="DY56" s="408">
        <v>-308.2457400000003</v>
      </c>
      <c r="DZ56" s="408">
        <v>1747.8189300000013</v>
      </c>
      <c r="EA56" s="408">
        <v>0</v>
      </c>
      <c r="EB56" s="408">
        <v>0</v>
      </c>
      <c r="EC56" s="408">
        <v>0</v>
      </c>
      <c r="ED56" s="408">
        <v>0</v>
      </c>
      <c r="EE56" s="408">
        <v>0</v>
      </c>
      <c r="EF56" s="408">
        <v>0</v>
      </c>
      <c r="EG56" s="408">
        <v>0</v>
      </c>
      <c r="EH56" s="408">
        <v>0</v>
      </c>
      <c r="EI56" s="408">
        <v>0</v>
      </c>
      <c r="EJ56" s="408">
        <v>0</v>
      </c>
      <c r="EK56" s="408">
        <v>0</v>
      </c>
      <c r="EL56" s="408">
        <v>0</v>
      </c>
      <c r="EM56" s="408">
        <v>0</v>
      </c>
      <c r="EN56" s="408">
        <v>0</v>
      </c>
      <c r="EO56" s="408">
        <v>0</v>
      </c>
      <c r="EP56" s="408">
        <v>0</v>
      </c>
      <c r="EQ56" s="408">
        <v>0</v>
      </c>
      <c r="ER56" s="408">
        <v>0</v>
      </c>
      <c r="ES56" s="408">
        <v>0</v>
      </c>
      <c r="ET56" s="408">
        <v>0</v>
      </c>
      <c r="EU56" s="408">
        <v>0</v>
      </c>
      <c r="EV56" s="408">
        <v>257</v>
      </c>
      <c r="EW56" s="408">
        <v>0</v>
      </c>
      <c r="EX56" s="408">
        <v>0</v>
      </c>
      <c r="EY56" s="408">
        <v>0</v>
      </c>
      <c r="EZ56" s="408"/>
      <c r="FA56" s="408">
        <v>0</v>
      </c>
      <c r="FB56" s="408"/>
      <c r="FC56" s="408"/>
      <c r="FD56" s="408"/>
      <c r="FE56" s="408"/>
      <c r="FF56" s="408">
        <v>0</v>
      </c>
      <c r="FG56" s="408">
        <v>0</v>
      </c>
      <c r="FH56" s="408">
        <v>0</v>
      </c>
      <c r="FI56" s="408">
        <v>0</v>
      </c>
    </row>
    <row r="57" spans="1:165" customFormat="1">
      <c r="A57" s="408">
        <v>55</v>
      </c>
      <c r="B57" s="408" t="s">
        <v>1035</v>
      </c>
      <c r="C57" s="408" t="s">
        <v>2241</v>
      </c>
      <c r="D57" s="408" t="s">
        <v>596</v>
      </c>
      <c r="E57" s="408" t="s">
        <v>997</v>
      </c>
      <c r="F57" s="408" t="s">
        <v>1321</v>
      </c>
      <c r="G57" s="408" t="s">
        <v>1321</v>
      </c>
      <c r="H57" s="408" t="s">
        <v>1321</v>
      </c>
      <c r="I57" s="408" t="s">
        <v>1321</v>
      </c>
      <c r="J57" s="408" t="s">
        <v>2234</v>
      </c>
      <c r="K57" s="828">
        <v>44409</v>
      </c>
      <c r="L57" s="408">
        <v>816</v>
      </c>
      <c r="M57" s="408">
        <v>816</v>
      </c>
      <c r="N57" s="408">
        <v>0</v>
      </c>
      <c r="O57" s="408">
        <v>0</v>
      </c>
      <c r="P57" s="408">
        <v>0</v>
      </c>
      <c r="Q57" s="408">
        <v>0</v>
      </c>
      <c r="R57" s="408">
        <v>47.39</v>
      </c>
      <c r="S57" s="408"/>
      <c r="T57" s="408"/>
      <c r="U57" s="408">
        <v>38670.239999999998</v>
      </c>
      <c r="V57" s="408"/>
      <c r="W57" s="408">
        <v>38670.239999999998</v>
      </c>
      <c r="X57" s="408">
        <v>26291.52</v>
      </c>
      <c r="Y57" s="408">
        <v>0</v>
      </c>
      <c r="Z57" s="408">
        <v>0</v>
      </c>
      <c r="AA57" s="408">
        <v>0</v>
      </c>
      <c r="AB57" s="408">
        <v>0</v>
      </c>
      <c r="AC57" s="408">
        <v>0</v>
      </c>
      <c r="AD57" s="408">
        <v>20375.601746444012</v>
      </c>
      <c r="AE57" s="408">
        <v>18294.611672515271</v>
      </c>
      <c r="AF57" s="408"/>
      <c r="AG57" s="408"/>
      <c r="AH57" s="408"/>
      <c r="AI57" s="408">
        <v>0</v>
      </c>
      <c r="AJ57" s="408">
        <v>0</v>
      </c>
      <c r="AK57" s="408">
        <v>0</v>
      </c>
      <c r="AL57" s="408">
        <v>0</v>
      </c>
      <c r="AM57" s="408"/>
      <c r="AN57" s="408">
        <v>0</v>
      </c>
      <c r="AO57" s="408">
        <v>0</v>
      </c>
      <c r="AP57" s="408">
        <v>0</v>
      </c>
      <c r="AQ57" s="408">
        <v>0</v>
      </c>
      <c r="AR57" s="408">
        <v>0</v>
      </c>
      <c r="AS57" s="408"/>
      <c r="AT57" s="408"/>
      <c r="AU57" s="408">
        <v>0</v>
      </c>
      <c r="AV57" s="408">
        <v>0</v>
      </c>
      <c r="AW57" s="408">
        <v>0</v>
      </c>
      <c r="AX57" s="408"/>
      <c r="AY57" s="408"/>
      <c r="AZ57" s="408">
        <v>0</v>
      </c>
      <c r="BA57" s="408"/>
      <c r="BB57" s="408">
        <v>0</v>
      </c>
      <c r="BC57" s="408">
        <v>0</v>
      </c>
      <c r="BD57" s="408">
        <v>0</v>
      </c>
      <c r="BE57" s="408">
        <v>0</v>
      </c>
      <c r="BF57" s="408"/>
      <c r="BG57" s="408">
        <v>0</v>
      </c>
      <c r="BH57" s="408">
        <v>0</v>
      </c>
      <c r="BI57" s="408">
        <v>151.57</v>
      </c>
      <c r="BJ57" s="408">
        <v>53.29</v>
      </c>
      <c r="BK57" s="408">
        <v>39197.379999999997</v>
      </c>
      <c r="BL57" s="408">
        <v>11</v>
      </c>
      <c r="BM57" s="408"/>
      <c r="BN57" s="408"/>
      <c r="BO57" s="408"/>
      <c r="BP57" s="408"/>
      <c r="BQ57" s="408"/>
      <c r="BR57" s="408"/>
      <c r="BS57" s="408"/>
      <c r="BT57" s="408"/>
      <c r="BU57" s="408"/>
      <c r="BV57" s="408">
        <v>0</v>
      </c>
      <c r="BW57" s="408"/>
      <c r="BX57" s="408"/>
      <c r="BY57" s="408"/>
      <c r="BZ57" s="408"/>
      <c r="CA57" s="408"/>
      <c r="CB57" s="408"/>
      <c r="CC57" s="408"/>
      <c r="CD57" s="408"/>
      <c r="CE57" s="408"/>
      <c r="CF57" s="408"/>
      <c r="CG57" s="408"/>
      <c r="CH57" s="408"/>
      <c r="CI57" s="408">
        <v>26291.52</v>
      </c>
      <c r="CJ57" s="408">
        <v>-12378.750000000004</v>
      </c>
      <c r="CK57" s="408"/>
      <c r="CL57" s="408"/>
      <c r="CM57" s="408"/>
      <c r="CN57" s="408"/>
      <c r="CO57" s="408">
        <v>-12378.720000000001</v>
      </c>
      <c r="CP57" s="408">
        <v>0</v>
      </c>
      <c r="CQ57" s="408">
        <v>31</v>
      </c>
      <c r="CR57" s="408">
        <v>-92.099001422673609</v>
      </c>
      <c r="CS57" s="408">
        <v>0</v>
      </c>
      <c r="CT57" s="408">
        <v>0</v>
      </c>
      <c r="CU57" s="408">
        <v>0</v>
      </c>
      <c r="CV57" s="408">
        <v>0</v>
      </c>
      <c r="CW57" s="408"/>
      <c r="CX57" s="408"/>
      <c r="CY57" s="408"/>
      <c r="CZ57" s="408">
        <v>-92.099001422673609</v>
      </c>
      <c r="DA57" s="408">
        <v>0</v>
      </c>
      <c r="DB57" s="408">
        <v>0</v>
      </c>
      <c r="DC57" s="408"/>
      <c r="DD57" s="408"/>
      <c r="DE57" s="408">
        <v>0</v>
      </c>
      <c r="DF57" s="408">
        <v>0</v>
      </c>
      <c r="DG57" s="408">
        <v>0</v>
      </c>
      <c r="DH57" s="408">
        <v>0</v>
      </c>
      <c r="DI57" s="408">
        <v>0</v>
      </c>
      <c r="DJ57" s="408"/>
      <c r="DK57" s="408">
        <v>0</v>
      </c>
      <c r="DL57" s="408">
        <v>0</v>
      </c>
      <c r="DM57" s="408"/>
      <c r="DN57" s="408">
        <v>0</v>
      </c>
      <c r="DO57" s="408">
        <v>0</v>
      </c>
      <c r="DP57" s="408">
        <v>0</v>
      </c>
      <c r="DQ57" s="408">
        <v>0</v>
      </c>
      <c r="DR57" s="408">
        <v>0</v>
      </c>
      <c r="DS57" s="408"/>
      <c r="DT57" s="408"/>
      <c r="DU57" s="408">
        <v>18294.611672515271</v>
      </c>
      <c r="DV57" s="408"/>
      <c r="DW57" s="408">
        <v>0</v>
      </c>
      <c r="DX57" s="408">
        <v>0</v>
      </c>
      <c r="DY57" s="408">
        <v>-12378.719999999998</v>
      </c>
      <c r="DZ57" s="408"/>
      <c r="EA57" s="408">
        <v>0</v>
      </c>
      <c r="EB57" s="408"/>
      <c r="EC57" s="408">
        <v>-12288.027230588397</v>
      </c>
      <c r="ED57" s="408"/>
      <c r="EE57" s="408">
        <v>0</v>
      </c>
      <c r="EF57" s="408">
        <v>0</v>
      </c>
      <c r="EG57" s="408"/>
      <c r="EH57" s="408">
        <v>0</v>
      </c>
      <c r="EI57" s="408">
        <v>0</v>
      </c>
      <c r="EJ57" s="408">
        <v>0</v>
      </c>
      <c r="EK57" s="408">
        <v>0</v>
      </c>
      <c r="EL57" s="408">
        <v>0</v>
      </c>
      <c r="EM57" s="408"/>
      <c r="EN57" s="408"/>
      <c r="EO57" s="408">
        <v>0</v>
      </c>
      <c r="EP57" s="408">
        <v>0</v>
      </c>
      <c r="EQ57" s="408"/>
      <c r="ER57" s="408">
        <v>0</v>
      </c>
      <c r="ES57" s="408"/>
      <c r="ET57" s="408">
        <v>0</v>
      </c>
      <c r="EU57" s="408"/>
      <c r="EV57" s="408">
        <v>257</v>
      </c>
      <c r="EW57" s="408"/>
      <c r="EX57" s="408"/>
      <c r="EY57" s="408"/>
      <c r="EZ57" s="408"/>
      <c r="FA57" s="408">
        <v>0</v>
      </c>
      <c r="FB57" s="408"/>
      <c r="FC57" s="408"/>
      <c r="FD57" s="408"/>
      <c r="FE57" s="408"/>
      <c r="FF57" s="408">
        <v>0</v>
      </c>
      <c r="FG57" s="408">
        <v>0</v>
      </c>
      <c r="FH57" s="408">
        <v>0</v>
      </c>
      <c r="FI57" s="408">
        <v>0</v>
      </c>
    </row>
    <row r="58" spans="1:165" customFormat="1">
      <c r="A58" s="408">
        <v>56</v>
      </c>
      <c r="B58" s="408" t="s">
        <v>2236</v>
      </c>
      <c r="C58" s="408" t="s">
        <v>2241</v>
      </c>
      <c r="D58" s="408" t="s">
        <v>596</v>
      </c>
      <c r="E58" s="408" t="s">
        <v>997</v>
      </c>
      <c r="F58" s="408" t="s">
        <v>1321</v>
      </c>
      <c r="G58" s="408" t="s">
        <v>1321</v>
      </c>
      <c r="H58" s="408" t="s">
        <v>1321</v>
      </c>
      <c r="I58" s="408" t="s">
        <v>1321</v>
      </c>
      <c r="J58" s="408" t="s">
        <v>2234</v>
      </c>
      <c r="K58" s="828">
        <v>44409</v>
      </c>
      <c r="L58" s="408">
        <v>60</v>
      </c>
      <c r="M58" s="408">
        <v>60</v>
      </c>
      <c r="N58" s="408">
        <v>0</v>
      </c>
      <c r="O58" s="408">
        <v>0</v>
      </c>
      <c r="P58" s="408">
        <v>0</v>
      </c>
      <c r="Q58" s="408">
        <v>0</v>
      </c>
      <c r="R58" s="408">
        <v>47.39</v>
      </c>
      <c r="S58" s="408"/>
      <c r="T58" s="408"/>
      <c r="U58" s="408">
        <v>2843.4</v>
      </c>
      <c r="V58" s="408"/>
      <c r="W58" s="408">
        <v>2843.4</v>
      </c>
      <c r="X58" s="408">
        <v>1933.1999999999998</v>
      </c>
      <c r="Y58" s="408">
        <v>0</v>
      </c>
      <c r="Z58" s="408">
        <v>0</v>
      </c>
      <c r="AA58" s="408">
        <v>0</v>
      </c>
      <c r="AB58" s="408">
        <v>0</v>
      </c>
      <c r="AC58" s="408">
        <v>0</v>
      </c>
      <c r="AD58" s="408">
        <v>1498.206010767942</v>
      </c>
      <c r="AE58" s="408">
        <v>1345.1920347437699</v>
      </c>
      <c r="AF58" s="408"/>
      <c r="AG58" s="408"/>
      <c r="AH58" s="408"/>
      <c r="AI58" s="408">
        <v>0</v>
      </c>
      <c r="AJ58" s="408">
        <v>0</v>
      </c>
      <c r="AK58" s="408">
        <v>0</v>
      </c>
      <c r="AL58" s="408">
        <v>0</v>
      </c>
      <c r="AM58" s="408"/>
      <c r="AN58" s="408">
        <v>0</v>
      </c>
      <c r="AO58" s="408">
        <v>0</v>
      </c>
      <c r="AP58" s="408">
        <v>0</v>
      </c>
      <c r="AQ58" s="408">
        <v>0</v>
      </c>
      <c r="AR58" s="408">
        <v>0</v>
      </c>
      <c r="AS58" s="408"/>
      <c r="AT58" s="408"/>
      <c r="AU58" s="408">
        <v>0</v>
      </c>
      <c r="AV58" s="408">
        <v>0</v>
      </c>
      <c r="AW58" s="408">
        <v>0</v>
      </c>
      <c r="AX58" s="408"/>
      <c r="AY58" s="408"/>
      <c r="AZ58" s="408">
        <v>0</v>
      </c>
      <c r="BA58" s="408"/>
      <c r="BB58" s="408">
        <v>0</v>
      </c>
      <c r="BC58" s="408">
        <v>0</v>
      </c>
      <c r="BD58" s="408">
        <v>0</v>
      </c>
      <c r="BE58" s="408">
        <v>0</v>
      </c>
      <c r="BF58" s="408"/>
      <c r="BG58" s="408">
        <v>0</v>
      </c>
      <c r="BH58" s="408">
        <v>0</v>
      </c>
      <c r="BI58" s="408">
        <v>2.92</v>
      </c>
      <c r="BJ58" s="408">
        <v>1.03</v>
      </c>
      <c r="BK58" s="408">
        <v>752.13</v>
      </c>
      <c r="BL58" s="408">
        <v>1</v>
      </c>
      <c r="BM58" s="408"/>
      <c r="BN58" s="408"/>
      <c r="BO58" s="408"/>
      <c r="BP58" s="408"/>
      <c r="BQ58" s="408"/>
      <c r="BR58" s="408"/>
      <c r="BS58" s="408"/>
      <c r="BT58" s="408"/>
      <c r="BU58" s="408"/>
      <c r="BV58" s="408">
        <v>0</v>
      </c>
      <c r="BW58" s="408"/>
      <c r="BX58" s="408"/>
      <c r="BY58" s="408"/>
      <c r="BZ58" s="408"/>
      <c r="CA58" s="408"/>
      <c r="CB58" s="408"/>
      <c r="CC58" s="408"/>
      <c r="CD58" s="408"/>
      <c r="CE58" s="408"/>
      <c r="CF58" s="408"/>
      <c r="CG58" s="408"/>
      <c r="CH58" s="408"/>
      <c r="CI58" s="408">
        <v>1933.1999999999998</v>
      </c>
      <c r="CJ58" s="408">
        <v>-910.23000000000093</v>
      </c>
      <c r="CK58" s="408"/>
      <c r="CL58" s="408"/>
      <c r="CM58" s="408"/>
      <c r="CN58" s="408"/>
      <c r="CO58" s="408">
        <v>-910.2</v>
      </c>
      <c r="CP58" s="408">
        <v>0</v>
      </c>
      <c r="CQ58" s="408">
        <v>31</v>
      </c>
      <c r="CR58" s="408">
        <v>-6.7719853987259739</v>
      </c>
      <c r="CS58" s="408">
        <v>0</v>
      </c>
      <c r="CT58" s="408">
        <v>0</v>
      </c>
      <c r="CU58" s="408">
        <v>0</v>
      </c>
      <c r="CV58" s="408">
        <v>0</v>
      </c>
      <c r="CW58" s="408"/>
      <c r="CX58" s="408"/>
      <c r="CY58" s="408"/>
      <c r="CZ58" s="408">
        <v>-6.7719853987259739</v>
      </c>
      <c r="DA58" s="408">
        <v>0</v>
      </c>
      <c r="DB58" s="408">
        <v>0</v>
      </c>
      <c r="DC58" s="408"/>
      <c r="DD58" s="408"/>
      <c r="DE58" s="408">
        <v>0</v>
      </c>
      <c r="DF58" s="408">
        <v>0</v>
      </c>
      <c r="DG58" s="408">
        <v>0</v>
      </c>
      <c r="DH58" s="408">
        <v>0</v>
      </c>
      <c r="DI58" s="408">
        <v>0</v>
      </c>
      <c r="DJ58" s="408"/>
      <c r="DK58" s="408">
        <v>0</v>
      </c>
      <c r="DL58" s="408">
        <v>0</v>
      </c>
      <c r="DM58" s="408"/>
      <c r="DN58" s="408">
        <v>0</v>
      </c>
      <c r="DO58" s="408">
        <v>0</v>
      </c>
      <c r="DP58" s="408">
        <v>0</v>
      </c>
      <c r="DQ58" s="408">
        <v>0</v>
      </c>
      <c r="DR58" s="408">
        <v>0</v>
      </c>
      <c r="DS58" s="408"/>
      <c r="DT58" s="408"/>
      <c r="DU58" s="408">
        <v>1345.1920347437699</v>
      </c>
      <c r="DV58" s="408"/>
      <c r="DW58" s="408">
        <v>0</v>
      </c>
      <c r="DX58" s="408">
        <v>0</v>
      </c>
      <c r="DY58" s="408">
        <v>-910.20000000000027</v>
      </c>
      <c r="DZ58" s="408"/>
      <c r="EA58" s="408">
        <v>0</v>
      </c>
      <c r="EB58" s="408"/>
      <c r="EC58" s="408">
        <v>-903.53141401385267</v>
      </c>
      <c r="ED58" s="408"/>
      <c r="EE58" s="408">
        <v>0</v>
      </c>
      <c r="EF58" s="408">
        <v>0</v>
      </c>
      <c r="EG58" s="408"/>
      <c r="EH58" s="408">
        <v>0</v>
      </c>
      <c r="EI58" s="408">
        <v>0</v>
      </c>
      <c r="EJ58" s="408">
        <v>0</v>
      </c>
      <c r="EK58" s="408">
        <v>0</v>
      </c>
      <c r="EL58" s="408">
        <v>0</v>
      </c>
      <c r="EM58" s="408"/>
      <c r="EN58" s="408"/>
      <c r="EO58" s="408">
        <v>0</v>
      </c>
      <c r="EP58" s="408">
        <v>0</v>
      </c>
      <c r="EQ58" s="408"/>
      <c r="ER58" s="408">
        <v>0</v>
      </c>
      <c r="ES58" s="408"/>
      <c r="ET58" s="408">
        <v>0</v>
      </c>
      <c r="EU58" s="408"/>
      <c r="EV58" s="408">
        <v>257</v>
      </c>
      <c r="EW58" s="408"/>
      <c r="EX58" s="408"/>
      <c r="EY58" s="408"/>
      <c r="EZ58" s="408"/>
      <c r="FA58" s="408">
        <v>0</v>
      </c>
      <c r="FB58" s="408"/>
      <c r="FC58" s="408"/>
      <c r="FD58" s="408"/>
      <c r="FE58" s="408"/>
      <c r="FF58" s="408">
        <v>0</v>
      </c>
      <c r="FG58" s="408">
        <v>0</v>
      </c>
      <c r="FH58" s="408">
        <v>0</v>
      </c>
      <c r="FI58" s="408">
        <v>0</v>
      </c>
    </row>
    <row r="59" spans="1:165" customFormat="1">
      <c r="A59" s="408">
        <v>57</v>
      </c>
      <c r="B59" s="408" t="s">
        <v>1035</v>
      </c>
      <c r="C59" s="408" t="s">
        <v>2233</v>
      </c>
      <c r="D59" s="408" t="s">
        <v>2243</v>
      </c>
      <c r="E59" s="408" t="s">
        <v>973</v>
      </c>
      <c r="F59" s="408" t="s">
        <v>1321</v>
      </c>
      <c r="G59" s="408" t="s">
        <v>1321</v>
      </c>
      <c r="H59" s="408" t="s">
        <v>1321</v>
      </c>
      <c r="I59" s="408" t="s">
        <v>1321</v>
      </c>
      <c r="J59" s="408" t="s">
        <v>2234</v>
      </c>
      <c r="K59" s="828">
        <v>44409</v>
      </c>
      <c r="L59" s="408">
        <v>0</v>
      </c>
      <c r="M59" s="408">
        <v>0</v>
      </c>
      <c r="N59" s="408">
        <v>2742.808</v>
      </c>
      <c r="O59" s="408">
        <v>2742.808</v>
      </c>
      <c r="P59" s="408">
        <v>2742.808</v>
      </c>
      <c r="Q59" s="408">
        <v>2742.808</v>
      </c>
      <c r="R59" s="408"/>
      <c r="S59" s="408">
        <v>710.91</v>
      </c>
      <c r="T59" s="408">
        <v>256.55</v>
      </c>
      <c r="U59" s="408"/>
      <c r="V59" s="408">
        <v>2653557.0276799998</v>
      </c>
      <c r="W59" s="408">
        <v>2653557.0276799998</v>
      </c>
      <c r="X59" s="408">
        <v>1811432.68744</v>
      </c>
      <c r="Y59" s="408">
        <v>0</v>
      </c>
      <c r="Z59" s="408">
        <v>168613.2479357885</v>
      </c>
      <c r="AA59" s="408">
        <v>0</v>
      </c>
      <c r="AB59" s="408">
        <v>0</v>
      </c>
      <c r="AC59" s="408">
        <v>0</v>
      </c>
      <c r="AD59" s="408">
        <v>337592.46053500712</v>
      </c>
      <c r="AE59" s="408">
        <v>1308072.7324709317</v>
      </c>
      <c r="AF59" s="408">
        <v>703674.30902684608</v>
      </c>
      <c r="AG59" s="408">
        <v>0</v>
      </c>
      <c r="AH59" s="408">
        <v>0</v>
      </c>
      <c r="AI59" s="408">
        <v>0</v>
      </c>
      <c r="AJ59" s="408">
        <v>0</v>
      </c>
      <c r="AK59" s="408">
        <v>0</v>
      </c>
      <c r="AL59" s="408">
        <v>26068.37066248156</v>
      </c>
      <c r="AM59" s="408"/>
      <c r="AN59" s="408">
        <v>6022.6705503585927</v>
      </c>
      <c r="AO59" s="408">
        <v>0</v>
      </c>
      <c r="AP59" s="408">
        <v>0</v>
      </c>
      <c r="AQ59" s="408">
        <v>0</v>
      </c>
      <c r="AR59" s="408">
        <v>0</v>
      </c>
      <c r="AS59" s="408">
        <v>0</v>
      </c>
      <c r="AT59" s="408">
        <v>0</v>
      </c>
      <c r="AU59" s="408">
        <v>0</v>
      </c>
      <c r="AV59" s="408">
        <v>0</v>
      </c>
      <c r="AW59" s="408">
        <v>0</v>
      </c>
      <c r="AX59" s="408">
        <v>0</v>
      </c>
      <c r="AY59" s="408">
        <v>0</v>
      </c>
      <c r="AZ59" s="408">
        <v>0</v>
      </c>
      <c r="BA59" s="408"/>
      <c r="BB59" s="408">
        <v>0</v>
      </c>
      <c r="BC59" s="408">
        <v>0</v>
      </c>
      <c r="BD59" s="408">
        <v>4087.6625240034614</v>
      </c>
      <c r="BE59" s="408">
        <v>0</v>
      </c>
      <c r="BF59" s="408">
        <v>0</v>
      </c>
      <c r="BG59" s="408">
        <v>99436.121786663614</v>
      </c>
      <c r="BH59" s="408">
        <v>0</v>
      </c>
      <c r="BI59" s="408">
        <v>2107.38</v>
      </c>
      <c r="BJ59" s="408">
        <v>768.48</v>
      </c>
      <c r="BK59" s="408">
        <v>209851.39</v>
      </c>
      <c r="BL59" s="408">
        <v>10238</v>
      </c>
      <c r="BM59" s="408"/>
      <c r="BN59" s="408"/>
      <c r="BO59" s="408"/>
      <c r="BP59" s="408"/>
      <c r="BQ59" s="408"/>
      <c r="BR59" s="408">
        <v>217367.53399999993</v>
      </c>
      <c r="BS59" s="408"/>
      <c r="BT59" s="408"/>
      <c r="BU59" s="408"/>
      <c r="BV59" s="408">
        <v>807198.09333751316</v>
      </c>
      <c r="BW59" s="408"/>
      <c r="BX59" s="408"/>
      <c r="BY59" s="408"/>
      <c r="BZ59" s="408"/>
      <c r="CA59" s="408"/>
      <c r="CB59" s="408"/>
      <c r="CC59" s="408"/>
      <c r="CD59" s="408"/>
      <c r="CE59" s="408"/>
      <c r="CF59" s="408"/>
      <c r="CG59" s="408"/>
      <c r="CH59" s="408"/>
      <c r="CI59" s="408">
        <v>1594066.3158</v>
      </c>
      <c r="CJ59" s="408">
        <v>-741078.16116000013</v>
      </c>
      <c r="CK59" s="408"/>
      <c r="CL59" s="408"/>
      <c r="CM59" s="408"/>
      <c r="CN59" s="408"/>
      <c r="CO59" s="408">
        <v>-885981.84015999991</v>
      </c>
      <c r="CP59" s="408">
        <v>43857.499920000024</v>
      </c>
      <c r="CQ59" s="408">
        <v>31</v>
      </c>
      <c r="CR59" s="408">
        <v>36460.931566434912</v>
      </c>
      <c r="CS59" s="408">
        <v>0</v>
      </c>
      <c r="CT59" s="408">
        <v>0</v>
      </c>
      <c r="CU59" s="408">
        <v>0</v>
      </c>
      <c r="CV59" s="408">
        <v>0</v>
      </c>
      <c r="CW59" s="408">
        <v>0</v>
      </c>
      <c r="CX59" s="408">
        <v>0</v>
      </c>
      <c r="CY59" s="408">
        <v>0</v>
      </c>
      <c r="CZ59" s="408">
        <v>-1525.9391545829712</v>
      </c>
      <c r="DA59" s="408">
        <v>0</v>
      </c>
      <c r="DB59" s="408">
        <v>0</v>
      </c>
      <c r="DC59" s="408">
        <v>43837.832244946039</v>
      </c>
      <c r="DD59" s="408">
        <v>0</v>
      </c>
      <c r="DE59" s="408">
        <v>0</v>
      </c>
      <c r="DF59" s="408">
        <v>254.65511771921547</v>
      </c>
      <c r="DG59" s="408">
        <v>6194.7181672728766</v>
      </c>
      <c r="DH59" s="408">
        <v>0</v>
      </c>
      <c r="DI59" s="408">
        <v>-10485.021511718282</v>
      </c>
      <c r="DJ59" s="408"/>
      <c r="DK59" s="408">
        <v>0</v>
      </c>
      <c r="DL59" s="408">
        <v>0</v>
      </c>
      <c r="DM59" s="408">
        <v>0</v>
      </c>
      <c r="DN59" s="408">
        <v>0</v>
      </c>
      <c r="DO59" s="408">
        <v>-1430.4416432619473</v>
      </c>
      <c r="DP59" s="408">
        <v>-384.87165394018757</v>
      </c>
      <c r="DQ59" s="408">
        <v>0</v>
      </c>
      <c r="DR59" s="408">
        <v>0</v>
      </c>
      <c r="DS59" s="408"/>
      <c r="DT59" s="408"/>
      <c r="DU59" s="408"/>
      <c r="DV59" s="408">
        <v>1308072.7324709317</v>
      </c>
      <c r="DW59" s="408">
        <v>0</v>
      </c>
      <c r="DX59" s="408">
        <v>0</v>
      </c>
      <c r="DY59" s="408">
        <v>-885981.84015999991</v>
      </c>
      <c r="DZ59" s="408">
        <v>43857.499920000089</v>
      </c>
      <c r="EA59" s="408">
        <v>0</v>
      </c>
      <c r="EB59" s="408">
        <v>0</v>
      </c>
      <c r="EC59" s="408">
        <v>-878599.31896455889</v>
      </c>
      <c r="ED59" s="408">
        <v>0</v>
      </c>
      <c r="EE59" s="408">
        <v>0</v>
      </c>
      <c r="EF59" s="408">
        <v>0</v>
      </c>
      <c r="EG59" s="408">
        <v>0</v>
      </c>
      <c r="EH59" s="408">
        <v>0</v>
      </c>
      <c r="EI59" s="408">
        <v>0</v>
      </c>
      <c r="EJ59" s="408">
        <v>0</v>
      </c>
      <c r="EK59" s="408">
        <v>0</v>
      </c>
      <c r="EL59" s="408">
        <v>0</v>
      </c>
      <c r="EM59" s="408">
        <v>0</v>
      </c>
      <c r="EN59" s="408">
        <v>0</v>
      </c>
      <c r="EO59" s="408">
        <v>0</v>
      </c>
      <c r="EP59" s="408">
        <v>0</v>
      </c>
      <c r="EQ59" s="408">
        <v>0</v>
      </c>
      <c r="ER59" s="408">
        <v>0</v>
      </c>
      <c r="ES59" s="408">
        <v>0</v>
      </c>
      <c r="ET59" s="408">
        <v>0</v>
      </c>
      <c r="EU59" s="408">
        <v>0</v>
      </c>
      <c r="EV59" s="408">
        <v>257</v>
      </c>
      <c r="EW59" s="408">
        <v>0</v>
      </c>
      <c r="EX59" s="408">
        <v>0</v>
      </c>
      <c r="EY59" s="408">
        <v>0</v>
      </c>
      <c r="EZ59" s="408"/>
      <c r="FA59" s="408">
        <v>0</v>
      </c>
      <c r="FB59" s="408"/>
      <c r="FC59" s="408"/>
      <c r="FD59" s="408"/>
      <c r="FE59" s="408"/>
      <c r="FF59" s="408">
        <v>0</v>
      </c>
      <c r="FG59" s="408">
        <v>0</v>
      </c>
      <c r="FH59" s="408">
        <v>0</v>
      </c>
      <c r="FI59" s="408">
        <v>0</v>
      </c>
    </row>
    <row r="60" spans="1:165" customFormat="1">
      <c r="A60" s="408">
        <v>58</v>
      </c>
      <c r="B60" s="408" t="s">
        <v>2235</v>
      </c>
      <c r="C60" s="408" t="s">
        <v>2233</v>
      </c>
      <c r="D60" s="408" t="s">
        <v>2243</v>
      </c>
      <c r="E60" s="408" t="s">
        <v>973</v>
      </c>
      <c r="F60" s="408" t="s">
        <v>1321</v>
      </c>
      <c r="G60" s="408" t="s">
        <v>1321</v>
      </c>
      <c r="H60" s="408" t="s">
        <v>1321</v>
      </c>
      <c r="I60" s="408" t="s">
        <v>1321</v>
      </c>
      <c r="J60" s="408" t="s">
        <v>2234</v>
      </c>
      <c r="K60" s="828">
        <v>44409</v>
      </c>
      <c r="L60" s="408">
        <v>0</v>
      </c>
      <c r="M60" s="408">
        <v>0</v>
      </c>
      <c r="N60" s="408">
        <v>-3.4239999999999999</v>
      </c>
      <c r="O60" s="408">
        <v>-3.4239999999999999</v>
      </c>
      <c r="P60" s="408">
        <v>-3.4239999999999999</v>
      </c>
      <c r="Q60" s="408">
        <v>-3.4239999999999999</v>
      </c>
      <c r="R60" s="408"/>
      <c r="S60" s="408">
        <v>710.91</v>
      </c>
      <c r="T60" s="408">
        <v>256.55</v>
      </c>
      <c r="U60" s="408"/>
      <c r="V60" s="408">
        <v>-3312.58304</v>
      </c>
      <c r="W60" s="408">
        <v>-3312.58304</v>
      </c>
      <c r="X60" s="408">
        <v>-2261.31232</v>
      </c>
      <c r="Y60" s="408">
        <v>0</v>
      </c>
      <c r="Z60" s="408">
        <v>-210.4893091066308</v>
      </c>
      <c r="AA60" s="408">
        <v>0</v>
      </c>
      <c r="AB60" s="408">
        <v>0</v>
      </c>
      <c r="AC60" s="408">
        <v>0</v>
      </c>
      <c r="AD60" s="408">
        <v>-421.43547228674572</v>
      </c>
      <c r="AE60" s="408">
        <v>-1632.9400512104637</v>
      </c>
      <c r="AF60" s="408">
        <v>-878.43583441054614</v>
      </c>
      <c r="AG60" s="408">
        <v>0</v>
      </c>
      <c r="AH60" s="408">
        <v>0</v>
      </c>
      <c r="AI60" s="408">
        <v>0</v>
      </c>
      <c r="AJ60" s="408">
        <v>0</v>
      </c>
      <c r="AK60" s="408">
        <v>0</v>
      </c>
      <c r="AL60" s="408">
        <v>-32.542599098564999</v>
      </c>
      <c r="AM60" s="408"/>
      <c r="AN60" s="408">
        <v>-7.5184351089933452</v>
      </c>
      <c r="AO60" s="408">
        <v>0</v>
      </c>
      <c r="AP60" s="408">
        <v>0</v>
      </c>
      <c r="AQ60" s="408">
        <v>0</v>
      </c>
      <c r="AR60" s="408">
        <v>0</v>
      </c>
      <c r="AS60" s="408">
        <v>0</v>
      </c>
      <c r="AT60" s="408">
        <v>0</v>
      </c>
      <c r="AU60" s="408">
        <v>0</v>
      </c>
      <c r="AV60" s="408">
        <v>0</v>
      </c>
      <c r="AW60" s="408">
        <v>0</v>
      </c>
      <c r="AX60" s="408">
        <v>0</v>
      </c>
      <c r="AY60" s="408">
        <v>0</v>
      </c>
      <c r="AZ60" s="408">
        <v>0</v>
      </c>
      <c r="BA60" s="408"/>
      <c r="BB60" s="408">
        <v>0</v>
      </c>
      <c r="BC60" s="408">
        <v>0</v>
      </c>
      <c r="BD60" s="408">
        <v>-5.1028568103155054</v>
      </c>
      <c r="BE60" s="408">
        <v>0</v>
      </c>
      <c r="BF60" s="408">
        <v>0</v>
      </c>
      <c r="BG60" s="408">
        <v>-124.13164938906996</v>
      </c>
      <c r="BH60" s="408">
        <v>0</v>
      </c>
      <c r="BI60" s="408">
        <v>-2.69</v>
      </c>
      <c r="BJ60" s="408">
        <v>-1.1499999999999999</v>
      </c>
      <c r="BK60" s="408">
        <v>-997.04</v>
      </c>
      <c r="BL60" s="408">
        <v>0</v>
      </c>
      <c r="BM60" s="408"/>
      <c r="BN60" s="408"/>
      <c r="BO60" s="408"/>
      <c r="BP60" s="408"/>
      <c r="BQ60" s="408"/>
      <c r="BR60" s="408">
        <v>-271.35199999999992</v>
      </c>
      <c r="BS60" s="408"/>
      <c r="BT60" s="408"/>
      <c r="BU60" s="408"/>
      <c r="BV60" s="408">
        <v>-1007.6703406099316</v>
      </c>
      <c r="BW60" s="408"/>
      <c r="BX60" s="408"/>
      <c r="BY60" s="408"/>
      <c r="BZ60" s="408"/>
      <c r="CA60" s="408"/>
      <c r="CB60" s="408"/>
      <c r="CC60" s="408"/>
      <c r="CD60" s="408"/>
      <c r="CE60" s="408"/>
      <c r="CF60" s="408"/>
      <c r="CG60" s="408"/>
      <c r="CH60" s="408"/>
      <c r="CI60" s="408">
        <v>-1987.6356000000001</v>
      </c>
      <c r="CJ60" s="408">
        <v>927.42527999999902</v>
      </c>
      <c r="CK60" s="408"/>
      <c r="CL60" s="408"/>
      <c r="CM60" s="408"/>
      <c r="CN60" s="408"/>
      <c r="CO60" s="408">
        <v>1106.0204799999999</v>
      </c>
      <c r="CP60" s="408">
        <v>-54.74976000000003</v>
      </c>
      <c r="CQ60" s="408">
        <v>31</v>
      </c>
      <c r="CR60" s="408">
        <v>-45.516211737559388</v>
      </c>
      <c r="CS60" s="408">
        <v>0</v>
      </c>
      <c r="CT60" s="408">
        <v>0</v>
      </c>
      <c r="CU60" s="408">
        <v>0</v>
      </c>
      <c r="CV60" s="408">
        <v>0</v>
      </c>
      <c r="CW60" s="408">
        <v>0</v>
      </c>
      <c r="CX60" s="408">
        <v>0</v>
      </c>
      <c r="CY60" s="408">
        <v>0</v>
      </c>
      <c r="CZ60" s="408">
        <v>1.9049148410286421</v>
      </c>
      <c r="DA60" s="408">
        <v>0</v>
      </c>
      <c r="DB60" s="408">
        <v>0</v>
      </c>
      <c r="DC60" s="408">
        <v>-54.725207745746275</v>
      </c>
      <c r="DD60" s="408">
        <v>0</v>
      </c>
      <c r="DE60" s="408">
        <v>0</v>
      </c>
      <c r="DF60" s="408">
        <v>-0.31790016766415796</v>
      </c>
      <c r="DG60" s="408">
        <v>-7.7332117321891758</v>
      </c>
      <c r="DH60" s="408">
        <v>0</v>
      </c>
      <c r="DI60" s="408">
        <v>13.089036365696529</v>
      </c>
      <c r="DJ60" s="408"/>
      <c r="DK60" s="408">
        <v>0</v>
      </c>
      <c r="DL60" s="408">
        <v>0</v>
      </c>
      <c r="DM60" s="408">
        <v>0</v>
      </c>
      <c r="DN60" s="408">
        <v>0</v>
      </c>
      <c r="DO60" s="408">
        <v>1.7856999784632812</v>
      </c>
      <c r="DP60" s="408">
        <v>0.48045672285161789</v>
      </c>
      <c r="DQ60" s="408">
        <v>0</v>
      </c>
      <c r="DR60" s="408">
        <v>0</v>
      </c>
      <c r="DS60" s="408"/>
      <c r="DT60" s="408"/>
      <c r="DU60" s="408"/>
      <c r="DV60" s="408">
        <v>-1632.9400512104637</v>
      </c>
      <c r="DW60" s="408">
        <v>0</v>
      </c>
      <c r="DX60" s="408">
        <v>0</v>
      </c>
      <c r="DY60" s="408">
        <v>1106.0204799999999</v>
      </c>
      <c r="DZ60" s="408">
        <v>-54.749760000000038</v>
      </c>
      <c r="EA60" s="408">
        <v>0</v>
      </c>
      <c r="EB60" s="408">
        <v>0</v>
      </c>
      <c r="EC60" s="408">
        <v>1096.8044675874685</v>
      </c>
      <c r="ED60" s="408">
        <v>0</v>
      </c>
      <c r="EE60" s="408">
        <v>0</v>
      </c>
      <c r="EF60" s="408">
        <v>0</v>
      </c>
      <c r="EG60" s="408">
        <v>0</v>
      </c>
      <c r="EH60" s="408">
        <v>0</v>
      </c>
      <c r="EI60" s="408">
        <v>0</v>
      </c>
      <c r="EJ60" s="408">
        <v>0</v>
      </c>
      <c r="EK60" s="408">
        <v>0</v>
      </c>
      <c r="EL60" s="408">
        <v>0</v>
      </c>
      <c r="EM60" s="408">
        <v>0</v>
      </c>
      <c r="EN60" s="408">
        <v>0</v>
      </c>
      <c r="EO60" s="408">
        <v>0</v>
      </c>
      <c r="EP60" s="408">
        <v>0</v>
      </c>
      <c r="EQ60" s="408">
        <v>0</v>
      </c>
      <c r="ER60" s="408">
        <v>0</v>
      </c>
      <c r="ES60" s="408">
        <v>0</v>
      </c>
      <c r="ET60" s="408">
        <v>0</v>
      </c>
      <c r="EU60" s="408">
        <v>0</v>
      </c>
      <c r="EV60" s="408">
        <v>257</v>
      </c>
      <c r="EW60" s="408">
        <v>0</v>
      </c>
      <c r="EX60" s="408">
        <v>0</v>
      </c>
      <c r="EY60" s="408">
        <v>0</v>
      </c>
      <c r="EZ60" s="408"/>
      <c r="FA60" s="408">
        <v>0</v>
      </c>
      <c r="FB60" s="408"/>
      <c r="FC60" s="408"/>
      <c r="FD60" s="408"/>
      <c r="FE60" s="408"/>
      <c r="FF60" s="408">
        <v>0</v>
      </c>
      <c r="FG60" s="408">
        <v>0</v>
      </c>
      <c r="FH60" s="408">
        <v>0</v>
      </c>
      <c r="FI60" s="408">
        <v>0</v>
      </c>
    </row>
    <row r="61" spans="1:165" customFormat="1">
      <c r="A61" s="408">
        <v>59</v>
      </c>
      <c r="B61" s="408" t="s">
        <v>2236</v>
      </c>
      <c r="C61" s="408" t="s">
        <v>2233</v>
      </c>
      <c r="D61" s="408" t="s">
        <v>2243</v>
      </c>
      <c r="E61" s="408" t="s">
        <v>973</v>
      </c>
      <c r="F61" s="408" t="s">
        <v>1321</v>
      </c>
      <c r="G61" s="408" t="s">
        <v>1321</v>
      </c>
      <c r="H61" s="408" t="s">
        <v>1321</v>
      </c>
      <c r="I61" s="408" t="s">
        <v>1321</v>
      </c>
      <c r="J61" s="408" t="s">
        <v>2234</v>
      </c>
      <c r="K61" s="828">
        <v>44409</v>
      </c>
      <c r="L61" s="408">
        <v>0</v>
      </c>
      <c r="M61" s="408">
        <v>0</v>
      </c>
      <c r="N61" s="408">
        <v>86.129000000000005</v>
      </c>
      <c r="O61" s="408">
        <v>86.129000000000005</v>
      </c>
      <c r="P61" s="408">
        <v>86.129000000000005</v>
      </c>
      <c r="Q61" s="408">
        <v>86.129000000000005</v>
      </c>
      <c r="R61" s="408"/>
      <c r="S61" s="408">
        <v>710.91</v>
      </c>
      <c r="T61" s="408">
        <v>256.55</v>
      </c>
      <c r="U61" s="408"/>
      <c r="V61" s="408">
        <v>83326.362339999992</v>
      </c>
      <c r="W61" s="408">
        <v>83326.362339999992</v>
      </c>
      <c r="X61" s="408">
        <v>56882.175470000002</v>
      </c>
      <c r="Y61" s="408">
        <v>0</v>
      </c>
      <c r="Z61" s="408">
        <v>5294.7528341252937</v>
      </c>
      <c r="AA61" s="408">
        <v>0</v>
      </c>
      <c r="AB61" s="408">
        <v>0</v>
      </c>
      <c r="AC61" s="408">
        <v>0</v>
      </c>
      <c r="AD61" s="408">
        <v>10600.997602974627</v>
      </c>
      <c r="AE61" s="408">
        <v>41075.786702893121</v>
      </c>
      <c r="AF61" s="408">
        <v>22096.612144259911</v>
      </c>
      <c r="AG61" s="408">
        <v>0</v>
      </c>
      <c r="AH61" s="408">
        <v>0</v>
      </c>
      <c r="AI61" s="408">
        <v>0</v>
      </c>
      <c r="AJ61" s="408">
        <v>0</v>
      </c>
      <c r="AK61" s="408">
        <v>0</v>
      </c>
      <c r="AL61" s="408">
        <v>818.59273299074323</v>
      </c>
      <c r="AM61" s="408"/>
      <c r="AN61" s="408">
        <v>189.12245838273594</v>
      </c>
      <c r="AO61" s="408">
        <v>0</v>
      </c>
      <c r="AP61" s="408">
        <v>0</v>
      </c>
      <c r="AQ61" s="408">
        <v>0</v>
      </c>
      <c r="AR61" s="408">
        <v>0</v>
      </c>
      <c r="AS61" s="408">
        <v>0</v>
      </c>
      <c r="AT61" s="408">
        <v>0</v>
      </c>
      <c r="AU61" s="408">
        <v>0</v>
      </c>
      <c r="AV61" s="408">
        <v>0</v>
      </c>
      <c r="AW61" s="408">
        <v>0</v>
      </c>
      <c r="AX61" s="408">
        <v>0</v>
      </c>
      <c r="AY61" s="408">
        <v>0</v>
      </c>
      <c r="AZ61" s="408">
        <v>0</v>
      </c>
      <c r="BA61" s="408"/>
      <c r="BB61" s="408">
        <v>0</v>
      </c>
      <c r="BC61" s="408">
        <v>0</v>
      </c>
      <c r="BD61" s="408">
        <v>128.35979971251876</v>
      </c>
      <c r="BE61" s="408">
        <v>0</v>
      </c>
      <c r="BF61" s="408">
        <v>0</v>
      </c>
      <c r="BG61" s="408">
        <v>3122.4692845301424</v>
      </c>
      <c r="BH61" s="408">
        <v>0</v>
      </c>
      <c r="BI61" s="408">
        <v>66.44</v>
      </c>
      <c r="BJ61" s="408">
        <v>23.69</v>
      </c>
      <c r="BK61" s="408">
        <v>3115.34</v>
      </c>
      <c r="BL61" s="408">
        <v>136</v>
      </c>
      <c r="BM61" s="408"/>
      <c r="BN61" s="408"/>
      <c r="BO61" s="408"/>
      <c r="BP61" s="408"/>
      <c r="BQ61" s="408"/>
      <c r="BR61" s="408">
        <v>6825.7232499999982</v>
      </c>
      <c r="BS61" s="408"/>
      <c r="BT61" s="408"/>
      <c r="BU61" s="408"/>
      <c r="BV61" s="408">
        <v>25347.441228502572</v>
      </c>
      <c r="BW61" s="408"/>
      <c r="BX61" s="408"/>
      <c r="BY61" s="408"/>
      <c r="BZ61" s="408"/>
      <c r="CA61" s="408"/>
      <c r="CB61" s="408"/>
      <c r="CC61" s="408"/>
      <c r="CD61" s="408"/>
      <c r="CE61" s="408"/>
      <c r="CF61" s="408"/>
      <c r="CG61" s="408"/>
      <c r="CH61" s="408"/>
      <c r="CI61" s="408">
        <v>50057.0334</v>
      </c>
      <c r="CJ61" s="408">
        <v>-23270.643330000006</v>
      </c>
      <c r="CK61" s="408"/>
      <c r="CL61" s="408"/>
      <c r="CM61" s="408"/>
      <c r="CN61" s="408"/>
      <c r="CO61" s="408">
        <v>-27821.389579999999</v>
      </c>
      <c r="CP61" s="408">
        <v>1377.2027100000009</v>
      </c>
      <c r="CQ61" s="408">
        <v>31</v>
      </c>
      <c r="CR61" s="408">
        <v>1144.9374418061489</v>
      </c>
      <c r="CS61" s="408">
        <v>0</v>
      </c>
      <c r="CT61" s="408">
        <v>0</v>
      </c>
      <c r="CU61" s="408">
        <v>0</v>
      </c>
      <c r="CV61" s="408">
        <v>0</v>
      </c>
      <c r="CW61" s="408">
        <v>0</v>
      </c>
      <c r="CX61" s="408">
        <v>0</v>
      </c>
      <c r="CY61" s="408">
        <v>0</v>
      </c>
      <c r="CZ61" s="408">
        <v>-47.917175917918939</v>
      </c>
      <c r="DA61" s="408">
        <v>0</v>
      </c>
      <c r="DB61" s="408">
        <v>0</v>
      </c>
      <c r="DC61" s="408">
        <v>1376.5851103777386</v>
      </c>
      <c r="DD61" s="408">
        <v>0</v>
      </c>
      <c r="DE61" s="408">
        <v>0</v>
      </c>
      <c r="DF61" s="408">
        <v>7.9966190247506574</v>
      </c>
      <c r="DG61" s="408">
        <v>194.52505644910116</v>
      </c>
      <c r="DH61" s="408">
        <v>0</v>
      </c>
      <c r="DI61" s="408">
        <v>-329.24813467905278</v>
      </c>
      <c r="DJ61" s="408"/>
      <c r="DK61" s="408">
        <v>0</v>
      </c>
      <c r="DL61" s="408">
        <v>0</v>
      </c>
      <c r="DM61" s="408">
        <v>0</v>
      </c>
      <c r="DN61" s="408">
        <v>0</v>
      </c>
      <c r="DO61" s="408">
        <v>-44.918385936058371</v>
      </c>
      <c r="DP61" s="408">
        <v>-12.08564751240857</v>
      </c>
      <c r="DQ61" s="408">
        <v>0</v>
      </c>
      <c r="DR61" s="408">
        <v>0</v>
      </c>
      <c r="DS61" s="408"/>
      <c r="DT61" s="408"/>
      <c r="DU61" s="408"/>
      <c r="DV61" s="408">
        <v>41075.786702893121</v>
      </c>
      <c r="DW61" s="408">
        <v>0</v>
      </c>
      <c r="DX61" s="408">
        <v>0</v>
      </c>
      <c r="DY61" s="408">
        <v>-27821.389579999995</v>
      </c>
      <c r="DZ61" s="408">
        <v>1377.2027100000014</v>
      </c>
      <c r="EA61" s="408">
        <v>0</v>
      </c>
      <c r="EB61" s="408">
        <v>0</v>
      </c>
      <c r="EC61" s="408">
        <v>-27589.565417301717</v>
      </c>
      <c r="ED61" s="408">
        <v>0</v>
      </c>
      <c r="EE61" s="408">
        <v>0</v>
      </c>
      <c r="EF61" s="408">
        <v>0</v>
      </c>
      <c r="EG61" s="408">
        <v>0</v>
      </c>
      <c r="EH61" s="408">
        <v>0</v>
      </c>
      <c r="EI61" s="408">
        <v>0</v>
      </c>
      <c r="EJ61" s="408">
        <v>0</v>
      </c>
      <c r="EK61" s="408">
        <v>0</v>
      </c>
      <c r="EL61" s="408">
        <v>0</v>
      </c>
      <c r="EM61" s="408">
        <v>0</v>
      </c>
      <c r="EN61" s="408">
        <v>0</v>
      </c>
      <c r="EO61" s="408">
        <v>0</v>
      </c>
      <c r="EP61" s="408">
        <v>0</v>
      </c>
      <c r="EQ61" s="408">
        <v>0</v>
      </c>
      <c r="ER61" s="408">
        <v>0</v>
      </c>
      <c r="ES61" s="408">
        <v>0</v>
      </c>
      <c r="ET61" s="408">
        <v>0</v>
      </c>
      <c r="EU61" s="408">
        <v>0</v>
      </c>
      <c r="EV61" s="408">
        <v>257</v>
      </c>
      <c r="EW61" s="408">
        <v>0</v>
      </c>
      <c r="EX61" s="408">
        <v>0</v>
      </c>
      <c r="EY61" s="408">
        <v>0</v>
      </c>
      <c r="EZ61" s="408"/>
      <c r="FA61" s="408">
        <v>0</v>
      </c>
      <c r="FB61" s="408"/>
      <c r="FC61" s="408"/>
      <c r="FD61" s="408"/>
      <c r="FE61" s="408"/>
      <c r="FF61" s="408">
        <v>0</v>
      </c>
      <c r="FG61" s="408">
        <v>0</v>
      </c>
      <c r="FH61" s="408">
        <v>0</v>
      </c>
      <c r="FI61" s="408">
        <v>0</v>
      </c>
    </row>
    <row r="62" spans="1:165" customFormat="1">
      <c r="A62" s="408">
        <v>60</v>
      </c>
      <c r="B62" s="408" t="s">
        <v>1035</v>
      </c>
      <c r="C62" s="408" t="s">
        <v>2241</v>
      </c>
      <c r="D62" s="408" t="s">
        <v>596</v>
      </c>
      <c r="E62" s="408" t="s">
        <v>973</v>
      </c>
      <c r="F62" s="408" t="s">
        <v>1321</v>
      </c>
      <c r="G62" s="408" t="s">
        <v>1321</v>
      </c>
      <c r="H62" s="408" t="s">
        <v>1321</v>
      </c>
      <c r="I62" s="408" t="s">
        <v>972</v>
      </c>
      <c r="J62" s="408" t="s">
        <v>2234</v>
      </c>
      <c r="K62" s="828">
        <v>44409</v>
      </c>
      <c r="L62" s="408">
        <v>0</v>
      </c>
      <c r="M62" s="408">
        <v>0</v>
      </c>
      <c r="N62" s="408">
        <v>10.691000000000001</v>
      </c>
      <c r="O62" s="408">
        <v>10.26336</v>
      </c>
      <c r="P62" s="408">
        <v>10.691000000000001</v>
      </c>
      <c r="Q62" s="408">
        <v>10.26336</v>
      </c>
      <c r="R62" s="408"/>
      <c r="S62" s="408">
        <v>3130.62</v>
      </c>
      <c r="T62" s="408">
        <v>256.55</v>
      </c>
      <c r="U62" s="408"/>
      <c r="V62" s="408">
        <v>36212.234470000003</v>
      </c>
      <c r="W62" s="408">
        <v>36212.234470000003</v>
      </c>
      <c r="X62" s="408">
        <v>19058.097330000001</v>
      </c>
      <c r="Y62" s="408">
        <v>0</v>
      </c>
      <c r="Z62" s="408">
        <v>571.7864623783064</v>
      </c>
      <c r="AA62" s="408">
        <v>0</v>
      </c>
      <c r="AB62" s="408">
        <v>0</v>
      </c>
      <c r="AC62" s="408">
        <v>0</v>
      </c>
      <c r="AD62" s="408">
        <v>6887.2898135539754</v>
      </c>
      <c r="AE62" s="408">
        <v>25702.753356331748</v>
      </c>
      <c r="AF62" s="408">
        <v>2742.8030098373683</v>
      </c>
      <c r="AG62" s="408">
        <v>0</v>
      </c>
      <c r="AH62" s="408">
        <v>0</v>
      </c>
      <c r="AI62" s="408">
        <v>0</v>
      </c>
      <c r="AJ62" s="408">
        <v>0</v>
      </c>
      <c r="AK62" s="408">
        <v>0</v>
      </c>
      <c r="AL62" s="408">
        <v>101.61008380921682</v>
      </c>
      <c r="AM62" s="408"/>
      <c r="AN62" s="408">
        <v>14.422746949564278</v>
      </c>
      <c r="AO62" s="408">
        <v>0</v>
      </c>
      <c r="AP62" s="408">
        <v>0</v>
      </c>
      <c r="AQ62" s="408">
        <v>0</v>
      </c>
      <c r="AR62" s="408">
        <v>0</v>
      </c>
      <c r="AS62" s="408">
        <v>0</v>
      </c>
      <c r="AT62" s="408">
        <v>0</v>
      </c>
      <c r="AU62" s="408">
        <v>0</v>
      </c>
      <c r="AV62" s="408">
        <v>0</v>
      </c>
      <c r="AW62" s="408">
        <v>0</v>
      </c>
      <c r="AX62" s="408">
        <v>0</v>
      </c>
      <c r="AY62" s="408">
        <v>0</v>
      </c>
      <c r="AZ62" s="408">
        <v>0</v>
      </c>
      <c r="BA62" s="408"/>
      <c r="BB62" s="408">
        <v>0</v>
      </c>
      <c r="BC62" s="408">
        <v>0</v>
      </c>
      <c r="BD62" s="408">
        <v>13.171581597151913</v>
      </c>
      <c r="BE62" s="408">
        <v>0</v>
      </c>
      <c r="BF62" s="408">
        <v>0</v>
      </c>
      <c r="BG62" s="408">
        <v>178.42518012049135</v>
      </c>
      <c r="BH62" s="408">
        <v>0</v>
      </c>
      <c r="BI62" s="408">
        <v>0</v>
      </c>
      <c r="BJ62" s="408">
        <v>0</v>
      </c>
      <c r="BK62" s="408">
        <v>0</v>
      </c>
      <c r="BL62" s="408">
        <v>0</v>
      </c>
      <c r="BM62" s="408"/>
      <c r="BN62" s="408"/>
      <c r="BO62" s="408"/>
      <c r="BP62" s="408"/>
      <c r="BQ62" s="408"/>
      <c r="BR62" s="408">
        <v>762.32389320000038</v>
      </c>
      <c r="BS62" s="408"/>
      <c r="BT62" s="408"/>
      <c r="BU62" s="408"/>
      <c r="BV62" s="408">
        <v>2934.3997715550117</v>
      </c>
      <c r="BW62" s="408"/>
      <c r="BX62" s="408"/>
      <c r="BY62" s="408"/>
      <c r="BZ62" s="408"/>
      <c r="CA62" s="408"/>
      <c r="CB62" s="408"/>
      <c r="CC62" s="408"/>
      <c r="CD62" s="408"/>
      <c r="CE62" s="408"/>
      <c r="CF62" s="408"/>
      <c r="CG62" s="408"/>
      <c r="CH62" s="408"/>
      <c r="CI62" s="408">
        <v>18289.783799999997</v>
      </c>
      <c r="CJ62" s="408">
        <v>-16473.9912912</v>
      </c>
      <c r="CK62" s="408"/>
      <c r="CL62" s="408"/>
      <c r="CM62" s="408"/>
      <c r="CN62" s="408"/>
      <c r="CO62" s="408">
        <v>-17325.086230000001</v>
      </c>
      <c r="CP62" s="408">
        <v>170.9490900000001</v>
      </c>
      <c r="CQ62" s="408">
        <v>31</v>
      </c>
      <c r="CR62" s="408">
        <v>109.62445760046285</v>
      </c>
      <c r="CS62" s="408">
        <v>0</v>
      </c>
      <c r="CT62" s="408">
        <v>0</v>
      </c>
      <c r="CU62" s="408">
        <v>0</v>
      </c>
      <c r="CV62" s="408">
        <v>0</v>
      </c>
      <c r="CW62" s="408">
        <v>0</v>
      </c>
      <c r="CX62" s="408">
        <v>0</v>
      </c>
      <c r="CY62" s="408">
        <v>0</v>
      </c>
      <c r="CZ62" s="408">
        <v>-31.130983135134557</v>
      </c>
      <c r="DA62" s="408">
        <v>0</v>
      </c>
      <c r="DB62" s="408">
        <v>0</v>
      </c>
      <c r="DC62" s="408">
        <v>170.87242874117237</v>
      </c>
      <c r="DD62" s="408">
        <v>0</v>
      </c>
      <c r="DE62" s="408">
        <v>0</v>
      </c>
      <c r="DF62" s="408">
        <v>0.82056937001881813</v>
      </c>
      <c r="DG62" s="408">
        <v>11.115615582461174</v>
      </c>
      <c r="DH62" s="408">
        <v>0</v>
      </c>
      <c r="DI62" s="408">
        <v>-35.555885623109248</v>
      </c>
      <c r="DJ62" s="408"/>
      <c r="DK62" s="408">
        <v>0</v>
      </c>
      <c r="DL62" s="408">
        <v>0</v>
      </c>
      <c r="DM62" s="408">
        <v>0</v>
      </c>
      <c r="DN62" s="408">
        <v>0</v>
      </c>
      <c r="DO62" s="408">
        <v>-5.5756187119599616</v>
      </c>
      <c r="DP62" s="408">
        <v>-0.92166862298474328</v>
      </c>
      <c r="DQ62" s="408">
        <v>0</v>
      </c>
      <c r="DR62" s="408">
        <v>0</v>
      </c>
      <c r="DS62" s="408"/>
      <c r="DT62" s="408"/>
      <c r="DU62" s="408"/>
      <c r="DV62" s="408">
        <v>25702.753356331748</v>
      </c>
      <c r="DW62" s="408">
        <v>0</v>
      </c>
      <c r="DX62" s="408">
        <v>0</v>
      </c>
      <c r="DY62" s="408">
        <v>-17325.086230000001</v>
      </c>
      <c r="DZ62" s="408">
        <v>170.94909000000007</v>
      </c>
      <c r="EA62" s="408">
        <v>0</v>
      </c>
      <c r="EB62" s="408">
        <v>0</v>
      </c>
      <c r="EC62" s="408">
        <v>-17263.888340313606</v>
      </c>
      <c r="ED62" s="408">
        <v>0</v>
      </c>
      <c r="EE62" s="408">
        <v>0</v>
      </c>
      <c r="EF62" s="408">
        <v>0</v>
      </c>
      <c r="EG62" s="408">
        <v>0</v>
      </c>
      <c r="EH62" s="408">
        <v>0</v>
      </c>
      <c r="EI62" s="408">
        <v>0</v>
      </c>
      <c r="EJ62" s="408">
        <v>0</v>
      </c>
      <c r="EK62" s="408">
        <v>0</v>
      </c>
      <c r="EL62" s="408">
        <v>0</v>
      </c>
      <c r="EM62" s="408">
        <v>0</v>
      </c>
      <c r="EN62" s="408">
        <v>0</v>
      </c>
      <c r="EO62" s="408">
        <v>0</v>
      </c>
      <c r="EP62" s="408">
        <v>0</v>
      </c>
      <c r="EQ62" s="408">
        <v>0</v>
      </c>
      <c r="ER62" s="408">
        <v>0</v>
      </c>
      <c r="ES62" s="408">
        <v>0</v>
      </c>
      <c r="ET62" s="408">
        <v>0</v>
      </c>
      <c r="EU62" s="408">
        <v>0</v>
      </c>
      <c r="EV62" s="408">
        <v>257</v>
      </c>
      <c r="EW62" s="408">
        <v>0</v>
      </c>
      <c r="EX62" s="408">
        <v>0</v>
      </c>
      <c r="EY62" s="408">
        <v>0</v>
      </c>
      <c r="EZ62" s="408"/>
      <c r="FA62" s="408">
        <v>0</v>
      </c>
      <c r="FB62" s="408"/>
      <c r="FC62" s="408"/>
      <c r="FD62" s="408"/>
      <c r="FE62" s="408"/>
      <c r="FF62" s="408">
        <v>0</v>
      </c>
      <c r="FG62" s="408">
        <v>0</v>
      </c>
      <c r="FH62" s="408">
        <v>0</v>
      </c>
      <c r="FI62" s="408">
        <v>0</v>
      </c>
    </row>
    <row r="63" spans="1:165" customFormat="1">
      <c r="A63" s="408">
        <v>61</v>
      </c>
      <c r="B63" s="408" t="s">
        <v>1035</v>
      </c>
      <c r="C63" s="408" t="s">
        <v>2241</v>
      </c>
      <c r="D63" s="408" t="s">
        <v>596</v>
      </c>
      <c r="E63" s="408" t="s">
        <v>973</v>
      </c>
      <c r="F63" s="408" t="s">
        <v>1321</v>
      </c>
      <c r="G63" s="408" t="s">
        <v>1321</v>
      </c>
      <c r="H63" s="408" t="s">
        <v>1321</v>
      </c>
      <c r="I63" s="408" t="s">
        <v>2242</v>
      </c>
      <c r="J63" s="408" t="s">
        <v>2234</v>
      </c>
      <c r="K63" s="828">
        <v>44409</v>
      </c>
      <c r="L63" s="408">
        <v>0</v>
      </c>
      <c r="M63" s="408">
        <v>0</v>
      </c>
      <c r="N63" s="408">
        <v>113.09099999999999</v>
      </c>
      <c r="O63" s="408">
        <v>108.56735999999999</v>
      </c>
      <c r="P63" s="408">
        <v>113.09099999999999</v>
      </c>
      <c r="Q63" s="408">
        <v>108.56735999999999</v>
      </c>
      <c r="R63" s="408"/>
      <c r="S63" s="408">
        <v>82.26</v>
      </c>
      <c r="T63" s="408">
        <v>256.55</v>
      </c>
      <c r="U63" s="408"/>
      <c r="V63" s="408">
        <v>38316.361709999997</v>
      </c>
      <c r="W63" s="408">
        <v>38316.361709999997</v>
      </c>
      <c r="X63" s="408">
        <v>39805.77018</v>
      </c>
      <c r="Y63" s="408">
        <v>0</v>
      </c>
      <c r="Z63" s="408">
        <v>6048.4428787601764</v>
      </c>
      <c r="AA63" s="408">
        <v>0</v>
      </c>
      <c r="AB63" s="408">
        <v>0</v>
      </c>
      <c r="AC63" s="408">
        <v>0</v>
      </c>
      <c r="AD63" s="408">
        <v>0</v>
      </c>
      <c r="AE63" s="408">
        <v>0</v>
      </c>
      <c r="AF63" s="408">
        <v>29013.781235199494</v>
      </c>
      <c r="AG63" s="408">
        <v>0</v>
      </c>
      <c r="AH63" s="408">
        <v>0</v>
      </c>
      <c r="AI63" s="408">
        <v>0</v>
      </c>
      <c r="AJ63" s="408">
        <v>0</v>
      </c>
      <c r="AK63" s="408">
        <v>0</v>
      </c>
      <c r="AL63" s="408">
        <v>1074.8466923644316</v>
      </c>
      <c r="AM63" s="408"/>
      <c r="AN63" s="408">
        <v>152.56597841859261</v>
      </c>
      <c r="AO63" s="408">
        <v>0</v>
      </c>
      <c r="AP63" s="408">
        <v>0</v>
      </c>
      <c r="AQ63" s="408">
        <v>0</v>
      </c>
      <c r="AR63" s="408">
        <v>0</v>
      </c>
      <c r="AS63" s="408">
        <v>0</v>
      </c>
      <c r="AT63" s="408">
        <v>0</v>
      </c>
      <c r="AU63" s="408">
        <v>0</v>
      </c>
      <c r="AV63" s="408">
        <v>0</v>
      </c>
      <c r="AW63" s="408">
        <v>0</v>
      </c>
      <c r="AX63" s="408">
        <v>0</v>
      </c>
      <c r="AY63" s="408">
        <v>0</v>
      </c>
      <c r="AZ63" s="408">
        <v>0</v>
      </c>
      <c r="BA63" s="408"/>
      <c r="BB63" s="408">
        <v>0</v>
      </c>
      <c r="BC63" s="408">
        <v>0</v>
      </c>
      <c r="BD63" s="408">
        <v>139.33096383907088</v>
      </c>
      <c r="BE63" s="408">
        <v>0</v>
      </c>
      <c r="BF63" s="408">
        <v>0</v>
      </c>
      <c r="BG63" s="408">
        <v>1887.4082915542499</v>
      </c>
      <c r="BH63" s="408">
        <v>0</v>
      </c>
      <c r="BI63" s="408">
        <v>0</v>
      </c>
      <c r="BJ63" s="408">
        <v>0</v>
      </c>
      <c r="BK63" s="408">
        <v>0</v>
      </c>
      <c r="BL63" s="408">
        <v>0</v>
      </c>
      <c r="BM63" s="408"/>
      <c r="BN63" s="408"/>
      <c r="BO63" s="408"/>
      <c r="BP63" s="408"/>
      <c r="BQ63" s="408"/>
      <c r="BR63" s="408">
        <v>1592.2308072000001</v>
      </c>
      <c r="BS63" s="408"/>
      <c r="BT63" s="408"/>
      <c r="BU63" s="408"/>
      <c r="BV63" s="408">
        <v>31040.520490592815</v>
      </c>
      <c r="BW63" s="408"/>
      <c r="BX63" s="408"/>
      <c r="BY63" s="408"/>
      <c r="BZ63" s="408"/>
      <c r="CA63" s="408"/>
      <c r="CB63" s="408"/>
      <c r="CC63" s="408"/>
      <c r="CD63" s="408"/>
      <c r="CE63" s="408"/>
      <c r="CF63" s="408"/>
      <c r="CG63" s="408"/>
      <c r="CH63" s="408"/>
      <c r="CI63" s="408">
        <v>38214.4686</v>
      </c>
      <c r="CJ63" s="408">
        <v>1430.7313584000003</v>
      </c>
      <c r="CK63" s="408"/>
      <c r="CL63" s="408"/>
      <c r="CM63" s="408"/>
      <c r="CN63" s="408"/>
      <c r="CO63" s="408">
        <v>-318.91662000000082</v>
      </c>
      <c r="CP63" s="408">
        <v>1808.325090000001</v>
      </c>
      <c r="CQ63" s="408">
        <v>31</v>
      </c>
      <c r="CR63" s="408">
        <v>1488.9321436937098</v>
      </c>
      <c r="CS63" s="408">
        <v>0</v>
      </c>
      <c r="CT63" s="408">
        <v>0</v>
      </c>
      <c r="CU63" s="408">
        <v>0</v>
      </c>
      <c r="CV63" s="408">
        <v>0</v>
      </c>
      <c r="CW63" s="408">
        <v>0</v>
      </c>
      <c r="CX63" s="408">
        <v>0</v>
      </c>
      <c r="CY63" s="408">
        <v>0</v>
      </c>
      <c r="CZ63" s="408">
        <v>0</v>
      </c>
      <c r="DA63" s="408">
        <v>0</v>
      </c>
      <c r="DB63" s="408">
        <v>0</v>
      </c>
      <c r="DC63" s="408">
        <v>1807.5141557167626</v>
      </c>
      <c r="DD63" s="408">
        <v>0</v>
      </c>
      <c r="DE63" s="408">
        <v>0</v>
      </c>
      <c r="DF63" s="408">
        <v>8.6801057548216534</v>
      </c>
      <c r="DG63" s="408">
        <v>117.5826472580784</v>
      </c>
      <c r="DH63" s="408">
        <v>0</v>
      </c>
      <c r="DI63" s="408">
        <v>-376.11548601656068</v>
      </c>
      <c r="DJ63" s="408"/>
      <c r="DK63" s="408">
        <v>0</v>
      </c>
      <c r="DL63" s="408">
        <v>0</v>
      </c>
      <c r="DM63" s="408">
        <v>0</v>
      </c>
      <c r="DN63" s="408">
        <v>0</v>
      </c>
      <c r="DO63" s="408">
        <v>-58.979730217403926</v>
      </c>
      <c r="DP63" s="408">
        <v>-9.7495488019799268</v>
      </c>
      <c r="DQ63" s="408">
        <v>0</v>
      </c>
      <c r="DR63" s="408">
        <v>0</v>
      </c>
      <c r="DS63" s="408"/>
      <c r="DT63" s="408"/>
      <c r="DU63" s="408"/>
      <c r="DV63" s="408">
        <v>0</v>
      </c>
      <c r="DW63" s="408">
        <v>0</v>
      </c>
      <c r="DX63" s="408">
        <v>0</v>
      </c>
      <c r="DY63" s="408">
        <v>-318.91661999999997</v>
      </c>
      <c r="DZ63" s="408">
        <v>1808.3250900000021</v>
      </c>
      <c r="EA63" s="408">
        <v>0</v>
      </c>
      <c r="EB63" s="408">
        <v>0</v>
      </c>
      <c r="EC63" s="408">
        <v>0</v>
      </c>
      <c r="ED63" s="408">
        <v>0</v>
      </c>
      <c r="EE63" s="408">
        <v>0</v>
      </c>
      <c r="EF63" s="408">
        <v>0</v>
      </c>
      <c r="EG63" s="408">
        <v>0</v>
      </c>
      <c r="EH63" s="408">
        <v>0</v>
      </c>
      <c r="EI63" s="408">
        <v>0</v>
      </c>
      <c r="EJ63" s="408">
        <v>0</v>
      </c>
      <c r="EK63" s="408">
        <v>0</v>
      </c>
      <c r="EL63" s="408">
        <v>0</v>
      </c>
      <c r="EM63" s="408">
        <v>0</v>
      </c>
      <c r="EN63" s="408">
        <v>0</v>
      </c>
      <c r="EO63" s="408">
        <v>0</v>
      </c>
      <c r="EP63" s="408">
        <v>0</v>
      </c>
      <c r="EQ63" s="408">
        <v>0</v>
      </c>
      <c r="ER63" s="408">
        <v>0</v>
      </c>
      <c r="ES63" s="408">
        <v>0</v>
      </c>
      <c r="ET63" s="408">
        <v>0</v>
      </c>
      <c r="EU63" s="408">
        <v>0</v>
      </c>
      <c r="EV63" s="408">
        <v>257</v>
      </c>
      <c r="EW63" s="408">
        <v>0</v>
      </c>
      <c r="EX63" s="408">
        <v>0</v>
      </c>
      <c r="EY63" s="408">
        <v>0</v>
      </c>
      <c r="EZ63" s="408"/>
      <c r="FA63" s="408">
        <v>0</v>
      </c>
      <c r="FB63" s="408"/>
      <c r="FC63" s="408"/>
      <c r="FD63" s="408"/>
      <c r="FE63" s="408"/>
      <c r="FF63" s="408">
        <v>0</v>
      </c>
      <c r="FG63" s="408">
        <v>0</v>
      </c>
      <c r="FH63" s="408">
        <v>0</v>
      </c>
      <c r="FI63" s="408">
        <v>0</v>
      </c>
    </row>
    <row r="64" spans="1:165" customFormat="1">
      <c r="A64" s="408">
        <v>62</v>
      </c>
      <c r="B64" s="408" t="s">
        <v>1035</v>
      </c>
      <c r="C64" s="408" t="s">
        <v>2241</v>
      </c>
      <c r="D64" s="408" t="s">
        <v>596</v>
      </c>
      <c r="E64" s="408" t="s">
        <v>973</v>
      </c>
      <c r="F64" s="408" t="s">
        <v>1321</v>
      </c>
      <c r="G64" s="408" t="s">
        <v>1321</v>
      </c>
      <c r="H64" s="408" t="s">
        <v>1321</v>
      </c>
      <c r="I64" s="408" t="s">
        <v>1321</v>
      </c>
      <c r="J64" s="408" t="s">
        <v>2234</v>
      </c>
      <c r="K64" s="828">
        <v>44409</v>
      </c>
      <c r="L64" s="408">
        <v>862</v>
      </c>
      <c r="M64" s="408">
        <v>827.52</v>
      </c>
      <c r="N64" s="408">
        <v>0</v>
      </c>
      <c r="O64" s="408">
        <v>0</v>
      </c>
      <c r="P64" s="408">
        <v>0</v>
      </c>
      <c r="Q64" s="408">
        <v>0</v>
      </c>
      <c r="R64" s="408">
        <v>47.39</v>
      </c>
      <c r="S64" s="408"/>
      <c r="T64" s="408"/>
      <c r="U64" s="408">
        <v>40850.18</v>
      </c>
      <c r="V64" s="408"/>
      <c r="W64" s="408">
        <v>40850.18</v>
      </c>
      <c r="X64" s="408">
        <v>27773.64</v>
      </c>
      <c r="Y64" s="408">
        <v>0</v>
      </c>
      <c r="Z64" s="408">
        <v>0</v>
      </c>
      <c r="AA64" s="408">
        <v>0</v>
      </c>
      <c r="AB64" s="408">
        <v>0</v>
      </c>
      <c r="AC64" s="408">
        <v>0</v>
      </c>
      <c r="AD64" s="408">
        <v>21524.226354699433</v>
      </c>
      <c r="AE64" s="408">
        <v>19325.925565818827</v>
      </c>
      <c r="AF64" s="408"/>
      <c r="AG64" s="408"/>
      <c r="AH64" s="408"/>
      <c r="AI64" s="408">
        <v>0</v>
      </c>
      <c r="AJ64" s="408">
        <v>0</v>
      </c>
      <c r="AK64" s="408">
        <v>0</v>
      </c>
      <c r="AL64" s="408">
        <v>0</v>
      </c>
      <c r="AM64" s="408"/>
      <c r="AN64" s="408">
        <v>0</v>
      </c>
      <c r="AO64" s="408">
        <v>0</v>
      </c>
      <c r="AP64" s="408">
        <v>0</v>
      </c>
      <c r="AQ64" s="408">
        <v>0</v>
      </c>
      <c r="AR64" s="408">
        <v>0</v>
      </c>
      <c r="AS64" s="408"/>
      <c r="AT64" s="408"/>
      <c r="AU64" s="408">
        <v>0</v>
      </c>
      <c r="AV64" s="408">
        <v>0</v>
      </c>
      <c r="AW64" s="408">
        <v>0</v>
      </c>
      <c r="AX64" s="408"/>
      <c r="AY64" s="408"/>
      <c r="AZ64" s="408">
        <v>0</v>
      </c>
      <c r="BA64" s="408"/>
      <c r="BB64" s="408">
        <v>0</v>
      </c>
      <c r="BC64" s="408">
        <v>0</v>
      </c>
      <c r="BD64" s="408">
        <v>0</v>
      </c>
      <c r="BE64" s="408">
        <v>0</v>
      </c>
      <c r="BF64" s="408"/>
      <c r="BG64" s="408">
        <v>0</v>
      </c>
      <c r="BH64" s="408">
        <v>0</v>
      </c>
      <c r="BI64" s="408">
        <v>111.85</v>
      </c>
      <c r="BJ64" s="408">
        <v>39.299999999999997</v>
      </c>
      <c r="BK64" s="408">
        <v>6796.97</v>
      </c>
      <c r="BL64" s="408">
        <v>7</v>
      </c>
      <c r="BM64" s="408"/>
      <c r="BN64" s="408"/>
      <c r="BO64" s="408"/>
      <c r="BP64" s="408"/>
      <c r="BQ64" s="408"/>
      <c r="BR64" s="408">
        <v>1110.9456000000005</v>
      </c>
      <c r="BS64" s="408"/>
      <c r="BT64" s="408"/>
      <c r="BU64" s="408"/>
      <c r="BV64" s="408">
        <v>0</v>
      </c>
      <c r="BW64" s="408"/>
      <c r="BX64" s="408"/>
      <c r="BY64" s="408"/>
      <c r="BZ64" s="408"/>
      <c r="CA64" s="408"/>
      <c r="CB64" s="408"/>
      <c r="CC64" s="408"/>
      <c r="CD64" s="408"/>
      <c r="CE64" s="408"/>
      <c r="CF64" s="408"/>
      <c r="CG64" s="408"/>
      <c r="CH64" s="408"/>
      <c r="CI64" s="408">
        <v>26662.694399999997</v>
      </c>
      <c r="CJ64" s="408">
        <v>-12553.50840000001</v>
      </c>
      <c r="CK64" s="408"/>
      <c r="CL64" s="408"/>
      <c r="CM64" s="408"/>
      <c r="CN64" s="408"/>
      <c r="CO64" s="408">
        <v>-13076.54</v>
      </c>
      <c r="CP64" s="408">
        <v>0</v>
      </c>
      <c r="CQ64" s="408">
        <v>31</v>
      </c>
      <c r="CR64" s="408">
        <v>-97.290856895029719</v>
      </c>
      <c r="CS64" s="408">
        <v>0</v>
      </c>
      <c r="CT64" s="408">
        <v>0</v>
      </c>
      <c r="CU64" s="408">
        <v>0</v>
      </c>
      <c r="CV64" s="408">
        <v>0</v>
      </c>
      <c r="CW64" s="408"/>
      <c r="CX64" s="408"/>
      <c r="CY64" s="408"/>
      <c r="CZ64" s="408">
        <v>-97.290856895029719</v>
      </c>
      <c r="DA64" s="408">
        <v>0</v>
      </c>
      <c r="DB64" s="408">
        <v>0</v>
      </c>
      <c r="DC64" s="408"/>
      <c r="DD64" s="408"/>
      <c r="DE64" s="408">
        <v>0</v>
      </c>
      <c r="DF64" s="408">
        <v>0</v>
      </c>
      <c r="DG64" s="408">
        <v>0</v>
      </c>
      <c r="DH64" s="408">
        <v>0</v>
      </c>
      <c r="DI64" s="408">
        <v>0</v>
      </c>
      <c r="DJ64" s="408"/>
      <c r="DK64" s="408">
        <v>0</v>
      </c>
      <c r="DL64" s="408">
        <v>0</v>
      </c>
      <c r="DM64" s="408"/>
      <c r="DN64" s="408">
        <v>0</v>
      </c>
      <c r="DO64" s="408">
        <v>0</v>
      </c>
      <c r="DP64" s="408">
        <v>0</v>
      </c>
      <c r="DQ64" s="408">
        <v>0</v>
      </c>
      <c r="DR64" s="408">
        <v>0</v>
      </c>
      <c r="DS64" s="408"/>
      <c r="DT64" s="408"/>
      <c r="DU64" s="408">
        <v>19325.925565818827</v>
      </c>
      <c r="DV64" s="408"/>
      <c r="DW64" s="408">
        <v>0</v>
      </c>
      <c r="DX64" s="408">
        <v>0</v>
      </c>
      <c r="DY64" s="408">
        <v>-13076.54</v>
      </c>
      <c r="DZ64" s="408"/>
      <c r="EA64" s="408">
        <v>0</v>
      </c>
      <c r="EB64" s="408"/>
      <c r="EC64" s="408">
        <v>-12980.734647999016</v>
      </c>
      <c r="ED64" s="408"/>
      <c r="EE64" s="408">
        <v>0</v>
      </c>
      <c r="EF64" s="408">
        <v>0</v>
      </c>
      <c r="EG64" s="408"/>
      <c r="EH64" s="408">
        <v>0</v>
      </c>
      <c r="EI64" s="408">
        <v>0</v>
      </c>
      <c r="EJ64" s="408">
        <v>0</v>
      </c>
      <c r="EK64" s="408">
        <v>0</v>
      </c>
      <c r="EL64" s="408">
        <v>0</v>
      </c>
      <c r="EM64" s="408"/>
      <c r="EN64" s="408"/>
      <c r="EO64" s="408">
        <v>0</v>
      </c>
      <c r="EP64" s="408">
        <v>0</v>
      </c>
      <c r="EQ64" s="408"/>
      <c r="ER64" s="408">
        <v>0</v>
      </c>
      <c r="ES64" s="408"/>
      <c r="ET64" s="408">
        <v>0</v>
      </c>
      <c r="EU64" s="408"/>
      <c r="EV64" s="408">
        <v>257</v>
      </c>
      <c r="EW64" s="408"/>
      <c r="EX64" s="408"/>
      <c r="EY64" s="408"/>
      <c r="EZ64" s="408"/>
      <c r="FA64" s="408">
        <v>0</v>
      </c>
      <c r="FB64" s="408"/>
      <c r="FC64" s="408"/>
      <c r="FD64" s="408"/>
      <c r="FE64" s="408"/>
      <c r="FF64" s="408">
        <v>0</v>
      </c>
      <c r="FG64" s="408">
        <v>0</v>
      </c>
      <c r="FH64" s="408">
        <v>0</v>
      </c>
      <c r="FI64" s="408">
        <v>0</v>
      </c>
    </row>
    <row r="65" spans="1:165" customFormat="1">
      <c r="A65" s="408">
        <v>63</v>
      </c>
      <c r="B65" s="408" t="s">
        <v>1035</v>
      </c>
      <c r="C65" s="408" t="s">
        <v>2233</v>
      </c>
      <c r="D65" s="408" t="s">
        <v>1958</v>
      </c>
      <c r="E65" s="408" t="s">
        <v>2244</v>
      </c>
      <c r="F65" s="408" t="s">
        <v>1321</v>
      </c>
      <c r="G65" s="408" t="s">
        <v>1321</v>
      </c>
      <c r="H65" s="408" t="s">
        <v>1321</v>
      </c>
      <c r="I65" s="408" t="s">
        <v>1321</v>
      </c>
      <c r="J65" s="408" t="s">
        <v>2234</v>
      </c>
      <c r="K65" s="828">
        <v>44409</v>
      </c>
      <c r="L65" s="408">
        <v>0</v>
      </c>
      <c r="M65" s="408">
        <v>0</v>
      </c>
      <c r="N65" s="408">
        <v>154.49799999999999</v>
      </c>
      <c r="O65" s="408">
        <v>154.49799999999999</v>
      </c>
      <c r="P65" s="408">
        <v>154.49799999999999</v>
      </c>
      <c r="Q65" s="408">
        <v>154.49799999999999</v>
      </c>
      <c r="R65" s="408"/>
      <c r="S65" s="408">
        <v>710.91</v>
      </c>
      <c r="T65" s="408">
        <v>256.55</v>
      </c>
      <c r="U65" s="408"/>
      <c r="V65" s="408">
        <v>149470.63507999998</v>
      </c>
      <c r="W65" s="408">
        <v>149470.63507999998</v>
      </c>
      <c r="X65" s="408">
        <v>102035.11413999999</v>
      </c>
      <c r="Y65" s="408">
        <v>0</v>
      </c>
      <c r="Z65" s="408">
        <v>9497.7153266227342</v>
      </c>
      <c r="AA65" s="408">
        <v>0</v>
      </c>
      <c r="AB65" s="408">
        <v>0</v>
      </c>
      <c r="AC65" s="408">
        <v>0</v>
      </c>
      <c r="AD65" s="408">
        <v>19016.044859041365</v>
      </c>
      <c r="AE65" s="408">
        <v>73681.650710255315</v>
      </c>
      <c r="AF65" s="408">
        <v>39636.851502558573</v>
      </c>
      <c r="AG65" s="408">
        <v>0</v>
      </c>
      <c r="AH65" s="408">
        <v>0</v>
      </c>
      <c r="AI65" s="408">
        <v>0</v>
      </c>
      <c r="AJ65" s="408">
        <v>0</v>
      </c>
      <c r="AK65" s="408">
        <v>0</v>
      </c>
      <c r="AL65" s="408">
        <v>1468.3897416851912</v>
      </c>
      <c r="AM65" s="408"/>
      <c r="AN65" s="408">
        <v>339.24742624686149</v>
      </c>
      <c r="AO65" s="408">
        <v>0</v>
      </c>
      <c r="AP65" s="408">
        <v>0</v>
      </c>
      <c r="AQ65" s="408">
        <v>0</v>
      </c>
      <c r="AR65" s="408">
        <v>0</v>
      </c>
      <c r="AS65" s="408">
        <v>0</v>
      </c>
      <c r="AT65" s="408">
        <v>0</v>
      </c>
      <c r="AU65" s="408">
        <v>0</v>
      </c>
      <c r="AV65" s="408">
        <v>0</v>
      </c>
      <c r="AW65" s="408">
        <v>0</v>
      </c>
      <c r="AX65" s="408">
        <v>0</v>
      </c>
      <c r="AY65" s="408">
        <v>0</v>
      </c>
      <c r="AZ65" s="408">
        <v>0</v>
      </c>
      <c r="BA65" s="408"/>
      <c r="BB65" s="408">
        <v>0</v>
      </c>
      <c r="BC65" s="408">
        <v>0</v>
      </c>
      <c r="BD65" s="408">
        <v>230.25151036218602</v>
      </c>
      <c r="BE65" s="408">
        <v>0</v>
      </c>
      <c r="BF65" s="408">
        <v>0</v>
      </c>
      <c r="BG65" s="408">
        <v>5601.0781446590336</v>
      </c>
      <c r="BH65" s="408">
        <v>0</v>
      </c>
      <c r="BI65" s="408">
        <v>174.77</v>
      </c>
      <c r="BJ65" s="408">
        <v>61.94</v>
      </c>
      <c r="BK65" s="408">
        <v>45143.88</v>
      </c>
      <c r="BL65" s="408">
        <v>266</v>
      </c>
      <c r="BM65" s="408"/>
      <c r="BN65" s="408"/>
      <c r="BO65" s="408"/>
      <c r="BP65" s="408"/>
      <c r="BQ65" s="408"/>
      <c r="BR65" s="408"/>
      <c r="BS65" s="408"/>
      <c r="BT65" s="408"/>
      <c r="BU65" s="408"/>
      <c r="BV65" s="408">
        <v>45468.181157579791</v>
      </c>
      <c r="BW65" s="408"/>
      <c r="BX65" s="408"/>
      <c r="BY65" s="408"/>
      <c r="BZ65" s="408"/>
      <c r="CA65" s="408"/>
      <c r="CB65" s="408"/>
      <c r="CC65" s="408"/>
      <c r="CD65" s="408"/>
      <c r="CE65" s="408"/>
      <c r="CF65" s="408"/>
      <c r="CG65" s="408"/>
      <c r="CH65" s="408"/>
      <c r="CI65" s="408">
        <v>102036.435</v>
      </c>
      <c r="CJ65" s="408">
        <v>-47434.230079999979</v>
      </c>
      <c r="CK65" s="408"/>
      <c r="CL65" s="408"/>
      <c r="CM65" s="408"/>
      <c r="CN65" s="408"/>
      <c r="CO65" s="408">
        <v>-49905.943959999997</v>
      </c>
      <c r="CP65" s="408">
        <v>2470.4230200000011</v>
      </c>
      <c r="CQ65" s="408">
        <v>31</v>
      </c>
      <c r="CR65" s="408">
        <v>2053.7861217959871</v>
      </c>
      <c r="CS65" s="408">
        <v>0</v>
      </c>
      <c r="CT65" s="408">
        <v>0</v>
      </c>
      <c r="CU65" s="408">
        <v>0</v>
      </c>
      <c r="CV65" s="408">
        <v>0</v>
      </c>
      <c r="CW65" s="408">
        <v>0</v>
      </c>
      <c r="CX65" s="408">
        <v>0</v>
      </c>
      <c r="CY65" s="408">
        <v>0</v>
      </c>
      <c r="CZ65" s="408">
        <v>-85.953718781904172</v>
      </c>
      <c r="DA65" s="408">
        <v>0</v>
      </c>
      <c r="DB65" s="408">
        <v>0</v>
      </c>
      <c r="DC65" s="408">
        <v>2469.3151712331528</v>
      </c>
      <c r="DD65" s="408">
        <v>0</v>
      </c>
      <c r="DE65" s="408">
        <v>0</v>
      </c>
      <c r="DF65" s="408">
        <v>14.344316619093775</v>
      </c>
      <c r="DG65" s="408">
        <v>348.9385941003984</v>
      </c>
      <c r="DH65" s="408">
        <v>0</v>
      </c>
      <c r="DI65" s="408">
        <v>-590.60453867621982</v>
      </c>
      <c r="DJ65" s="408"/>
      <c r="DK65" s="408">
        <v>0</v>
      </c>
      <c r="DL65" s="408">
        <v>0</v>
      </c>
      <c r="DM65" s="408">
        <v>0</v>
      </c>
      <c r="DN65" s="408">
        <v>0</v>
      </c>
      <c r="DO65" s="408">
        <v>-80.574496282891232</v>
      </c>
      <c r="DP65" s="408">
        <v>-21.67920641563353</v>
      </c>
      <c r="DQ65" s="408">
        <v>0</v>
      </c>
      <c r="DR65" s="408">
        <v>0</v>
      </c>
      <c r="DS65" s="408"/>
      <c r="DT65" s="408"/>
      <c r="DU65" s="408"/>
      <c r="DV65" s="408">
        <v>73681.650710255315</v>
      </c>
      <c r="DW65" s="408">
        <v>0</v>
      </c>
      <c r="DX65" s="408">
        <v>0</v>
      </c>
      <c r="DY65" s="408">
        <v>-49905.94395999999</v>
      </c>
      <c r="DZ65" s="408">
        <v>2470.423020000002</v>
      </c>
      <c r="EA65" s="408">
        <v>0</v>
      </c>
      <c r="EB65" s="408">
        <v>0</v>
      </c>
      <c r="EC65" s="408">
        <v>-49490.098315808602</v>
      </c>
      <c r="ED65" s="408">
        <v>0</v>
      </c>
      <c r="EE65" s="408">
        <v>0</v>
      </c>
      <c r="EF65" s="408">
        <v>0</v>
      </c>
      <c r="EG65" s="408">
        <v>0</v>
      </c>
      <c r="EH65" s="408">
        <v>0</v>
      </c>
      <c r="EI65" s="408">
        <v>0</v>
      </c>
      <c r="EJ65" s="408">
        <v>0</v>
      </c>
      <c r="EK65" s="408">
        <v>0</v>
      </c>
      <c r="EL65" s="408">
        <v>0</v>
      </c>
      <c r="EM65" s="408">
        <v>0</v>
      </c>
      <c r="EN65" s="408">
        <v>0</v>
      </c>
      <c r="EO65" s="408">
        <v>0</v>
      </c>
      <c r="EP65" s="408">
        <v>0</v>
      </c>
      <c r="EQ65" s="408">
        <v>0</v>
      </c>
      <c r="ER65" s="408">
        <v>0</v>
      </c>
      <c r="ES65" s="408">
        <v>0</v>
      </c>
      <c r="ET65" s="408">
        <v>0</v>
      </c>
      <c r="EU65" s="408">
        <v>0</v>
      </c>
      <c r="EV65" s="408">
        <v>257</v>
      </c>
      <c r="EW65" s="408">
        <v>0</v>
      </c>
      <c r="EX65" s="408">
        <v>0</v>
      </c>
      <c r="EY65" s="408">
        <v>0</v>
      </c>
      <c r="EZ65" s="408"/>
      <c r="FA65" s="408">
        <v>0</v>
      </c>
      <c r="FB65" s="408"/>
      <c r="FC65" s="408"/>
      <c r="FD65" s="408"/>
      <c r="FE65" s="408"/>
      <c r="FF65" s="408">
        <v>0</v>
      </c>
      <c r="FG65" s="408">
        <v>0</v>
      </c>
      <c r="FH65" s="408">
        <v>0</v>
      </c>
      <c r="FI65" s="408">
        <v>0</v>
      </c>
    </row>
    <row r="66" spans="1:165" customFormat="1">
      <c r="A66" s="408">
        <v>64</v>
      </c>
      <c r="B66" s="408" t="s">
        <v>1035</v>
      </c>
      <c r="C66" s="408" t="s">
        <v>2233</v>
      </c>
      <c r="D66" s="408" t="s">
        <v>2245</v>
      </c>
      <c r="E66" s="408" t="s">
        <v>2246</v>
      </c>
      <c r="F66" s="408" t="s">
        <v>2247</v>
      </c>
      <c r="G66" s="408" t="s">
        <v>1321</v>
      </c>
      <c r="H66" s="408" t="s">
        <v>1321</v>
      </c>
      <c r="I66" s="408" t="s">
        <v>1321</v>
      </c>
      <c r="J66" s="408" t="s">
        <v>2234</v>
      </c>
      <c r="K66" s="828">
        <v>44409</v>
      </c>
      <c r="L66" s="408">
        <v>0</v>
      </c>
      <c r="M66" s="408">
        <v>0</v>
      </c>
      <c r="N66" s="408">
        <v>204.00299999999999</v>
      </c>
      <c r="O66" s="408">
        <v>204.00299999999999</v>
      </c>
      <c r="P66" s="408">
        <v>204.00299999999999</v>
      </c>
      <c r="Q66" s="408">
        <v>204.00299999999999</v>
      </c>
      <c r="R66" s="408"/>
      <c r="S66" s="408">
        <v>391</v>
      </c>
      <c r="T66" s="408">
        <v>141.1</v>
      </c>
      <c r="U66" s="408"/>
      <c r="V66" s="408">
        <v>108549.9963</v>
      </c>
      <c r="W66" s="408">
        <v>108549.9963</v>
      </c>
      <c r="X66" s="408">
        <v>74100.009689999992</v>
      </c>
      <c r="Y66" s="408">
        <v>0</v>
      </c>
      <c r="Z66" s="408">
        <v>6897.560686075949</v>
      </c>
      <c r="AA66" s="408">
        <v>0</v>
      </c>
      <c r="AB66" s="408">
        <v>0</v>
      </c>
      <c r="AC66" s="408">
        <v>0</v>
      </c>
      <c r="AD66" s="408">
        <v>13810.092102541512</v>
      </c>
      <c r="AE66" s="408">
        <v>53510.09582269223</v>
      </c>
      <c r="AF66" s="408">
        <v>28785.616249997172</v>
      </c>
      <c r="AG66" s="408">
        <v>0</v>
      </c>
      <c r="AH66" s="408">
        <v>0</v>
      </c>
      <c r="AI66" s="408">
        <v>0</v>
      </c>
      <c r="AJ66" s="408">
        <v>0</v>
      </c>
      <c r="AK66" s="408">
        <v>0</v>
      </c>
      <c r="AL66" s="408">
        <v>1066.3940753935469</v>
      </c>
      <c r="AM66" s="408"/>
      <c r="AN66" s="408">
        <v>246.37290439456436</v>
      </c>
      <c r="AO66" s="408">
        <v>0</v>
      </c>
      <c r="AP66" s="408">
        <v>0</v>
      </c>
      <c r="AQ66" s="408">
        <v>0</v>
      </c>
      <c r="AR66" s="408">
        <v>0</v>
      </c>
      <c r="AS66" s="408">
        <v>0</v>
      </c>
      <c r="AT66" s="408">
        <v>0</v>
      </c>
      <c r="AU66" s="408">
        <v>0</v>
      </c>
      <c r="AV66" s="408">
        <v>0</v>
      </c>
      <c r="AW66" s="408">
        <v>0</v>
      </c>
      <c r="AX66" s="408">
        <v>0</v>
      </c>
      <c r="AY66" s="408">
        <v>0</v>
      </c>
      <c r="AZ66" s="408">
        <v>0</v>
      </c>
      <c r="BA66" s="408"/>
      <c r="BB66" s="408">
        <v>0</v>
      </c>
      <c r="BC66" s="408">
        <v>0</v>
      </c>
      <c r="BD66" s="408">
        <v>167.21640006750499</v>
      </c>
      <c r="BE66" s="408">
        <v>0</v>
      </c>
      <c r="BF66" s="408">
        <v>0</v>
      </c>
      <c r="BG66" s="408">
        <v>4067.6915533513929</v>
      </c>
      <c r="BH66" s="408">
        <v>0</v>
      </c>
      <c r="BI66" s="408">
        <v>131.19</v>
      </c>
      <c r="BJ66" s="408">
        <v>46.12</v>
      </c>
      <c r="BK66" s="408">
        <v>23407.75</v>
      </c>
      <c r="BL66" s="408">
        <v>26</v>
      </c>
      <c r="BM66" s="408"/>
      <c r="BN66" s="408"/>
      <c r="BO66" s="408"/>
      <c r="BP66" s="408"/>
      <c r="BQ66" s="408"/>
      <c r="BR66" s="408"/>
      <c r="BS66" s="408"/>
      <c r="BT66" s="408"/>
      <c r="BU66" s="408"/>
      <c r="BV66" s="408">
        <v>33020.524203416069</v>
      </c>
      <c r="BW66" s="408"/>
      <c r="BX66" s="408"/>
      <c r="BY66" s="408"/>
      <c r="BZ66" s="408"/>
      <c r="CA66" s="408"/>
      <c r="CB66" s="408"/>
      <c r="CC66" s="408"/>
      <c r="CD66" s="408"/>
      <c r="CE66" s="408"/>
      <c r="CF66" s="408"/>
      <c r="CG66" s="408"/>
      <c r="CH66" s="408"/>
      <c r="CI66" s="408">
        <v>74098.92</v>
      </c>
      <c r="CJ66" s="408">
        <v>-34451.106299999985</v>
      </c>
      <c r="CK66" s="408"/>
      <c r="CL66" s="408"/>
      <c r="CM66" s="408"/>
      <c r="CN66" s="408"/>
      <c r="CO66" s="408">
        <v>-36243.172979999996</v>
      </c>
      <c r="CP66" s="408">
        <v>1793.1863699999983</v>
      </c>
      <c r="CQ66" s="408">
        <v>31</v>
      </c>
      <c r="CR66" s="408">
        <v>1491.5286386400694</v>
      </c>
      <c r="CS66" s="408">
        <v>0</v>
      </c>
      <c r="CT66" s="408">
        <v>0</v>
      </c>
      <c r="CU66" s="408">
        <v>0</v>
      </c>
      <c r="CV66" s="408">
        <v>0</v>
      </c>
      <c r="CW66" s="408">
        <v>0</v>
      </c>
      <c r="CX66" s="408">
        <v>0</v>
      </c>
      <c r="CY66" s="408">
        <v>0</v>
      </c>
      <c r="CZ66" s="408">
        <v>-62.422484892795183</v>
      </c>
      <c r="DA66" s="408">
        <v>0</v>
      </c>
      <c r="DB66" s="408">
        <v>0</v>
      </c>
      <c r="DC66" s="408">
        <v>1793.2998264210437</v>
      </c>
      <c r="DD66" s="408">
        <v>0</v>
      </c>
      <c r="DE66" s="408">
        <v>0</v>
      </c>
      <c r="DF66" s="408">
        <v>10.417325743923612</v>
      </c>
      <c r="DG66" s="408">
        <v>253.41095681978368</v>
      </c>
      <c r="DH66" s="408">
        <v>0</v>
      </c>
      <c r="DI66" s="408">
        <v>-428.9169033706703</v>
      </c>
      <c r="DJ66" s="408"/>
      <c r="DK66" s="408">
        <v>0</v>
      </c>
      <c r="DL66" s="408">
        <v>0</v>
      </c>
      <c r="DM66" s="408">
        <v>0</v>
      </c>
      <c r="DN66" s="408">
        <v>0</v>
      </c>
      <c r="DO66" s="408">
        <v>-58.515912379831434</v>
      </c>
      <c r="DP66" s="408">
        <v>-15.744169701387108</v>
      </c>
      <c r="DQ66" s="408">
        <v>0</v>
      </c>
      <c r="DR66" s="408">
        <v>0</v>
      </c>
      <c r="DS66" s="408"/>
      <c r="DT66" s="408"/>
      <c r="DU66" s="408"/>
      <c r="DV66" s="408">
        <v>53510.09582269223</v>
      </c>
      <c r="DW66" s="408">
        <v>0</v>
      </c>
      <c r="DX66" s="408">
        <v>0</v>
      </c>
      <c r="DY66" s="408">
        <v>-36243.172979999996</v>
      </c>
      <c r="DZ66" s="408">
        <v>1793.1863699999994</v>
      </c>
      <c r="EA66" s="408">
        <v>0</v>
      </c>
      <c r="EB66" s="408">
        <v>0</v>
      </c>
      <c r="EC66" s="408">
        <v>-35941.375873447774</v>
      </c>
      <c r="ED66" s="408">
        <v>0</v>
      </c>
      <c r="EE66" s="408">
        <v>0</v>
      </c>
      <c r="EF66" s="408">
        <v>0</v>
      </c>
      <c r="EG66" s="408">
        <v>0</v>
      </c>
      <c r="EH66" s="408">
        <v>0</v>
      </c>
      <c r="EI66" s="408">
        <v>0</v>
      </c>
      <c r="EJ66" s="408">
        <v>0</v>
      </c>
      <c r="EK66" s="408">
        <v>0</v>
      </c>
      <c r="EL66" s="408">
        <v>0</v>
      </c>
      <c r="EM66" s="408">
        <v>0</v>
      </c>
      <c r="EN66" s="408">
        <v>0</v>
      </c>
      <c r="EO66" s="408">
        <v>0</v>
      </c>
      <c r="EP66" s="408">
        <v>0</v>
      </c>
      <c r="EQ66" s="408">
        <v>0</v>
      </c>
      <c r="ER66" s="408">
        <v>0</v>
      </c>
      <c r="ES66" s="408">
        <v>0</v>
      </c>
      <c r="ET66" s="408">
        <v>0</v>
      </c>
      <c r="EU66" s="408">
        <v>0</v>
      </c>
      <c r="EV66" s="408">
        <v>257</v>
      </c>
      <c r="EW66" s="408">
        <v>0</v>
      </c>
      <c r="EX66" s="408">
        <v>0</v>
      </c>
      <c r="EY66" s="408">
        <v>0</v>
      </c>
      <c r="EZ66" s="408"/>
      <c r="FA66" s="408">
        <v>0</v>
      </c>
      <c r="FB66" s="408"/>
      <c r="FC66" s="408"/>
      <c r="FD66" s="408"/>
      <c r="FE66" s="408"/>
      <c r="FF66" s="408">
        <v>0</v>
      </c>
      <c r="FG66" s="408">
        <v>0</v>
      </c>
      <c r="FH66" s="408">
        <v>0</v>
      </c>
      <c r="FI66" s="408">
        <v>0</v>
      </c>
    </row>
    <row r="67" spans="1:165" customFormat="1">
      <c r="A67" s="408">
        <v>65</v>
      </c>
      <c r="B67" s="408" t="s">
        <v>1035</v>
      </c>
      <c r="C67" s="408" t="s">
        <v>2233</v>
      </c>
      <c r="D67" s="408" t="s">
        <v>1958</v>
      </c>
      <c r="E67" s="408" t="s">
        <v>1000</v>
      </c>
      <c r="F67" s="408" t="s">
        <v>2248</v>
      </c>
      <c r="G67" s="408" t="s">
        <v>1321</v>
      </c>
      <c r="H67" s="408" t="s">
        <v>1321</v>
      </c>
      <c r="I67" s="408" t="s">
        <v>1321</v>
      </c>
      <c r="J67" s="408" t="s">
        <v>2234</v>
      </c>
      <c r="K67" s="828">
        <v>44409</v>
      </c>
      <c r="L67" s="408">
        <v>0</v>
      </c>
      <c r="M67" s="408">
        <v>0</v>
      </c>
      <c r="N67" s="408">
        <v>35.487000000000002</v>
      </c>
      <c r="O67" s="408">
        <v>33.357779999999998</v>
      </c>
      <c r="P67" s="408">
        <v>35.487000000000002</v>
      </c>
      <c r="Q67" s="408">
        <v>33.357779999999998</v>
      </c>
      <c r="R67" s="408"/>
      <c r="S67" s="408">
        <v>710.91</v>
      </c>
      <c r="T67" s="408">
        <v>256.55</v>
      </c>
      <c r="U67" s="408"/>
      <c r="V67" s="408">
        <v>34332.253020000004</v>
      </c>
      <c r="W67" s="408">
        <v>34332.253020000004</v>
      </c>
      <c r="X67" s="408">
        <v>23436.679410000001</v>
      </c>
      <c r="Y67" s="408">
        <v>0</v>
      </c>
      <c r="Z67" s="408">
        <v>2181.5520187695702</v>
      </c>
      <c r="AA67" s="408">
        <v>0</v>
      </c>
      <c r="AB67" s="408">
        <v>0</v>
      </c>
      <c r="AC67" s="408">
        <v>0</v>
      </c>
      <c r="AD67" s="408">
        <v>4367.8389617522625</v>
      </c>
      <c r="AE67" s="408">
        <v>16924.107359026206</v>
      </c>
      <c r="AF67" s="408">
        <v>9104.2793387053298</v>
      </c>
      <c r="AG67" s="408">
        <v>0</v>
      </c>
      <c r="AH67" s="408">
        <v>0</v>
      </c>
      <c r="AI67" s="408">
        <v>0</v>
      </c>
      <c r="AJ67" s="408">
        <v>0</v>
      </c>
      <c r="AK67" s="408">
        <v>0</v>
      </c>
      <c r="AL67" s="408">
        <v>337.27780788866124</v>
      </c>
      <c r="AM67" s="408"/>
      <c r="AN67" s="408">
        <v>77.922519483892188</v>
      </c>
      <c r="AO67" s="408">
        <v>0</v>
      </c>
      <c r="AP67" s="408">
        <v>0</v>
      </c>
      <c r="AQ67" s="408">
        <v>0</v>
      </c>
      <c r="AR67" s="408">
        <v>0</v>
      </c>
      <c r="AS67" s="408">
        <v>0</v>
      </c>
      <c r="AT67" s="408">
        <v>0</v>
      </c>
      <c r="AU67" s="408">
        <v>0</v>
      </c>
      <c r="AV67" s="408">
        <v>0</v>
      </c>
      <c r="AW67" s="408">
        <v>0</v>
      </c>
      <c r="AX67" s="408">
        <v>0</v>
      </c>
      <c r="AY67" s="408">
        <v>0</v>
      </c>
      <c r="AZ67" s="408">
        <v>0</v>
      </c>
      <c r="BA67" s="408"/>
      <c r="BB67" s="408">
        <v>0</v>
      </c>
      <c r="BC67" s="408">
        <v>0</v>
      </c>
      <c r="BD67" s="408">
        <v>52.886997554809106</v>
      </c>
      <c r="BE67" s="408">
        <v>0</v>
      </c>
      <c r="BF67" s="408">
        <v>0</v>
      </c>
      <c r="BG67" s="408">
        <v>1286.5244865274317</v>
      </c>
      <c r="BH67" s="408">
        <v>0</v>
      </c>
      <c r="BI67" s="408">
        <v>38.590000000000003</v>
      </c>
      <c r="BJ67" s="408">
        <v>13.56</v>
      </c>
      <c r="BK67" s="408">
        <v>10891.1</v>
      </c>
      <c r="BL67" s="408">
        <v>9</v>
      </c>
      <c r="BM67" s="408"/>
      <c r="BN67" s="408"/>
      <c r="BO67" s="408"/>
      <c r="BP67" s="408"/>
      <c r="BQ67" s="408">
        <v>1406.2007646000025</v>
      </c>
      <c r="BR67" s="408"/>
      <c r="BS67" s="408"/>
      <c r="BT67" s="408"/>
      <c r="BU67" s="408"/>
      <c r="BV67" s="408">
        <v>10443.690822787572</v>
      </c>
      <c r="BW67" s="408"/>
      <c r="BX67" s="408"/>
      <c r="BY67" s="408"/>
      <c r="BZ67" s="408"/>
      <c r="CA67" s="408"/>
      <c r="CB67" s="408"/>
      <c r="CC67" s="408"/>
      <c r="CD67" s="408"/>
      <c r="CE67" s="408"/>
      <c r="CF67" s="408"/>
      <c r="CG67" s="408"/>
      <c r="CH67" s="408"/>
      <c r="CI67" s="408">
        <v>22031.944799999997</v>
      </c>
      <c r="CJ67" s="408">
        <v>-10240.403038799992</v>
      </c>
      <c r="CK67" s="408"/>
      <c r="CL67" s="408"/>
      <c r="CM67" s="408"/>
      <c r="CN67" s="408"/>
      <c r="CO67" s="408">
        <v>-11463.01074</v>
      </c>
      <c r="CP67" s="408">
        <v>567.43713000000037</v>
      </c>
      <c r="CQ67" s="408">
        <v>31</v>
      </c>
      <c r="CR67" s="408">
        <v>471.73884519006242</v>
      </c>
      <c r="CS67" s="408">
        <v>0</v>
      </c>
      <c r="CT67" s="408">
        <v>0</v>
      </c>
      <c r="CU67" s="408">
        <v>0</v>
      </c>
      <c r="CV67" s="408">
        <v>0</v>
      </c>
      <c r="CW67" s="408">
        <v>0</v>
      </c>
      <c r="CX67" s="408">
        <v>0</v>
      </c>
      <c r="CY67" s="408">
        <v>0</v>
      </c>
      <c r="CZ67" s="408">
        <v>-19.742906823476915</v>
      </c>
      <c r="DA67" s="408">
        <v>0</v>
      </c>
      <c r="DB67" s="408">
        <v>0</v>
      </c>
      <c r="DC67" s="408">
        <v>567.18266567561295</v>
      </c>
      <c r="DD67" s="408">
        <v>0</v>
      </c>
      <c r="DE67" s="408">
        <v>0</v>
      </c>
      <c r="DF67" s="408">
        <v>3.2947789865356185</v>
      </c>
      <c r="DG67" s="408">
        <v>80.148506057300665</v>
      </c>
      <c r="DH67" s="408">
        <v>0</v>
      </c>
      <c r="DI67" s="408">
        <v>-135.65731118851431</v>
      </c>
      <c r="DJ67" s="408"/>
      <c r="DK67" s="408">
        <v>0</v>
      </c>
      <c r="DL67" s="408">
        <v>0</v>
      </c>
      <c r="DM67" s="408">
        <v>0</v>
      </c>
      <c r="DN67" s="408">
        <v>0</v>
      </c>
      <c r="DO67" s="408">
        <v>-18.507340869078973</v>
      </c>
      <c r="DP67" s="408">
        <v>-4.9795466483164006</v>
      </c>
      <c r="DQ67" s="408">
        <v>0</v>
      </c>
      <c r="DR67" s="408">
        <v>0</v>
      </c>
      <c r="DS67" s="408"/>
      <c r="DT67" s="408"/>
      <c r="DU67" s="408"/>
      <c r="DV67" s="408">
        <v>16924.107359026206</v>
      </c>
      <c r="DW67" s="408">
        <v>0</v>
      </c>
      <c r="DX67" s="408">
        <v>0</v>
      </c>
      <c r="DY67" s="408">
        <v>-11463.010740000002</v>
      </c>
      <c r="DZ67" s="408">
        <v>567.43713000000025</v>
      </c>
      <c r="EA67" s="408">
        <v>0</v>
      </c>
      <c r="EB67" s="408">
        <v>0</v>
      </c>
      <c r="EC67" s="408">
        <v>-11367.494200139161</v>
      </c>
      <c r="ED67" s="408">
        <v>0</v>
      </c>
      <c r="EE67" s="408">
        <v>0</v>
      </c>
      <c r="EF67" s="408">
        <v>0</v>
      </c>
      <c r="EG67" s="408">
        <v>0</v>
      </c>
      <c r="EH67" s="408">
        <v>0</v>
      </c>
      <c r="EI67" s="408">
        <v>0</v>
      </c>
      <c r="EJ67" s="408">
        <v>0</v>
      </c>
      <c r="EK67" s="408">
        <v>0</v>
      </c>
      <c r="EL67" s="408">
        <v>0</v>
      </c>
      <c r="EM67" s="408">
        <v>0</v>
      </c>
      <c r="EN67" s="408">
        <v>0</v>
      </c>
      <c r="EO67" s="408">
        <v>0</v>
      </c>
      <c r="EP67" s="408">
        <v>0</v>
      </c>
      <c r="EQ67" s="408">
        <v>0</v>
      </c>
      <c r="ER67" s="408">
        <v>0</v>
      </c>
      <c r="ES67" s="408">
        <v>0</v>
      </c>
      <c r="ET67" s="408">
        <v>0</v>
      </c>
      <c r="EU67" s="408">
        <v>0</v>
      </c>
      <c r="EV67" s="408">
        <v>257</v>
      </c>
      <c r="EW67" s="408">
        <v>0</v>
      </c>
      <c r="EX67" s="408">
        <v>0</v>
      </c>
      <c r="EY67" s="408">
        <v>0</v>
      </c>
      <c r="EZ67" s="408"/>
      <c r="FA67" s="408">
        <v>0</v>
      </c>
      <c r="FB67" s="408"/>
      <c r="FC67" s="408"/>
      <c r="FD67" s="408"/>
      <c r="FE67" s="408"/>
      <c r="FF67" s="408">
        <v>0</v>
      </c>
      <c r="FG67" s="408">
        <v>0</v>
      </c>
      <c r="FH67" s="408">
        <v>0</v>
      </c>
      <c r="FI67" s="408">
        <v>0</v>
      </c>
    </row>
    <row r="68" spans="1:165" customFormat="1">
      <c r="A68" s="408">
        <v>66</v>
      </c>
      <c r="B68" s="408" t="s">
        <v>1035</v>
      </c>
      <c r="C68" s="408" t="s">
        <v>2241</v>
      </c>
      <c r="D68" s="408" t="s">
        <v>596</v>
      </c>
      <c r="E68" s="408" t="s">
        <v>1000</v>
      </c>
      <c r="F68" s="408" t="s">
        <v>2248</v>
      </c>
      <c r="G68" s="408" t="s">
        <v>1321</v>
      </c>
      <c r="H68" s="408" t="s">
        <v>1321</v>
      </c>
      <c r="I68" s="408" t="s">
        <v>972</v>
      </c>
      <c r="J68" s="408" t="s">
        <v>2234</v>
      </c>
      <c r="K68" s="828">
        <v>44409</v>
      </c>
      <c r="L68" s="408">
        <v>0</v>
      </c>
      <c r="M68" s="408">
        <v>0</v>
      </c>
      <c r="N68" s="408">
        <v>1.825</v>
      </c>
      <c r="O68" s="408">
        <v>1.7155</v>
      </c>
      <c r="P68" s="408">
        <v>1.825</v>
      </c>
      <c r="Q68" s="408">
        <v>1.7155</v>
      </c>
      <c r="R68" s="408"/>
      <c r="S68" s="408">
        <v>3130.62</v>
      </c>
      <c r="T68" s="408">
        <v>256.55</v>
      </c>
      <c r="U68" s="408"/>
      <c r="V68" s="408">
        <v>6181.5852499999992</v>
      </c>
      <c r="W68" s="408">
        <v>6181.5852499999992</v>
      </c>
      <c r="X68" s="408">
        <v>3253.2997499999997</v>
      </c>
      <c r="Y68" s="408">
        <v>0</v>
      </c>
      <c r="Z68" s="408">
        <v>97.606425389618281</v>
      </c>
      <c r="AA68" s="408">
        <v>0</v>
      </c>
      <c r="AB68" s="408">
        <v>0</v>
      </c>
      <c r="AC68" s="408">
        <v>0</v>
      </c>
      <c r="AD68" s="408">
        <v>1175.6901982729403</v>
      </c>
      <c r="AE68" s="408">
        <v>4387.571310008927</v>
      </c>
      <c r="AF68" s="408">
        <v>468.20835216099493</v>
      </c>
      <c r="AG68" s="408">
        <v>0</v>
      </c>
      <c r="AH68" s="408">
        <v>0</v>
      </c>
      <c r="AI68" s="408">
        <v>0</v>
      </c>
      <c r="AJ68" s="408">
        <v>0</v>
      </c>
      <c r="AK68" s="408">
        <v>0</v>
      </c>
      <c r="AL68" s="408">
        <v>17.345281353645188</v>
      </c>
      <c r="AM68" s="408"/>
      <c r="AN68" s="408">
        <v>2.4620253655368822</v>
      </c>
      <c r="AO68" s="408">
        <v>0</v>
      </c>
      <c r="AP68" s="408">
        <v>0</v>
      </c>
      <c r="AQ68" s="408">
        <v>0</v>
      </c>
      <c r="AR68" s="408">
        <v>0</v>
      </c>
      <c r="AS68" s="408">
        <v>0</v>
      </c>
      <c r="AT68" s="408">
        <v>0</v>
      </c>
      <c r="AU68" s="408">
        <v>0</v>
      </c>
      <c r="AV68" s="408">
        <v>0</v>
      </c>
      <c r="AW68" s="408">
        <v>0</v>
      </c>
      <c r="AX68" s="408">
        <v>0</v>
      </c>
      <c r="AY68" s="408">
        <v>0</v>
      </c>
      <c r="AZ68" s="408">
        <v>0</v>
      </c>
      <c r="BA68" s="408"/>
      <c r="BB68" s="408">
        <v>0</v>
      </c>
      <c r="BC68" s="408">
        <v>0</v>
      </c>
      <c r="BD68" s="408">
        <v>2.2484460214013882</v>
      </c>
      <c r="BE68" s="408">
        <v>0</v>
      </c>
      <c r="BF68" s="408">
        <v>0</v>
      </c>
      <c r="BG68" s="408">
        <v>30.45795096061142</v>
      </c>
      <c r="BH68" s="408">
        <v>0</v>
      </c>
      <c r="BI68" s="408">
        <v>0</v>
      </c>
      <c r="BJ68" s="408">
        <v>0</v>
      </c>
      <c r="BK68" s="408">
        <v>0</v>
      </c>
      <c r="BL68" s="408">
        <v>0</v>
      </c>
      <c r="BM68" s="408"/>
      <c r="BN68" s="408"/>
      <c r="BO68" s="408"/>
      <c r="BP68" s="408"/>
      <c r="BQ68" s="408">
        <v>195.19798499999985</v>
      </c>
      <c r="BR68" s="408"/>
      <c r="BS68" s="408"/>
      <c r="BT68" s="408"/>
      <c r="BU68" s="408"/>
      <c r="BV68" s="408">
        <v>500.91474914300773</v>
      </c>
      <c r="BW68" s="408"/>
      <c r="BX68" s="408"/>
      <c r="BY68" s="408"/>
      <c r="BZ68" s="408"/>
      <c r="CA68" s="408"/>
      <c r="CB68" s="408"/>
      <c r="CC68" s="408"/>
      <c r="CD68" s="408"/>
      <c r="CE68" s="408"/>
      <c r="CF68" s="408"/>
      <c r="CG68" s="408"/>
      <c r="CH68" s="408"/>
      <c r="CI68" s="408">
        <v>3066.1235999999999</v>
      </c>
      <c r="CJ68" s="408">
        <v>-2744.5965350000006</v>
      </c>
      <c r="CK68" s="408"/>
      <c r="CL68" s="408"/>
      <c r="CM68" s="408"/>
      <c r="CN68" s="408"/>
      <c r="CO68" s="408">
        <v>-2957.4672499999997</v>
      </c>
      <c r="CP68" s="408">
        <v>29.181750000000015</v>
      </c>
      <c r="CQ68" s="408">
        <v>31</v>
      </c>
      <c r="CR68" s="408">
        <v>18.713369668024143</v>
      </c>
      <c r="CS68" s="408">
        <v>0</v>
      </c>
      <c r="CT68" s="408">
        <v>0</v>
      </c>
      <c r="CU68" s="408">
        <v>0</v>
      </c>
      <c r="CV68" s="408">
        <v>0</v>
      </c>
      <c r="CW68" s="408">
        <v>0</v>
      </c>
      <c r="CX68" s="408">
        <v>0</v>
      </c>
      <c r="CY68" s="408">
        <v>0</v>
      </c>
      <c r="CZ68" s="408">
        <v>-5.3141936415322562</v>
      </c>
      <c r="DA68" s="408">
        <v>0</v>
      </c>
      <c r="DB68" s="408">
        <v>0</v>
      </c>
      <c r="DC68" s="408">
        <v>29.168663591117706</v>
      </c>
      <c r="DD68" s="408">
        <v>0</v>
      </c>
      <c r="DE68" s="408">
        <v>0</v>
      </c>
      <c r="DF68" s="408">
        <v>0.14007474513930784</v>
      </c>
      <c r="DG68" s="408">
        <v>1.8974837188281413</v>
      </c>
      <c r="DH68" s="408">
        <v>0</v>
      </c>
      <c r="DI68" s="408">
        <v>-6.0695436593559435</v>
      </c>
      <c r="DJ68" s="408"/>
      <c r="DK68" s="408">
        <v>0</v>
      </c>
      <c r="DL68" s="408">
        <v>0</v>
      </c>
      <c r="DM68" s="408">
        <v>0</v>
      </c>
      <c r="DN68" s="408">
        <v>0</v>
      </c>
      <c r="DO68" s="408">
        <v>-0.95178226071714178</v>
      </c>
      <c r="DP68" s="408">
        <v>-0.15733282545572536</v>
      </c>
      <c r="DQ68" s="408">
        <v>0</v>
      </c>
      <c r="DR68" s="408">
        <v>0</v>
      </c>
      <c r="DS68" s="408"/>
      <c r="DT68" s="408"/>
      <c r="DU68" s="408"/>
      <c r="DV68" s="408">
        <v>4387.571310008927</v>
      </c>
      <c r="DW68" s="408">
        <v>0</v>
      </c>
      <c r="DX68" s="408">
        <v>0</v>
      </c>
      <c r="DY68" s="408">
        <v>-2957.4672499999997</v>
      </c>
      <c r="DZ68" s="408">
        <v>29.181750000000022</v>
      </c>
      <c r="EA68" s="408">
        <v>0</v>
      </c>
      <c r="EB68" s="408">
        <v>0</v>
      </c>
      <c r="EC68" s="408">
        <v>-2947.0205051980483</v>
      </c>
      <c r="ED68" s="408">
        <v>0</v>
      </c>
      <c r="EE68" s="408">
        <v>0</v>
      </c>
      <c r="EF68" s="408">
        <v>0</v>
      </c>
      <c r="EG68" s="408">
        <v>0</v>
      </c>
      <c r="EH68" s="408">
        <v>0</v>
      </c>
      <c r="EI68" s="408">
        <v>0</v>
      </c>
      <c r="EJ68" s="408">
        <v>0</v>
      </c>
      <c r="EK68" s="408">
        <v>0</v>
      </c>
      <c r="EL68" s="408">
        <v>0</v>
      </c>
      <c r="EM68" s="408">
        <v>0</v>
      </c>
      <c r="EN68" s="408">
        <v>0</v>
      </c>
      <c r="EO68" s="408">
        <v>0</v>
      </c>
      <c r="EP68" s="408">
        <v>0</v>
      </c>
      <c r="EQ68" s="408">
        <v>0</v>
      </c>
      <c r="ER68" s="408">
        <v>0</v>
      </c>
      <c r="ES68" s="408">
        <v>0</v>
      </c>
      <c r="ET68" s="408">
        <v>0</v>
      </c>
      <c r="EU68" s="408">
        <v>0</v>
      </c>
      <c r="EV68" s="408">
        <v>257</v>
      </c>
      <c r="EW68" s="408">
        <v>0</v>
      </c>
      <c r="EX68" s="408">
        <v>0</v>
      </c>
      <c r="EY68" s="408">
        <v>0</v>
      </c>
      <c r="EZ68" s="408"/>
      <c r="FA68" s="408">
        <v>0</v>
      </c>
      <c r="FB68" s="408"/>
      <c r="FC68" s="408"/>
      <c r="FD68" s="408"/>
      <c r="FE68" s="408"/>
      <c r="FF68" s="408">
        <v>0</v>
      </c>
      <c r="FG68" s="408">
        <v>0</v>
      </c>
      <c r="FH68" s="408">
        <v>0</v>
      </c>
      <c r="FI68" s="408">
        <v>0</v>
      </c>
    </row>
    <row r="69" spans="1:165" customFormat="1">
      <c r="A69" s="408">
        <v>67</v>
      </c>
      <c r="B69" s="408" t="s">
        <v>1035</v>
      </c>
      <c r="C69" s="408" t="s">
        <v>2241</v>
      </c>
      <c r="D69" s="408" t="s">
        <v>596</v>
      </c>
      <c r="E69" s="408" t="s">
        <v>1000</v>
      </c>
      <c r="F69" s="408" t="s">
        <v>2248</v>
      </c>
      <c r="G69" s="408" t="s">
        <v>1321</v>
      </c>
      <c r="H69" s="408" t="s">
        <v>1321</v>
      </c>
      <c r="I69" s="408" t="s">
        <v>2242</v>
      </c>
      <c r="J69" s="408" t="s">
        <v>2234</v>
      </c>
      <c r="K69" s="828">
        <v>44409</v>
      </c>
      <c r="L69" s="408">
        <v>0</v>
      </c>
      <c r="M69" s="408">
        <v>0</v>
      </c>
      <c r="N69" s="408">
        <v>15.7</v>
      </c>
      <c r="O69" s="408">
        <v>14.757999999999999</v>
      </c>
      <c r="P69" s="408">
        <v>15.7</v>
      </c>
      <c r="Q69" s="408">
        <v>14.757999999999999</v>
      </c>
      <c r="R69" s="408"/>
      <c r="S69" s="408">
        <v>82.26</v>
      </c>
      <c r="T69" s="408">
        <v>256.55</v>
      </c>
      <c r="U69" s="408"/>
      <c r="V69" s="408">
        <v>5319.317</v>
      </c>
      <c r="W69" s="408">
        <v>5319.317</v>
      </c>
      <c r="X69" s="408">
        <v>5526.0859999999993</v>
      </c>
      <c r="Y69" s="408">
        <v>0</v>
      </c>
      <c r="Z69" s="408">
        <v>839.68267321479846</v>
      </c>
      <c r="AA69" s="408">
        <v>0</v>
      </c>
      <c r="AB69" s="408">
        <v>0</v>
      </c>
      <c r="AC69" s="408">
        <v>0</v>
      </c>
      <c r="AD69" s="408">
        <v>0</v>
      </c>
      <c r="AE69" s="408">
        <v>0</v>
      </c>
      <c r="AF69" s="408">
        <v>4027.8745911932165</v>
      </c>
      <c r="AG69" s="408">
        <v>0</v>
      </c>
      <c r="AH69" s="408">
        <v>0</v>
      </c>
      <c r="AI69" s="408">
        <v>0</v>
      </c>
      <c r="AJ69" s="408">
        <v>0</v>
      </c>
      <c r="AK69" s="408">
        <v>0</v>
      </c>
      <c r="AL69" s="408">
        <v>149.2169409601257</v>
      </c>
      <c r="AM69" s="408"/>
      <c r="AN69" s="408">
        <v>21.18016341859126</v>
      </c>
      <c r="AO69" s="408">
        <v>0</v>
      </c>
      <c r="AP69" s="408">
        <v>0</v>
      </c>
      <c r="AQ69" s="408">
        <v>0</v>
      </c>
      <c r="AR69" s="408">
        <v>0</v>
      </c>
      <c r="AS69" s="408">
        <v>0</v>
      </c>
      <c r="AT69" s="408">
        <v>0</v>
      </c>
      <c r="AU69" s="408">
        <v>0</v>
      </c>
      <c r="AV69" s="408">
        <v>0</v>
      </c>
      <c r="AW69" s="408">
        <v>0</v>
      </c>
      <c r="AX69" s="408">
        <v>0</v>
      </c>
      <c r="AY69" s="408">
        <v>0</v>
      </c>
      <c r="AZ69" s="408">
        <v>0</v>
      </c>
      <c r="BA69" s="408"/>
      <c r="BB69" s="408">
        <v>0</v>
      </c>
      <c r="BC69" s="408">
        <v>0</v>
      </c>
      <c r="BD69" s="408">
        <v>19.342795910137969</v>
      </c>
      <c r="BE69" s="408">
        <v>0</v>
      </c>
      <c r="BF69" s="408">
        <v>0</v>
      </c>
      <c r="BG69" s="408">
        <v>262.02182470224619</v>
      </c>
      <c r="BH69" s="408">
        <v>0</v>
      </c>
      <c r="BI69" s="408">
        <v>0</v>
      </c>
      <c r="BJ69" s="408">
        <v>0</v>
      </c>
      <c r="BK69" s="408">
        <v>0</v>
      </c>
      <c r="BL69" s="408">
        <v>0</v>
      </c>
      <c r="BM69" s="408"/>
      <c r="BN69" s="408"/>
      <c r="BO69" s="408"/>
      <c r="BP69" s="408"/>
      <c r="BQ69" s="408">
        <v>331.56516000000011</v>
      </c>
      <c r="BR69" s="408"/>
      <c r="BS69" s="408"/>
      <c r="BT69" s="408"/>
      <c r="BU69" s="408"/>
      <c r="BV69" s="408">
        <v>4309.2392118056005</v>
      </c>
      <c r="BW69" s="408"/>
      <c r="BX69" s="408"/>
      <c r="BY69" s="408"/>
      <c r="BZ69" s="408"/>
      <c r="CA69" s="408"/>
      <c r="CB69" s="408"/>
      <c r="CC69" s="408"/>
      <c r="CD69" s="408"/>
      <c r="CE69" s="408"/>
      <c r="CF69" s="408"/>
      <c r="CG69" s="408"/>
      <c r="CH69" s="408"/>
      <c r="CI69" s="408">
        <v>5195.2248</v>
      </c>
      <c r="CJ69" s="408">
        <v>195.03682000000026</v>
      </c>
      <c r="CK69" s="408"/>
      <c r="CL69" s="408"/>
      <c r="CM69" s="408"/>
      <c r="CN69" s="408"/>
      <c r="CO69" s="408">
        <v>-44.274000000000115</v>
      </c>
      <c r="CP69" s="408">
        <v>251.04300000000012</v>
      </c>
      <c r="CQ69" s="408">
        <v>31</v>
      </c>
      <c r="CR69" s="408">
        <v>206.702873402759</v>
      </c>
      <c r="CS69" s="408">
        <v>0</v>
      </c>
      <c r="CT69" s="408">
        <v>0</v>
      </c>
      <c r="CU69" s="408">
        <v>0</v>
      </c>
      <c r="CV69" s="408">
        <v>0</v>
      </c>
      <c r="CW69" s="408">
        <v>0</v>
      </c>
      <c r="CX69" s="408">
        <v>0</v>
      </c>
      <c r="CY69" s="408">
        <v>0</v>
      </c>
      <c r="CZ69" s="408">
        <v>0</v>
      </c>
      <c r="DA69" s="408">
        <v>0</v>
      </c>
      <c r="DB69" s="408">
        <v>0</v>
      </c>
      <c r="DC69" s="408">
        <v>250.93042103043717</v>
      </c>
      <c r="DD69" s="408">
        <v>0</v>
      </c>
      <c r="DE69" s="408">
        <v>0</v>
      </c>
      <c r="DF69" s="408">
        <v>1.205026574623087</v>
      </c>
      <c r="DG69" s="408">
        <v>16.323558567453006</v>
      </c>
      <c r="DH69" s="408">
        <v>0</v>
      </c>
      <c r="DI69" s="408">
        <v>-52.214704357199139</v>
      </c>
      <c r="DJ69" s="408"/>
      <c r="DK69" s="408">
        <v>0</v>
      </c>
      <c r="DL69" s="408">
        <v>0</v>
      </c>
      <c r="DM69" s="408">
        <v>0</v>
      </c>
      <c r="DN69" s="408">
        <v>0</v>
      </c>
      <c r="DO69" s="408">
        <v>-8.1879350647994897</v>
      </c>
      <c r="DP69" s="408">
        <v>-1.3534933477560998</v>
      </c>
      <c r="DQ69" s="408">
        <v>0</v>
      </c>
      <c r="DR69" s="408">
        <v>0</v>
      </c>
      <c r="DS69" s="408"/>
      <c r="DT69" s="408"/>
      <c r="DU69" s="408"/>
      <c r="DV69" s="408">
        <v>0</v>
      </c>
      <c r="DW69" s="408">
        <v>0</v>
      </c>
      <c r="DX69" s="408">
        <v>0</v>
      </c>
      <c r="DY69" s="408">
        <v>-44.274000000000115</v>
      </c>
      <c r="DZ69" s="408">
        <v>251.04299999999967</v>
      </c>
      <c r="EA69" s="408">
        <v>0</v>
      </c>
      <c r="EB69" s="408">
        <v>0</v>
      </c>
      <c r="EC69" s="408">
        <v>0</v>
      </c>
      <c r="ED69" s="408">
        <v>0</v>
      </c>
      <c r="EE69" s="408">
        <v>0</v>
      </c>
      <c r="EF69" s="408">
        <v>0</v>
      </c>
      <c r="EG69" s="408">
        <v>0</v>
      </c>
      <c r="EH69" s="408">
        <v>0</v>
      </c>
      <c r="EI69" s="408">
        <v>0</v>
      </c>
      <c r="EJ69" s="408">
        <v>0</v>
      </c>
      <c r="EK69" s="408">
        <v>0</v>
      </c>
      <c r="EL69" s="408">
        <v>0</v>
      </c>
      <c r="EM69" s="408">
        <v>0</v>
      </c>
      <c r="EN69" s="408">
        <v>0</v>
      </c>
      <c r="EO69" s="408">
        <v>0</v>
      </c>
      <c r="EP69" s="408">
        <v>0</v>
      </c>
      <c r="EQ69" s="408">
        <v>0</v>
      </c>
      <c r="ER69" s="408">
        <v>0</v>
      </c>
      <c r="ES69" s="408">
        <v>0</v>
      </c>
      <c r="ET69" s="408">
        <v>0</v>
      </c>
      <c r="EU69" s="408">
        <v>0</v>
      </c>
      <c r="EV69" s="408">
        <v>257</v>
      </c>
      <c r="EW69" s="408">
        <v>0</v>
      </c>
      <c r="EX69" s="408">
        <v>0</v>
      </c>
      <c r="EY69" s="408">
        <v>0</v>
      </c>
      <c r="EZ69" s="408"/>
      <c r="FA69" s="408">
        <v>0</v>
      </c>
      <c r="FB69" s="408"/>
      <c r="FC69" s="408"/>
      <c r="FD69" s="408"/>
      <c r="FE69" s="408"/>
      <c r="FF69" s="408">
        <v>0</v>
      </c>
      <c r="FG69" s="408">
        <v>0</v>
      </c>
      <c r="FH69" s="408">
        <v>0</v>
      </c>
      <c r="FI69" s="408">
        <v>0</v>
      </c>
    </row>
    <row r="70" spans="1:165" customFormat="1">
      <c r="A70" s="408">
        <v>68</v>
      </c>
      <c r="B70" s="408" t="s">
        <v>1035</v>
      </c>
      <c r="C70" s="408" t="s">
        <v>2241</v>
      </c>
      <c r="D70" s="408" t="s">
        <v>596</v>
      </c>
      <c r="E70" s="408" t="s">
        <v>1000</v>
      </c>
      <c r="F70" s="408" t="s">
        <v>2248</v>
      </c>
      <c r="G70" s="408" t="s">
        <v>1321</v>
      </c>
      <c r="H70" s="408" t="s">
        <v>1321</v>
      </c>
      <c r="I70" s="408" t="s">
        <v>1321</v>
      </c>
      <c r="J70" s="408" t="s">
        <v>2234</v>
      </c>
      <c r="K70" s="828">
        <v>44409</v>
      </c>
      <c r="L70" s="408">
        <v>79</v>
      </c>
      <c r="M70" s="408">
        <v>74.260000000000005</v>
      </c>
      <c r="N70" s="408">
        <v>0</v>
      </c>
      <c r="O70" s="408">
        <v>0</v>
      </c>
      <c r="P70" s="408">
        <v>0</v>
      </c>
      <c r="Q70" s="408">
        <v>0</v>
      </c>
      <c r="R70" s="408">
        <v>47.39</v>
      </c>
      <c r="S70" s="408"/>
      <c r="T70" s="408"/>
      <c r="U70" s="408">
        <v>3743.81</v>
      </c>
      <c r="V70" s="408"/>
      <c r="W70" s="408">
        <v>3743.81</v>
      </c>
      <c r="X70" s="408">
        <v>2545.38</v>
      </c>
      <c r="Y70" s="408">
        <v>0</v>
      </c>
      <c r="Z70" s="408">
        <v>0</v>
      </c>
      <c r="AA70" s="408">
        <v>0</v>
      </c>
      <c r="AB70" s="408">
        <v>0</v>
      </c>
      <c r="AC70" s="408">
        <v>0</v>
      </c>
      <c r="AD70" s="408">
        <v>1972.6379141777902</v>
      </c>
      <c r="AE70" s="408">
        <v>1771.1695124126304</v>
      </c>
      <c r="AF70" s="408"/>
      <c r="AG70" s="408"/>
      <c r="AH70" s="408"/>
      <c r="AI70" s="408">
        <v>0</v>
      </c>
      <c r="AJ70" s="408">
        <v>0</v>
      </c>
      <c r="AK70" s="408">
        <v>0</v>
      </c>
      <c r="AL70" s="408">
        <v>0</v>
      </c>
      <c r="AM70" s="408"/>
      <c r="AN70" s="408">
        <v>0</v>
      </c>
      <c r="AO70" s="408">
        <v>0</v>
      </c>
      <c r="AP70" s="408">
        <v>0</v>
      </c>
      <c r="AQ70" s="408">
        <v>0</v>
      </c>
      <c r="AR70" s="408">
        <v>0</v>
      </c>
      <c r="AS70" s="408"/>
      <c r="AT70" s="408"/>
      <c r="AU70" s="408">
        <v>0</v>
      </c>
      <c r="AV70" s="408">
        <v>0</v>
      </c>
      <c r="AW70" s="408">
        <v>0</v>
      </c>
      <c r="AX70" s="408"/>
      <c r="AY70" s="408"/>
      <c r="AZ70" s="408">
        <v>0</v>
      </c>
      <c r="BA70" s="408"/>
      <c r="BB70" s="408">
        <v>0</v>
      </c>
      <c r="BC70" s="408">
        <v>0</v>
      </c>
      <c r="BD70" s="408">
        <v>0</v>
      </c>
      <c r="BE70" s="408">
        <v>0</v>
      </c>
      <c r="BF70" s="408"/>
      <c r="BG70" s="408">
        <v>0</v>
      </c>
      <c r="BH70" s="408">
        <v>0</v>
      </c>
      <c r="BI70" s="408">
        <v>18.690000000000001</v>
      </c>
      <c r="BJ70" s="408">
        <v>6.56</v>
      </c>
      <c r="BK70" s="408">
        <v>5136.42</v>
      </c>
      <c r="BL70" s="408">
        <v>1</v>
      </c>
      <c r="BM70" s="408"/>
      <c r="BN70" s="408"/>
      <c r="BO70" s="408"/>
      <c r="BP70" s="408"/>
      <c r="BQ70" s="408">
        <v>152.72279999999984</v>
      </c>
      <c r="BR70" s="408"/>
      <c r="BS70" s="408"/>
      <c r="BT70" s="408"/>
      <c r="BU70" s="408"/>
      <c r="BV70" s="408">
        <v>0</v>
      </c>
      <c r="BW70" s="408"/>
      <c r="BX70" s="408"/>
      <c r="BY70" s="408"/>
      <c r="BZ70" s="408"/>
      <c r="CA70" s="408"/>
      <c r="CB70" s="408"/>
      <c r="CC70" s="408"/>
      <c r="CD70" s="408"/>
      <c r="CE70" s="408"/>
      <c r="CF70" s="408"/>
      <c r="CG70" s="408"/>
      <c r="CH70" s="408"/>
      <c r="CI70" s="408">
        <v>2392.6572000000001</v>
      </c>
      <c r="CJ70" s="408">
        <v>-1126.5542000000009</v>
      </c>
      <c r="CK70" s="408"/>
      <c r="CL70" s="408"/>
      <c r="CM70" s="408"/>
      <c r="CN70" s="408"/>
      <c r="CO70" s="408">
        <v>-1198.43</v>
      </c>
      <c r="CP70" s="408">
        <v>0</v>
      </c>
      <c r="CQ70" s="408">
        <v>31</v>
      </c>
      <c r="CR70" s="408">
        <v>-8.9164474416556914</v>
      </c>
      <c r="CS70" s="408">
        <v>0</v>
      </c>
      <c r="CT70" s="408">
        <v>0</v>
      </c>
      <c r="CU70" s="408">
        <v>0</v>
      </c>
      <c r="CV70" s="408">
        <v>0</v>
      </c>
      <c r="CW70" s="408"/>
      <c r="CX70" s="408"/>
      <c r="CY70" s="408"/>
      <c r="CZ70" s="408">
        <v>-8.9164474416556914</v>
      </c>
      <c r="DA70" s="408">
        <v>0</v>
      </c>
      <c r="DB70" s="408">
        <v>0</v>
      </c>
      <c r="DC70" s="408"/>
      <c r="DD70" s="408"/>
      <c r="DE70" s="408">
        <v>0</v>
      </c>
      <c r="DF70" s="408">
        <v>0</v>
      </c>
      <c r="DG70" s="408">
        <v>0</v>
      </c>
      <c r="DH70" s="408">
        <v>0</v>
      </c>
      <c r="DI70" s="408">
        <v>0</v>
      </c>
      <c r="DJ70" s="408"/>
      <c r="DK70" s="408">
        <v>0</v>
      </c>
      <c r="DL70" s="408">
        <v>0</v>
      </c>
      <c r="DM70" s="408"/>
      <c r="DN70" s="408">
        <v>0</v>
      </c>
      <c r="DO70" s="408">
        <v>0</v>
      </c>
      <c r="DP70" s="408">
        <v>0</v>
      </c>
      <c r="DQ70" s="408">
        <v>0</v>
      </c>
      <c r="DR70" s="408">
        <v>0</v>
      </c>
      <c r="DS70" s="408"/>
      <c r="DT70" s="408"/>
      <c r="DU70" s="408">
        <v>1771.1695124126304</v>
      </c>
      <c r="DV70" s="408"/>
      <c r="DW70" s="408">
        <v>0</v>
      </c>
      <c r="DX70" s="408">
        <v>0</v>
      </c>
      <c r="DY70" s="408">
        <v>-1198.4299999999998</v>
      </c>
      <c r="DZ70" s="408"/>
      <c r="EA70" s="408">
        <v>0</v>
      </c>
      <c r="EB70" s="408"/>
      <c r="EC70" s="408">
        <v>-1189.6496951182394</v>
      </c>
      <c r="ED70" s="408"/>
      <c r="EE70" s="408">
        <v>0</v>
      </c>
      <c r="EF70" s="408">
        <v>0</v>
      </c>
      <c r="EG70" s="408"/>
      <c r="EH70" s="408">
        <v>0</v>
      </c>
      <c r="EI70" s="408">
        <v>0</v>
      </c>
      <c r="EJ70" s="408">
        <v>0</v>
      </c>
      <c r="EK70" s="408">
        <v>0</v>
      </c>
      <c r="EL70" s="408">
        <v>0</v>
      </c>
      <c r="EM70" s="408"/>
      <c r="EN70" s="408"/>
      <c r="EO70" s="408">
        <v>0</v>
      </c>
      <c r="EP70" s="408">
        <v>0</v>
      </c>
      <c r="EQ70" s="408"/>
      <c r="ER70" s="408">
        <v>0</v>
      </c>
      <c r="ES70" s="408"/>
      <c r="ET70" s="408">
        <v>0</v>
      </c>
      <c r="EU70" s="408"/>
      <c r="EV70" s="408">
        <v>257</v>
      </c>
      <c r="EW70" s="408"/>
      <c r="EX70" s="408"/>
      <c r="EY70" s="408"/>
      <c r="EZ70" s="408"/>
      <c r="FA70" s="408">
        <v>0</v>
      </c>
      <c r="FB70" s="408"/>
      <c r="FC70" s="408"/>
      <c r="FD70" s="408"/>
      <c r="FE70" s="408"/>
      <c r="FF70" s="408">
        <v>0</v>
      </c>
      <c r="FG70" s="408">
        <v>0</v>
      </c>
      <c r="FH70" s="408">
        <v>0</v>
      </c>
      <c r="FI70" s="408">
        <v>0</v>
      </c>
    </row>
    <row r="71" spans="1:165" customFormat="1">
      <c r="A71" s="408">
        <v>69</v>
      </c>
      <c r="B71" s="408" t="s">
        <v>1035</v>
      </c>
      <c r="C71" s="408" t="s">
        <v>2233</v>
      </c>
      <c r="D71" s="408" t="s">
        <v>1958</v>
      </c>
      <c r="E71" s="408" t="s">
        <v>2249</v>
      </c>
      <c r="F71" s="408" t="s">
        <v>1321</v>
      </c>
      <c r="G71" s="408" t="s">
        <v>1321</v>
      </c>
      <c r="H71" s="408" t="s">
        <v>1321</v>
      </c>
      <c r="I71" s="408" t="s">
        <v>1321</v>
      </c>
      <c r="J71" s="408" t="s">
        <v>2234</v>
      </c>
      <c r="K71" s="828">
        <v>44409</v>
      </c>
      <c r="L71" s="408">
        <v>0</v>
      </c>
      <c r="M71" s="408">
        <v>0</v>
      </c>
      <c r="N71" s="408">
        <v>0.53400000000000003</v>
      </c>
      <c r="O71" s="408">
        <v>0.53400000000000003</v>
      </c>
      <c r="P71" s="408">
        <v>0.53400000000000003</v>
      </c>
      <c r="Q71" s="408">
        <v>0.53400000000000003</v>
      </c>
      <c r="R71" s="408"/>
      <c r="S71" s="408">
        <v>710.91</v>
      </c>
      <c r="T71" s="408">
        <v>256.55</v>
      </c>
      <c r="U71" s="408"/>
      <c r="V71" s="408">
        <v>516.62364000000002</v>
      </c>
      <c r="W71" s="408">
        <v>516.62364000000002</v>
      </c>
      <c r="X71" s="408">
        <v>352.66962000000001</v>
      </c>
      <c r="Y71" s="408">
        <v>0</v>
      </c>
      <c r="Z71" s="408">
        <v>32.827479866513102</v>
      </c>
      <c r="AA71" s="408">
        <v>0</v>
      </c>
      <c r="AB71" s="408">
        <v>0</v>
      </c>
      <c r="AC71" s="408">
        <v>0</v>
      </c>
      <c r="AD71" s="408">
        <v>65.726209755000653</v>
      </c>
      <c r="AE71" s="408">
        <v>254.66997293994967</v>
      </c>
      <c r="AF71" s="408">
        <v>136.99904660491578</v>
      </c>
      <c r="AG71" s="408">
        <v>0</v>
      </c>
      <c r="AH71" s="408">
        <v>0</v>
      </c>
      <c r="AI71" s="408">
        <v>0</v>
      </c>
      <c r="AJ71" s="408">
        <v>0</v>
      </c>
      <c r="AK71" s="408">
        <v>0</v>
      </c>
      <c r="AL71" s="408">
        <v>5.0752768453953587</v>
      </c>
      <c r="AM71" s="408"/>
      <c r="AN71" s="408">
        <v>1.1725596811338921</v>
      </c>
      <c r="AO71" s="408">
        <v>0</v>
      </c>
      <c r="AP71" s="408">
        <v>0</v>
      </c>
      <c r="AQ71" s="408">
        <v>0</v>
      </c>
      <c r="AR71" s="408">
        <v>0</v>
      </c>
      <c r="AS71" s="408">
        <v>0</v>
      </c>
      <c r="AT71" s="408">
        <v>0</v>
      </c>
      <c r="AU71" s="408">
        <v>0</v>
      </c>
      <c r="AV71" s="408">
        <v>0</v>
      </c>
      <c r="AW71" s="408">
        <v>0</v>
      </c>
      <c r="AX71" s="408">
        <v>0</v>
      </c>
      <c r="AY71" s="408">
        <v>0</v>
      </c>
      <c r="AZ71" s="408">
        <v>0</v>
      </c>
      <c r="BA71" s="408"/>
      <c r="BB71" s="408">
        <v>0</v>
      </c>
      <c r="BC71" s="408">
        <v>0</v>
      </c>
      <c r="BD71" s="408">
        <v>0.79583105628168238</v>
      </c>
      <c r="BE71" s="408">
        <v>0</v>
      </c>
      <c r="BF71" s="408">
        <v>0</v>
      </c>
      <c r="BG71" s="408">
        <v>19.35931681476734</v>
      </c>
      <c r="BH71" s="408">
        <v>0</v>
      </c>
      <c r="BI71" s="408">
        <v>0.6</v>
      </c>
      <c r="BJ71" s="408">
        <v>0.21</v>
      </c>
      <c r="BK71" s="408">
        <v>165.14</v>
      </c>
      <c r="BL71" s="408">
        <v>4</v>
      </c>
      <c r="BM71" s="408"/>
      <c r="BN71" s="408"/>
      <c r="BO71" s="408"/>
      <c r="BP71" s="408"/>
      <c r="BQ71" s="408"/>
      <c r="BR71" s="408"/>
      <c r="BS71" s="408"/>
      <c r="BT71" s="408"/>
      <c r="BU71" s="408"/>
      <c r="BV71" s="408">
        <v>157.1541944759648</v>
      </c>
      <c r="BW71" s="408"/>
      <c r="BX71" s="408"/>
      <c r="BY71" s="408"/>
      <c r="BZ71" s="408"/>
      <c r="CA71" s="408"/>
      <c r="CB71" s="408"/>
      <c r="CC71" s="408"/>
      <c r="CD71" s="408"/>
      <c r="CE71" s="408"/>
      <c r="CF71" s="408"/>
      <c r="CG71" s="408"/>
      <c r="CH71" s="408"/>
      <c r="CI71" s="408">
        <v>350.02790000000005</v>
      </c>
      <c r="CJ71" s="408">
        <v>-166.62573999999995</v>
      </c>
      <c r="CK71" s="408"/>
      <c r="CL71" s="408"/>
      <c r="CM71" s="408"/>
      <c r="CN71" s="408"/>
      <c r="CO71" s="408">
        <v>-172.49268000000001</v>
      </c>
      <c r="CP71" s="408">
        <v>8.5386600000000055</v>
      </c>
      <c r="CQ71" s="408">
        <v>31</v>
      </c>
      <c r="CR71" s="408">
        <v>7.0986147978553618</v>
      </c>
      <c r="CS71" s="408">
        <v>0</v>
      </c>
      <c r="CT71" s="408">
        <v>0</v>
      </c>
      <c r="CU71" s="408">
        <v>0</v>
      </c>
      <c r="CV71" s="408">
        <v>0</v>
      </c>
      <c r="CW71" s="408">
        <v>0</v>
      </c>
      <c r="CX71" s="408">
        <v>0</v>
      </c>
      <c r="CY71" s="408">
        <v>0</v>
      </c>
      <c r="CZ71" s="408">
        <v>-0.29708660195949221</v>
      </c>
      <c r="DA71" s="408">
        <v>0</v>
      </c>
      <c r="DB71" s="408">
        <v>0</v>
      </c>
      <c r="DC71" s="408">
        <v>8.5348308809078617</v>
      </c>
      <c r="DD71" s="408">
        <v>0</v>
      </c>
      <c r="DE71" s="408">
        <v>0</v>
      </c>
      <c r="DF71" s="408">
        <v>4.9579056522389031E-2</v>
      </c>
      <c r="DG71" s="408">
        <v>1.2060558016907166</v>
      </c>
      <c r="DH71" s="408">
        <v>0</v>
      </c>
      <c r="DI71" s="408">
        <v>-2.0413391995566457</v>
      </c>
      <c r="DJ71" s="408"/>
      <c r="DK71" s="408">
        <v>0</v>
      </c>
      <c r="DL71" s="408">
        <v>0</v>
      </c>
      <c r="DM71" s="408">
        <v>0</v>
      </c>
      <c r="DN71" s="408">
        <v>0</v>
      </c>
      <c r="DO71" s="408">
        <v>-0.27849409710846729</v>
      </c>
      <c r="DP71" s="408">
        <v>-7.493104264099415E-2</v>
      </c>
      <c r="DQ71" s="408">
        <v>0</v>
      </c>
      <c r="DR71" s="408">
        <v>0</v>
      </c>
      <c r="DS71" s="408"/>
      <c r="DT71" s="408"/>
      <c r="DU71" s="408"/>
      <c r="DV71" s="408">
        <v>254.66997293994967</v>
      </c>
      <c r="DW71" s="408">
        <v>0</v>
      </c>
      <c r="DX71" s="408">
        <v>0</v>
      </c>
      <c r="DY71" s="408">
        <v>-172.49268000000001</v>
      </c>
      <c r="DZ71" s="408">
        <v>8.5386600000000215</v>
      </c>
      <c r="EA71" s="408">
        <v>0</v>
      </c>
      <c r="EB71" s="408">
        <v>0</v>
      </c>
      <c r="EC71" s="408">
        <v>-171.05536965295215</v>
      </c>
      <c r="ED71" s="408">
        <v>0</v>
      </c>
      <c r="EE71" s="408">
        <v>0</v>
      </c>
      <c r="EF71" s="408">
        <v>0</v>
      </c>
      <c r="EG71" s="408">
        <v>0</v>
      </c>
      <c r="EH71" s="408">
        <v>0</v>
      </c>
      <c r="EI71" s="408">
        <v>0</v>
      </c>
      <c r="EJ71" s="408">
        <v>0</v>
      </c>
      <c r="EK71" s="408">
        <v>0</v>
      </c>
      <c r="EL71" s="408">
        <v>0</v>
      </c>
      <c r="EM71" s="408">
        <v>0</v>
      </c>
      <c r="EN71" s="408">
        <v>0</v>
      </c>
      <c r="EO71" s="408">
        <v>0</v>
      </c>
      <c r="EP71" s="408">
        <v>0</v>
      </c>
      <c r="EQ71" s="408">
        <v>0</v>
      </c>
      <c r="ER71" s="408">
        <v>0</v>
      </c>
      <c r="ES71" s="408">
        <v>0</v>
      </c>
      <c r="ET71" s="408">
        <v>0</v>
      </c>
      <c r="EU71" s="408">
        <v>0</v>
      </c>
      <c r="EV71" s="408">
        <v>257</v>
      </c>
      <c r="EW71" s="408">
        <v>0</v>
      </c>
      <c r="EX71" s="408">
        <v>0</v>
      </c>
      <c r="EY71" s="408">
        <v>0</v>
      </c>
      <c r="EZ71" s="408"/>
      <c r="FA71" s="408">
        <v>0</v>
      </c>
      <c r="FB71" s="408"/>
      <c r="FC71" s="408"/>
      <c r="FD71" s="408"/>
      <c r="FE71" s="408"/>
      <c r="FF71" s="408">
        <v>0</v>
      </c>
      <c r="FG71" s="408">
        <v>0</v>
      </c>
      <c r="FH71" s="408">
        <v>0</v>
      </c>
      <c r="FI71" s="408">
        <v>0</v>
      </c>
    </row>
    <row r="72" spans="1:165" customFormat="1">
      <c r="A72" s="408">
        <v>70</v>
      </c>
      <c r="B72" s="408" t="s">
        <v>1035</v>
      </c>
      <c r="C72" s="408" t="s">
        <v>2233</v>
      </c>
      <c r="D72" s="408" t="s">
        <v>1955</v>
      </c>
      <c r="E72" s="408" t="s">
        <v>968</v>
      </c>
      <c r="F72" s="408" t="s">
        <v>968</v>
      </c>
      <c r="G72" s="408" t="s">
        <v>1321</v>
      </c>
      <c r="H72" s="408" t="s">
        <v>1321</v>
      </c>
      <c r="I72" s="408" t="s">
        <v>1321</v>
      </c>
      <c r="J72" s="408" t="s">
        <v>2234</v>
      </c>
      <c r="K72" s="828">
        <v>44440</v>
      </c>
      <c r="L72" s="408">
        <v>0</v>
      </c>
      <c r="M72" s="408">
        <v>0</v>
      </c>
      <c r="N72" s="408">
        <v>572.06899999999996</v>
      </c>
      <c r="O72" s="408">
        <v>572.06899999999996</v>
      </c>
      <c r="P72" s="408">
        <v>572.06899999999996</v>
      </c>
      <c r="Q72" s="408">
        <v>572.06899999999996</v>
      </c>
      <c r="R72" s="408"/>
      <c r="S72" s="408">
        <v>710.91</v>
      </c>
      <c r="T72" s="408">
        <v>256.55</v>
      </c>
      <c r="U72" s="408"/>
      <c r="V72" s="408">
        <v>553453.87473999988</v>
      </c>
      <c r="W72" s="408">
        <v>553453.87473999988</v>
      </c>
      <c r="X72" s="408">
        <v>377811.52966999996</v>
      </c>
      <c r="Y72" s="408">
        <v>0</v>
      </c>
      <c r="Z72" s="408">
        <v>35167.759512652206</v>
      </c>
      <c r="AA72" s="408">
        <v>0</v>
      </c>
      <c r="AB72" s="408">
        <v>0</v>
      </c>
      <c r="AC72" s="408">
        <v>0</v>
      </c>
      <c r="AD72" s="408">
        <v>70411.848480025204</v>
      </c>
      <c r="AE72" s="408">
        <v>272825.46207824728</v>
      </c>
      <c r="AF72" s="408">
        <v>146765.74455473325</v>
      </c>
      <c r="AG72" s="408">
        <v>0</v>
      </c>
      <c r="AH72" s="408">
        <v>0</v>
      </c>
      <c r="AI72" s="408">
        <v>0</v>
      </c>
      <c r="AJ72" s="408">
        <v>0</v>
      </c>
      <c r="AK72" s="408">
        <v>0</v>
      </c>
      <c r="AL72" s="408">
        <v>5437.0946623005193</v>
      </c>
      <c r="AM72" s="408"/>
      <c r="AN72" s="408">
        <v>1256.1517682145777</v>
      </c>
      <c r="AO72" s="408">
        <v>0</v>
      </c>
      <c r="AP72" s="408">
        <v>0</v>
      </c>
      <c r="AQ72" s="408">
        <v>0</v>
      </c>
      <c r="AR72" s="408">
        <v>0</v>
      </c>
      <c r="AS72" s="408">
        <v>0</v>
      </c>
      <c r="AT72" s="408">
        <v>0</v>
      </c>
      <c r="AU72" s="408">
        <v>0</v>
      </c>
      <c r="AV72" s="408">
        <v>0</v>
      </c>
      <c r="AW72" s="408">
        <v>0</v>
      </c>
      <c r="AX72" s="408">
        <v>0</v>
      </c>
      <c r="AY72" s="408">
        <v>0</v>
      </c>
      <c r="AZ72" s="408">
        <v>0</v>
      </c>
      <c r="BA72" s="408"/>
      <c r="BB72" s="408">
        <v>0</v>
      </c>
      <c r="BC72" s="408">
        <v>0</v>
      </c>
      <c r="BD72" s="408">
        <v>852.56606092884954</v>
      </c>
      <c r="BE72" s="408">
        <v>0</v>
      </c>
      <c r="BF72" s="408">
        <v>0</v>
      </c>
      <c r="BG72" s="408">
        <v>20739.447585968417</v>
      </c>
      <c r="BH72" s="408">
        <v>0</v>
      </c>
      <c r="BI72" s="408">
        <v>668.57</v>
      </c>
      <c r="BJ72" s="408">
        <v>242.98</v>
      </c>
      <c r="BK72" s="408">
        <v>180046</v>
      </c>
      <c r="BL72" s="408">
        <v>4133</v>
      </c>
      <c r="BM72" s="408"/>
      <c r="BN72" s="408"/>
      <c r="BO72" s="408"/>
      <c r="BP72" s="408"/>
      <c r="BQ72" s="408"/>
      <c r="BR72" s="408"/>
      <c r="BS72" s="408"/>
      <c r="BT72" s="408"/>
      <c r="BU72" s="408"/>
      <c r="BV72" s="408">
        <v>168357.75820163052</v>
      </c>
      <c r="BW72" s="408"/>
      <c r="BX72" s="408"/>
      <c r="BY72" s="408"/>
      <c r="BZ72" s="408"/>
      <c r="CA72" s="408"/>
      <c r="CB72" s="408"/>
      <c r="CC72" s="408"/>
      <c r="CD72" s="408"/>
      <c r="CE72" s="408"/>
      <c r="CF72" s="408"/>
      <c r="CG72" s="408"/>
      <c r="CH72" s="408"/>
      <c r="CI72" s="408">
        <v>377812.19010000001</v>
      </c>
      <c r="CJ72" s="408">
        <v>-175641.7146399999</v>
      </c>
      <c r="CK72" s="408"/>
      <c r="CL72" s="408"/>
      <c r="CM72" s="408"/>
      <c r="CN72" s="408"/>
      <c r="CO72" s="408">
        <v>-184789.72837999999</v>
      </c>
      <c r="CP72" s="408">
        <v>9147.3833100000047</v>
      </c>
      <c r="CQ72" s="408">
        <v>30</v>
      </c>
      <c r="CR72" s="408">
        <v>7604.6769078545622</v>
      </c>
      <c r="CS72" s="408">
        <v>0</v>
      </c>
      <c r="CT72" s="408">
        <v>0</v>
      </c>
      <c r="CU72" s="408">
        <v>0</v>
      </c>
      <c r="CV72" s="408">
        <v>0</v>
      </c>
      <c r="CW72" s="408">
        <v>0</v>
      </c>
      <c r="CX72" s="408">
        <v>0</v>
      </c>
      <c r="CY72" s="408">
        <v>0</v>
      </c>
      <c r="CZ72" s="408">
        <v>-318.2659837010433</v>
      </c>
      <c r="DA72" s="408">
        <v>0</v>
      </c>
      <c r="DB72" s="408">
        <v>0</v>
      </c>
      <c r="DC72" s="408">
        <v>9143.2812120039016</v>
      </c>
      <c r="DD72" s="408">
        <v>0</v>
      </c>
      <c r="DE72" s="408">
        <v>0</v>
      </c>
      <c r="DF72" s="408">
        <v>53.113560460124745</v>
      </c>
      <c r="DG72" s="408">
        <v>1292.0358359876554</v>
      </c>
      <c r="DH72" s="408">
        <v>0</v>
      </c>
      <c r="DI72" s="408">
        <v>-2186.8668062755896</v>
      </c>
      <c r="DJ72" s="408"/>
      <c r="DK72" s="408">
        <v>0</v>
      </c>
      <c r="DL72" s="408">
        <v>0</v>
      </c>
      <c r="DM72" s="408">
        <v>0</v>
      </c>
      <c r="DN72" s="408">
        <v>0</v>
      </c>
      <c r="DO72" s="408">
        <v>-298.34801430476364</v>
      </c>
      <c r="DP72" s="408">
        <v>-80.272896315713297</v>
      </c>
      <c r="DQ72" s="408">
        <v>0</v>
      </c>
      <c r="DR72" s="408">
        <v>0</v>
      </c>
      <c r="DS72" s="408"/>
      <c r="DT72" s="408"/>
      <c r="DU72" s="408"/>
      <c r="DV72" s="408">
        <v>272825.46207824728</v>
      </c>
      <c r="DW72" s="408">
        <v>0</v>
      </c>
      <c r="DX72" s="408">
        <v>0</v>
      </c>
      <c r="DY72" s="408">
        <v>-184789.72837999996</v>
      </c>
      <c r="DZ72" s="408">
        <v>9147.3833100000047</v>
      </c>
      <c r="EA72" s="408">
        <v>0</v>
      </c>
      <c r="EB72" s="408">
        <v>0</v>
      </c>
      <c r="EC72" s="408">
        <v>-183249.95180148812</v>
      </c>
      <c r="ED72" s="408">
        <v>0</v>
      </c>
      <c r="EE72" s="408">
        <v>0</v>
      </c>
      <c r="EF72" s="408">
        <v>0</v>
      </c>
      <c r="EG72" s="408">
        <v>0</v>
      </c>
      <c r="EH72" s="408">
        <v>0</v>
      </c>
      <c r="EI72" s="408">
        <v>0</v>
      </c>
      <c r="EJ72" s="408">
        <v>0</v>
      </c>
      <c r="EK72" s="408">
        <v>0</v>
      </c>
      <c r="EL72" s="408">
        <v>0</v>
      </c>
      <c r="EM72" s="408">
        <v>0</v>
      </c>
      <c r="EN72" s="408">
        <v>0</v>
      </c>
      <c r="EO72" s="408">
        <v>0</v>
      </c>
      <c r="EP72" s="408">
        <v>0</v>
      </c>
      <c r="EQ72" s="408">
        <v>0</v>
      </c>
      <c r="ER72" s="408">
        <v>0</v>
      </c>
      <c r="ES72" s="408">
        <v>0</v>
      </c>
      <c r="ET72" s="408">
        <v>0</v>
      </c>
      <c r="EU72" s="408">
        <v>0</v>
      </c>
      <c r="EV72" s="408">
        <v>257</v>
      </c>
      <c r="EW72" s="408">
        <v>0</v>
      </c>
      <c r="EX72" s="408">
        <v>0</v>
      </c>
      <c r="EY72" s="408">
        <v>0</v>
      </c>
      <c r="EZ72" s="408"/>
      <c r="FA72" s="408">
        <v>0</v>
      </c>
      <c r="FB72" s="408"/>
      <c r="FC72" s="408"/>
      <c r="FD72" s="408"/>
      <c r="FE72" s="408"/>
      <c r="FF72" s="408">
        <v>0</v>
      </c>
      <c r="FG72" s="408">
        <v>0</v>
      </c>
      <c r="FH72" s="408">
        <v>0</v>
      </c>
      <c r="FI72" s="408">
        <v>0</v>
      </c>
    </row>
    <row r="73" spans="1:165" customFormat="1">
      <c r="A73" s="408">
        <v>71</v>
      </c>
      <c r="B73" s="408" t="s">
        <v>2235</v>
      </c>
      <c r="C73" s="408" t="s">
        <v>2233</v>
      </c>
      <c r="D73" s="408" t="s">
        <v>1955</v>
      </c>
      <c r="E73" s="408" t="s">
        <v>968</v>
      </c>
      <c r="F73" s="408" t="s">
        <v>968</v>
      </c>
      <c r="G73" s="408" t="s">
        <v>1321</v>
      </c>
      <c r="H73" s="408" t="s">
        <v>1321</v>
      </c>
      <c r="I73" s="408" t="s">
        <v>1321</v>
      </c>
      <c r="J73" s="408" t="s">
        <v>2234</v>
      </c>
      <c r="K73" s="828">
        <v>44440</v>
      </c>
      <c r="L73" s="408">
        <v>0</v>
      </c>
      <c r="M73" s="408">
        <v>0</v>
      </c>
      <c r="N73" s="408">
        <v>-0.48899999999999999</v>
      </c>
      <c r="O73" s="408">
        <v>-0.48899999999999999</v>
      </c>
      <c r="P73" s="408">
        <v>-0.48899999999999999</v>
      </c>
      <c r="Q73" s="408">
        <v>-0.48899999999999999</v>
      </c>
      <c r="R73" s="408"/>
      <c r="S73" s="408">
        <v>710.91</v>
      </c>
      <c r="T73" s="408">
        <v>256.55</v>
      </c>
      <c r="U73" s="408"/>
      <c r="V73" s="408">
        <v>-473.08793999999995</v>
      </c>
      <c r="W73" s="408">
        <v>-473.08793999999995</v>
      </c>
      <c r="X73" s="408">
        <v>-322.95026999999999</v>
      </c>
      <c r="Y73" s="408">
        <v>0</v>
      </c>
      <c r="Z73" s="408">
        <v>-30.06111920360469</v>
      </c>
      <c r="AA73" s="408">
        <v>0</v>
      </c>
      <c r="AB73" s="408">
        <v>0</v>
      </c>
      <c r="AC73" s="408">
        <v>0</v>
      </c>
      <c r="AD73" s="408">
        <v>-60.187484213848904</v>
      </c>
      <c r="AE73" s="408">
        <v>-233.20902016411122</v>
      </c>
      <c r="AF73" s="408">
        <v>-125.45418312697343</v>
      </c>
      <c r="AG73" s="408">
        <v>0</v>
      </c>
      <c r="AH73" s="408">
        <v>0</v>
      </c>
      <c r="AI73" s="408">
        <v>0</v>
      </c>
      <c r="AJ73" s="408">
        <v>0</v>
      </c>
      <c r="AK73" s="408">
        <v>0</v>
      </c>
      <c r="AL73" s="408">
        <v>-4.6475849764013679</v>
      </c>
      <c r="AM73" s="408"/>
      <c r="AN73" s="408">
        <v>-1.0737484720495754</v>
      </c>
      <c r="AO73" s="408">
        <v>0</v>
      </c>
      <c r="AP73" s="408">
        <v>0</v>
      </c>
      <c r="AQ73" s="408">
        <v>0</v>
      </c>
      <c r="AR73" s="408">
        <v>0</v>
      </c>
      <c r="AS73" s="408">
        <v>0</v>
      </c>
      <c r="AT73" s="408">
        <v>0</v>
      </c>
      <c r="AU73" s="408">
        <v>0</v>
      </c>
      <c r="AV73" s="408">
        <v>0</v>
      </c>
      <c r="AW73" s="408">
        <v>0</v>
      </c>
      <c r="AX73" s="408">
        <v>0</v>
      </c>
      <c r="AY73" s="408">
        <v>0</v>
      </c>
      <c r="AZ73" s="408">
        <v>0</v>
      </c>
      <c r="BA73" s="408"/>
      <c r="BB73" s="408">
        <v>0</v>
      </c>
      <c r="BC73" s="408">
        <v>0</v>
      </c>
      <c r="BD73" s="408">
        <v>-0.72876664142648429</v>
      </c>
      <c r="BE73" s="408">
        <v>0</v>
      </c>
      <c r="BF73" s="408">
        <v>0</v>
      </c>
      <c r="BG73" s="408">
        <v>-17.727913712399303</v>
      </c>
      <c r="BH73" s="408">
        <v>0</v>
      </c>
      <c r="BI73" s="408">
        <v>-0.56000000000000005</v>
      </c>
      <c r="BJ73" s="408">
        <v>-0.2</v>
      </c>
      <c r="BK73" s="408">
        <v>-155.22</v>
      </c>
      <c r="BL73" s="408">
        <v>0</v>
      </c>
      <c r="BM73" s="408"/>
      <c r="BN73" s="408"/>
      <c r="BO73" s="408"/>
      <c r="BP73" s="408"/>
      <c r="BQ73" s="408"/>
      <c r="BR73" s="408"/>
      <c r="BS73" s="408"/>
      <c r="BT73" s="408"/>
      <c r="BU73" s="408"/>
      <c r="BV73" s="408">
        <v>-143.91086348079924</v>
      </c>
      <c r="BW73" s="408"/>
      <c r="BX73" s="408"/>
      <c r="BY73" s="408"/>
      <c r="BZ73" s="408"/>
      <c r="CA73" s="408"/>
      <c r="CB73" s="408"/>
      <c r="CC73" s="408"/>
      <c r="CD73" s="408"/>
      <c r="CE73" s="408"/>
      <c r="CF73" s="408"/>
      <c r="CG73" s="408"/>
      <c r="CH73" s="408"/>
      <c r="CI73" s="408">
        <v>-323.61069999999995</v>
      </c>
      <c r="CJ73" s="408">
        <v>149.44724000000002</v>
      </c>
      <c r="CK73" s="408"/>
      <c r="CL73" s="408"/>
      <c r="CM73" s="408"/>
      <c r="CN73" s="408"/>
      <c r="CO73" s="408">
        <v>157.95677999999998</v>
      </c>
      <c r="CP73" s="408">
        <v>-7.8191100000000047</v>
      </c>
      <c r="CQ73" s="408">
        <v>30</v>
      </c>
      <c r="CR73" s="408">
        <v>-6.5004169216316257</v>
      </c>
      <c r="CS73" s="408">
        <v>0</v>
      </c>
      <c r="CT73" s="408">
        <v>0</v>
      </c>
      <c r="CU73" s="408">
        <v>0</v>
      </c>
      <c r="CV73" s="408">
        <v>0</v>
      </c>
      <c r="CW73" s="408">
        <v>0</v>
      </c>
      <c r="CX73" s="408">
        <v>0</v>
      </c>
      <c r="CY73" s="408">
        <v>0</v>
      </c>
      <c r="CZ73" s="408">
        <v>0.27205121415391176</v>
      </c>
      <c r="DA73" s="408">
        <v>0</v>
      </c>
      <c r="DB73" s="408">
        <v>0</v>
      </c>
      <c r="DC73" s="408">
        <v>-7.8156035594830513</v>
      </c>
      <c r="DD73" s="408">
        <v>0</v>
      </c>
      <c r="DE73" s="408">
        <v>0</v>
      </c>
      <c r="DF73" s="408">
        <v>-4.5401046141288925E-2</v>
      </c>
      <c r="DG73" s="408">
        <v>-1.1044218858179065</v>
      </c>
      <c r="DH73" s="408">
        <v>0</v>
      </c>
      <c r="DI73" s="408">
        <v>1.8693162333018698</v>
      </c>
      <c r="DJ73" s="408"/>
      <c r="DK73" s="408">
        <v>0</v>
      </c>
      <c r="DL73" s="408">
        <v>0</v>
      </c>
      <c r="DM73" s="408">
        <v>0</v>
      </c>
      <c r="DN73" s="408">
        <v>0</v>
      </c>
      <c r="DO73" s="408">
        <v>0.25502549341955127</v>
      </c>
      <c r="DP73" s="408">
        <v>6.8616628935292523E-2</v>
      </c>
      <c r="DQ73" s="408">
        <v>0</v>
      </c>
      <c r="DR73" s="408">
        <v>0</v>
      </c>
      <c r="DS73" s="408"/>
      <c r="DT73" s="408"/>
      <c r="DU73" s="408"/>
      <c r="DV73" s="408">
        <v>-233.20902016411122</v>
      </c>
      <c r="DW73" s="408">
        <v>0</v>
      </c>
      <c r="DX73" s="408">
        <v>0</v>
      </c>
      <c r="DY73" s="408">
        <v>157.95677999999998</v>
      </c>
      <c r="DZ73" s="408">
        <v>-7.8191100000000091</v>
      </c>
      <c r="EA73" s="408">
        <v>0</v>
      </c>
      <c r="EB73" s="408">
        <v>0</v>
      </c>
      <c r="EC73" s="408">
        <v>156.64059131141124</v>
      </c>
      <c r="ED73" s="408">
        <v>0</v>
      </c>
      <c r="EE73" s="408">
        <v>0</v>
      </c>
      <c r="EF73" s="408">
        <v>0</v>
      </c>
      <c r="EG73" s="408">
        <v>0</v>
      </c>
      <c r="EH73" s="408">
        <v>0</v>
      </c>
      <c r="EI73" s="408">
        <v>0</v>
      </c>
      <c r="EJ73" s="408">
        <v>0</v>
      </c>
      <c r="EK73" s="408">
        <v>0</v>
      </c>
      <c r="EL73" s="408">
        <v>0</v>
      </c>
      <c r="EM73" s="408">
        <v>0</v>
      </c>
      <c r="EN73" s="408">
        <v>0</v>
      </c>
      <c r="EO73" s="408">
        <v>0</v>
      </c>
      <c r="EP73" s="408">
        <v>0</v>
      </c>
      <c r="EQ73" s="408">
        <v>0</v>
      </c>
      <c r="ER73" s="408">
        <v>0</v>
      </c>
      <c r="ES73" s="408">
        <v>0</v>
      </c>
      <c r="ET73" s="408">
        <v>0</v>
      </c>
      <c r="EU73" s="408">
        <v>0</v>
      </c>
      <c r="EV73" s="408">
        <v>257</v>
      </c>
      <c r="EW73" s="408">
        <v>0</v>
      </c>
      <c r="EX73" s="408">
        <v>0</v>
      </c>
      <c r="EY73" s="408">
        <v>0</v>
      </c>
      <c r="EZ73" s="408"/>
      <c r="FA73" s="408">
        <v>0</v>
      </c>
      <c r="FB73" s="408"/>
      <c r="FC73" s="408"/>
      <c r="FD73" s="408"/>
      <c r="FE73" s="408"/>
      <c r="FF73" s="408">
        <v>0</v>
      </c>
      <c r="FG73" s="408">
        <v>0</v>
      </c>
      <c r="FH73" s="408">
        <v>0</v>
      </c>
      <c r="FI73" s="408">
        <v>0</v>
      </c>
    </row>
    <row r="74" spans="1:165" customFormat="1">
      <c r="A74" s="408">
        <v>72</v>
      </c>
      <c r="B74" s="408" t="s">
        <v>2236</v>
      </c>
      <c r="C74" s="408" t="s">
        <v>2233</v>
      </c>
      <c r="D74" s="408" t="s">
        <v>1955</v>
      </c>
      <c r="E74" s="408" t="s">
        <v>968</v>
      </c>
      <c r="F74" s="408" t="s">
        <v>968</v>
      </c>
      <c r="G74" s="408" t="s">
        <v>1321</v>
      </c>
      <c r="H74" s="408" t="s">
        <v>1321</v>
      </c>
      <c r="I74" s="408" t="s">
        <v>1321</v>
      </c>
      <c r="J74" s="408" t="s">
        <v>2234</v>
      </c>
      <c r="K74" s="828">
        <v>44440</v>
      </c>
      <c r="L74" s="408">
        <v>0</v>
      </c>
      <c r="M74" s="408">
        <v>0</v>
      </c>
      <c r="N74" s="408">
        <v>6.524</v>
      </c>
      <c r="O74" s="408">
        <v>6.524</v>
      </c>
      <c r="P74" s="408">
        <v>6.524</v>
      </c>
      <c r="Q74" s="408">
        <v>6.524</v>
      </c>
      <c r="R74" s="408"/>
      <c r="S74" s="408">
        <v>710.91</v>
      </c>
      <c r="T74" s="408">
        <v>256.55</v>
      </c>
      <c r="U74" s="408"/>
      <c r="V74" s="408">
        <v>6311.7090399999997</v>
      </c>
      <c r="W74" s="408">
        <v>6311.7090399999997</v>
      </c>
      <c r="X74" s="408">
        <v>4308.6453199999996</v>
      </c>
      <c r="Y74" s="408">
        <v>0</v>
      </c>
      <c r="Z74" s="408">
        <v>401.06082144032109</v>
      </c>
      <c r="AA74" s="408">
        <v>0</v>
      </c>
      <c r="AB74" s="408">
        <v>0</v>
      </c>
      <c r="AC74" s="408">
        <v>0</v>
      </c>
      <c r="AD74" s="408">
        <v>802.99212067719884</v>
      </c>
      <c r="AE74" s="408">
        <v>3111.3612424348908</v>
      </c>
      <c r="AF74" s="408">
        <v>1673.7486517799073</v>
      </c>
      <c r="AG74" s="408">
        <v>0</v>
      </c>
      <c r="AH74" s="408">
        <v>0</v>
      </c>
      <c r="AI74" s="408">
        <v>0</v>
      </c>
      <c r="AJ74" s="408">
        <v>0</v>
      </c>
      <c r="AK74" s="408">
        <v>0</v>
      </c>
      <c r="AL74" s="408">
        <v>62.005816740373255</v>
      </c>
      <c r="AM74" s="408"/>
      <c r="AN74" s="408">
        <v>14.325429512579611</v>
      </c>
      <c r="AO74" s="408">
        <v>0</v>
      </c>
      <c r="AP74" s="408">
        <v>0</v>
      </c>
      <c r="AQ74" s="408">
        <v>0</v>
      </c>
      <c r="AR74" s="408">
        <v>0</v>
      </c>
      <c r="AS74" s="408">
        <v>0</v>
      </c>
      <c r="AT74" s="408">
        <v>0</v>
      </c>
      <c r="AU74" s="408">
        <v>0</v>
      </c>
      <c r="AV74" s="408">
        <v>0</v>
      </c>
      <c r="AW74" s="408">
        <v>0</v>
      </c>
      <c r="AX74" s="408">
        <v>0</v>
      </c>
      <c r="AY74" s="408">
        <v>0</v>
      </c>
      <c r="AZ74" s="408">
        <v>0</v>
      </c>
      <c r="BA74" s="408"/>
      <c r="BB74" s="408">
        <v>0</v>
      </c>
      <c r="BC74" s="408">
        <v>0</v>
      </c>
      <c r="BD74" s="408">
        <v>9.7228498336735871</v>
      </c>
      <c r="BE74" s="408">
        <v>0</v>
      </c>
      <c r="BF74" s="408">
        <v>0</v>
      </c>
      <c r="BG74" s="408">
        <v>236.51719644109008</v>
      </c>
      <c r="BH74" s="408">
        <v>0</v>
      </c>
      <c r="BI74" s="408">
        <v>7.61</v>
      </c>
      <c r="BJ74" s="408">
        <v>2.7</v>
      </c>
      <c r="BK74" s="408">
        <v>4756.18</v>
      </c>
      <c r="BL74" s="408">
        <v>76</v>
      </c>
      <c r="BM74" s="408"/>
      <c r="BN74" s="408"/>
      <c r="BO74" s="408"/>
      <c r="BP74" s="408"/>
      <c r="BQ74" s="408"/>
      <c r="BR74" s="408"/>
      <c r="BS74" s="408"/>
      <c r="BT74" s="408"/>
      <c r="BU74" s="408"/>
      <c r="BV74" s="408">
        <v>1919.988698054671</v>
      </c>
      <c r="BW74" s="408"/>
      <c r="BX74" s="408"/>
      <c r="BY74" s="408"/>
      <c r="BZ74" s="408"/>
      <c r="CA74" s="408"/>
      <c r="CB74" s="408"/>
      <c r="CC74" s="408"/>
      <c r="CD74" s="408"/>
      <c r="CE74" s="408"/>
      <c r="CF74" s="408"/>
      <c r="CG74" s="408"/>
      <c r="CH74" s="408"/>
      <c r="CI74" s="408">
        <v>4306.0036</v>
      </c>
      <c r="CJ74" s="408">
        <v>-2005.7354400000004</v>
      </c>
      <c r="CK74" s="408"/>
      <c r="CL74" s="408"/>
      <c r="CM74" s="408"/>
      <c r="CN74" s="408"/>
      <c r="CO74" s="408">
        <v>-2107.3824799999998</v>
      </c>
      <c r="CP74" s="408">
        <v>104.31876000000005</v>
      </c>
      <c r="CQ74" s="408">
        <v>30</v>
      </c>
      <c r="CR74" s="408">
        <v>86.72539876630799</v>
      </c>
      <c r="CS74" s="408">
        <v>0</v>
      </c>
      <c r="CT74" s="408">
        <v>0</v>
      </c>
      <c r="CU74" s="408">
        <v>0</v>
      </c>
      <c r="CV74" s="408">
        <v>0</v>
      </c>
      <c r="CW74" s="408">
        <v>0</v>
      </c>
      <c r="CX74" s="408">
        <v>0</v>
      </c>
      <c r="CY74" s="408">
        <v>0</v>
      </c>
      <c r="CZ74" s="408">
        <v>-3.6295748898570537</v>
      </c>
      <c r="DA74" s="408">
        <v>0</v>
      </c>
      <c r="DB74" s="408">
        <v>0</v>
      </c>
      <c r="DC74" s="408">
        <v>104.27197877723393</v>
      </c>
      <c r="DD74" s="408">
        <v>0</v>
      </c>
      <c r="DE74" s="408">
        <v>0</v>
      </c>
      <c r="DF74" s="408">
        <v>0.60571866058439383</v>
      </c>
      <c r="DG74" s="408">
        <v>14.734659270094113</v>
      </c>
      <c r="DH74" s="408">
        <v>0</v>
      </c>
      <c r="DI74" s="408">
        <v>-24.939507374358698</v>
      </c>
      <c r="DJ74" s="408"/>
      <c r="DK74" s="408">
        <v>0</v>
      </c>
      <c r="DL74" s="408">
        <v>0</v>
      </c>
      <c r="DM74" s="408">
        <v>0</v>
      </c>
      <c r="DN74" s="408">
        <v>0</v>
      </c>
      <c r="DO74" s="408">
        <v>-3.4024260103663622</v>
      </c>
      <c r="DP74" s="408">
        <v>-0.91544966702218389</v>
      </c>
      <c r="DQ74" s="408">
        <v>0</v>
      </c>
      <c r="DR74" s="408">
        <v>0</v>
      </c>
      <c r="DS74" s="408"/>
      <c r="DT74" s="408"/>
      <c r="DU74" s="408"/>
      <c r="DV74" s="408">
        <v>3111.3612424348908</v>
      </c>
      <c r="DW74" s="408">
        <v>0</v>
      </c>
      <c r="DX74" s="408">
        <v>0</v>
      </c>
      <c r="DY74" s="408">
        <v>-2107.3824799999993</v>
      </c>
      <c r="DZ74" s="408">
        <v>104.31875999999988</v>
      </c>
      <c r="EA74" s="408">
        <v>0</v>
      </c>
      <c r="EB74" s="408">
        <v>0</v>
      </c>
      <c r="EC74" s="408">
        <v>-2089.8225311158421</v>
      </c>
      <c r="ED74" s="408">
        <v>0</v>
      </c>
      <c r="EE74" s="408">
        <v>0</v>
      </c>
      <c r="EF74" s="408">
        <v>0</v>
      </c>
      <c r="EG74" s="408">
        <v>0</v>
      </c>
      <c r="EH74" s="408">
        <v>0</v>
      </c>
      <c r="EI74" s="408">
        <v>0</v>
      </c>
      <c r="EJ74" s="408">
        <v>0</v>
      </c>
      <c r="EK74" s="408">
        <v>0</v>
      </c>
      <c r="EL74" s="408">
        <v>0</v>
      </c>
      <c r="EM74" s="408">
        <v>0</v>
      </c>
      <c r="EN74" s="408">
        <v>0</v>
      </c>
      <c r="EO74" s="408">
        <v>0</v>
      </c>
      <c r="EP74" s="408">
        <v>0</v>
      </c>
      <c r="EQ74" s="408">
        <v>0</v>
      </c>
      <c r="ER74" s="408">
        <v>0</v>
      </c>
      <c r="ES74" s="408">
        <v>0</v>
      </c>
      <c r="ET74" s="408">
        <v>0</v>
      </c>
      <c r="EU74" s="408">
        <v>0</v>
      </c>
      <c r="EV74" s="408">
        <v>257</v>
      </c>
      <c r="EW74" s="408">
        <v>0</v>
      </c>
      <c r="EX74" s="408">
        <v>0</v>
      </c>
      <c r="EY74" s="408">
        <v>0</v>
      </c>
      <c r="EZ74" s="408"/>
      <c r="FA74" s="408">
        <v>0</v>
      </c>
      <c r="FB74" s="408"/>
      <c r="FC74" s="408"/>
      <c r="FD74" s="408"/>
      <c r="FE74" s="408"/>
      <c r="FF74" s="408">
        <v>0</v>
      </c>
      <c r="FG74" s="408">
        <v>0</v>
      </c>
      <c r="FH74" s="408">
        <v>0</v>
      </c>
      <c r="FI74" s="408">
        <v>0</v>
      </c>
    </row>
    <row r="75" spans="1:165" customFormat="1">
      <c r="A75" s="408">
        <v>73</v>
      </c>
      <c r="B75" s="408" t="s">
        <v>1035</v>
      </c>
      <c r="C75" s="408" t="s">
        <v>2233</v>
      </c>
      <c r="D75" s="408" t="s">
        <v>1955</v>
      </c>
      <c r="E75" s="408" t="s">
        <v>968</v>
      </c>
      <c r="F75" s="408" t="s">
        <v>2237</v>
      </c>
      <c r="G75" s="408" t="s">
        <v>1321</v>
      </c>
      <c r="H75" s="408" t="s">
        <v>1321</v>
      </c>
      <c r="I75" s="408" t="s">
        <v>1321</v>
      </c>
      <c r="J75" s="408" t="s">
        <v>2234</v>
      </c>
      <c r="K75" s="828">
        <v>44440</v>
      </c>
      <c r="L75" s="408">
        <v>0</v>
      </c>
      <c r="M75" s="408">
        <v>0</v>
      </c>
      <c r="N75" s="408">
        <v>3.42</v>
      </c>
      <c r="O75" s="408">
        <v>3.42</v>
      </c>
      <c r="P75" s="408">
        <v>3.42</v>
      </c>
      <c r="Q75" s="408">
        <v>3.42</v>
      </c>
      <c r="R75" s="408"/>
      <c r="S75" s="408">
        <v>639.92999999999995</v>
      </c>
      <c r="T75" s="408">
        <v>256.55</v>
      </c>
      <c r="U75" s="408"/>
      <c r="V75" s="408">
        <v>3065.9615999999996</v>
      </c>
      <c r="W75" s="408">
        <v>3065.9615999999996</v>
      </c>
      <c r="X75" s="408">
        <v>2030.796</v>
      </c>
      <c r="Y75" s="408">
        <v>0</v>
      </c>
      <c r="Z75" s="408">
        <v>0</v>
      </c>
      <c r="AA75" s="408">
        <v>0</v>
      </c>
      <c r="AB75" s="408">
        <v>0</v>
      </c>
      <c r="AC75" s="408">
        <v>0</v>
      </c>
      <c r="AD75" s="408">
        <v>420.94314112753221</v>
      </c>
      <c r="AE75" s="408">
        <v>1631.0324109637227</v>
      </c>
      <c r="AF75" s="408">
        <v>877.40962432361789</v>
      </c>
      <c r="AG75" s="408">
        <v>0</v>
      </c>
      <c r="AH75" s="408">
        <v>0</v>
      </c>
      <c r="AI75" s="408">
        <v>0</v>
      </c>
      <c r="AJ75" s="408">
        <v>0</v>
      </c>
      <c r="AK75" s="408">
        <v>0</v>
      </c>
      <c r="AL75" s="408">
        <v>0</v>
      </c>
      <c r="AM75" s="408"/>
      <c r="AN75" s="408">
        <v>7.5096518904080725</v>
      </c>
      <c r="AO75" s="408">
        <v>0</v>
      </c>
      <c r="AP75" s="408">
        <v>0</v>
      </c>
      <c r="AQ75" s="408">
        <v>0</v>
      </c>
      <c r="AR75" s="408">
        <v>0</v>
      </c>
      <c r="AS75" s="408">
        <v>0</v>
      </c>
      <c r="AT75" s="408">
        <v>0</v>
      </c>
      <c r="AU75" s="408">
        <v>0</v>
      </c>
      <c r="AV75" s="408">
        <v>0</v>
      </c>
      <c r="AW75" s="408">
        <v>0</v>
      </c>
      <c r="AX75" s="408">
        <v>0</v>
      </c>
      <c r="AY75" s="408">
        <v>0</v>
      </c>
      <c r="AZ75" s="408">
        <v>0</v>
      </c>
      <c r="BA75" s="408"/>
      <c r="BB75" s="408">
        <v>0</v>
      </c>
      <c r="BC75" s="408">
        <v>0</v>
      </c>
      <c r="BD75" s="408">
        <v>5.0968955289950442</v>
      </c>
      <c r="BE75" s="408">
        <v>0</v>
      </c>
      <c r="BF75" s="408">
        <v>0</v>
      </c>
      <c r="BG75" s="408">
        <v>123.98663577997058</v>
      </c>
      <c r="BH75" s="408">
        <v>0</v>
      </c>
      <c r="BI75" s="408">
        <v>1.1100000000000001</v>
      </c>
      <c r="BJ75" s="408">
        <v>7.0000000000000007E-2</v>
      </c>
      <c r="BK75" s="408">
        <v>291.33999999999997</v>
      </c>
      <c r="BL75" s="408">
        <v>4</v>
      </c>
      <c r="BM75" s="408"/>
      <c r="BN75" s="408"/>
      <c r="BO75" s="408"/>
      <c r="BP75" s="408"/>
      <c r="BQ75" s="408"/>
      <c r="BR75" s="408"/>
      <c r="BS75" s="408"/>
      <c r="BT75" s="408">
        <v>1320.0174000000002</v>
      </c>
      <c r="BU75" s="408"/>
      <c r="BV75" s="408">
        <v>1006.4931556325835</v>
      </c>
      <c r="BW75" s="408"/>
      <c r="BX75" s="408"/>
      <c r="BY75" s="408"/>
      <c r="BZ75" s="408"/>
      <c r="CA75" s="408"/>
      <c r="CB75" s="408"/>
      <c r="CC75" s="408"/>
      <c r="CD75" s="408"/>
      <c r="CE75" s="408"/>
      <c r="CF75" s="408"/>
      <c r="CG75" s="408"/>
      <c r="CH75" s="408"/>
      <c r="CI75" s="408">
        <v>710.77859999999998</v>
      </c>
      <c r="CJ75" s="408">
        <v>-362.34479999999996</v>
      </c>
      <c r="CK75" s="408"/>
      <c r="CL75" s="408"/>
      <c r="CM75" s="408"/>
      <c r="CN75" s="408"/>
      <c r="CO75" s="408">
        <v>-1089.8513999999998</v>
      </c>
      <c r="CP75" s="408">
        <v>54.685800000000029</v>
      </c>
      <c r="CQ75" s="408">
        <v>30</v>
      </c>
      <c r="CR75" s="408">
        <v>60.320397908726818</v>
      </c>
      <c r="CS75" s="408">
        <v>0</v>
      </c>
      <c r="CT75" s="408">
        <v>0</v>
      </c>
      <c r="CU75" s="408">
        <v>0</v>
      </c>
      <c r="CV75" s="408">
        <v>0</v>
      </c>
      <c r="CW75" s="408">
        <v>0</v>
      </c>
      <c r="CX75" s="408">
        <v>0</v>
      </c>
      <c r="CY75" s="408">
        <v>0</v>
      </c>
      <c r="CZ75" s="408">
        <v>-1.9026894732236883</v>
      </c>
      <c r="DA75" s="408">
        <v>0</v>
      </c>
      <c r="DB75" s="408">
        <v>0</v>
      </c>
      <c r="DC75" s="408">
        <v>54.661276428286328</v>
      </c>
      <c r="DD75" s="408">
        <v>0</v>
      </c>
      <c r="DE75" s="408">
        <v>0</v>
      </c>
      <c r="DF75" s="408">
        <v>0.31752878896361469</v>
      </c>
      <c r="DG75" s="408">
        <v>7.724177606333825</v>
      </c>
      <c r="DH75" s="408">
        <v>0</v>
      </c>
      <c r="DI75" s="408">
        <v>0</v>
      </c>
      <c r="DJ75" s="408"/>
      <c r="DK75" s="408">
        <v>0</v>
      </c>
      <c r="DL75" s="408">
        <v>0</v>
      </c>
      <c r="DM75" s="408">
        <v>0</v>
      </c>
      <c r="DN75" s="408">
        <v>0</v>
      </c>
      <c r="DO75" s="408">
        <v>0</v>
      </c>
      <c r="DP75" s="408">
        <v>-0.47989544163333253</v>
      </c>
      <c r="DQ75" s="408">
        <v>0</v>
      </c>
      <c r="DR75" s="408">
        <v>0</v>
      </c>
      <c r="DS75" s="408"/>
      <c r="DT75" s="408"/>
      <c r="DU75" s="408"/>
      <c r="DV75" s="408">
        <v>1631.0324109637227</v>
      </c>
      <c r="DW75" s="408">
        <v>0</v>
      </c>
      <c r="DX75" s="408">
        <v>0</v>
      </c>
      <c r="DY75" s="408">
        <v>-1089.8513999999998</v>
      </c>
      <c r="DZ75" s="408">
        <v>54.685799999999972</v>
      </c>
      <c r="EA75" s="408">
        <v>0</v>
      </c>
      <c r="EB75" s="408">
        <v>0</v>
      </c>
      <c r="EC75" s="408">
        <v>-1095.5231539571091</v>
      </c>
      <c r="ED75" s="408">
        <v>0</v>
      </c>
      <c r="EE75" s="408">
        <v>0</v>
      </c>
      <c r="EF75" s="408">
        <v>0</v>
      </c>
      <c r="EG75" s="408">
        <v>0</v>
      </c>
      <c r="EH75" s="408">
        <v>0</v>
      </c>
      <c r="EI75" s="408">
        <v>0</v>
      </c>
      <c r="EJ75" s="408">
        <v>0</v>
      </c>
      <c r="EK75" s="408">
        <v>0</v>
      </c>
      <c r="EL75" s="408">
        <v>0</v>
      </c>
      <c r="EM75" s="408">
        <v>0</v>
      </c>
      <c r="EN75" s="408">
        <v>0</v>
      </c>
      <c r="EO75" s="408">
        <v>0</v>
      </c>
      <c r="EP75" s="408">
        <v>0</v>
      </c>
      <c r="EQ75" s="408">
        <v>0</v>
      </c>
      <c r="ER75" s="408">
        <v>0</v>
      </c>
      <c r="ES75" s="408">
        <v>0</v>
      </c>
      <c r="ET75" s="408">
        <v>0</v>
      </c>
      <c r="EU75" s="408">
        <v>0</v>
      </c>
      <c r="EV75" s="408">
        <v>257</v>
      </c>
      <c r="EW75" s="408">
        <v>0</v>
      </c>
      <c r="EX75" s="408">
        <v>0</v>
      </c>
      <c r="EY75" s="408">
        <v>0</v>
      </c>
      <c r="EZ75" s="408"/>
      <c r="FA75" s="408">
        <v>0</v>
      </c>
      <c r="FB75" s="408"/>
      <c r="FC75" s="408"/>
      <c r="FD75" s="408"/>
      <c r="FE75" s="408"/>
      <c r="FF75" s="408">
        <v>0</v>
      </c>
      <c r="FG75" s="408">
        <v>0</v>
      </c>
      <c r="FH75" s="408">
        <v>0</v>
      </c>
      <c r="FI75" s="408">
        <v>0</v>
      </c>
    </row>
    <row r="76" spans="1:165" customFormat="1">
      <c r="A76" s="408">
        <v>74</v>
      </c>
      <c r="B76" s="408" t="s">
        <v>1035</v>
      </c>
      <c r="C76" s="408" t="s">
        <v>2233</v>
      </c>
      <c r="D76" s="408" t="s">
        <v>1955</v>
      </c>
      <c r="E76" s="408" t="s">
        <v>968</v>
      </c>
      <c r="F76" s="408" t="s">
        <v>2238</v>
      </c>
      <c r="G76" s="408" t="s">
        <v>1321</v>
      </c>
      <c r="H76" s="408" t="s">
        <v>1321</v>
      </c>
      <c r="I76" s="408" t="s">
        <v>1321</v>
      </c>
      <c r="J76" s="408" t="s">
        <v>2234</v>
      </c>
      <c r="K76" s="828">
        <v>44440</v>
      </c>
      <c r="L76" s="408">
        <v>0</v>
      </c>
      <c r="M76" s="408">
        <v>0</v>
      </c>
      <c r="N76" s="408">
        <v>6.726</v>
      </c>
      <c r="O76" s="408">
        <v>6.726</v>
      </c>
      <c r="P76" s="408">
        <v>6.726</v>
      </c>
      <c r="Q76" s="408">
        <v>6.726</v>
      </c>
      <c r="R76" s="408"/>
      <c r="S76" s="408">
        <v>639.92999999999995</v>
      </c>
      <c r="T76" s="408">
        <v>256.55</v>
      </c>
      <c r="U76" s="408"/>
      <c r="V76" s="408">
        <v>6029.7244799999999</v>
      </c>
      <c r="W76" s="408">
        <v>6029.7244799999999</v>
      </c>
      <c r="X76" s="408">
        <v>3993.8987999999999</v>
      </c>
      <c r="Y76" s="408">
        <v>0</v>
      </c>
      <c r="Z76" s="408">
        <v>0</v>
      </c>
      <c r="AA76" s="408">
        <v>0</v>
      </c>
      <c r="AB76" s="408">
        <v>0</v>
      </c>
      <c r="AC76" s="408">
        <v>0</v>
      </c>
      <c r="AD76" s="408">
        <v>827.85484421748004</v>
      </c>
      <c r="AE76" s="408">
        <v>3207.6970748953213</v>
      </c>
      <c r="AF76" s="408">
        <v>1725.5722611697818</v>
      </c>
      <c r="AG76" s="408">
        <v>0</v>
      </c>
      <c r="AH76" s="408">
        <v>0</v>
      </c>
      <c r="AI76" s="408">
        <v>0</v>
      </c>
      <c r="AJ76" s="408">
        <v>0</v>
      </c>
      <c r="AK76" s="408">
        <v>0</v>
      </c>
      <c r="AL76" s="408">
        <v>0</v>
      </c>
      <c r="AM76" s="408"/>
      <c r="AN76" s="408">
        <v>14.768982051135877</v>
      </c>
      <c r="AO76" s="408">
        <v>0</v>
      </c>
      <c r="AP76" s="408">
        <v>0</v>
      </c>
      <c r="AQ76" s="408">
        <v>0</v>
      </c>
      <c r="AR76" s="408">
        <v>0</v>
      </c>
      <c r="AS76" s="408">
        <v>0</v>
      </c>
      <c r="AT76" s="408">
        <v>0</v>
      </c>
      <c r="AU76" s="408">
        <v>0</v>
      </c>
      <c r="AV76" s="408">
        <v>0</v>
      </c>
      <c r="AW76" s="408">
        <v>0</v>
      </c>
      <c r="AX76" s="408">
        <v>0</v>
      </c>
      <c r="AY76" s="408">
        <v>0</v>
      </c>
      <c r="AZ76" s="408">
        <v>0</v>
      </c>
      <c r="BA76" s="408"/>
      <c r="BB76" s="408">
        <v>0</v>
      </c>
      <c r="BC76" s="408">
        <v>0</v>
      </c>
      <c r="BD76" s="408">
        <v>10.02389454035692</v>
      </c>
      <c r="BE76" s="408">
        <v>0</v>
      </c>
      <c r="BF76" s="408">
        <v>0</v>
      </c>
      <c r="BG76" s="408">
        <v>243.84038370060881</v>
      </c>
      <c r="BH76" s="408">
        <v>0</v>
      </c>
      <c r="BI76" s="408">
        <v>4.04</v>
      </c>
      <c r="BJ76" s="408">
        <v>1.41</v>
      </c>
      <c r="BK76" s="408">
        <v>1139.81</v>
      </c>
      <c r="BL76" s="408">
        <v>39</v>
      </c>
      <c r="BM76" s="408"/>
      <c r="BN76" s="408"/>
      <c r="BO76" s="408"/>
      <c r="BP76" s="408"/>
      <c r="BQ76" s="408"/>
      <c r="BR76" s="408"/>
      <c r="BS76" s="408"/>
      <c r="BT76" s="408">
        <v>1597.5595200000002</v>
      </c>
      <c r="BU76" s="408"/>
      <c r="BV76" s="408">
        <v>1979.4365394107474</v>
      </c>
      <c r="BW76" s="408"/>
      <c r="BX76" s="408"/>
      <c r="BY76" s="408"/>
      <c r="BZ76" s="408"/>
      <c r="CA76" s="408"/>
      <c r="CB76" s="408"/>
      <c r="CC76" s="408"/>
      <c r="CD76" s="408"/>
      <c r="CE76" s="408"/>
      <c r="CF76" s="408"/>
      <c r="CG76" s="408"/>
      <c r="CH76" s="408"/>
      <c r="CI76" s="408">
        <v>2397.7644</v>
      </c>
      <c r="CJ76" s="408">
        <v>-1220.1137400000007</v>
      </c>
      <c r="CK76" s="408"/>
      <c r="CL76" s="408"/>
      <c r="CM76" s="408"/>
      <c r="CN76" s="408"/>
      <c r="CO76" s="408">
        <v>-2143.3744199999996</v>
      </c>
      <c r="CP76" s="408">
        <v>107.54874000000007</v>
      </c>
      <c r="CQ76" s="408">
        <v>30</v>
      </c>
      <c r="CR76" s="408">
        <v>118.6301158871629</v>
      </c>
      <c r="CS76" s="408">
        <v>0</v>
      </c>
      <c r="CT76" s="408">
        <v>0</v>
      </c>
      <c r="CU76" s="408">
        <v>0</v>
      </c>
      <c r="CV76" s="408">
        <v>0</v>
      </c>
      <c r="CW76" s="408">
        <v>0</v>
      </c>
      <c r="CX76" s="408">
        <v>0</v>
      </c>
      <c r="CY76" s="408">
        <v>0</v>
      </c>
      <c r="CZ76" s="408">
        <v>-3.7419559640065927</v>
      </c>
      <c r="DA76" s="408">
        <v>0</v>
      </c>
      <c r="DB76" s="408">
        <v>0</v>
      </c>
      <c r="DC76" s="408">
        <v>107.50051030896316</v>
      </c>
      <c r="DD76" s="408">
        <v>0</v>
      </c>
      <c r="DE76" s="408">
        <v>0</v>
      </c>
      <c r="DF76" s="408">
        <v>0.6244732849617769</v>
      </c>
      <c r="DG76" s="408">
        <v>15.190882625789868</v>
      </c>
      <c r="DH76" s="408">
        <v>0</v>
      </c>
      <c r="DI76" s="408">
        <v>0</v>
      </c>
      <c r="DJ76" s="408"/>
      <c r="DK76" s="408">
        <v>0</v>
      </c>
      <c r="DL76" s="408">
        <v>0</v>
      </c>
      <c r="DM76" s="408">
        <v>0</v>
      </c>
      <c r="DN76" s="408">
        <v>0</v>
      </c>
      <c r="DO76" s="408">
        <v>0</v>
      </c>
      <c r="DP76" s="408">
        <v>-0.94379436854555543</v>
      </c>
      <c r="DQ76" s="408">
        <v>0</v>
      </c>
      <c r="DR76" s="408">
        <v>0</v>
      </c>
      <c r="DS76" s="408"/>
      <c r="DT76" s="408"/>
      <c r="DU76" s="408"/>
      <c r="DV76" s="408">
        <v>3207.6970748953213</v>
      </c>
      <c r="DW76" s="408">
        <v>0</v>
      </c>
      <c r="DX76" s="408">
        <v>0</v>
      </c>
      <c r="DY76" s="408">
        <v>-2143.3744200000001</v>
      </c>
      <c r="DZ76" s="408">
        <v>107.54874000000018</v>
      </c>
      <c r="EA76" s="408">
        <v>0</v>
      </c>
      <c r="EB76" s="408">
        <v>0</v>
      </c>
      <c r="EC76" s="408">
        <v>-2154.5288694489818</v>
      </c>
      <c r="ED76" s="408">
        <v>0</v>
      </c>
      <c r="EE76" s="408">
        <v>0</v>
      </c>
      <c r="EF76" s="408">
        <v>0</v>
      </c>
      <c r="EG76" s="408">
        <v>0</v>
      </c>
      <c r="EH76" s="408">
        <v>0</v>
      </c>
      <c r="EI76" s="408">
        <v>0</v>
      </c>
      <c r="EJ76" s="408">
        <v>0</v>
      </c>
      <c r="EK76" s="408">
        <v>0</v>
      </c>
      <c r="EL76" s="408">
        <v>0</v>
      </c>
      <c r="EM76" s="408">
        <v>0</v>
      </c>
      <c r="EN76" s="408">
        <v>0</v>
      </c>
      <c r="EO76" s="408">
        <v>0</v>
      </c>
      <c r="EP76" s="408">
        <v>0</v>
      </c>
      <c r="EQ76" s="408">
        <v>0</v>
      </c>
      <c r="ER76" s="408">
        <v>0</v>
      </c>
      <c r="ES76" s="408">
        <v>0</v>
      </c>
      <c r="ET76" s="408">
        <v>0</v>
      </c>
      <c r="EU76" s="408">
        <v>0</v>
      </c>
      <c r="EV76" s="408">
        <v>257</v>
      </c>
      <c r="EW76" s="408">
        <v>0</v>
      </c>
      <c r="EX76" s="408">
        <v>0</v>
      </c>
      <c r="EY76" s="408">
        <v>0</v>
      </c>
      <c r="EZ76" s="408"/>
      <c r="FA76" s="408">
        <v>0</v>
      </c>
      <c r="FB76" s="408"/>
      <c r="FC76" s="408"/>
      <c r="FD76" s="408"/>
      <c r="FE76" s="408"/>
      <c r="FF76" s="408">
        <v>0</v>
      </c>
      <c r="FG76" s="408">
        <v>0</v>
      </c>
      <c r="FH76" s="408">
        <v>0</v>
      </c>
      <c r="FI76" s="408">
        <v>0</v>
      </c>
    </row>
    <row r="77" spans="1:165" customFormat="1">
      <c r="A77" s="408">
        <v>75</v>
      </c>
      <c r="B77" s="408" t="s">
        <v>1035</v>
      </c>
      <c r="C77" s="408" t="s">
        <v>2233</v>
      </c>
      <c r="D77" s="408" t="s">
        <v>1955</v>
      </c>
      <c r="E77" s="408" t="s">
        <v>968</v>
      </c>
      <c r="F77" s="408" t="s">
        <v>2239</v>
      </c>
      <c r="G77" s="408" t="s">
        <v>1321</v>
      </c>
      <c r="H77" s="408" t="s">
        <v>1321</v>
      </c>
      <c r="I77" s="408" t="s">
        <v>1321</v>
      </c>
      <c r="J77" s="408" t="s">
        <v>2234</v>
      </c>
      <c r="K77" s="828">
        <v>44440</v>
      </c>
      <c r="L77" s="408">
        <v>0</v>
      </c>
      <c r="M77" s="408">
        <v>0</v>
      </c>
      <c r="N77" s="408">
        <v>4.3339999999999996</v>
      </c>
      <c r="O77" s="408">
        <v>4.3339999999999996</v>
      </c>
      <c r="P77" s="408">
        <v>4.3339999999999996</v>
      </c>
      <c r="Q77" s="408">
        <v>4.3339999999999996</v>
      </c>
      <c r="R77" s="408"/>
      <c r="S77" s="408">
        <v>639.92999999999995</v>
      </c>
      <c r="T77" s="408">
        <v>256.55</v>
      </c>
      <c r="U77" s="408"/>
      <c r="V77" s="408">
        <v>3885.3443199999992</v>
      </c>
      <c r="W77" s="408">
        <v>3885.3443199999992</v>
      </c>
      <c r="X77" s="408">
        <v>2573.5291999999999</v>
      </c>
      <c r="Y77" s="408">
        <v>0</v>
      </c>
      <c r="Z77" s="408">
        <v>0</v>
      </c>
      <c r="AA77" s="408">
        <v>0</v>
      </c>
      <c r="AB77" s="408">
        <v>0</v>
      </c>
      <c r="AC77" s="408">
        <v>0</v>
      </c>
      <c r="AD77" s="408">
        <v>533.4408110078142</v>
      </c>
      <c r="AE77" s="408">
        <v>2066.9282073440859</v>
      </c>
      <c r="AF77" s="408">
        <v>1111.8986291867134</v>
      </c>
      <c r="AG77" s="408">
        <v>0</v>
      </c>
      <c r="AH77" s="408">
        <v>0</v>
      </c>
      <c r="AI77" s="408">
        <v>0</v>
      </c>
      <c r="AJ77" s="408">
        <v>0</v>
      </c>
      <c r="AK77" s="408">
        <v>0</v>
      </c>
      <c r="AL77" s="408">
        <v>0</v>
      </c>
      <c r="AM77" s="408"/>
      <c r="AN77" s="408">
        <v>9.5166173371428613</v>
      </c>
      <c r="AO77" s="408">
        <v>0</v>
      </c>
      <c r="AP77" s="408">
        <v>0</v>
      </c>
      <c r="AQ77" s="408">
        <v>0</v>
      </c>
      <c r="AR77" s="408">
        <v>0</v>
      </c>
      <c r="AS77" s="408">
        <v>0</v>
      </c>
      <c r="AT77" s="408">
        <v>0</v>
      </c>
      <c r="AU77" s="408">
        <v>0</v>
      </c>
      <c r="AV77" s="408">
        <v>0</v>
      </c>
      <c r="AW77" s="408">
        <v>0</v>
      </c>
      <c r="AX77" s="408">
        <v>0</v>
      </c>
      <c r="AY77" s="408">
        <v>0</v>
      </c>
      <c r="AZ77" s="408">
        <v>0</v>
      </c>
      <c r="BA77" s="408"/>
      <c r="BB77" s="408">
        <v>0</v>
      </c>
      <c r="BC77" s="408">
        <v>0</v>
      </c>
      <c r="BD77" s="408">
        <v>6.4590483107206191</v>
      </c>
      <c r="BE77" s="408">
        <v>0</v>
      </c>
      <c r="BF77" s="408">
        <v>0</v>
      </c>
      <c r="BG77" s="408">
        <v>157.12224545917908</v>
      </c>
      <c r="BH77" s="408">
        <v>0</v>
      </c>
      <c r="BI77" s="408">
        <v>4.7699999999999996</v>
      </c>
      <c r="BJ77" s="408">
        <v>2.1800000000000002</v>
      </c>
      <c r="BK77" s="408">
        <v>1334.22</v>
      </c>
      <c r="BL77" s="408">
        <v>57</v>
      </c>
      <c r="BM77" s="408"/>
      <c r="BN77" s="408"/>
      <c r="BO77" s="408"/>
      <c r="BP77" s="408"/>
      <c r="BQ77" s="408"/>
      <c r="BR77" s="408"/>
      <c r="BS77" s="408"/>
      <c r="BT77" s="408">
        <v>257.39626000000004</v>
      </c>
      <c r="BU77" s="408"/>
      <c r="BV77" s="408">
        <v>1275.4799229566131</v>
      </c>
      <c r="BW77" s="408"/>
      <c r="BX77" s="408"/>
      <c r="BY77" s="408"/>
      <c r="BZ77" s="408"/>
      <c r="CA77" s="408"/>
      <c r="CB77" s="408"/>
      <c r="CC77" s="408"/>
      <c r="CD77" s="408"/>
      <c r="CE77" s="408"/>
      <c r="CF77" s="408"/>
      <c r="CG77" s="408"/>
      <c r="CH77" s="408"/>
      <c r="CI77" s="408">
        <v>2313.9953</v>
      </c>
      <c r="CJ77" s="408">
        <v>-1182.8792600000006</v>
      </c>
      <c r="CK77" s="408"/>
      <c r="CL77" s="408"/>
      <c r="CM77" s="408"/>
      <c r="CN77" s="408"/>
      <c r="CO77" s="408">
        <v>-1381.1157799999996</v>
      </c>
      <c r="CP77" s="408">
        <v>69.300660000000036</v>
      </c>
      <c r="CQ77" s="408">
        <v>30</v>
      </c>
      <c r="CR77" s="408">
        <v>76.441112437550146</v>
      </c>
      <c r="CS77" s="408">
        <v>0</v>
      </c>
      <c r="CT77" s="408">
        <v>0</v>
      </c>
      <c r="CU77" s="408">
        <v>0</v>
      </c>
      <c r="CV77" s="408">
        <v>0</v>
      </c>
      <c r="CW77" s="408">
        <v>0</v>
      </c>
      <c r="CX77" s="408">
        <v>0</v>
      </c>
      <c r="CY77" s="408">
        <v>0</v>
      </c>
      <c r="CZ77" s="408">
        <v>-2.4111860166525503</v>
      </c>
      <c r="DA77" s="408">
        <v>0</v>
      </c>
      <c r="DB77" s="408">
        <v>0</v>
      </c>
      <c r="DC77" s="408">
        <v>69.269582467892633</v>
      </c>
      <c r="DD77" s="408">
        <v>0</v>
      </c>
      <c r="DE77" s="408">
        <v>0</v>
      </c>
      <c r="DF77" s="408">
        <v>0.40238882203751736</v>
      </c>
      <c r="DG77" s="408">
        <v>9.7884753642838689</v>
      </c>
      <c r="DH77" s="408">
        <v>0</v>
      </c>
      <c r="DI77" s="408">
        <v>0</v>
      </c>
      <c r="DJ77" s="408"/>
      <c r="DK77" s="408">
        <v>0</v>
      </c>
      <c r="DL77" s="408">
        <v>0</v>
      </c>
      <c r="DM77" s="408">
        <v>0</v>
      </c>
      <c r="DN77" s="408">
        <v>0</v>
      </c>
      <c r="DO77" s="408">
        <v>0</v>
      </c>
      <c r="DP77" s="408">
        <v>-0.60814820001136383</v>
      </c>
      <c r="DQ77" s="408">
        <v>0</v>
      </c>
      <c r="DR77" s="408">
        <v>0</v>
      </c>
      <c r="DS77" s="408"/>
      <c r="DT77" s="408"/>
      <c r="DU77" s="408"/>
      <c r="DV77" s="408">
        <v>2066.9282073440859</v>
      </c>
      <c r="DW77" s="408">
        <v>0</v>
      </c>
      <c r="DX77" s="408">
        <v>0</v>
      </c>
      <c r="DY77" s="408">
        <v>-1381.1157799999996</v>
      </c>
      <c r="DZ77" s="408">
        <v>69.30065999999988</v>
      </c>
      <c r="EA77" s="408">
        <v>0</v>
      </c>
      <c r="EB77" s="408">
        <v>0</v>
      </c>
      <c r="EC77" s="408">
        <v>-1388.3033184941846</v>
      </c>
      <c r="ED77" s="408">
        <v>0</v>
      </c>
      <c r="EE77" s="408">
        <v>0</v>
      </c>
      <c r="EF77" s="408">
        <v>0</v>
      </c>
      <c r="EG77" s="408">
        <v>0</v>
      </c>
      <c r="EH77" s="408">
        <v>0</v>
      </c>
      <c r="EI77" s="408">
        <v>0</v>
      </c>
      <c r="EJ77" s="408">
        <v>0</v>
      </c>
      <c r="EK77" s="408">
        <v>0</v>
      </c>
      <c r="EL77" s="408">
        <v>0</v>
      </c>
      <c r="EM77" s="408">
        <v>0</v>
      </c>
      <c r="EN77" s="408">
        <v>0</v>
      </c>
      <c r="EO77" s="408">
        <v>0</v>
      </c>
      <c r="EP77" s="408">
        <v>0</v>
      </c>
      <c r="EQ77" s="408">
        <v>0</v>
      </c>
      <c r="ER77" s="408">
        <v>0</v>
      </c>
      <c r="ES77" s="408">
        <v>0</v>
      </c>
      <c r="ET77" s="408">
        <v>0</v>
      </c>
      <c r="EU77" s="408">
        <v>0</v>
      </c>
      <c r="EV77" s="408">
        <v>257</v>
      </c>
      <c r="EW77" s="408">
        <v>0</v>
      </c>
      <c r="EX77" s="408">
        <v>0</v>
      </c>
      <c r="EY77" s="408">
        <v>0</v>
      </c>
      <c r="EZ77" s="408"/>
      <c r="FA77" s="408">
        <v>0</v>
      </c>
      <c r="FB77" s="408"/>
      <c r="FC77" s="408"/>
      <c r="FD77" s="408"/>
      <c r="FE77" s="408"/>
      <c r="FF77" s="408">
        <v>0</v>
      </c>
      <c r="FG77" s="408">
        <v>0</v>
      </c>
      <c r="FH77" s="408">
        <v>0</v>
      </c>
      <c r="FI77" s="408">
        <v>0</v>
      </c>
    </row>
    <row r="78" spans="1:165" customFormat="1">
      <c r="A78" s="408">
        <v>76</v>
      </c>
      <c r="B78" s="408" t="s">
        <v>1035</v>
      </c>
      <c r="C78" s="408" t="s">
        <v>2233</v>
      </c>
      <c r="D78" s="408" t="s">
        <v>1955</v>
      </c>
      <c r="E78" s="408" t="s">
        <v>968</v>
      </c>
      <c r="F78" s="408" t="s">
        <v>2240</v>
      </c>
      <c r="G78" s="408" t="s">
        <v>1321</v>
      </c>
      <c r="H78" s="408" t="s">
        <v>1321</v>
      </c>
      <c r="I78" s="408" t="s">
        <v>1321</v>
      </c>
      <c r="J78" s="408" t="s">
        <v>2234</v>
      </c>
      <c r="K78" s="828">
        <v>44440</v>
      </c>
      <c r="L78" s="408">
        <v>0</v>
      </c>
      <c r="M78" s="408">
        <v>0</v>
      </c>
      <c r="N78" s="408">
        <v>0.98899999999999999</v>
      </c>
      <c r="O78" s="408">
        <v>0.98899999999999999</v>
      </c>
      <c r="P78" s="408">
        <v>0.98899999999999999</v>
      </c>
      <c r="Q78" s="408">
        <v>0.98899999999999999</v>
      </c>
      <c r="R78" s="408"/>
      <c r="S78" s="408">
        <v>639.92999999999995</v>
      </c>
      <c r="T78" s="408">
        <v>256.55</v>
      </c>
      <c r="U78" s="408"/>
      <c r="V78" s="408">
        <v>886.61871999999994</v>
      </c>
      <c r="W78" s="408">
        <v>886.61871999999994</v>
      </c>
      <c r="X78" s="408">
        <v>587.26819999999998</v>
      </c>
      <c r="Y78" s="408">
        <v>0</v>
      </c>
      <c r="Z78" s="408">
        <v>0</v>
      </c>
      <c r="AA78" s="408">
        <v>0</v>
      </c>
      <c r="AB78" s="408">
        <v>0</v>
      </c>
      <c r="AC78" s="408">
        <v>0</v>
      </c>
      <c r="AD78" s="408">
        <v>121.72887911553489</v>
      </c>
      <c r="AE78" s="408">
        <v>471.6640510067607</v>
      </c>
      <c r="AF78" s="408">
        <v>253.73044399299943</v>
      </c>
      <c r="AG78" s="408">
        <v>0</v>
      </c>
      <c r="AH78" s="408">
        <v>0</v>
      </c>
      <c r="AI78" s="408">
        <v>0</v>
      </c>
      <c r="AJ78" s="408">
        <v>0</v>
      </c>
      <c r="AK78" s="408">
        <v>0</v>
      </c>
      <c r="AL78" s="408">
        <v>0</v>
      </c>
      <c r="AM78" s="408"/>
      <c r="AN78" s="408">
        <v>2.1716507952086501</v>
      </c>
      <c r="AO78" s="408">
        <v>0</v>
      </c>
      <c r="AP78" s="408">
        <v>0</v>
      </c>
      <c r="AQ78" s="408">
        <v>0</v>
      </c>
      <c r="AR78" s="408">
        <v>0</v>
      </c>
      <c r="AS78" s="408">
        <v>0</v>
      </c>
      <c r="AT78" s="408">
        <v>0</v>
      </c>
      <c r="AU78" s="408">
        <v>0</v>
      </c>
      <c r="AV78" s="408">
        <v>0</v>
      </c>
      <c r="AW78" s="408">
        <v>0</v>
      </c>
      <c r="AX78" s="408">
        <v>0</v>
      </c>
      <c r="AY78" s="408">
        <v>0</v>
      </c>
      <c r="AZ78" s="408">
        <v>0</v>
      </c>
      <c r="BA78" s="408"/>
      <c r="BB78" s="408">
        <v>0</v>
      </c>
      <c r="BC78" s="408">
        <v>0</v>
      </c>
      <c r="BD78" s="408">
        <v>1.4739268064842392</v>
      </c>
      <c r="BE78" s="408">
        <v>0</v>
      </c>
      <c r="BF78" s="408">
        <v>0</v>
      </c>
      <c r="BG78" s="408">
        <v>35.8546148498219</v>
      </c>
      <c r="BH78" s="408">
        <v>0</v>
      </c>
      <c r="BI78" s="408">
        <v>1.51</v>
      </c>
      <c r="BJ78" s="408">
        <v>0.63</v>
      </c>
      <c r="BK78" s="408">
        <v>417.86</v>
      </c>
      <c r="BL78" s="408">
        <v>14</v>
      </c>
      <c r="BM78" s="408"/>
      <c r="BN78" s="408"/>
      <c r="BO78" s="408"/>
      <c r="BP78" s="408"/>
      <c r="BQ78" s="408"/>
      <c r="BR78" s="408"/>
      <c r="BS78" s="408"/>
      <c r="BT78" s="408"/>
      <c r="BU78" s="408"/>
      <c r="BV78" s="408">
        <v>291.05898564930555</v>
      </c>
      <c r="BW78" s="408"/>
      <c r="BX78" s="408"/>
      <c r="BY78" s="408"/>
      <c r="BZ78" s="408"/>
      <c r="CA78" s="408"/>
      <c r="CB78" s="408"/>
      <c r="CC78" s="408"/>
      <c r="CD78" s="408"/>
      <c r="CE78" s="408"/>
      <c r="CF78" s="408"/>
      <c r="CG78" s="408"/>
      <c r="CH78" s="408"/>
      <c r="CI78" s="408">
        <v>587.86200000000008</v>
      </c>
      <c r="CJ78" s="408">
        <v>-298.78671999999983</v>
      </c>
      <c r="CK78" s="408"/>
      <c r="CL78" s="408"/>
      <c r="CM78" s="408"/>
      <c r="CN78" s="408"/>
      <c r="CO78" s="408">
        <v>-315.16462999999993</v>
      </c>
      <c r="CP78" s="408">
        <v>15.814110000000008</v>
      </c>
      <c r="CQ78" s="408">
        <v>30</v>
      </c>
      <c r="CR78" s="408">
        <v>17.443530272435908</v>
      </c>
      <c r="CS78" s="408">
        <v>0</v>
      </c>
      <c r="CT78" s="408">
        <v>0</v>
      </c>
      <c r="CU78" s="408">
        <v>0</v>
      </c>
      <c r="CV78" s="408">
        <v>0</v>
      </c>
      <c r="CW78" s="408">
        <v>0</v>
      </c>
      <c r="CX78" s="408">
        <v>0</v>
      </c>
      <c r="CY78" s="408">
        <v>0</v>
      </c>
      <c r="CZ78" s="408">
        <v>-0.55022218977140369</v>
      </c>
      <c r="DA78" s="408">
        <v>0</v>
      </c>
      <c r="DB78" s="408">
        <v>0</v>
      </c>
      <c r="DC78" s="408">
        <v>15.807018241981041</v>
      </c>
      <c r="DD78" s="408">
        <v>0</v>
      </c>
      <c r="DE78" s="408">
        <v>0</v>
      </c>
      <c r="DF78" s="408">
        <v>9.1823383709068951E-2</v>
      </c>
      <c r="DG78" s="408">
        <v>2.233687617738056</v>
      </c>
      <c r="DH78" s="408">
        <v>0</v>
      </c>
      <c r="DI78" s="408">
        <v>0</v>
      </c>
      <c r="DJ78" s="408"/>
      <c r="DK78" s="408">
        <v>0</v>
      </c>
      <c r="DL78" s="408">
        <v>0</v>
      </c>
      <c r="DM78" s="408">
        <v>0</v>
      </c>
      <c r="DN78" s="408">
        <v>0</v>
      </c>
      <c r="DO78" s="408">
        <v>0</v>
      </c>
      <c r="DP78" s="408">
        <v>-0.13877678122086712</v>
      </c>
      <c r="DQ78" s="408">
        <v>0</v>
      </c>
      <c r="DR78" s="408">
        <v>0</v>
      </c>
      <c r="DS78" s="408"/>
      <c r="DT78" s="408"/>
      <c r="DU78" s="408"/>
      <c r="DV78" s="408">
        <v>471.6640510067607</v>
      </c>
      <c r="DW78" s="408">
        <v>0</v>
      </c>
      <c r="DX78" s="408">
        <v>0</v>
      </c>
      <c r="DY78" s="408">
        <v>-315.16462999999999</v>
      </c>
      <c r="DZ78" s="408">
        <v>15.814109999999971</v>
      </c>
      <c r="EA78" s="408">
        <v>0</v>
      </c>
      <c r="EB78" s="408">
        <v>0</v>
      </c>
      <c r="EC78" s="408">
        <v>-316.80479510631022</v>
      </c>
      <c r="ED78" s="408">
        <v>0</v>
      </c>
      <c r="EE78" s="408">
        <v>0</v>
      </c>
      <c r="EF78" s="408">
        <v>0</v>
      </c>
      <c r="EG78" s="408">
        <v>0</v>
      </c>
      <c r="EH78" s="408">
        <v>0</v>
      </c>
      <c r="EI78" s="408">
        <v>0</v>
      </c>
      <c r="EJ78" s="408">
        <v>0</v>
      </c>
      <c r="EK78" s="408">
        <v>0</v>
      </c>
      <c r="EL78" s="408">
        <v>0</v>
      </c>
      <c r="EM78" s="408">
        <v>0</v>
      </c>
      <c r="EN78" s="408">
        <v>0</v>
      </c>
      <c r="EO78" s="408">
        <v>0</v>
      </c>
      <c r="EP78" s="408">
        <v>0</v>
      </c>
      <c r="EQ78" s="408">
        <v>0</v>
      </c>
      <c r="ER78" s="408">
        <v>0</v>
      </c>
      <c r="ES78" s="408">
        <v>0</v>
      </c>
      <c r="ET78" s="408">
        <v>0</v>
      </c>
      <c r="EU78" s="408">
        <v>0</v>
      </c>
      <c r="EV78" s="408">
        <v>257</v>
      </c>
      <c r="EW78" s="408">
        <v>0</v>
      </c>
      <c r="EX78" s="408">
        <v>0</v>
      </c>
      <c r="EY78" s="408">
        <v>0</v>
      </c>
      <c r="EZ78" s="408"/>
      <c r="FA78" s="408">
        <v>0</v>
      </c>
      <c r="FB78" s="408"/>
      <c r="FC78" s="408"/>
      <c r="FD78" s="408"/>
      <c r="FE78" s="408"/>
      <c r="FF78" s="408">
        <v>0</v>
      </c>
      <c r="FG78" s="408">
        <v>0</v>
      </c>
      <c r="FH78" s="408">
        <v>0</v>
      </c>
      <c r="FI78" s="408">
        <v>0</v>
      </c>
    </row>
    <row r="79" spans="1:165" customFormat="1">
      <c r="A79" s="408">
        <v>77</v>
      </c>
      <c r="B79" s="408" t="s">
        <v>1035</v>
      </c>
      <c r="C79" s="408" t="s">
        <v>2233</v>
      </c>
      <c r="D79" s="408" t="s">
        <v>1958</v>
      </c>
      <c r="E79" s="408" t="s">
        <v>969</v>
      </c>
      <c r="F79" s="408" t="s">
        <v>1321</v>
      </c>
      <c r="G79" s="408" t="s">
        <v>1321</v>
      </c>
      <c r="H79" s="408" t="s">
        <v>1321</v>
      </c>
      <c r="I79" s="408" t="s">
        <v>1321</v>
      </c>
      <c r="J79" s="408" t="s">
        <v>2234</v>
      </c>
      <c r="K79" s="828">
        <v>44440</v>
      </c>
      <c r="L79" s="408">
        <v>0</v>
      </c>
      <c r="M79" s="408">
        <v>0</v>
      </c>
      <c r="N79" s="408">
        <v>63.686</v>
      </c>
      <c r="O79" s="408">
        <v>63.686</v>
      </c>
      <c r="P79" s="408">
        <v>63.686</v>
      </c>
      <c r="Q79" s="408">
        <v>63.686</v>
      </c>
      <c r="R79" s="408"/>
      <c r="S79" s="408">
        <v>710.91</v>
      </c>
      <c r="T79" s="408">
        <v>256.55</v>
      </c>
      <c r="U79" s="408"/>
      <c r="V79" s="408">
        <v>61613.65756</v>
      </c>
      <c r="W79" s="408">
        <v>61613.65756</v>
      </c>
      <c r="X79" s="408">
        <v>42060.144979999997</v>
      </c>
      <c r="Y79" s="408">
        <v>0</v>
      </c>
      <c r="Z79" s="408">
        <v>3915.0765595107737</v>
      </c>
      <c r="AA79" s="408">
        <v>0</v>
      </c>
      <c r="AB79" s="408">
        <v>0</v>
      </c>
      <c r="AC79" s="408">
        <v>0</v>
      </c>
      <c r="AD79" s="408">
        <v>7838.6505514175487</v>
      </c>
      <c r="AE79" s="408">
        <v>30372.494188489953</v>
      </c>
      <c r="AF79" s="408">
        <v>16338.803899027465</v>
      </c>
      <c r="AG79" s="408">
        <v>0</v>
      </c>
      <c r="AH79" s="408">
        <v>0</v>
      </c>
      <c r="AI79" s="408">
        <v>0</v>
      </c>
      <c r="AJ79" s="408">
        <v>0</v>
      </c>
      <c r="AK79" s="408">
        <v>0</v>
      </c>
      <c r="AL79" s="408">
        <v>605.28854152780673</v>
      </c>
      <c r="AM79" s="408"/>
      <c r="AN79" s="408">
        <v>139.84201470541771</v>
      </c>
      <c r="AO79" s="408">
        <v>0</v>
      </c>
      <c r="AP79" s="408">
        <v>0</v>
      </c>
      <c r="AQ79" s="408">
        <v>0</v>
      </c>
      <c r="AR79" s="408">
        <v>0</v>
      </c>
      <c r="AS79" s="408">
        <v>0</v>
      </c>
      <c r="AT79" s="408">
        <v>0</v>
      </c>
      <c r="AU79" s="408">
        <v>0</v>
      </c>
      <c r="AV79" s="408">
        <v>0</v>
      </c>
      <c r="AW79" s="408">
        <v>0</v>
      </c>
      <c r="AX79" s="408">
        <v>0</v>
      </c>
      <c r="AY79" s="408">
        <v>0</v>
      </c>
      <c r="AZ79" s="408">
        <v>0</v>
      </c>
      <c r="BA79" s="408"/>
      <c r="BB79" s="408">
        <v>0</v>
      </c>
      <c r="BC79" s="408">
        <v>0</v>
      </c>
      <c r="BD79" s="408">
        <v>94.91254054373637</v>
      </c>
      <c r="BE79" s="408">
        <v>0</v>
      </c>
      <c r="BF79" s="408">
        <v>0</v>
      </c>
      <c r="BG79" s="408">
        <v>2308.8341772757913</v>
      </c>
      <c r="BH79" s="408">
        <v>0</v>
      </c>
      <c r="BI79" s="408">
        <v>66.98</v>
      </c>
      <c r="BJ79" s="408">
        <v>23.6</v>
      </c>
      <c r="BK79" s="408">
        <v>10836.3</v>
      </c>
      <c r="BL79" s="408">
        <v>47</v>
      </c>
      <c r="BM79" s="408"/>
      <c r="BN79" s="408"/>
      <c r="BO79" s="408"/>
      <c r="BP79" s="408"/>
      <c r="BQ79" s="408"/>
      <c r="BR79" s="408"/>
      <c r="BS79" s="408"/>
      <c r="BT79" s="408"/>
      <c r="BU79" s="408"/>
      <c r="BV79" s="408">
        <v>18742.550616846995</v>
      </c>
      <c r="BW79" s="408"/>
      <c r="BX79" s="408"/>
      <c r="BY79" s="408"/>
      <c r="BZ79" s="408"/>
      <c r="CA79" s="408"/>
      <c r="CB79" s="408"/>
      <c r="CC79" s="408"/>
      <c r="CD79" s="408"/>
      <c r="CE79" s="408"/>
      <c r="CF79" s="408"/>
      <c r="CG79" s="408"/>
      <c r="CH79" s="408"/>
      <c r="CI79" s="408">
        <v>42062.786699999997</v>
      </c>
      <c r="CJ79" s="408">
        <v>-19550.900860000009</v>
      </c>
      <c r="CK79" s="408"/>
      <c r="CL79" s="408"/>
      <c r="CM79" s="408"/>
      <c r="CN79" s="408"/>
      <c r="CO79" s="408">
        <v>-20571.851719999999</v>
      </c>
      <c r="CP79" s="408">
        <v>1018.3391400000006</v>
      </c>
      <c r="CQ79" s="408">
        <v>30</v>
      </c>
      <c r="CR79" s="408">
        <v>846.59622100415436</v>
      </c>
      <c r="CS79" s="408">
        <v>0</v>
      </c>
      <c r="CT79" s="408">
        <v>0</v>
      </c>
      <c r="CU79" s="408">
        <v>0</v>
      </c>
      <c r="CV79" s="408">
        <v>0</v>
      </c>
      <c r="CW79" s="408">
        <v>0</v>
      </c>
      <c r="CX79" s="408">
        <v>0</v>
      </c>
      <c r="CY79" s="408">
        <v>0</v>
      </c>
      <c r="CZ79" s="408">
        <v>-35.431193506352429</v>
      </c>
      <c r="DA79" s="408">
        <v>0</v>
      </c>
      <c r="DB79" s="408">
        <v>0</v>
      </c>
      <c r="DC79" s="408">
        <v>1017.8824709391338</v>
      </c>
      <c r="DD79" s="408">
        <v>0</v>
      </c>
      <c r="DE79" s="408">
        <v>0</v>
      </c>
      <c r="DF79" s="408">
        <v>5.9129059806832771</v>
      </c>
      <c r="DG79" s="408">
        <v>143.83683480613354</v>
      </c>
      <c r="DH79" s="408">
        <v>0</v>
      </c>
      <c r="DI79" s="408">
        <v>-243.45454730892197</v>
      </c>
      <c r="DJ79" s="408"/>
      <c r="DK79" s="408">
        <v>0</v>
      </c>
      <c r="DL79" s="408">
        <v>0</v>
      </c>
      <c r="DM79" s="408">
        <v>0</v>
      </c>
      <c r="DN79" s="408">
        <v>0</v>
      </c>
      <c r="DO79" s="408">
        <v>-33.213810989606372</v>
      </c>
      <c r="DP79" s="408">
        <v>-8.936438916918263</v>
      </c>
      <c r="DQ79" s="408">
        <v>0</v>
      </c>
      <c r="DR79" s="408">
        <v>0</v>
      </c>
      <c r="DS79" s="408"/>
      <c r="DT79" s="408"/>
      <c r="DU79" s="408"/>
      <c r="DV79" s="408">
        <v>30372.494188489953</v>
      </c>
      <c r="DW79" s="408">
        <v>0</v>
      </c>
      <c r="DX79" s="408">
        <v>0</v>
      </c>
      <c r="DY79" s="408">
        <v>-20571.851719999999</v>
      </c>
      <c r="DZ79" s="408">
        <v>1018.3391399999982</v>
      </c>
      <c r="EA79" s="408">
        <v>0</v>
      </c>
      <c r="EB79" s="408">
        <v>0</v>
      </c>
      <c r="EC79" s="408">
        <v>-20400.434965763874</v>
      </c>
      <c r="ED79" s="408">
        <v>0</v>
      </c>
      <c r="EE79" s="408">
        <v>0</v>
      </c>
      <c r="EF79" s="408">
        <v>0</v>
      </c>
      <c r="EG79" s="408">
        <v>0</v>
      </c>
      <c r="EH79" s="408">
        <v>0</v>
      </c>
      <c r="EI79" s="408">
        <v>0</v>
      </c>
      <c r="EJ79" s="408">
        <v>0</v>
      </c>
      <c r="EK79" s="408">
        <v>0</v>
      </c>
      <c r="EL79" s="408">
        <v>0</v>
      </c>
      <c r="EM79" s="408">
        <v>0</v>
      </c>
      <c r="EN79" s="408">
        <v>0</v>
      </c>
      <c r="EO79" s="408">
        <v>0</v>
      </c>
      <c r="EP79" s="408">
        <v>0</v>
      </c>
      <c r="EQ79" s="408">
        <v>0</v>
      </c>
      <c r="ER79" s="408">
        <v>0</v>
      </c>
      <c r="ES79" s="408">
        <v>0</v>
      </c>
      <c r="ET79" s="408">
        <v>0</v>
      </c>
      <c r="EU79" s="408">
        <v>0</v>
      </c>
      <c r="EV79" s="408">
        <v>257</v>
      </c>
      <c r="EW79" s="408">
        <v>0</v>
      </c>
      <c r="EX79" s="408">
        <v>0</v>
      </c>
      <c r="EY79" s="408">
        <v>0</v>
      </c>
      <c r="EZ79" s="408"/>
      <c r="FA79" s="408">
        <v>0</v>
      </c>
      <c r="FB79" s="408"/>
      <c r="FC79" s="408"/>
      <c r="FD79" s="408"/>
      <c r="FE79" s="408"/>
      <c r="FF79" s="408">
        <v>0</v>
      </c>
      <c r="FG79" s="408">
        <v>0</v>
      </c>
      <c r="FH79" s="408">
        <v>0</v>
      </c>
      <c r="FI79" s="408">
        <v>0</v>
      </c>
    </row>
    <row r="80" spans="1:165" customFormat="1">
      <c r="A80" s="408">
        <v>78</v>
      </c>
      <c r="B80" s="408" t="s">
        <v>2236</v>
      </c>
      <c r="C80" s="408" t="s">
        <v>2233</v>
      </c>
      <c r="D80" s="408" t="s">
        <v>1958</v>
      </c>
      <c r="E80" s="408" t="s">
        <v>969</v>
      </c>
      <c r="F80" s="408" t="s">
        <v>1321</v>
      </c>
      <c r="G80" s="408" t="s">
        <v>1321</v>
      </c>
      <c r="H80" s="408" t="s">
        <v>1321</v>
      </c>
      <c r="I80" s="408" t="s">
        <v>1321</v>
      </c>
      <c r="J80" s="408" t="s">
        <v>2234</v>
      </c>
      <c r="K80" s="828">
        <v>44440</v>
      </c>
      <c r="L80" s="408">
        <v>0</v>
      </c>
      <c r="M80" s="408">
        <v>0</v>
      </c>
      <c r="N80" s="408">
        <v>4.9619999999999997</v>
      </c>
      <c r="O80" s="408">
        <v>4.9619999999999997</v>
      </c>
      <c r="P80" s="408">
        <v>4.9619999999999997</v>
      </c>
      <c r="Q80" s="408">
        <v>4.9619999999999997</v>
      </c>
      <c r="R80" s="408"/>
      <c r="S80" s="408">
        <v>710.91</v>
      </c>
      <c r="T80" s="408">
        <v>256.55</v>
      </c>
      <c r="U80" s="408"/>
      <c r="V80" s="408">
        <v>4800.5365199999997</v>
      </c>
      <c r="W80" s="408">
        <v>4800.5365199999997</v>
      </c>
      <c r="X80" s="408">
        <v>3277.0536599999996</v>
      </c>
      <c r="Y80" s="408">
        <v>0</v>
      </c>
      <c r="Z80" s="408">
        <v>305.03736909670033</v>
      </c>
      <c r="AA80" s="408">
        <v>0</v>
      </c>
      <c r="AB80" s="408">
        <v>0</v>
      </c>
      <c r="AC80" s="408">
        <v>0</v>
      </c>
      <c r="AD80" s="408">
        <v>610.73680300433182</v>
      </c>
      <c r="AE80" s="408">
        <v>2366.4277260824538</v>
      </c>
      <c r="AF80" s="408">
        <v>1273.013612834442</v>
      </c>
      <c r="AG80" s="408">
        <v>0</v>
      </c>
      <c r="AH80" s="408">
        <v>0</v>
      </c>
      <c r="AI80" s="408">
        <v>0</v>
      </c>
      <c r="AJ80" s="408">
        <v>0</v>
      </c>
      <c r="AK80" s="408">
        <v>0</v>
      </c>
      <c r="AL80" s="408">
        <v>47.160156754404063</v>
      </c>
      <c r="AM80" s="408"/>
      <c r="AN80" s="408">
        <v>10.89558265503066</v>
      </c>
      <c r="AO80" s="408">
        <v>0</v>
      </c>
      <c r="AP80" s="408">
        <v>0</v>
      </c>
      <c r="AQ80" s="408">
        <v>0</v>
      </c>
      <c r="AR80" s="408">
        <v>0</v>
      </c>
      <c r="AS80" s="408">
        <v>0</v>
      </c>
      <c r="AT80" s="408">
        <v>0</v>
      </c>
      <c r="AU80" s="408">
        <v>0</v>
      </c>
      <c r="AV80" s="408">
        <v>0</v>
      </c>
      <c r="AW80" s="408">
        <v>0</v>
      </c>
      <c r="AX80" s="408">
        <v>0</v>
      </c>
      <c r="AY80" s="408">
        <v>0</v>
      </c>
      <c r="AZ80" s="408">
        <v>0</v>
      </c>
      <c r="BA80" s="408"/>
      <c r="BB80" s="408">
        <v>0</v>
      </c>
      <c r="BC80" s="408">
        <v>0</v>
      </c>
      <c r="BD80" s="408">
        <v>7.3949694780331594</v>
      </c>
      <c r="BE80" s="408">
        <v>0</v>
      </c>
      <c r="BF80" s="408">
        <v>0</v>
      </c>
      <c r="BG80" s="408">
        <v>179.88938208778188</v>
      </c>
      <c r="BH80" s="408">
        <v>0</v>
      </c>
      <c r="BI80" s="408">
        <v>6.62</v>
      </c>
      <c r="BJ80" s="408">
        <v>2.33</v>
      </c>
      <c r="BK80" s="408">
        <v>1416.95</v>
      </c>
      <c r="BL80" s="408">
        <v>3</v>
      </c>
      <c r="BM80" s="408"/>
      <c r="BN80" s="408"/>
      <c r="BO80" s="408"/>
      <c r="BP80" s="408"/>
      <c r="BQ80" s="408"/>
      <c r="BR80" s="408"/>
      <c r="BS80" s="408"/>
      <c r="BT80" s="408"/>
      <c r="BU80" s="408"/>
      <c r="BV80" s="408">
        <v>1460.2979644002571</v>
      </c>
      <c r="BW80" s="408"/>
      <c r="BX80" s="408"/>
      <c r="BY80" s="408"/>
      <c r="BZ80" s="408"/>
      <c r="CA80" s="408"/>
      <c r="CB80" s="408"/>
      <c r="CC80" s="408"/>
      <c r="CD80" s="408"/>
      <c r="CE80" s="408"/>
      <c r="CF80" s="408"/>
      <c r="CG80" s="408"/>
      <c r="CH80" s="408"/>
      <c r="CI80" s="408">
        <v>3275.7327999999998</v>
      </c>
      <c r="CJ80" s="408">
        <v>-1524.8337200000005</v>
      </c>
      <c r="CK80" s="408"/>
      <c r="CL80" s="408"/>
      <c r="CM80" s="408"/>
      <c r="CN80" s="408"/>
      <c r="CO80" s="408">
        <v>-1602.8252399999999</v>
      </c>
      <c r="CP80" s="408">
        <v>79.342380000000034</v>
      </c>
      <c r="CQ80" s="408">
        <v>30</v>
      </c>
      <c r="CR80" s="408">
        <v>65.961285818274519</v>
      </c>
      <c r="CS80" s="408">
        <v>0</v>
      </c>
      <c r="CT80" s="408">
        <v>0</v>
      </c>
      <c r="CU80" s="408">
        <v>0</v>
      </c>
      <c r="CV80" s="408">
        <v>0</v>
      </c>
      <c r="CW80" s="408">
        <v>0</v>
      </c>
      <c r="CX80" s="408">
        <v>0</v>
      </c>
      <c r="CY80" s="408">
        <v>0</v>
      </c>
      <c r="CZ80" s="408">
        <v>-2.7605687620281287</v>
      </c>
      <c r="DA80" s="408">
        <v>0</v>
      </c>
      <c r="DB80" s="408">
        <v>0</v>
      </c>
      <c r="DC80" s="408">
        <v>79.306799309110147</v>
      </c>
      <c r="DD80" s="408">
        <v>0</v>
      </c>
      <c r="DE80" s="408">
        <v>0</v>
      </c>
      <c r="DF80" s="408">
        <v>0.46069527802264965</v>
      </c>
      <c r="DG80" s="408">
        <v>11.206833123575564</v>
      </c>
      <c r="DH80" s="408">
        <v>0</v>
      </c>
      <c r="DI80" s="408">
        <v>-18.968399079026312</v>
      </c>
      <c r="DJ80" s="408"/>
      <c r="DK80" s="408">
        <v>0</v>
      </c>
      <c r="DL80" s="408">
        <v>0</v>
      </c>
      <c r="DM80" s="408">
        <v>0</v>
      </c>
      <c r="DN80" s="408">
        <v>0</v>
      </c>
      <c r="DO80" s="408">
        <v>-2.5878047000977844</v>
      </c>
      <c r="DP80" s="408">
        <v>-0.69626935128204792</v>
      </c>
      <c r="DQ80" s="408">
        <v>0</v>
      </c>
      <c r="DR80" s="408">
        <v>0</v>
      </c>
      <c r="DS80" s="408"/>
      <c r="DT80" s="408"/>
      <c r="DU80" s="408"/>
      <c r="DV80" s="408">
        <v>2366.4277260824538</v>
      </c>
      <c r="DW80" s="408">
        <v>0</v>
      </c>
      <c r="DX80" s="408">
        <v>0</v>
      </c>
      <c r="DY80" s="408">
        <v>-1602.8252399999999</v>
      </c>
      <c r="DZ80" s="408">
        <v>79.342380000000048</v>
      </c>
      <c r="EA80" s="408">
        <v>0</v>
      </c>
      <c r="EB80" s="408">
        <v>0</v>
      </c>
      <c r="EC80" s="408">
        <v>-1589.4695584605779</v>
      </c>
      <c r="ED80" s="408">
        <v>0</v>
      </c>
      <c r="EE80" s="408">
        <v>0</v>
      </c>
      <c r="EF80" s="408">
        <v>0</v>
      </c>
      <c r="EG80" s="408">
        <v>0</v>
      </c>
      <c r="EH80" s="408">
        <v>0</v>
      </c>
      <c r="EI80" s="408">
        <v>0</v>
      </c>
      <c r="EJ80" s="408">
        <v>0</v>
      </c>
      <c r="EK80" s="408">
        <v>0</v>
      </c>
      <c r="EL80" s="408">
        <v>0</v>
      </c>
      <c r="EM80" s="408">
        <v>0</v>
      </c>
      <c r="EN80" s="408">
        <v>0</v>
      </c>
      <c r="EO80" s="408">
        <v>0</v>
      </c>
      <c r="EP80" s="408">
        <v>0</v>
      </c>
      <c r="EQ80" s="408">
        <v>0</v>
      </c>
      <c r="ER80" s="408">
        <v>0</v>
      </c>
      <c r="ES80" s="408">
        <v>0</v>
      </c>
      <c r="ET80" s="408">
        <v>0</v>
      </c>
      <c r="EU80" s="408">
        <v>0</v>
      </c>
      <c r="EV80" s="408">
        <v>257</v>
      </c>
      <c r="EW80" s="408">
        <v>0</v>
      </c>
      <c r="EX80" s="408">
        <v>0</v>
      </c>
      <c r="EY80" s="408">
        <v>0</v>
      </c>
      <c r="EZ80" s="408"/>
      <c r="FA80" s="408">
        <v>0</v>
      </c>
      <c r="FB80" s="408"/>
      <c r="FC80" s="408"/>
      <c r="FD80" s="408"/>
      <c r="FE80" s="408"/>
      <c r="FF80" s="408">
        <v>0</v>
      </c>
      <c r="FG80" s="408">
        <v>0</v>
      </c>
      <c r="FH80" s="408">
        <v>0</v>
      </c>
      <c r="FI80" s="408">
        <v>0</v>
      </c>
    </row>
    <row r="81" spans="1:165" customFormat="1">
      <c r="A81" s="408">
        <v>79</v>
      </c>
      <c r="B81" s="408" t="s">
        <v>1035</v>
      </c>
      <c r="C81" s="408" t="s">
        <v>2241</v>
      </c>
      <c r="D81" s="408" t="s">
        <v>596</v>
      </c>
      <c r="E81" s="408" t="s">
        <v>969</v>
      </c>
      <c r="F81" s="408" t="s">
        <v>1321</v>
      </c>
      <c r="G81" s="408" t="s">
        <v>1321</v>
      </c>
      <c r="H81" s="408" t="s">
        <v>1321</v>
      </c>
      <c r="I81" s="408" t="s">
        <v>972</v>
      </c>
      <c r="J81" s="408" t="s">
        <v>2234</v>
      </c>
      <c r="K81" s="828">
        <v>44440</v>
      </c>
      <c r="L81" s="408">
        <v>0</v>
      </c>
      <c r="M81" s="408">
        <v>0</v>
      </c>
      <c r="N81" s="408">
        <v>5.7</v>
      </c>
      <c r="O81" s="408">
        <v>5.7</v>
      </c>
      <c r="P81" s="408">
        <v>5.7</v>
      </c>
      <c r="Q81" s="408">
        <v>5.7</v>
      </c>
      <c r="R81" s="408"/>
      <c r="S81" s="408">
        <v>3130.62</v>
      </c>
      <c r="T81" s="408">
        <v>256.55</v>
      </c>
      <c r="U81" s="408"/>
      <c r="V81" s="408">
        <v>19306.868999999999</v>
      </c>
      <c r="W81" s="408">
        <v>19306.868999999999</v>
      </c>
      <c r="X81" s="408">
        <v>10160.990999999998</v>
      </c>
      <c r="Y81" s="408">
        <v>0</v>
      </c>
      <c r="Z81" s="408">
        <v>304.85294505250647</v>
      </c>
      <c r="AA81" s="408">
        <v>0</v>
      </c>
      <c r="AB81" s="408">
        <v>0</v>
      </c>
      <c r="AC81" s="408">
        <v>0</v>
      </c>
      <c r="AD81" s="408">
        <v>3672.0187014552107</v>
      </c>
      <c r="AE81" s="408">
        <v>13703.647379205964</v>
      </c>
      <c r="AF81" s="408">
        <v>1462.3493738726966</v>
      </c>
      <c r="AG81" s="408">
        <v>0</v>
      </c>
      <c r="AH81" s="408">
        <v>0</v>
      </c>
      <c r="AI81" s="408">
        <v>0</v>
      </c>
      <c r="AJ81" s="408">
        <v>0</v>
      </c>
      <c r="AK81" s="408">
        <v>0</v>
      </c>
      <c r="AL81" s="408">
        <v>54.174303405905512</v>
      </c>
      <c r="AM81" s="408"/>
      <c r="AN81" s="408">
        <v>7.6896134704439607</v>
      </c>
      <c r="AO81" s="408">
        <v>0</v>
      </c>
      <c r="AP81" s="408">
        <v>0</v>
      </c>
      <c r="AQ81" s="408">
        <v>0</v>
      </c>
      <c r="AR81" s="408">
        <v>0</v>
      </c>
      <c r="AS81" s="408">
        <v>0</v>
      </c>
      <c r="AT81" s="408">
        <v>0</v>
      </c>
      <c r="AU81" s="408">
        <v>0</v>
      </c>
      <c r="AV81" s="408">
        <v>0</v>
      </c>
      <c r="AW81" s="408">
        <v>0</v>
      </c>
      <c r="AX81" s="408">
        <v>0</v>
      </c>
      <c r="AY81" s="408">
        <v>0</v>
      </c>
      <c r="AZ81" s="408">
        <v>0</v>
      </c>
      <c r="BA81" s="408"/>
      <c r="BB81" s="408">
        <v>0</v>
      </c>
      <c r="BC81" s="408">
        <v>0</v>
      </c>
      <c r="BD81" s="408">
        <v>7.0225437380755684</v>
      </c>
      <c r="BE81" s="408">
        <v>0</v>
      </c>
      <c r="BF81" s="408">
        <v>0</v>
      </c>
      <c r="BG81" s="408">
        <v>95.128942726293204</v>
      </c>
      <c r="BH81" s="408">
        <v>0</v>
      </c>
      <c r="BI81" s="408">
        <v>0</v>
      </c>
      <c r="BJ81" s="408">
        <v>0</v>
      </c>
      <c r="BK81" s="408">
        <v>0</v>
      </c>
      <c r="BL81" s="408">
        <v>0</v>
      </c>
      <c r="BM81" s="408"/>
      <c r="BN81" s="408"/>
      <c r="BO81" s="408"/>
      <c r="BP81" s="408"/>
      <c r="BQ81" s="408"/>
      <c r="BR81" s="408"/>
      <c r="BS81" s="408"/>
      <c r="BT81" s="408"/>
      <c r="BU81" s="408"/>
      <c r="BV81" s="408">
        <v>1564.5008603370652</v>
      </c>
      <c r="BW81" s="408"/>
      <c r="BX81" s="408"/>
      <c r="BY81" s="408"/>
      <c r="BZ81" s="408"/>
      <c r="CA81" s="408"/>
      <c r="CB81" s="408"/>
      <c r="CC81" s="408"/>
      <c r="CD81" s="408"/>
      <c r="CE81" s="408"/>
      <c r="CF81" s="408"/>
      <c r="CG81" s="408"/>
      <c r="CH81" s="408"/>
      <c r="CI81" s="408">
        <v>10160.990999999998</v>
      </c>
      <c r="CJ81" s="408">
        <v>-9145.9079999999958</v>
      </c>
      <c r="CK81" s="408"/>
      <c r="CL81" s="408"/>
      <c r="CM81" s="408"/>
      <c r="CN81" s="408"/>
      <c r="CO81" s="408">
        <v>-9237.0210000000006</v>
      </c>
      <c r="CP81" s="408">
        <v>91.143000000000058</v>
      </c>
      <c r="CQ81" s="408">
        <v>30</v>
      </c>
      <c r="CR81" s="408">
        <v>58.44723677136426</v>
      </c>
      <c r="CS81" s="408">
        <v>0</v>
      </c>
      <c r="CT81" s="408">
        <v>0</v>
      </c>
      <c r="CU81" s="408">
        <v>0</v>
      </c>
      <c r="CV81" s="408">
        <v>0</v>
      </c>
      <c r="CW81" s="408">
        <v>0</v>
      </c>
      <c r="CX81" s="408">
        <v>0</v>
      </c>
      <c r="CY81" s="408">
        <v>0</v>
      </c>
      <c r="CZ81" s="408">
        <v>-16.597755483141555</v>
      </c>
      <c r="DA81" s="408">
        <v>0</v>
      </c>
      <c r="DB81" s="408">
        <v>0</v>
      </c>
      <c r="DC81" s="408">
        <v>91.102127380477214</v>
      </c>
      <c r="DD81" s="408">
        <v>0</v>
      </c>
      <c r="DE81" s="408">
        <v>0</v>
      </c>
      <c r="DF81" s="408">
        <v>0.43749372454468816</v>
      </c>
      <c r="DG81" s="408">
        <v>5.9263875053810438</v>
      </c>
      <c r="DH81" s="408">
        <v>0</v>
      </c>
      <c r="DI81" s="408">
        <v>-18.956930881276151</v>
      </c>
      <c r="DJ81" s="408"/>
      <c r="DK81" s="408">
        <v>0</v>
      </c>
      <c r="DL81" s="408">
        <v>0</v>
      </c>
      <c r="DM81" s="408">
        <v>0</v>
      </c>
      <c r="DN81" s="408">
        <v>0</v>
      </c>
      <c r="DO81" s="408">
        <v>-2.9726898005959939</v>
      </c>
      <c r="DP81" s="408">
        <v>-0.49139567402610052</v>
      </c>
      <c r="DQ81" s="408">
        <v>0</v>
      </c>
      <c r="DR81" s="408">
        <v>0</v>
      </c>
      <c r="DS81" s="408"/>
      <c r="DT81" s="408"/>
      <c r="DU81" s="408"/>
      <c r="DV81" s="408">
        <v>13703.647379205964</v>
      </c>
      <c r="DW81" s="408">
        <v>0</v>
      </c>
      <c r="DX81" s="408">
        <v>0</v>
      </c>
      <c r="DY81" s="408">
        <v>-9237.0210000000006</v>
      </c>
      <c r="DZ81" s="408">
        <v>91.143000000000029</v>
      </c>
      <c r="EA81" s="408">
        <v>0</v>
      </c>
      <c r="EB81" s="408">
        <v>0</v>
      </c>
      <c r="EC81" s="408">
        <v>-9204.3928107555475</v>
      </c>
      <c r="ED81" s="408">
        <v>0</v>
      </c>
      <c r="EE81" s="408">
        <v>0</v>
      </c>
      <c r="EF81" s="408">
        <v>0</v>
      </c>
      <c r="EG81" s="408">
        <v>0</v>
      </c>
      <c r="EH81" s="408">
        <v>0</v>
      </c>
      <c r="EI81" s="408">
        <v>0</v>
      </c>
      <c r="EJ81" s="408">
        <v>0</v>
      </c>
      <c r="EK81" s="408">
        <v>0</v>
      </c>
      <c r="EL81" s="408">
        <v>0</v>
      </c>
      <c r="EM81" s="408">
        <v>0</v>
      </c>
      <c r="EN81" s="408">
        <v>0</v>
      </c>
      <c r="EO81" s="408">
        <v>0</v>
      </c>
      <c r="EP81" s="408">
        <v>0</v>
      </c>
      <c r="EQ81" s="408">
        <v>0</v>
      </c>
      <c r="ER81" s="408">
        <v>0</v>
      </c>
      <c r="ES81" s="408">
        <v>0</v>
      </c>
      <c r="ET81" s="408">
        <v>0</v>
      </c>
      <c r="EU81" s="408">
        <v>0</v>
      </c>
      <c r="EV81" s="408">
        <v>257</v>
      </c>
      <c r="EW81" s="408">
        <v>0</v>
      </c>
      <c r="EX81" s="408">
        <v>0</v>
      </c>
      <c r="EY81" s="408">
        <v>0</v>
      </c>
      <c r="EZ81" s="408"/>
      <c r="FA81" s="408">
        <v>0</v>
      </c>
      <c r="FB81" s="408"/>
      <c r="FC81" s="408"/>
      <c r="FD81" s="408"/>
      <c r="FE81" s="408"/>
      <c r="FF81" s="408">
        <v>0</v>
      </c>
      <c r="FG81" s="408">
        <v>0</v>
      </c>
      <c r="FH81" s="408">
        <v>0</v>
      </c>
      <c r="FI81" s="408">
        <v>0</v>
      </c>
    </row>
    <row r="82" spans="1:165" customFormat="1">
      <c r="A82" s="408">
        <v>80</v>
      </c>
      <c r="B82" s="408" t="s">
        <v>2236</v>
      </c>
      <c r="C82" s="408" t="s">
        <v>2241</v>
      </c>
      <c r="D82" s="408" t="s">
        <v>596</v>
      </c>
      <c r="E82" s="408" t="s">
        <v>969</v>
      </c>
      <c r="F82" s="408" t="s">
        <v>1321</v>
      </c>
      <c r="G82" s="408" t="s">
        <v>1321</v>
      </c>
      <c r="H82" s="408" t="s">
        <v>1321</v>
      </c>
      <c r="I82" s="408" t="s">
        <v>972</v>
      </c>
      <c r="J82" s="408" t="s">
        <v>2234</v>
      </c>
      <c r="K82" s="828">
        <v>44440</v>
      </c>
      <c r="L82" s="408">
        <v>0</v>
      </c>
      <c r="M82" s="408">
        <v>0</v>
      </c>
      <c r="N82" s="408">
        <v>0.156</v>
      </c>
      <c r="O82" s="408">
        <v>0.156</v>
      </c>
      <c r="P82" s="408">
        <v>0.156</v>
      </c>
      <c r="Q82" s="408">
        <v>0.156</v>
      </c>
      <c r="R82" s="408"/>
      <c r="S82" s="408">
        <v>3130.62</v>
      </c>
      <c r="T82" s="408">
        <v>256.55</v>
      </c>
      <c r="U82" s="408"/>
      <c r="V82" s="408">
        <v>528.39851999999996</v>
      </c>
      <c r="W82" s="408">
        <v>528.39851999999996</v>
      </c>
      <c r="X82" s="408">
        <v>278.09028000000001</v>
      </c>
      <c r="Y82" s="408">
        <v>0</v>
      </c>
      <c r="Z82" s="408">
        <v>8.3433437593317556</v>
      </c>
      <c r="AA82" s="408">
        <v>0</v>
      </c>
      <c r="AB82" s="408">
        <v>0</v>
      </c>
      <c r="AC82" s="408">
        <v>0</v>
      </c>
      <c r="AD82" s="408">
        <v>100.49735393456366</v>
      </c>
      <c r="AE82" s="408">
        <v>375.04719143090006</v>
      </c>
      <c r="AF82" s="408">
        <v>40.022193390200115</v>
      </c>
      <c r="AG82" s="408">
        <v>0</v>
      </c>
      <c r="AH82" s="408">
        <v>0</v>
      </c>
      <c r="AI82" s="408">
        <v>0</v>
      </c>
      <c r="AJ82" s="408">
        <v>0</v>
      </c>
      <c r="AK82" s="408">
        <v>0</v>
      </c>
      <c r="AL82" s="408">
        <v>1.4826651458458351</v>
      </c>
      <c r="AM82" s="408"/>
      <c r="AN82" s="408">
        <v>0.21045257919109786</v>
      </c>
      <c r="AO82" s="408">
        <v>0</v>
      </c>
      <c r="AP82" s="408">
        <v>0</v>
      </c>
      <c r="AQ82" s="408">
        <v>0</v>
      </c>
      <c r="AR82" s="408">
        <v>0</v>
      </c>
      <c r="AS82" s="408">
        <v>0</v>
      </c>
      <c r="AT82" s="408">
        <v>0</v>
      </c>
      <c r="AU82" s="408">
        <v>0</v>
      </c>
      <c r="AV82" s="408">
        <v>0</v>
      </c>
      <c r="AW82" s="408">
        <v>0</v>
      </c>
      <c r="AX82" s="408">
        <v>0</v>
      </c>
      <c r="AY82" s="408">
        <v>0</v>
      </c>
      <c r="AZ82" s="408">
        <v>0</v>
      </c>
      <c r="BA82" s="408"/>
      <c r="BB82" s="408">
        <v>0</v>
      </c>
      <c r="BC82" s="408">
        <v>0</v>
      </c>
      <c r="BD82" s="408">
        <v>0.19219593388417344</v>
      </c>
      <c r="BE82" s="408">
        <v>0</v>
      </c>
      <c r="BF82" s="408">
        <v>0</v>
      </c>
      <c r="BG82" s="408">
        <v>2.6035289588248669</v>
      </c>
      <c r="BH82" s="408">
        <v>0</v>
      </c>
      <c r="BI82" s="408">
        <v>0</v>
      </c>
      <c r="BJ82" s="408">
        <v>0</v>
      </c>
      <c r="BK82" s="408">
        <v>0</v>
      </c>
      <c r="BL82" s="408">
        <v>0</v>
      </c>
      <c r="BM82" s="408"/>
      <c r="BN82" s="408"/>
      <c r="BO82" s="408"/>
      <c r="BP82" s="408"/>
      <c r="BQ82" s="408"/>
      <c r="BR82" s="408"/>
      <c r="BS82" s="408"/>
      <c r="BT82" s="408"/>
      <c r="BU82" s="408"/>
      <c r="BV82" s="408">
        <v>42.817918282909154</v>
      </c>
      <c r="BW82" s="408"/>
      <c r="BX82" s="408"/>
      <c r="BY82" s="408"/>
      <c r="BZ82" s="408"/>
      <c r="CA82" s="408"/>
      <c r="CB82" s="408"/>
      <c r="CC82" s="408"/>
      <c r="CD82" s="408"/>
      <c r="CE82" s="408"/>
      <c r="CF82" s="408"/>
      <c r="CG82" s="408"/>
      <c r="CH82" s="408"/>
      <c r="CI82" s="408">
        <v>285.2208</v>
      </c>
      <c r="CJ82" s="408">
        <v>-243.20771999999994</v>
      </c>
      <c r="CK82" s="408"/>
      <c r="CL82" s="408"/>
      <c r="CM82" s="408"/>
      <c r="CN82" s="408"/>
      <c r="CO82" s="408">
        <v>-252.80268000000001</v>
      </c>
      <c r="CP82" s="408">
        <v>2.4944400000000013</v>
      </c>
      <c r="CQ82" s="408">
        <v>30</v>
      </c>
      <c r="CR82" s="408">
        <v>1.599608585321505</v>
      </c>
      <c r="CS82" s="408">
        <v>0</v>
      </c>
      <c r="CT82" s="408">
        <v>0</v>
      </c>
      <c r="CU82" s="408">
        <v>0</v>
      </c>
      <c r="CV82" s="408">
        <v>0</v>
      </c>
      <c r="CW82" s="408">
        <v>0</v>
      </c>
      <c r="CX82" s="408">
        <v>0</v>
      </c>
      <c r="CY82" s="408">
        <v>0</v>
      </c>
      <c r="CZ82" s="408">
        <v>-0.45425436059124991</v>
      </c>
      <c r="DA82" s="408">
        <v>0</v>
      </c>
      <c r="DB82" s="408">
        <v>0</v>
      </c>
      <c r="DC82" s="408">
        <v>2.4933213809393777</v>
      </c>
      <c r="DD82" s="408">
        <v>0</v>
      </c>
      <c r="DE82" s="408">
        <v>0</v>
      </c>
      <c r="DF82" s="408">
        <v>1.1973512461223051E-2</v>
      </c>
      <c r="DG82" s="408">
        <v>0.16219586856832269</v>
      </c>
      <c r="DH82" s="408">
        <v>0</v>
      </c>
      <c r="DI82" s="408">
        <v>-0.51882126622439895</v>
      </c>
      <c r="DJ82" s="408"/>
      <c r="DK82" s="408">
        <v>0</v>
      </c>
      <c r="DL82" s="408">
        <v>0</v>
      </c>
      <c r="DM82" s="408">
        <v>0</v>
      </c>
      <c r="DN82" s="408">
        <v>0</v>
      </c>
      <c r="DO82" s="408">
        <v>-8.1357826121574606E-2</v>
      </c>
      <c r="DP82" s="408">
        <v>-1.3448723710187988E-2</v>
      </c>
      <c r="DQ82" s="408">
        <v>0</v>
      </c>
      <c r="DR82" s="408">
        <v>0</v>
      </c>
      <c r="DS82" s="408"/>
      <c r="DT82" s="408"/>
      <c r="DU82" s="408"/>
      <c r="DV82" s="408">
        <v>375.04719143090006</v>
      </c>
      <c r="DW82" s="408">
        <v>0</v>
      </c>
      <c r="DX82" s="408">
        <v>0</v>
      </c>
      <c r="DY82" s="408">
        <v>-252.80267999999998</v>
      </c>
      <c r="DZ82" s="408">
        <v>2.4944400000000044</v>
      </c>
      <c r="EA82" s="408">
        <v>0</v>
      </c>
      <c r="EB82" s="408">
        <v>0</v>
      </c>
      <c r="EC82" s="408">
        <v>-251.90969797857289</v>
      </c>
      <c r="ED82" s="408">
        <v>0</v>
      </c>
      <c r="EE82" s="408">
        <v>0</v>
      </c>
      <c r="EF82" s="408">
        <v>0</v>
      </c>
      <c r="EG82" s="408">
        <v>0</v>
      </c>
      <c r="EH82" s="408">
        <v>0</v>
      </c>
      <c r="EI82" s="408">
        <v>0</v>
      </c>
      <c r="EJ82" s="408">
        <v>0</v>
      </c>
      <c r="EK82" s="408">
        <v>0</v>
      </c>
      <c r="EL82" s="408">
        <v>0</v>
      </c>
      <c r="EM82" s="408">
        <v>0</v>
      </c>
      <c r="EN82" s="408">
        <v>0</v>
      </c>
      <c r="EO82" s="408">
        <v>0</v>
      </c>
      <c r="EP82" s="408">
        <v>0</v>
      </c>
      <c r="EQ82" s="408">
        <v>0</v>
      </c>
      <c r="ER82" s="408">
        <v>0</v>
      </c>
      <c r="ES82" s="408">
        <v>0</v>
      </c>
      <c r="ET82" s="408">
        <v>0</v>
      </c>
      <c r="EU82" s="408">
        <v>0</v>
      </c>
      <c r="EV82" s="408">
        <v>257</v>
      </c>
      <c r="EW82" s="408">
        <v>0</v>
      </c>
      <c r="EX82" s="408">
        <v>0</v>
      </c>
      <c r="EY82" s="408">
        <v>0</v>
      </c>
      <c r="EZ82" s="408"/>
      <c r="FA82" s="408">
        <v>0</v>
      </c>
      <c r="FB82" s="408"/>
      <c r="FC82" s="408"/>
      <c r="FD82" s="408"/>
      <c r="FE82" s="408"/>
      <c r="FF82" s="408">
        <v>0</v>
      </c>
      <c r="FG82" s="408">
        <v>0</v>
      </c>
      <c r="FH82" s="408">
        <v>0</v>
      </c>
      <c r="FI82" s="408">
        <v>0</v>
      </c>
    </row>
    <row r="83" spans="1:165" s="861" customFormat="1">
      <c r="A83" s="408">
        <v>81</v>
      </c>
      <c r="B83" s="408" t="s">
        <v>1035</v>
      </c>
      <c r="C83" s="408" t="s">
        <v>2241</v>
      </c>
      <c r="D83" s="408" t="s">
        <v>596</v>
      </c>
      <c r="E83" s="408" t="s">
        <v>969</v>
      </c>
      <c r="F83" s="408" t="s">
        <v>1321</v>
      </c>
      <c r="G83" s="408" t="s">
        <v>1321</v>
      </c>
      <c r="H83" s="408" t="s">
        <v>1321</v>
      </c>
      <c r="I83" s="408" t="s">
        <v>2242</v>
      </c>
      <c r="J83" s="408" t="s">
        <v>2234</v>
      </c>
      <c r="K83" s="828">
        <v>44440</v>
      </c>
      <c r="L83" s="408">
        <v>0</v>
      </c>
      <c r="M83" s="408">
        <v>0</v>
      </c>
      <c r="N83" s="408">
        <v>182.98599999999999</v>
      </c>
      <c r="O83" s="408">
        <v>182.98599999999999</v>
      </c>
      <c r="P83" s="408">
        <v>182.98599999999999</v>
      </c>
      <c r="Q83" s="408">
        <v>182.98599999999999</v>
      </c>
      <c r="R83" s="408"/>
      <c r="S83" s="408">
        <v>82.26</v>
      </c>
      <c r="T83" s="408">
        <v>256.55</v>
      </c>
      <c r="U83" s="408"/>
      <c r="V83" s="408">
        <v>61997.486659999995</v>
      </c>
      <c r="W83" s="408">
        <v>61997.486659999995</v>
      </c>
      <c r="X83" s="408">
        <v>64407.412280000004</v>
      </c>
      <c r="Y83" s="408">
        <v>0</v>
      </c>
      <c r="Z83" s="408">
        <v>9786.6352637505152</v>
      </c>
      <c r="AA83" s="408">
        <v>0</v>
      </c>
      <c r="AB83" s="408">
        <v>0</v>
      </c>
      <c r="AC83" s="408">
        <v>0</v>
      </c>
      <c r="AD83" s="408">
        <v>0</v>
      </c>
      <c r="AE83" s="408">
        <v>0</v>
      </c>
      <c r="AF83" s="408">
        <v>46945.519741661265</v>
      </c>
      <c r="AG83" s="408">
        <v>0</v>
      </c>
      <c r="AH83" s="408">
        <v>0</v>
      </c>
      <c r="AI83" s="408">
        <v>0</v>
      </c>
      <c r="AJ83" s="408">
        <v>0</v>
      </c>
      <c r="AK83" s="408">
        <v>0</v>
      </c>
      <c r="AL83" s="408">
        <v>1739.1472075496536</v>
      </c>
      <c r="AM83" s="408"/>
      <c r="AN83" s="408">
        <v>246.85817728116814</v>
      </c>
      <c r="AO83" s="408">
        <v>0</v>
      </c>
      <c r="AP83" s="408">
        <v>0</v>
      </c>
      <c r="AQ83" s="408">
        <v>0</v>
      </c>
      <c r="AR83" s="408">
        <v>0</v>
      </c>
      <c r="AS83" s="408">
        <v>0</v>
      </c>
      <c r="AT83" s="408">
        <v>0</v>
      </c>
      <c r="AU83" s="408">
        <v>0</v>
      </c>
      <c r="AV83" s="408">
        <v>0</v>
      </c>
      <c r="AW83" s="408">
        <v>0</v>
      </c>
      <c r="AX83" s="408">
        <v>0</v>
      </c>
      <c r="AY83" s="408">
        <v>0</v>
      </c>
      <c r="AZ83" s="408">
        <v>0</v>
      </c>
      <c r="BA83" s="408"/>
      <c r="BB83" s="408">
        <v>0</v>
      </c>
      <c r="BC83" s="408">
        <v>0</v>
      </c>
      <c r="BD83" s="408">
        <v>225.44336639570102</v>
      </c>
      <c r="BE83" s="408">
        <v>0</v>
      </c>
      <c r="BF83" s="408">
        <v>0</v>
      </c>
      <c r="BG83" s="408">
        <v>3053.9060901251733</v>
      </c>
      <c r="BH83" s="408">
        <v>0</v>
      </c>
      <c r="BI83" s="408">
        <v>0</v>
      </c>
      <c r="BJ83" s="408">
        <v>0</v>
      </c>
      <c r="BK83" s="408">
        <v>0</v>
      </c>
      <c r="BL83" s="408">
        <v>0</v>
      </c>
      <c r="BM83" s="408"/>
      <c r="BN83" s="408"/>
      <c r="BO83" s="408"/>
      <c r="BP83" s="408"/>
      <c r="BQ83" s="408"/>
      <c r="BR83" s="408"/>
      <c r="BS83" s="408"/>
      <c r="BT83" s="408"/>
      <c r="BU83" s="408"/>
      <c r="BV83" s="408">
        <v>50224.869198182139</v>
      </c>
      <c r="BW83" s="408"/>
      <c r="BX83" s="408"/>
      <c r="BY83" s="408"/>
      <c r="BZ83" s="408"/>
      <c r="CA83" s="408"/>
      <c r="CB83" s="408"/>
      <c r="CC83" s="408"/>
      <c r="CD83" s="408"/>
      <c r="CE83" s="408"/>
      <c r="CF83" s="408"/>
      <c r="CG83" s="408"/>
      <c r="CH83" s="408"/>
      <c r="CI83" s="408">
        <v>64408.820200000002</v>
      </c>
      <c r="CJ83" s="408">
        <v>2411.3035400000008</v>
      </c>
      <c r="CK83" s="408"/>
      <c r="CL83" s="408"/>
      <c r="CM83" s="408"/>
      <c r="CN83" s="408"/>
      <c r="CO83" s="408">
        <v>-516.02052000000128</v>
      </c>
      <c r="CP83" s="408">
        <v>2925.9461400000014</v>
      </c>
      <c r="CQ83" s="408">
        <v>30</v>
      </c>
      <c r="CR83" s="408">
        <v>2409.1549039794336</v>
      </c>
      <c r="CS83" s="408">
        <v>0</v>
      </c>
      <c r="CT83" s="408">
        <v>0</v>
      </c>
      <c r="CU83" s="408">
        <v>0</v>
      </c>
      <c r="CV83" s="408">
        <v>0</v>
      </c>
      <c r="CW83" s="408">
        <v>0</v>
      </c>
      <c r="CX83" s="408">
        <v>0</v>
      </c>
      <c r="CY83" s="408">
        <v>0</v>
      </c>
      <c r="CZ83" s="408">
        <v>0</v>
      </c>
      <c r="DA83" s="408">
        <v>0</v>
      </c>
      <c r="DB83" s="408">
        <v>0</v>
      </c>
      <c r="DC83" s="408">
        <v>2924.6340141831606</v>
      </c>
      <c r="DD83" s="408">
        <v>0</v>
      </c>
      <c r="DE83" s="408">
        <v>0</v>
      </c>
      <c r="DF83" s="408">
        <v>14.044776610444615</v>
      </c>
      <c r="DG83" s="408">
        <v>190.2536743964306</v>
      </c>
      <c r="DH83" s="408">
        <v>0</v>
      </c>
      <c r="DI83" s="408">
        <v>-608.57069372652404</v>
      </c>
      <c r="DJ83" s="408"/>
      <c r="DK83" s="408">
        <v>0</v>
      </c>
      <c r="DL83" s="408">
        <v>0</v>
      </c>
      <c r="DM83" s="408">
        <v>0</v>
      </c>
      <c r="DN83" s="408">
        <v>0</v>
      </c>
      <c r="DO83" s="408">
        <v>-95.431686991554216</v>
      </c>
      <c r="DP83" s="408">
        <v>-15.775180492515773</v>
      </c>
      <c r="DQ83" s="408">
        <v>0</v>
      </c>
      <c r="DR83" s="408">
        <v>0</v>
      </c>
      <c r="DS83" s="408"/>
      <c r="DT83" s="408"/>
      <c r="DU83" s="408"/>
      <c r="DV83" s="408">
        <v>0</v>
      </c>
      <c r="DW83" s="408">
        <v>0</v>
      </c>
      <c r="DX83" s="408">
        <v>0</v>
      </c>
      <c r="DY83" s="408">
        <v>-516.02052000000185</v>
      </c>
      <c r="DZ83" s="408">
        <v>2925.9461400000073</v>
      </c>
      <c r="EA83" s="408">
        <v>0</v>
      </c>
      <c r="EB83" s="408">
        <v>0</v>
      </c>
      <c r="EC83" s="408">
        <v>0</v>
      </c>
      <c r="ED83" s="408">
        <v>0</v>
      </c>
      <c r="EE83" s="408">
        <v>0</v>
      </c>
      <c r="EF83" s="408">
        <v>0</v>
      </c>
      <c r="EG83" s="408">
        <v>0</v>
      </c>
      <c r="EH83" s="408">
        <v>0</v>
      </c>
      <c r="EI83" s="408">
        <v>0</v>
      </c>
      <c r="EJ83" s="408">
        <v>0</v>
      </c>
      <c r="EK83" s="408">
        <v>0</v>
      </c>
      <c r="EL83" s="408">
        <v>0</v>
      </c>
      <c r="EM83" s="408">
        <v>0</v>
      </c>
      <c r="EN83" s="408">
        <v>0</v>
      </c>
      <c r="EO83" s="408">
        <v>0</v>
      </c>
      <c r="EP83" s="408">
        <v>0</v>
      </c>
      <c r="EQ83" s="408">
        <v>0</v>
      </c>
      <c r="ER83" s="408">
        <v>0</v>
      </c>
      <c r="ES83" s="408">
        <v>0</v>
      </c>
      <c r="ET83" s="408">
        <v>0</v>
      </c>
      <c r="EU83" s="408">
        <v>0</v>
      </c>
      <c r="EV83" s="408">
        <v>257</v>
      </c>
      <c r="EW83" s="408">
        <v>0</v>
      </c>
      <c r="EX83" s="408">
        <v>0</v>
      </c>
      <c r="EY83" s="408">
        <v>0</v>
      </c>
      <c r="EZ83" s="408"/>
      <c r="FA83" s="408">
        <v>0</v>
      </c>
      <c r="FB83" s="408"/>
      <c r="FC83" s="408"/>
      <c r="FD83" s="408"/>
      <c r="FE83" s="408"/>
      <c r="FF83" s="408">
        <v>0</v>
      </c>
      <c r="FG83" s="408">
        <v>0</v>
      </c>
      <c r="FH83" s="408">
        <v>0</v>
      </c>
      <c r="FI83" s="408">
        <v>0</v>
      </c>
    </row>
    <row r="84" spans="1:165" s="861" customFormat="1">
      <c r="A84" s="408">
        <v>82</v>
      </c>
      <c r="B84" s="408" t="s">
        <v>2236</v>
      </c>
      <c r="C84" s="408" t="s">
        <v>2241</v>
      </c>
      <c r="D84" s="408" t="s">
        <v>596</v>
      </c>
      <c r="E84" s="408" t="s">
        <v>969</v>
      </c>
      <c r="F84" s="408" t="s">
        <v>1321</v>
      </c>
      <c r="G84" s="408" t="s">
        <v>1321</v>
      </c>
      <c r="H84" s="408" t="s">
        <v>1321</v>
      </c>
      <c r="I84" s="408" t="s">
        <v>2242</v>
      </c>
      <c r="J84" s="408" t="s">
        <v>2234</v>
      </c>
      <c r="K84" s="828">
        <v>44440</v>
      </c>
      <c r="L84" s="408">
        <v>0</v>
      </c>
      <c r="M84" s="408">
        <v>0</v>
      </c>
      <c r="N84" s="408">
        <v>11.323</v>
      </c>
      <c r="O84" s="408">
        <v>11.323</v>
      </c>
      <c r="P84" s="408">
        <v>11.323</v>
      </c>
      <c r="Q84" s="408">
        <v>11.323</v>
      </c>
      <c r="R84" s="408"/>
      <c r="S84" s="408">
        <v>82.26</v>
      </c>
      <c r="T84" s="408">
        <v>256.55</v>
      </c>
      <c r="U84" s="408"/>
      <c r="V84" s="408">
        <v>3836.3456300000007</v>
      </c>
      <c r="W84" s="408">
        <v>3836.3456300000007</v>
      </c>
      <c r="X84" s="408">
        <v>3985.4695400000005</v>
      </c>
      <c r="Y84" s="408">
        <v>0</v>
      </c>
      <c r="Z84" s="408">
        <v>605.58770119816324</v>
      </c>
      <c r="AA84" s="408">
        <v>0</v>
      </c>
      <c r="AB84" s="408">
        <v>0</v>
      </c>
      <c r="AC84" s="408">
        <v>0</v>
      </c>
      <c r="AD84" s="408">
        <v>0</v>
      </c>
      <c r="AE84" s="408">
        <v>0</v>
      </c>
      <c r="AF84" s="408">
        <v>2904.9442035720249</v>
      </c>
      <c r="AG84" s="408">
        <v>0</v>
      </c>
      <c r="AH84" s="408">
        <v>0</v>
      </c>
      <c r="AI84" s="408">
        <v>0</v>
      </c>
      <c r="AJ84" s="408">
        <v>0</v>
      </c>
      <c r="AK84" s="408">
        <v>0</v>
      </c>
      <c r="AL84" s="408">
        <v>107.61677850264354</v>
      </c>
      <c r="AM84" s="408"/>
      <c r="AN84" s="408">
        <v>15.275349706287187</v>
      </c>
      <c r="AO84" s="408">
        <v>0</v>
      </c>
      <c r="AP84" s="408">
        <v>0</v>
      </c>
      <c r="AQ84" s="408">
        <v>0</v>
      </c>
      <c r="AR84" s="408">
        <v>0</v>
      </c>
      <c r="AS84" s="408">
        <v>0</v>
      </c>
      <c r="AT84" s="408">
        <v>0</v>
      </c>
      <c r="AU84" s="408">
        <v>0</v>
      </c>
      <c r="AV84" s="408">
        <v>0</v>
      </c>
      <c r="AW84" s="408">
        <v>0</v>
      </c>
      <c r="AX84" s="408">
        <v>0</v>
      </c>
      <c r="AY84" s="408">
        <v>0</v>
      </c>
      <c r="AZ84" s="408">
        <v>0</v>
      </c>
      <c r="BA84" s="408"/>
      <c r="BB84" s="408">
        <v>0</v>
      </c>
      <c r="BC84" s="408">
        <v>0</v>
      </c>
      <c r="BD84" s="408">
        <v>13.950221534426257</v>
      </c>
      <c r="BE84" s="408">
        <v>0</v>
      </c>
      <c r="BF84" s="408">
        <v>0</v>
      </c>
      <c r="BG84" s="408">
        <v>188.97281026137159</v>
      </c>
      <c r="BH84" s="408">
        <v>0</v>
      </c>
      <c r="BI84" s="408">
        <v>0</v>
      </c>
      <c r="BJ84" s="408">
        <v>0</v>
      </c>
      <c r="BK84" s="408">
        <v>0</v>
      </c>
      <c r="BL84" s="408">
        <v>0</v>
      </c>
      <c r="BM84" s="408"/>
      <c r="BN84" s="408"/>
      <c r="BO84" s="408"/>
      <c r="BP84" s="408"/>
      <c r="BQ84" s="408"/>
      <c r="BR84" s="408"/>
      <c r="BS84" s="408"/>
      <c r="BT84" s="408"/>
      <c r="BU84" s="408"/>
      <c r="BV84" s="408">
        <v>3107.867235367823</v>
      </c>
      <c r="BW84" s="408"/>
      <c r="BX84" s="408"/>
      <c r="BY84" s="408"/>
      <c r="BZ84" s="408"/>
      <c r="CA84" s="408"/>
      <c r="CB84" s="408"/>
      <c r="CC84" s="408"/>
      <c r="CD84" s="408"/>
      <c r="CE84" s="408"/>
      <c r="CF84" s="408"/>
      <c r="CG84" s="408"/>
      <c r="CH84" s="408"/>
      <c r="CI84" s="408">
        <v>3984.4136000000003</v>
      </c>
      <c r="CJ84" s="408">
        <v>148.03796999999986</v>
      </c>
      <c r="CK84" s="408"/>
      <c r="CL84" s="408"/>
      <c r="CM84" s="408"/>
      <c r="CN84" s="408"/>
      <c r="CO84" s="408">
        <v>-31.930860000000084</v>
      </c>
      <c r="CP84" s="408">
        <v>181.0547700000001</v>
      </c>
      <c r="CQ84" s="408">
        <v>30</v>
      </c>
      <c r="CR84" s="408">
        <v>149.07621882416788</v>
      </c>
      <c r="CS84" s="408">
        <v>0</v>
      </c>
      <c r="CT84" s="408">
        <v>0</v>
      </c>
      <c r="CU84" s="408">
        <v>0</v>
      </c>
      <c r="CV84" s="408">
        <v>0</v>
      </c>
      <c r="CW84" s="408">
        <v>0</v>
      </c>
      <c r="CX84" s="408">
        <v>0</v>
      </c>
      <c r="CY84" s="408">
        <v>0</v>
      </c>
      <c r="CZ84" s="408">
        <v>0</v>
      </c>
      <c r="DA84" s="408">
        <v>0</v>
      </c>
      <c r="DB84" s="408">
        <v>0</v>
      </c>
      <c r="DC84" s="408">
        <v>180.97357689984983</v>
      </c>
      <c r="DD84" s="408">
        <v>0</v>
      </c>
      <c r="DE84" s="408">
        <v>0</v>
      </c>
      <c r="DF84" s="408">
        <v>0.86907744614377158</v>
      </c>
      <c r="DG84" s="408">
        <v>11.772716793584095</v>
      </c>
      <c r="DH84" s="408">
        <v>0</v>
      </c>
      <c r="DI84" s="408">
        <v>-37.657776906787603</v>
      </c>
      <c r="DJ84" s="408"/>
      <c r="DK84" s="408">
        <v>0</v>
      </c>
      <c r="DL84" s="408">
        <v>0</v>
      </c>
      <c r="DM84" s="408">
        <v>0</v>
      </c>
      <c r="DN84" s="408">
        <v>0</v>
      </c>
      <c r="DO84" s="408">
        <v>-5.9052222126576339</v>
      </c>
      <c r="DP84" s="408">
        <v>-0.97615319596447847</v>
      </c>
      <c r="DQ84" s="408">
        <v>0</v>
      </c>
      <c r="DR84" s="408">
        <v>0</v>
      </c>
      <c r="DS84" s="408"/>
      <c r="DT84" s="408"/>
      <c r="DU84" s="408"/>
      <c r="DV84" s="408">
        <v>0</v>
      </c>
      <c r="DW84" s="408">
        <v>0</v>
      </c>
      <c r="DX84" s="408">
        <v>0</v>
      </c>
      <c r="DY84" s="408">
        <v>-31.930860000000052</v>
      </c>
      <c r="DZ84" s="408">
        <v>181.05477000000019</v>
      </c>
      <c r="EA84" s="408">
        <v>0</v>
      </c>
      <c r="EB84" s="408">
        <v>0</v>
      </c>
      <c r="EC84" s="408">
        <v>0</v>
      </c>
      <c r="ED84" s="408">
        <v>0</v>
      </c>
      <c r="EE84" s="408">
        <v>0</v>
      </c>
      <c r="EF84" s="408">
        <v>0</v>
      </c>
      <c r="EG84" s="408">
        <v>0</v>
      </c>
      <c r="EH84" s="408">
        <v>0</v>
      </c>
      <c r="EI84" s="408">
        <v>0</v>
      </c>
      <c r="EJ84" s="408">
        <v>0</v>
      </c>
      <c r="EK84" s="408">
        <v>0</v>
      </c>
      <c r="EL84" s="408">
        <v>0</v>
      </c>
      <c r="EM84" s="408">
        <v>0</v>
      </c>
      <c r="EN84" s="408">
        <v>0</v>
      </c>
      <c r="EO84" s="408">
        <v>0</v>
      </c>
      <c r="EP84" s="408">
        <v>0</v>
      </c>
      <c r="EQ84" s="408">
        <v>0</v>
      </c>
      <c r="ER84" s="408">
        <v>0</v>
      </c>
      <c r="ES84" s="408">
        <v>0</v>
      </c>
      <c r="ET84" s="408">
        <v>0</v>
      </c>
      <c r="EU84" s="408">
        <v>0</v>
      </c>
      <c r="EV84" s="408">
        <v>257</v>
      </c>
      <c r="EW84" s="408">
        <v>0</v>
      </c>
      <c r="EX84" s="408">
        <v>0</v>
      </c>
      <c r="EY84" s="408">
        <v>0</v>
      </c>
      <c r="EZ84" s="408"/>
      <c r="FA84" s="408">
        <v>0</v>
      </c>
      <c r="FB84" s="408"/>
      <c r="FC84" s="408"/>
      <c r="FD84" s="408"/>
      <c r="FE84" s="408"/>
      <c r="FF84" s="408">
        <v>0</v>
      </c>
      <c r="FG84" s="408">
        <v>0</v>
      </c>
      <c r="FH84" s="408">
        <v>0</v>
      </c>
      <c r="FI84" s="408">
        <v>0</v>
      </c>
    </row>
    <row r="85" spans="1:165" s="861" customFormat="1">
      <c r="A85" s="408">
        <v>83</v>
      </c>
      <c r="B85" s="408" t="s">
        <v>1035</v>
      </c>
      <c r="C85" s="408" t="s">
        <v>2241</v>
      </c>
      <c r="D85" s="408" t="s">
        <v>596</v>
      </c>
      <c r="E85" s="408" t="s">
        <v>969</v>
      </c>
      <c r="F85" s="408" t="s">
        <v>1321</v>
      </c>
      <c r="G85" s="408" t="s">
        <v>1321</v>
      </c>
      <c r="H85" s="408" t="s">
        <v>1321</v>
      </c>
      <c r="I85" s="408" t="s">
        <v>1321</v>
      </c>
      <c r="J85" s="408" t="s">
        <v>2234</v>
      </c>
      <c r="K85" s="828">
        <v>44440</v>
      </c>
      <c r="L85" s="408">
        <v>1206</v>
      </c>
      <c r="M85" s="408">
        <v>1206</v>
      </c>
      <c r="N85" s="408">
        <v>0</v>
      </c>
      <c r="O85" s="408">
        <v>0</v>
      </c>
      <c r="P85" s="408">
        <v>0</v>
      </c>
      <c r="Q85" s="408">
        <v>0</v>
      </c>
      <c r="R85" s="408">
        <v>47.39</v>
      </c>
      <c r="S85" s="408"/>
      <c r="T85" s="408"/>
      <c r="U85" s="408">
        <v>57152.340000000004</v>
      </c>
      <c r="V85" s="408"/>
      <c r="W85" s="408">
        <v>57152.340000000004</v>
      </c>
      <c r="X85" s="408">
        <v>38857.32</v>
      </c>
      <c r="Y85" s="408">
        <v>0</v>
      </c>
      <c r="Z85" s="408">
        <v>0</v>
      </c>
      <c r="AA85" s="408">
        <v>0</v>
      </c>
      <c r="AB85" s="408">
        <v>0</v>
      </c>
      <c r="AC85" s="408">
        <v>0</v>
      </c>
      <c r="AD85" s="408">
        <v>30113.940816435635</v>
      </c>
      <c r="AE85" s="408">
        <v>27038.359898349776</v>
      </c>
      <c r="AF85" s="408"/>
      <c r="AG85" s="408"/>
      <c r="AH85" s="408"/>
      <c r="AI85" s="408">
        <v>0</v>
      </c>
      <c r="AJ85" s="408">
        <v>0</v>
      </c>
      <c r="AK85" s="408">
        <v>0</v>
      </c>
      <c r="AL85" s="408">
        <v>0</v>
      </c>
      <c r="AM85" s="408"/>
      <c r="AN85" s="408">
        <v>0</v>
      </c>
      <c r="AO85" s="408">
        <v>0</v>
      </c>
      <c r="AP85" s="408">
        <v>0</v>
      </c>
      <c r="AQ85" s="408">
        <v>0</v>
      </c>
      <c r="AR85" s="408">
        <v>0</v>
      </c>
      <c r="AS85" s="408"/>
      <c r="AT85" s="408"/>
      <c r="AU85" s="408">
        <v>0</v>
      </c>
      <c r="AV85" s="408">
        <v>0</v>
      </c>
      <c r="AW85" s="408">
        <v>0</v>
      </c>
      <c r="AX85" s="408"/>
      <c r="AY85" s="408"/>
      <c r="AZ85" s="408">
        <v>0</v>
      </c>
      <c r="BA85" s="408"/>
      <c r="BB85" s="408">
        <v>0</v>
      </c>
      <c r="BC85" s="408">
        <v>0</v>
      </c>
      <c r="BD85" s="408">
        <v>0</v>
      </c>
      <c r="BE85" s="408">
        <v>0</v>
      </c>
      <c r="BF85" s="408"/>
      <c r="BG85" s="408">
        <v>0</v>
      </c>
      <c r="BH85" s="408">
        <v>0</v>
      </c>
      <c r="BI85" s="408">
        <v>191.27</v>
      </c>
      <c r="BJ85" s="408">
        <v>67.239999999999995</v>
      </c>
      <c r="BK85" s="408">
        <v>29366.69</v>
      </c>
      <c r="BL85" s="408">
        <v>11</v>
      </c>
      <c r="BM85" s="408"/>
      <c r="BN85" s="408"/>
      <c r="BO85" s="408"/>
      <c r="BP85" s="408"/>
      <c r="BQ85" s="408"/>
      <c r="BR85" s="408"/>
      <c r="BS85" s="408"/>
      <c r="BT85" s="408"/>
      <c r="BU85" s="408"/>
      <c r="BV85" s="408">
        <v>0</v>
      </c>
      <c r="BW85" s="408"/>
      <c r="BX85" s="408"/>
      <c r="BY85" s="408"/>
      <c r="BZ85" s="408"/>
      <c r="CA85" s="408"/>
      <c r="CB85" s="408"/>
      <c r="CC85" s="408"/>
      <c r="CD85" s="408"/>
      <c r="CE85" s="408"/>
      <c r="CF85" s="408"/>
      <c r="CG85" s="408"/>
      <c r="CH85" s="408"/>
      <c r="CI85" s="408">
        <v>38857.32</v>
      </c>
      <c r="CJ85" s="408">
        <v>-18295.05000000001</v>
      </c>
      <c r="CK85" s="408"/>
      <c r="CL85" s="408"/>
      <c r="CM85" s="408"/>
      <c r="CN85" s="408"/>
      <c r="CO85" s="408">
        <v>-18295.02</v>
      </c>
      <c r="CP85" s="408">
        <v>0</v>
      </c>
      <c r="CQ85" s="408">
        <v>30</v>
      </c>
      <c r="CR85" s="408">
        <v>-136.1169065143913</v>
      </c>
      <c r="CS85" s="408">
        <v>0</v>
      </c>
      <c r="CT85" s="408">
        <v>0</v>
      </c>
      <c r="CU85" s="408">
        <v>0</v>
      </c>
      <c r="CV85" s="408">
        <v>0</v>
      </c>
      <c r="CW85" s="408"/>
      <c r="CX85" s="408"/>
      <c r="CY85" s="408"/>
      <c r="CZ85" s="408">
        <v>-136.1169065143913</v>
      </c>
      <c r="DA85" s="408">
        <v>0</v>
      </c>
      <c r="DB85" s="408">
        <v>0</v>
      </c>
      <c r="DC85" s="408"/>
      <c r="DD85" s="408"/>
      <c r="DE85" s="408">
        <v>0</v>
      </c>
      <c r="DF85" s="408">
        <v>0</v>
      </c>
      <c r="DG85" s="408">
        <v>0</v>
      </c>
      <c r="DH85" s="408">
        <v>0</v>
      </c>
      <c r="DI85" s="408">
        <v>0</v>
      </c>
      <c r="DJ85" s="408"/>
      <c r="DK85" s="408">
        <v>0</v>
      </c>
      <c r="DL85" s="408">
        <v>0</v>
      </c>
      <c r="DM85" s="408"/>
      <c r="DN85" s="408">
        <v>0</v>
      </c>
      <c r="DO85" s="408">
        <v>0</v>
      </c>
      <c r="DP85" s="408">
        <v>0</v>
      </c>
      <c r="DQ85" s="408">
        <v>0</v>
      </c>
      <c r="DR85" s="408">
        <v>0</v>
      </c>
      <c r="DS85" s="408"/>
      <c r="DT85" s="408"/>
      <c r="DU85" s="408">
        <v>27038.359898349776</v>
      </c>
      <c r="DV85" s="408"/>
      <c r="DW85" s="408">
        <v>0</v>
      </c>
      <c r="DX85" s="408">
        <v>0</v>
      </c>
      <c r="DY85" s="408">
        <v>-18295.020000000004</v>
      </c>
      <c r="DZ85" s="408"/>
      <c r="EA85" s="408">
        <v>0</v>
      </c>
      <c r="EB85" s="408"/>
      <c r="EC85" s="408">
        <v>-18160.98142167844</v>
      </c>
      <c r="ED85" s="408"/>
      <c r="EE85" s="408">
        <v>0</v>
      </c>
      <c r="EF85" s="408">
        <v>0</v>
      </c>
      <c r="EG85" s="408"/>
      <c r="EH85" s="408">
        <v>0</v>
      </c>
      <c r="EI85" s="408">
        <v>0</v>
      </c>
      <c r="EJ85" s="408">
        <v>0</v>
      </c>
      <c r="EK85" s="408">
        <v>0</v>
      </c>
      <c r="EL85" s="408">
        <v>0</v>
      </c>
      <c r="EM85" s="408"/>
      <c r="EN85" s="408"/>
      <c r="EO85" s="408">
        <v>0</v>
      </c>
      <c r="EP85" s="408">
        <v>0</v>
      </c>
      <c r="EQ85" s="408"/>
      <c r="ER85" s="408">
        <v>0</v>
      </c>
      <c r="ES85" s="408"/>
      <c r="ET85" s="408">
        <v>0</v>
      </c>
      <c r="EU85" s="408"/>
      <c r="EV85" s="408">
        <v>257</v>
      </c>
      <c r="EW85" s="408"/>
      <c r="EX85" s="408"/>
      <c r="EY85" s="408"/>
      <c r="EZ85" s="408"/>
      <c r="FA85" s="408">
        <v>0</v>
      </c>
      <c r="FB85" s="408"/>
      <c r="FC85" s="408"/>
      <c r="FD85" s="408"/>
      <c r="FE85" s="408"/>
      <c r="FF85" s="408">
        <v>0</v>
      </c>
      <c r="FG85" s="408">
        <v>0</v>
      </c>
      <c r="FH85" s="408">
        <v>0</v>
      </c>
      <c r="FI85" s="408">
        <v>0</v>
      </c>
    </row>
    <row r="86" spans="1:165" s="861" customFormat="1">
      <c r="A86" s="408">
        <v>84</v>
      </c>
      <c r="B86" s="408" t="s">
        <v>2236</v>
      </c>
      <c r="C86" s="408" t="s">
        <v>2241</v>
      </c>
      <c r="D86" s="408" t="s">
        <v>596</v>
      </c>
      <c r="E86" s="408" t="s">
        <v>969</v>
      </c>
      <c r="F86" s="408" t="s">
        <v>1321</v>
      </c>
      <c r="G86" s="408" t="s">
        <v>1321</v>
      </c>
      <c r="H86" s="408" t="s">
        <v>1321</v>
      </c>
      <c r="I86" s="408" t="s">
        <v>1321</v>
      </c>
      <c r="J86" s="408" t="s">
        <v>2234</v>
      </c>
      <c r="K86" s="828">
        <v>44440</v>
      </c>
      <c r="L86" s="408">
        <v>576</v>
      </c>
      <c r="M86" s="408">
        <v>576</v>
      </c>
      <c r="N86" s="408">
        <v>0</v>
      </c>
      <c r="O86" s="408">
        <v>0</v>
      </c>
      <c r="P86" s="408">
        <v>0</v>
      </c>
      <c r="Q86" s="408">
        <v>0</v>
      </c>
      <c r="R86" s="408">
        <v>47.39</v>
      </c>
      <c r="S86" s="408"/>
      <c r="T86" s="408"/>
      <c r="U86" s="408">
        <v>27296.639999999999</v>
      </c>
      <c r="V86" s="408"/>
      <c r="W86" s="408">
        <v>27296.639999999999</v>
      </c>
      <c r="X86" s="408">
        <v>18558.72</v>
      </c>
      <c r="Y86" s="408">
        <v>0</v>
      </c>
      <c r="Z86" s="408">
        <v>0</v>
      </c>
      <c r="AA86" s="408">
        <v>0</v>
      </c>
      <c r="AB86" s="408">
        <v>0</v>
      </c>
      <c r="AC86" s="408">
        <v>0</v>
      </c>
      <c r="AD86" s="408">
        <v>14382.777703372243</v>
      </c>
      <c r="AE86" s="408">
        <v>12913.843533540192</v>
      </c>
      <c r="AF86" s="408"/>
      <c r="AG86" s="408"/>
      <c r="AH86" s="408"/>
      <c r="AI86" s="408">
        <v>0</v>
      </c>
      <c r="AJ86" s="408">
        <v>0</v>
      </c>
      <c r="AK86" s="408">
        <v>0</v>
      </c>
      <c r="AL86" s="408">
        <v>0</v>
      </c>
      <c r="AM86" s="408"/>
      <c r="AN86" s="408">
        <v>0</v>
      </c>
      <c r="AO86" s="408">
        <v>0</v>
      </c>
      <c r="AP86" s="408">
        <v>0</v>
      </c>
      <c r="AQ86" s="408">
        <v>0</v>
      </c>
      <c r="AR86" s="408">
        <v>0</v>
      </c>
      <c r="AS86" s="408"/>
      <c r="AT86" s="408"/>
      <c r="AU86" s="408">
        <v>0</v>
      </c>
      <c r="AV86" s="408">
        <v>0</v>
      </c>
      <c r="AW86" s="408">
        <v>0</v>
      </c>
      <c r="AX86" s="408"/>
      <c r="AY86" s="408"/>
      <c r="AZ86" s="408">
        <v>0</v>
      </c>
      <c r="BA86" s="408"/>
      <c r="BB86" s="408">
        <v>0</v>
      </c>
      <c r="BC86" s="408">
        <v>0</v>
      </c>
      <c r="BD86" s="408">
        <v>0</v>
      </c>
      <c r="BE86" s="408">
        <v>0</v>
      </c>
      <c r="BF86" s="408"/>
      <c r="BG86" s="408">
        <v>0</v>
      </c>
      <c r="BH86" s="408">
        <v>0</v>
      </c>
      <c r="BI86" s="408">
        <v>34.619999999999997</v>
      </c>
      <c r="BJ86" s="408">
        <v>12.17</v>
      </c>
      <c r="BK86" s="408">
        <v>5785.55</v>
      </c>
      <c r="BL86" s="408">
        <v>3</v>
      </c>
      <c r="BM86" s="408"/>
      <c r="BN86" s="408"/>
      <c r="BO86" s="408"/>
      <c r="BP86" s="408"/>
      <c r="BQ86" s="408"/>
      <c r="BR86" s="408"/>
      <c r="BS86" s="408"/>
      <c r="BT86" s="408"/>
      <c r="BU86" s="408"/>
      <c r="BV86" s="408">
        <v>0</v>
      </c>
      <c r="BW86" s="408"/>
      <c r="BX86" s="408"/>
      <c r="BY86" s="408"/>
      <c r="BZ86" s="408"/>
      <c r="CA86" s="408"/>
      <c r="CB86" s="408"/>
      <c r="CC86" s="408"/>
      <c r="CD86" s="408"/>
      <c r="CE86" s="408"/>
      <c r="CF86" s="408"/>
      <c r="CG86" s="408"/>
      <c r="CH86" s="408"/>
      <c r="CI86" s="408">
        <v>18558.72</v>
      </c>
      <c r="CJ86" s="408">
        <v>-8737.9499999999935</v>
      </c>
      <c r="CK86" s="408"/>
      <c r="CL86" s="408"/>
      <c r="CM86" s="408"/>
      <c r="CN86" s="408"/>
      <c r="CO86" s="408">
        <v>-8737.9200000000019</v>
      </c>
      <c r="CP86" s="408">
        <v>0</v>
      </c>
      <c r="CQ86" s="408">
        <v>30</v>
      </c>
      <c r="CR86" s="408">
        <v>-65.011059827769714</v>
      </c>
      <c r="CS86" s="408">
        <v>0</v>
      </c>
      <c r="CT86" s="408">
        <v>0</v>
      </c>
      <c r="CU86" s="408">
        <v>0</v>
      </c>
      <c r="CV86" s="408">
        <v>0</v>
      </c>
      <c r="CW86" s="408"/>
      <c r="CX86" s="408"/>
      <c r="CY86" s="408"/>
      <c r="CZ86" s="408">
        <v>-65.011059827769714</v>
      </c>
      <c r="DA86" s="408">
        <v>0</v>
      </c>
      <c r="DB86" s="408">
        <v>0</v>
      </c>
      <c r="DC86" s="408"/>
      <c r="DD86" s="408"/>
      <c r="DE86" s="408">
        <v>0</v>
      </c>
      <c r="DF86" s="408">
        <v>0</v>
      </c>
      <c r="DG86" s="408">
        <v>0</v>
      </c>
      <c r="DH86" s="408">
        <v>0</v>
      </c>
      <c r="DI86" s="408">
        <v>0</v>
      </c>
      <c r="DJ86" s="408"/>
      <c r="DK86" s="408">
        <v>0</v>
      </c>
      <c r="DL86" s="408">
        <v>0</v>
      </c>
      <c r="DM86" s="408"/>
      <c r="DN86" s="408">
        <v>0</v>
      </c>
      <c r="DO86" s="408">
        <v>0</v>
      </c>
      <c r="DP86" s="408">
        <v>0</v>
      </c>
      <c r="DQ86" s="408">
        <v>0</v>
      </c>
      <c r="DR86" s="408">
        <v>0</v>
      </c>
      <c r="DS86" s="408"/>
      <c r="DT86" s="408"/>
      <c r="DU86" s="408">
        <v>12913.843533540192</v>
      </c>
      <c r="DV86" s="408"/>
      <c r="DW86" s="408">
        <v>0</v>
      </c>
      <c r="DX86" s="408">
        <v>0</v>
      </c>
      <c r="DY86" s="408">
        <v>-8737.9199999999983</v>
      </c>
      <c r="DZ86" s="408"/>
      <c r="EA86" s="408">
        <v>0</v>
      </c>
      <c r="EB86" s="408"/>
      <c r="EC86" s="408">
        <v>-8673.9015745329871</v>
      </c>
      <c r="ED86" s="408"/>
      <c r="EE86" s="408">
        <v>0</v>
      </c>
      <c r="EF86" s="408">
        <v>0</v>
      </c>
      <c r="EG86" s="408"/>
      <c r="EH86" s="408">
        <v>0</v>
      </c>
      <c r="EI86" s="408">
        <v>0</v>
      </c>
      <c r="EJ86" s="408">
        <v>0</v>
      </c>
      <c r="EK86" s="408">
        <v>0</v>
      </c>
      <c r="EL86" s="408">
        <v>0</v>
      </c>
      <c r="EM86" s="408"/>
      <c r="EN86" s="408"/>
      <c r="EO86" s="408">
        <v>0</v>
      </c>
      <c r="EP86" s="408">
        <v>0</v>
      </c>
      <c r="EQ86" s="408"/>
      <c r="ER86" s="408">
        <v>0</v>
      </c>
      <c r="ES86" s="408"/>
      <c r="ET86" s="408">
        <v>0</v>
      </c>
      <c r="EU86" s="408"/>
      <c r="EV86" s="408">
        <v>257</v>
      </c>
      <c r="EW86" s="408"/>
      <c r="EX86" s="408"/>
      <c r="EY86" s="408"/>
      <c r="EZ86" s="408"/>
      <c r="FA86" s="408">
        <v>0</v>
      </c>
      <c r="FB86" s="408"/>
      <c r="FC86" s="408"/>
      <c r="FD86" s="408"/>
      <c r="FE86" s="408"/>
      <c r="FF86" s="408">
        <v>0</v>
      </c>
      <c r="FG86" s="408">
        <v>0</v>
      </c>
      <c r="FH86" s="408">
        <v>0</v>
      </c>
      <c r="FI86" s="408">
        <v>0</v>
      </c>
    </row>
    <row r="87" spans="1:165" s="861" customFormat="1">
      <c r="A87" s="408">
        <v>85</v>
      </c>
      <c r="B87" s="408" t="s">
        <v>1035</v>
      </c>
      <c r="C87" s="408" t="s">
        <v>2233</v>
      </c>
      <c r="D87" s="408" t="s">
        <v>1958</v>
      </c>
      <c r="E87" s="408" t="s">
        <v>997</v>
      </c>
      <c r="F87" s="408" t="s">
        <v>1321</v>
      </c>
      <c r="G87" s="408" t="s">
        <v>1321</v>
      </c>
      <c r="H87" s="408" t="s">
        <v>1321</v>
      </c>
      <c r="I87" s="408" t="s">
        <v>1321</v>
      </c>
      <c r="J87" s="408" t="s">
        <v>2234</v>
      </c>
      <c r="K87" s="828">
        <v>44440</v>
      </c>
      <c r="L87" s="408">
        <v>0</v>
      </c>
      <c r="M87" s="408">
        <v>0</v>
      </c>
      <c r="N87" s="408">
        <v>289.423</v>
      </c>
      <c r="O87" s="408">
        <v>289.423</v>
      </c>
      <c r="P87" s="408">
        <v>289.423</v>
      </c>
      <c r="Q87" s="408">
        <v>289.423</v>
      </c>
      <c r="R87" s="408"/>
      <c r="S87" s="408">
        <v>710.91</v>
      </c>
      <c r="T87" s="408">
        <v>256.55</v>
      </c>
      <c r="U87" s="408"/>
      <c r="V87" s="408">
        <v>280005.17557999998</v>
      </c>
      <c r="W87" s="408">
        <v>280005.17557999998</v>
      </c>
      <c r="X87" s="408">
        <v>191143.63189000002</v>
      </c>
      <c r="Y87" s="408">
        <v>0</v>
      </c>
      <c r="Z87" s="408">
        <v>17792.186714243107</v>
      </c>
      <c r="AA87" s="408">
        <v>0</v>
      </c>
      <c r="AB87" s="408">
        <v>0</v>
      </c>
      <c r="AC87" s="408">
        <v>0</v>
      </c>
      <c r="AD87" s="408">
        <v>35622.990273261334</v>
      </c>
      <c r="AE87" s="408">
        <v>138028.74078314428</v>
      </c>
      <c r="AF87" s="408">
        <v>74252.20049725569</v>
      </c>
      <c r="AG87" s="408">
        <v>0</v>
      </c>
      <c r="AH87" s="408">
        <v>0</v>
      </c>
      <c r="AI87" s="408">
        <v>0</v>
      </c>
      <c r="AJ87" s="408">
        <v>0</v>
      </c>
      <c r="AK87" s="408">
        <v>0</v>
      </c>
      <c r="AL87" s="408">
        <v>2750.7525288855072</v>
      </c>
      <c r="AM87" s="408"/>
      <c r="AN87" s="408">
        <v>635.51636815133793</v>
      </c>
      <c r="AO87" s="408">
        <v>0</v>
      </c>
      <c r="AP87" s="408">
        <v>0</v>
      </c>
      <c r="AQ87" s="408">
        <v>0</v>
      </c>
      <c r="AR87" s="408">
        <v>0</v>
      </c>
      <c r="AS87" s="408">
        <v>0</v>
      </c>
      <c r="AT87" s="408">
        <v>0</v>
      </c>
      <c r="AU87" s="408">
        <v>0</v>
      </c>
      <c r="AV87" s="408">
        <v>0</v>
      </c>
      <c r="AW87" s="408">
        <v>0</v>
      </c>
      <c r="AX87" s="408">
        <v>0</v>
      </c>
      <c r="AY87" s="408">
        <v>0</v>
      </c>
      <c r="AZ87" s="408">
        <v>0</v>
      </c>
      <c r="BA87" s="408"/>
      <c r="BB87" s="408">
        <v>0</v>
      </c>
      <c r="BC87" s="408">
        <v>0</v>
      </c>
      <c r="BD87" s="408">
        <v>431.33298090302122</v>
      </c>
      <c r="BE87" s="408">
        <v>0</v>
      </c>
      <c r="BF87" s="408">
        <v>0</v>
      </c>
      <c r="BG87" s="408">
        <v>10492.568446592522</v>
      </c>
      <c r="BH87" s="408">
        <v>0</v>
      </c>
      <c r="BI87" s="408">
        <v>349.99</v>
      </c>
      <c r="BJ87" s="408">
        <v>123.71</v>
      </c>
      <c r="BK87" s="408">
        <v>94654.66</v>
      </c>
      <c r="BL87" s="408">
        <v>883</v>
      </c>
      <c r="BM87" s="408"/>
      <c r="BN87" s="408"/>
      <c r="BO87" s="408"/>
      <c r="BP87" s="408"/>
      <c r="BQ87" s="408"/>
      <c r="BR87" s="408"/>
      <c r="BS87" s="408"/>
      <c r="BT87" s="408"/>
      <c r="BU87" s="408"/>
      <c r="BV87" s="408">
        <v>85176.101924751245</v>
      </c>
      <c r="BW87" s="408"/>
      <c r="BX87" s="408"/>
      <c r="BY87" s="408"/>
      <c r="BZ87" s="408"/>
      <c r="CA87" s="408"/>
      <c r="CB87" s="408"/>
      <c r="CC87" s="408"/>
      <c r="CD87" s="408"/>
      <c r="CE87" s="408"/>
      <c r="CF87" s="408"/>
      <c r="CG87" s="408"/>
      <c r="CH87" s="408"/>
      <c r="CI87" s="408">
        <v>191141.65059999999</v>
      </c>
      <c r="CJ87" s="408">
        <v>-88863.554980000015</v>
      </c>
      <c r="CK87" s="408"/>
      <c r="CL87" s="408"/>
      <c r="CM87" s="408"/>
      <c r="CN87" s="408"/>
      <c r="CO87" s="408">
        <v>-93489.417459999997</v>
      </c>
      <c r="CP87" s="408">
        <v>4627.8737700000029</v>
      </c>
      <c r="CQ87" s="408">
        <v>30</v>
      </c>
      <c r="CR87" s="408">
        <v>3847.3827540069178</v>
      </c>
      <c r="CS87" s="408">
        <v>0</v>
      </c>
      <c r="CT87" s="408">
        <v>0</v>
      </c>
      <c r="CU87" s="408">
        <v>0</v>
      </c>
      <c r="CV87" s="408">
        <v>0</v>
      </c>
      <c r="CW87" s="408">
        <v>0</v>
      </c>
      <c r="CX87" s="408">
        <v>0</v>
      </c>
      <c r="CY87" s="408">
        <v>0</v>
      </c>
      <c r="CZ87" s="408">
        <v>-161.01815655228711</v>
      </c>
      <c r="DA87" s="408">
        <v>0</v>
      </c>
      <c r="DB87" s="408">
        <v>0</v>
      </c>
      <c r="DC87" s="408">
        <v>4625.7984233052412</v>
      </c>
      <c r="DD87" s="408">
        <v>0</v>
      </c>
      <c r="DE87" s="408">
        <v>0</v>
      </c>
      <c r="DF87" s="408">
        <v>26.871384411759209</v>
      </c>
      <c r="DG87" s="408">
        <v>653.67095185905055</v>
      </c>
      <c r="DH87" s="408">
        <v>0</v>
      </c>
      <c r="DI87" s="408">
        <v>-1106.3867324967796</v>
      </c>
      <c r="DJ87" s="408"/>
      <c r="DK87" s="408">
        <v>0</v>
      </c>
      <c r="DL87" s="408">
        <v>0</v>
      </c>
      <c r="DM87" s="408">
        <v>0</v>
      </c>
      <c r="DN87" s="408">
        <v>0</v>
      </c>
      <c r="DO87" s="408">
        <v>-150.94119301015689</v>
      </c>
      <c r="DP87" s="408">
        <v>-40.611923509895973</v>
      </c>
      <c r="DQ87" s="408">
        <v>0</v>
      </c>
      <c r="DR87" s="408">
        <v>0</v>
      </c>
      <c r="DS87" s="408"/>
      <c r="DT87" s="408"/>
      <c r="DU87" s="408"/>
      <c r="DV87" s="408">
        <v>138028.74078314428</v>
      </c>
      <c r="DW87" s="408">
        <v>0</v>
      </c>
      <c r="DX87" s="408">
        <v>0</v>
      </c>
      <c r="DY87" s="408">
        <v>-93489.417459999982</v>
      </c>
      <c r="DZ87" s="408">
        <v>4627.8737700000056</v>
      </c>
      <c r="EA87" s="408">
        <v>0</v>
      </c>
      <c r="EB87" s="408">
        <v>0</v>
      </c>
      <c r="EC87" s="408">
        <v>-92710.408709862095</v>
      </c>
      <c r="ED87" s="408">
        <v>0</v>
      </c>
      <c r="EE87" s="408">
        <v>0</v>
      </c>
      <c r="EF87" s="408">
        <v>0</v>
      </c>
      <c r="EG87" s="408">
        <v>0</v>
      </c>
      <c r="EH87" s="408">
        <v>0</v>
      </c>
      <c r="EI87" s="408">
        <v>0</v>
      </c>
      <c r="EJ87" s="408">
        <v>0</v>
      </c>
      <c r="EK87" s="408">
        <v>0</v>
      </c>
      <c r="EL87" s="408">
        <v>0</v>
      </c>
      <c r="EM87" s="408">
        <v>0</v>
      </c>
      <c r="EN87" s="408">
        <v>0</v>
      </c>
      <c r="EO87" s="408">
        <v>0</v>
      </c>
      <c r="EP87" s="408">
        <v>0</v>
      </c>
      <c r="EQ87" s="408">
        <v>0</v>
      </c>
      <c r="ER87" s="408">
        <v>0</v>
      </c>
      <c r="ES87" s="408">
        <v>0</v>
      </c>
      <c r="ET87" s="408">
        <v>0</v>
      </c>
      <c r="EU87" s="408">
        <v>0</v>
      </c>
      <c r="EV87" s="408">
        <v>257</v>
      </c>
      <c r="EW87" s="408">
        <v>0</v>
      </c>
      <c r="EX87" s="408">
        <v>0</v>
      </c>
      <c r="EY87" s="408">
        <v>0</v>
      </c>
      <c r="EZ87" s="408"/>
      <c r="FA87" s="408">
        <v>0</v>
      </c>
      <c r="FB87" s="408"/>
      <c r="FC87" s="408"/>
      <c r="FD87" s="408"/>
      <c r="FE87" s="408"/>
      <c r="FF87" s="408">
        <v>0</v>
      </c>
      <c r="FG87" s="408">
        <v>0</v>
      </c>
      <c r="FH87" s="408">
        <v>0</v>
      </c>
      <c r="FI87" s="408">
        <v>0</v>
      </c>
    </row>
    <row r="88" spans="1:165" s="861" customFormat="1">
      <c r="A88" s="408">
        <v>86</v>
      </c>
      <c r="B88" s="408" t="s">
        <v>2235</v>
      </c>
      <c r="C88" s="408" t="s">
        <v>2233</v>
      </c>
      <c r="D88" s="408" t="s">
        <v>1958</v>
      </c>
      <c r="E88" s="408" t="s">
        <v>997</v>
      </c>
      <c r="F88" s="408" t="s">
        <v>1321</v>
      </c>
      <c r="G88" s="408" t="s">
        <v>1321</v>
      </c>
      <c r="H88" s="408" t="s">
        <v>1321</v>
      </c>
      <c r="I88" s="408" t="s">
        <v>1321</v>
      </c>
      <c r="J88" s="408" t="s">
        <v>2234</v>
      </c>
      <c r="K88" s="828">
        <v>44440</v>
      </c>
      <c r="L88" s="408">
        <v>0</v>
      </c>
      <c r="M88" s="408">
        <v>0</v>
      </c>
      <c r="N88" s="408">
        <v>-1.6890000000000001</v>
      </c>
      <c r="O88" s="408">
        <v>-1.6890000000000001</v>
      </c>
      <c r="P88" s="408">
        <v>-1.6890000000000001</v>
      </c>
      <c r="Q88" s="408">
        <v>-1.6890000000000001</v>
      </c>
      <c r="R88" s="408"/>
      <c r="S88" s="408">
        <v>710.91</v>
      </c>
      <c r="T88" s="408">
        <v>256.55</v>
      </c>
      <c r="U88" s="408"/>
      <c r="V88" s="408">
        <v>-1634.0399399999999</v>
      </c>
      <c r="W88" s="408">
        <v>-1634.0399399999999</v>
      </c>
      <c r="X88" s="408">
        <v>-1115.4662700000001</v>
      </c>
      <c r="Y88" s="408">
        <v>0</v>
      </c>
      <c r="Z88" s="408">
        <v>-103.83073688116221</v>
      </c>
      <c r="AA88" s="408">
        <v>0</v>
      </c>
      <c r="AB88" s="408">
        <v>0</v>
      </c>
      <c r="AC88" s="408">
        <v>0</v>
      </c>
      <c r="AD88" s="408">
        <v>-207.8868319778953</v>
      </c>
      <c r="AE88" s="408">
        <v>-805.50109418647003</v>
      </c>
      <c r="AF88" s="408">
        <v>-433.31720920543586</v>
      </c>
      <c r="AG88" s="408">
        <v>0</v>
      </c>
      <c r="AH88" s="408">
        <v>0</v>
      </c>
      <c r="AI88" s="408">
        <v>0</v>
      </c>
      <c r="AJ88" s="408">
        <v>0</v>
      </c>
      <c r="AK88" s="408">
        <v>0</v>
      </c>
      <c r="AL88" s="408">
        <v>-16.052701482907793</v>
      </c>
      <c r="AM88" s="408"/>
      <c r="AN88" s="408">
        <v>-3.7087140476313554</v>
      </c>
      <c r="AO88" s="408">
        <v>0</v>
      </c>
      <c r="AP88" s="408">
        <v>0</v>
      </c>
      <c r="AQ88" s="408">
        <v>0</v>
      </c>
      <c r="AR88" s="408">
        <v>0</v>
      </c>
      <c r="AS88" s="408">
        <v>0</v>
      </c>
      <c r="AT88" s="408">
        <v>0</v>
      </c>
      <c r="AU88" s="408">
        <v>0</v>
      </c>
      <c r="AV88" s="408">
        <v>0</v>
      </c>
      <c r="AW88" s="408">
        <v>0</v>
      </c>
      <c r="AX88" s="408">
        <v>0</v>
      </c>
      <c r="AY88" s="408">
        <v>0</v>
      </c>
      <c r="AZ88" s="408">
        <v>0</v>
      </c>
      <c r="BA88" s="408"/>
      <c r="BB88" s="408">
        <v>0</v>
      </c>
      <c r="BC88" s="408">
        <v>0</v>
      </c>
      <c r="BD88" s="408">
        <v>-2.5171510375650965</v>
      </c>
      <c r="BE88" s="408">
        <v>0</v>
      </c>
      <c r="BF88" s="408">
        <v>0</v>
      </c>
      <c r="BG88" s="408">
        <v>-61.231996442213543</v>
      </c>
      <c r="BH88" s="408">
        <v>0</v>
      </c>
      <c r="BI88" s="408">
        <v>-1.97</v>
      </c>
      <c r="BJ88" s="408">
        <v>-0.69</v>
      </c>
      <c r="BK88" s="408">
        <v>-525.79999999999995</v>
      </c>
      <c r="BL88" s="408">
        <v>0</v>
      </c>
      <c r="BM88" s="408"/>
      <c r="BN88" s="408"/>
      <c r="BO88" s="408"/>
      <c r="BP88" s="408"/>
      <c r="BQ88" s="408"/>
      <c r="BR88" s="408"/>
      <c r="BS88" s="408"/>
      <c r="BT88" s="408"/>
      <c r="BU88" s="408"/>
      <c r="BV88" s="408">
        <v>-497.06635668521449</v>
      </c>
      <c r="BW88" s="408"/>
      <c r="BX88" s="408"/>
      <c r="BY88" s="408"/>
      <c r="BZ88" s="408"/>
      <c r="CA88" s="408"/>
      <c r="CB88" s="408"/>
      <c r="CC88" s="408"/>
      <c r="CD88" s="408"/>
      <c r="CE88" s="408"/>
      <c r="CF88" s="408"/>
      <c r="CG88" s="408"/>
      <c r="CH88" s="408"/>
      <c r="CI88" s="408">
        <v>-1116.1267</v>
      </c>
      <c r="CJ88" s="408">
        <v>517.88323999999989</v>
      </c>
      <c r="CK88" s="408"/>
      <c r="CL88" s="408"/>
      <c r="CM88" s="408"/>
      <c r="CN88" s="408"/>
      <c r="CO88" s="408">
        <v>545.58078</v>
      </c>
      <c r="CP88" s="408">
        <v>-27.007110000000015</v>
      </c>
      <c r="CQ88" s="408">
        <v>30</v>
      </c>
      <c r="CR88" s="408">
        <v>-22.452360287598822</v>
      </c>
      <c r="CS88" s="408">
        <v>0</v>
      </c>
      <c r="CT88" s="408">
        <v>0</v>
      </c>
      <c r="CU88" s="408">
        <v>0</v>
      </c>
      <c r="CV88" s="408">
        <v>0</v>
      </c>
      <c r="CW88" s="408">
        <v>0</v>
      </c>
      <c r="CX88" s="408">
        <v>0</v>
      </c>
      <c r="CY88" s="408">
        <v>0</v>
      </c>
      <c r="CZ88" s="408">
        <v>0.93966155563589382</v>
      </c>
      <c r="DA88" s="408">
        <v>0</v>
      </c>
      <c r="DB88" s="408">
        <v>0</v>
      </c>
      <c r="DC88" s="408">
        <v>-26.994998797478274</v>
      </c>
      <c r="DD88" s="408">
        <v>0</v>
      </c>
      <c r="DE88" s="408">
        <v>0</v>
      </c>
      <c r="DF88" s="408">
        <v>-0.15681465630396074</v>
      </c>
      <c r="DG88" s="408">
        <v>-3.814659642426264</v>
      </c>
      <c r="DH88" s="408">
        <v>0</v>
      </c>
      <c r="DI88" s="408">
        <v>6.4565953334291493</v>
      </c>
      <c r="DJ88" s="408"/>
      <c r="DK88" s="408">
        <v>0</v>
      </c>
      <c r="DL88" s="408">
        <v>0</v>
      </c>
      <c r="DM88" s="408">
        <v>0</v>
      </c>
      <c r="DN88" s="408">
        <v>0</v>
      </c>
      <c r="DO88" s="408">
        <v>0.88085492512397146</v>
      </c>
      <c r="DP88" s="408">
        <v>0.23700099442067257</v>
      </c>
      <c r="DQ88" s="408">
        <v>0</v>
      </c>
      <c r="DR88" s="408">
        <v>0</v>
      </c>
      <c r="DS88" s="408"/>
      <c r="DT88" s="408"/>
      <c r="DU88" s="408"/>
      <c r="DV88" s="408">
        <v>-805.50109418647003</v>
      </c>
      <c r="DW88" s="408">
        <v>0</v>
      </c>
      <c r="DX88" s="408">
        <v>0</v>
      </c>
      <c r="DY88" s="408">
        <v>545.58077999999989</v>
      </c>
      <c r="DZ88" s="408">
        <v>-27.007110000000011</v>
      </c>
      <c r="EA88" s="408">
        <v>0</v>
      </c>
      <c r="EB88" s="408">
        <v>0</v>
      </c>
      <c r="EC88" s="408">
        <v>541.03468041916881</v>
      </c>
      <c r="ED88" s="408">
        <v>0</v>
      </c>
      <c r="EE88" s="408">
        <v>0</v>
      </c>
      <c r="EF88" s="408">
        <v>0</v>
      </c>
      <c r="EG88" s="408">
        <v>0</v>
      </c>
      <c r="EH88" s="408">
        <v>0</v>
      </c>
      <c r="EI88" s="408">
        <v>0</v>
      </c>
      <c r="EJ88" s="408">
        <v>0</v>
      </c>
      <c r="EK88" s="408">
        <v>0</v>
      </c>
      <c r="EL88" s="408">
        <v>0</v>
      </c>
      <c r="EM88" s="408">
        <v>0</v>
      </c>
      <c r="EN88" s="408">
        <v>0</v>
      </c>
      <c r="EO88" s="408">
        <v>0</v>
      </c>
      <c r="EP88" s="408">
        <v>0</v>
      </c>
      <c r="EQ88" s="408">
        <v>0</v>
      </c>
      <c r="ER88" s="408">
        <v>0</v>
      </c>
      <c r="ES88" s="408">
        <v>0</v>
      </c>
      <c r="ET88" s="408">
        <v>0</v>
      </c>
      <c r="EU88" s="408">
        <v>0</v>
      </c>
      <c r="EV88" s="408">
        <v>257</v>
      </c>
      <c r="EW88" s="408">
        <v>0</v>
      </c>
      <c r="EX88" s="408">
        <v>0</v>
      </c>
      <c r="EY88" s="408">
        <v>0</v>
      </c>
      <c r="EZ88" s="408"/>
      <c r="FA88" s="408">
        <v>0</v>
      </c>
      <c r="FB88" s="408"/>
      <c r="FC88" s="408"/>
      <c r="FD88" s="408"/>
      <c r="FE88" s="408"/>
      <c r="FF88" s="408">
        <v>0</v>
      </c>
      <c r="FG88" s="408">
        <v>0</v>
      </c>
      <c r="FH88" s="408">
        <v>0</v>
      </c>
      <c r="FI88" s="408">
        <v>0</v>
      </c>
    </row>
    <row r="89" spans="1:165" s="861" customFormat="1">
      <c r="A89" s="408">
        <v>87</v>
      </c>
      <c r="B89" s="408" t="s">
        <v>2236</v>
      </c>
      <c r="C89" s="408" t="s">
        <v>2233</v>
      </c>
      <c r="D89" s="408" t="s">
        <v>1958</v>
      </c>
      <c r="E89" s="408" t="s">
        <v>997</v>
      </c>
      <c r="F89" s="408" t="s">
        <v>1321</v>
      </c>
      <c r="G89" s="408" t="s">
        <v>1321</v>
      </c>
      <c r="H89" s="408" t="s">
        <v>1321</v>
      </c>
      <c r="I89" s="408" t="s">
        <v>1321</v>
      </c>
      <c r="J89" s="408" t="s">
        <v>2234</v>
      </c>
      <c r="K89" s="828">
        <v>44440</v>
      </c>
      <c r="L89" s="408">
        <v>0</v>
      </c>
      <c r="M89" s="408">
        <v>0</v>
      </c>
      <c r="N89" s="408">
        <v>10.644</v>
      </c>
      <c r="O89" s="408">
        <v>10.644</v>
      </c>
      <c r="P89" s="408">
        <v>10.644</v>
      </c>
      <c r="Q89" s="408">
        <v>10.644</v>
      </c>
      <c r="R89" s="408"/>
      <c r="S89" s="408">
        <v>710.91</v>
      </c>
      <c r="T89" s="408">
        <v>256.55</v>
      </c>
      <c r="U89" s="408"/>
      <c r="V89" s="408">
        <v>10297.64424</v>
      </c>
      <c r="W89" s="408">
        <v>10297.64424</v>
      </c>
      <c r="X89" s="408">
        <v>7029.6169200000004</v>
      </c>
      <c r="Y89" s="408">
        <v>0</v>
      </c>
      <c r="Z89" s="408">
        <v>654.33650879993525</v>
      </c>
      <c r="AA89" s="408">
        <v>0</v>
      </c>
      <c r="AB89" s="408">
        <v>0</v>
      </c>
      <c r="AC89" s="408">
        <v>0</v>
      </c>
      <c r="AD89" s="408">
        <v>1310.0932146670916</v>
      </c>
      <c r="AE89" s="408">
        <v>5076.2306965783227</v>
      </c>
      <c r="AF89" s="408">
        <v>2730.7450413159618</v>
      </c>
      <c r="AG89" s="408">
        <v>0</v>
      </c>
      <c r="AH89" s="408">
        <v>0</v>
      </c>
      <c r="AI89" s="408">
        <v>0</v>
      </c>
      <c r="AJ89" s="408">
        <v>0</v>
      </c>
      <c r="AK89" s="408">
        <v>0</v>
      </c>
      <c r="AL89" s="408">
        <v>101.16338341271198</v>
      </c>
      <c r="AM89" s="408"/>
      <c r="AN89" s="408">
        <v>23.372144655410388</v>
      </c>
      <c r="AO89" s="408">
        <v>0</v>
      </c>
      <c r="AP89" s="408">
        <v>0</v>
      </c>
      <c r="AQ89" s="408">
        <v>0</v>
      </c>
      <c r="AR89" s="408">
        <v>0</v>
      </c>
      <c r="AS89" s="408">
        <v>0</v>
      </c>
      <c r="AT89" s="408">
        <v>0</v>
      </c>
      <c r="AU89" s="408">
        <v>0</v>
      </c>
      <c r="AV89" s="408">
        <v>0</v>
      </c>
      <c r="AW89" s="408">
        <v>0</v>
      </c>
      <c r="AX89" s="408">
        <v>0</v>
      </c>
      <c r="AY89" s="408">
        <v>0</v>
      </c>
      <c r="AZ89" s="408">
        <v>0</v>
      </c>
      <c r="BA89" s="408"/>
      <c r="BB89" s="408">
        <v>0</v>
      </c>
      <c r="BC89" s="408">
        <v>0</v>
      </c>
      <c r="BD89" s="408">
        <v>15.862969593749488</v>
      </c>
      <c r="BE89" s="408">
        <v>0</v>
      </c>
      <c r="BF89" s="408">
        <v>0</v>
      </c>
      <c r="BG89" s="408">
        <v>385.88121381345229</v>
      </c>
      <c r="BH89" s="408">
        <v>0</v>
      </c>
      <c r="BI89" s="408">
        <v>12.97</v>
      </c>
      <c r="BJ89" s="408">
        <v>4.57</v>
      </c>
      <c r="BK89" s="408">
        <v>8588.4500000000007</v>
      </c>
      <c r="BL89" s="408">
        <v>33</v>
      </c>
      <c r="BM89" s="408"/>
      <c r="BN89" s="408"/>
      <c r="BO89" s="408"/>
      <c r="BP89" s="408"/>
      <c r="BQ89" s="408"/>
      <c r="BR89" s="408"/>
      <c r="BS89" s="408"/>
      <c r="BT89" s="408"/>
      <c r="BU89" s="408"/>
      <c r="BV89" s="408">
        <v>3132.4892247231633</v>
      </c>
      <c r="BW89" s="408"/>
      <c r="BX89" s="408"/>
      <c r="BY89" s="408"/>
      <c r="BZ89" s="408"/>
      <c r="CA89" s="408"/>
      <c r="CB89" s="408"/>
      <c r="CC89" s="408"/>
      <c r="CD89" s="408"/>
      <c r="CE89" s="408"/>
      <c r="CF89" s="408"/>
      <c r="CG89" s="408"/>
      <c r="CH89" s="408"/>
      <c r="CI89" s="408">
        <v>7026.9752000000008</v>
      </c>
      <c r="CJ89" s="408">
        <v>-3270.6990399999995</v>
      </c>
      <c r="CK89" s="408"/>
      <c r="CL89" s="408"/>
      <c r="CM89" s="408"/>
      <c r="CN89" s="408"/>
      <c r="CO89" s="408">
        <v>-3438.2248799999998</v>
      </c>
      <c r="CP89" s="408">
        <v>170.1975600000001</v>
      </c>
      <c r="CQ89" s="408">
        <v>30</v>
      </c>
      <c r="CR89" s="408">
        <v>141.49373765612927</v>
      </c>
      <c r="CS89" s="408">
        <v>0</v>
      </c>
      <c r="CT89" s="408">
        <v>0</v>
      </c>
      <c r="CU89" s="408">
        <v>0</v>
      </c>
      <c r="CV89" s="408">
        <v>0</v>
      </c>
      <c r="CW89" s="408">
        <v>0</v>
      </c>
      <c r="CX89" s="408">
        <v>0</v>
      </c>
      <c r="CY89" s="408">
        <v>0</v>
      </c>
      <c r="CZ89" s="408">
        <v>-5.9217037289454311</v>
      </c>
      <c r="DA89" s="408">
        <v>0</v>
      </c>
      <c r="DB89" s="408">
        <v>0</v>
      </c>
      <c r="DC89" s="408">
        <v>170.12123576101749</v>
      </c>
      <c r="DD89" s="408">
        <v>0</v>
      </c>
      <c r="DE89" s="408">
        <v>0</v>
      </c>
      <c r="DF89" s="408">
        <v>0.98823872214290098</v>
      </c>
      <c r="DG89" s="408">
        <v>24.039808901116146</v>
      </c>
      <c r="DH89" s="408">
        <v>0</v>
      </c>
      <c r="DI89" s="408">
        <v>-40.689165618128982</v>
      </c>
      <c r="DJ89" s="408"/>
      <c r="DK89" s="408">
        <v>0</v>
      </c>
      <c r="DL89" s="408">
        <v>0</v>
      </c>
      <c r="DM89" s="408">
        <v>0</v>
      </c>
      <c r="DN89" s="408">
        <v>0</v>
      </c>
      <c r="DO89" s="408">
        <v>-5.5511070592182108</v>
      </c>
      <c r="DP89" s="408">
        <v>-1.4935693218553219</v>
      </c>
      <c r="DQ89" s="408">
        <v>0</v>
      </c>
      <c r="DR89" s="408">
        <v>0</v>
      </c>
      <c r="DS89" s="408"/>
      <c r="DT89" s="408"/>
      <c r="DU89" s="408"/>
      <c r="DV89" s="408">
        <v>5076.2306965783227</v>
      </c>
      <c r="DW89" s="408">
        <v>0</v>
      </c>
      <c r="DX89" s="408">
        <v>0</v>
      </c>
      <c r="DY89" s="408">
        <v>-3438.2248799999998</v>
      </c>
      <c r="DZ89" s="408">
        <v>170.19756000000007</v>
      </c>
      <c r="EA89" s="408">
        <v>0</v>
      </c>
      <c r="EB89" s="408">
        <v>0</v>
      </c>
      <c r="EC89" s="408">
        <v>-3409.5755703858104</v>
      </c>
      <c r="ED89" s="408">
        <v>0</v>
      </c>
      <c r="EE89" s="408">
        <v>0</v>
      </c>
      <c r="EF89" s="408">
        <v>0</v>
      </c>
      <c r="EG89" s="408">
        <v>0</v>
      </c>
      <c r="EH89" s="408">
        <v>0</v>
      </c>
      <c r="EI89" s="408">
        <v>0</v>
      </c>
      <c r="EJ89" s="408">
        <v>0</v>
      </c>
      <c r="EK89" s="408">
        <v>0</v>
      </c>
      <c r="EL89" s="408">
        <v>0</v>
      </c>
      <c r="EM89" s="408">
        <v>0</v>
      </c>
      <c r="EN89" s="408">
        <v>0</v>
      </c>
      <c r="EO89" s="408">
        <v>0</v>
      </c>
      <c r="EP89" s="408">
        <v>0</v>
      </c>
      <c r="EQ89" s="408">
        <v>0</v>
      </c>
      <c r="ER89" s="408">
        <v>0</v>
      </c>
      <c r="ES89" s="408">
        <v>0</v>
      </c>
      <c r="ET89" s="408">
        <v>0</v>
      </c>
      <c r="EU89" s="408">
        <v>0</v>
      </c>
      <c r="EV89" s="408">
        <v>257</v>
      </c>
      <c r="EW89" s="408">
        <v>0</v>
      </c>
      <c r="EX89" s="408">
        <v>0</v>
      </c>
      <c r="EY89" s="408">
        <v>0</v>
      </c>
      <c r="EZ89" s="408"/>
      <c r="FA89" s="408">
        <v>0</v>
      </c>
      <c r="FB89" s="408"/>
      <c r="FC89" s="408"/>
      <c r="FD89" s="408"/>
      <c r="FE89" s="408"/>
      <c r="FF89" s="408">
        <v>0</v>
      </c>
      <c r="FG89" s="408">
        <v>0</v>
      </c>
      <c r="FH89" s="408">
        <v>0</v>
      </c>
      <c r="FI89" s="408">
        <v>0</v>
      </c>
    </row>
    <row r="90" spans="1:165" s="861" customFormat="1">
      <c r="A90" s="408">
        <v>88</v>
      </c>
      <c r="B90" s="408" t="s">
        <v>1035</v>
      </c>
      <c r="C90" s="408" t="s">
        <v>2241</v>
      </c>
      <c r="D90" s="408" t="s">
        <v>596</v>
      </c>
      <c r="E90" s="408" t="s">
        <v>997</v>
      </c>
      <c r="F90" s="408" t="s">
        <v>1321</v>
      </c>
      <c r="G90" s="408" t="s">
        <v>1321</v>
      </c>
      <c r="H90" s="408" t="s">
        <v>1321</v>
      </c>
      <c r="I90" s="408" t="s">
        <v>972</v>
      </c>
      <c r="J90" s="408" t="s">
        <v>2234</v>
      </c>
      <c r="K90" s="828">
        <v>44440</v>
      </c>
      <c r="L90" s="408">
        <v>0</v>
      </c>
      <c r="M90" s="408">
        <v>0</v>
      </c>
      <c r="N90" s="408">
        <v>14.045999999999999</v>
      </c>
      <c r="O90" s="408">
        <v>14.045999999999999</v>
      </c>
      <c r="P90" s="408">
        <v>14.045999999999999</v>
      </c>
      <c r="Q90" s="408">
        <v>14.045999999999999</v>
      </c>
      <c r="R90" s="408"/>
      <c r="S90" s="408">
        <v>3130.62</v>
      </c>
      <c r="T90" s="408">
        <v>256.55</v>
      </c>
      <c r="U90" s="408"/>
      <c r="V90" s="408">
        <v>47576.18982</v>
      </c>
      <c r="W90" s="408">
        <v>47576.18982</v>
      </c>
      <c r="X90" s="408">
        <v>25038.820979999997</v>
      </c>
      <c r="Y90" s="408">
        <v>0</v>
      </c>
      <c r="Z90" s="408">
        <v>751.22183617675535</v>
      </c>
      <c r="AA90" s="408">
        <v>0</v>
      </c>
      <c r="AB90" s="408">
        <v>0</v>
      </c>
      <c r="AC90" s="408">
        <v>0</v>
      </c>
      <c r="AD90" s="408">
        <v>9048.6271369543665</v>
      </c>
      <c r="AE90" s="408">
        <v>33768.672120759111</v>
      </c>
      <c r="AF90" s="408">
        <v>3603.5367202484026</v>
      </c>
      <c r="AG90" s="408">
        <v>0</v>
      </c>
      <c r="AH90" s="408">
        <v>0</v>
      </c>
      <c r="AI90" s="408">
        <v>0</v>
      </c>
      <c r="AJ90" s="408">
        <v>0</v>
      </c>
      <c r="AK90" s="408">
        <v>0</v>
      </c>
      <c r="AL90" s="408">
        <v>133.49688870865768</v>
      </c>
      <c r="AM90" s="408"/>
      <c r="AN90" s="408">
        <v>18.948826457167694</v>
      </c>
      <c r="AO90" s="408">
        <v>0</v>
      </c>
      <c r="AP90" s="408">
        <v>0</v>
      </c>
      <c r="AQ90" s="408">
        <v>0</v>
      </c>
      <c r="AR90" s="408">
        <v>0</v>
      </c>
      <c r="AS90" s="408">
        <v>0</v>
      </c>
      <c r="AT90" s="408">
        <v>0</v>
      </c>
      <c r="AU90" s="408">
        <v>0</v>
      </c>
      <c r="AV90" s="408">
        <v>0</v>
      </c>
      <c r="AW90" s="408">
        <v>0</v>
      </c>
      <c r="AX90" s="408">
        <v>0</v>
      </c>
      <c r="AY90" s="408">
        <v>0</v>
      </c>
      <c r="AZ90" s="408">
        <v>0</v>
      </c>
      <c r="BA90" s="408"/>
      <c r="BB90" s="408">
        <v>0</v>
      </c>
      <c r="BC90" s="408">
        <v>0</v>
      </c>
      <c r="BD90" s="408">
        <v>17.305026200878846</v>
      </c>
      <c r="BE90" s="408">
        <v>0</v>
      </c>
      <c r="BF90" s="408">
        <v>0</v>
      </c>
      <c r="BG90" s="408">
        <v>234.41774202342356</v>
      </c>
      <c r="BH90" s="408">
        <v>0</v>
      </c>
      <c r="BI90" s="408">
        <v>0</v>
      </c>
      <c r="BJ90" s="408">
        <v>0</v>
      </c>
      <c r="BK90" s="408">
        <v>0</v>
      </c>
      <c r="BL90" s="408">
        <v>0</v>
      </c>
      <c r="BM90" s="408"/>
      <c r="BN90" s="408"/>
      <c r="BO90" s="408"/>
      <c r="BP90" s="408"/>
      <c r="BQ90" s="408"/>
      <c r="BR90" s="408"/>
      <c r="BS90" s="408"/>
      <c r="BT90" s="408"/>
      <c r="BU90" s="408"/>
      <c r="BV90" s="408">
        <v>3855.259488472705</v>
      </c>
      <c r="BW90" s="408"/>
      <c r="BX90" s="408"/>
      <c r="BY90" s="408"/>
      <c r="BZ90" s="408"/>
      <c r="CA90" s="408"/>
      <c r="CB90" s="408"/>
      <c r="CC90" s="408"/>
      <c r="CD90" s="408"/>
      <c r="CE90" s="408"/>
      <c r="CF90" s="408"/>
      <c r="CG90" s="408"/>
      <c r="CH90" s="408"/>
      <c r="CI90" s="408">
        <v>25045.951500000003</v>
      </c>
      <c r="CJ90" s="408">
        <v>-22530.268320000003</v>
      </c>
      <c r="CK90" s="408"/>
      <c r="CL90" s="408"/>
      <c r="CM90" s="408"/>
      <c r="CN90" s="408"/>
      <c r="CO90" s="408">
        <v>-22761.964379999998</v>
      </c>
      <c r="CP90" s="408">
        <v>224.59554000000011</v>
      </c>
      <c r="CQ90" s="408">
        <v>30</v>
      </c>
      <c r="CR90" s="408">
        <v>144.02629608606185</v>
      </c>
      <c r="CS90" s="408">
        <v>0</v>
      </c>
      <c r="CT90" s="408">
        <v>0</v>
      </c>
      <c r="CU90" s="408">
        <v>0</v>
      </c>
      <c r="CV90" s="408">
        <v>0</v>
      </c>
      <c r="CW90" s="408">
        <v>0</v>
      </c>
      <c r="CX90" s="408">
        <v>0</v>
      </c>
      <c r="CY90" s="408">
        <v>0</v>
      </c>
      <c r="CZ90" s="408">
        <v>-40.900363774773723</v>
      </c>
      <c r="DA90" s="408">
        <v>0</v>
      </c>
      <c r="DB90" s="408">
        <v>0</v>
      </c>
      <c r="DC90" s="408">
        <v>224.49482126073372</v>
      </c>
      <c r="DD90" s="408">
        <v>0</v>
      </c>
      <c r="DE90" s="408">
        <v>0</v>
      </c>
      <c r="DF90" s="408">
        <v>1.0780766412201217</v>
      </c>
      <c r="DG90" s="408">
        <v>14.603866473786326</v>
      </c>
      <c r="DH90" s="408">
        <v>0</v>
      </c>
      <c r="DI90" s="408">
        <v>-46.713868624281531</v>
      </c>
      <c r="DJ90" s="408"/>
      <c r="DK90" s="408">
        <v>0</v>
      </c>
      <c r="DL90" s="408">
        <v>0</v>
      </c>
      <c r="DM90" s="408">
        <v>0</v>
      </c>
      <c r="DN90" s="408">
        <v>0</v>
      </c>
      <c r="DO90" s="408">
        <v>-7.3253334981002354</v>
      </c>
      <c r="DP90" s="408">
        <v>-1.2109023925211559</v>
      </c>
      <c r="DQ90" s="408">
        <v>0</v>
      </c>
      <c r="DR90" s="408">
        <v>0</v>
      </c>
      <c r="DS90" s="408"/>
      <c r="DT90" s="408"/>
      <c r="DU90" s="408"/>
      <c r="DV90" s="408">
        <v>33768.672120759111</v>
      </c>
      <c r="DW90" s="408">
        <v>0</v>
      </c>
      <c r="DX90" s="408">
        <v>0</v>
      </c>
      <c r="DY90" s="408">
        <v>-22761.964379999998</v>
      </c>
      <c r="DZ90" s="408">
        <v>224.59554000000026</v>
      </c>
      <c r="EA90" s="408">
        <v>0</v>
      </c>
      <c r="EB90" s="408">
        <v>0</v>
      </c>
      <c r="EC90" s="408">
        <v>-22681.561652609191</v>
      </c>
      <c r="ED90" s="408">
        <v>0</v>
      </c>
      <c r="EE90" s="408">
        <v>0</v>
      </c>
      <c r="EF90" s="408">
        <v>0</v>
      </c>
      <c r="EG90" s="408">
        <v>0</v>
      </c>
      <c r="EH90" s="408">
        <v>0</v>
      </c>
      <c r="EI90" s="408">
        <v>0</v>
      </c>
      <c r="EJ90" s="408">
        <v>0</v>
      </c>
      <c r="EK90" s="408">
        <v>0</v>
      </c>
      <c r="EL90" s="408">
        <v>0</v>
      </c>
      <c r="EM90" s="408">
        <v>0</v>
      </c>
      <c r="EN90" s="408">
        <v>0</v>
      </c>
      <c r="EO90" s="408">
        <v>0</v>
      </c>
      <c r="EP90" s="408">
        <v>0</v>
      </c>
      <c r="EQ90" s="408">
        <v>0</v>
      </c>
      <c r="ER90" s="408">
        <v>0</v>
      </c>
      <c r="ES90" s="408">
        <v>0</v>
      </c>
      <c r="ET90" s="408">
        <v>0</v>
      </c>
      <c r="EU90" s="408">
        <v>0</v>
      </c>
      <c r="EV90" s="408">
        <v>257</v>
      </c>
      <c r="EW90" s="408">
        <v>0</v>
      </c>
      <c r="EX90" s="408">
        <v>0</v>
      </c>
      <c r="EY90" s="408">
        <v>0</v>
      </c>
      <c r="EZ90" s="408"/>
      <c r="FA90" s="408">
        <v>0</v>
      </c>
      <c r="FB90" s="408"/>
      <c r="FC90" s="408"/>
      <c r="FD90" s="408"/>
      <c r="FE90" s="408"/>
      <c r="FF90" s="408">
        <v>0</v>
      </c>
      <c r="FG90" s="408">
        <v>0</v>
      </c>
      <c r="FH90" s="408">
        <v>0</v>
      </c>
      <c r="FI90" s="408">
        <v>0</v>
      </c>
    </row>
    <row r="91" spans="1:165" s="861" customFormat="1">
      <c r="A91" s="408">
        <v>89</v>
      </c>
      <c r="B91" s="408" t="s">
        <v>1035</v>
      </c>
      <c r="C91" s="408" t="s">
        <v>2241</v>
      </c>
      <c r="D91" s="408" t="s">
        <v>596</v>
      </c>
      <c r="E91" s="408" t="s">
        <v>997</v>
      </c>
      <c r="F91" s="408" t="s">
        <v>1321</v>
      </c>
      <c r="G91" s="408" t="s">
        <v>1321</v>
      </c>
      <c r="H91" s="408" t="s">
        <v>1321</v>
      </c>
      <c r="I91" s="408" t="s">
        <v>2242</v>
      </c>
      <c r="J91" s="408" t="s">
        <v>2234</v>
      </c>
      <c r="K91" s="828">
        <v>44440</v>
      </c>
      <c r="L91" s="408">
        <v>0</v>
      </c>
      <c r="M91" s="408">
        <v>0</v>
      </c>
      <c r="N91" s="408">
        <v>108.3</v>
      </c>
      <c r="O91" s="408">
        <v>108.3</v>
      </c>
      <c r="P91" s="408">
        <v>108.3</v>
      </c>
      <c r="Q91" s="408">
        <v>108.3</v>
      </c>
      <c r="R91" s="408"/>
      <c r="S91" s="408">
        <v>82.26</v>
      </c>
      <c r="T91" s="408">
        <v>256.55</v>
      </c>
      <c r="U91" s="408"/>
      <c r="V91" s="408">
        <v>36693.123</v>
      </c>
      <c r="W91" s="408">
        <v>36693.123</v>
      </c>
      <c r="X91" s="408">
        <v>38119.434000000001</v>
      </c>
      <c r="Y91" s="408">
        <v>0</v>
      </c>
      <c r="Z91" s="408">
        <v>5792.2059559976224</v>
      </c>
      <c r="AA91" s="408">
        <v>0</v>
      </c>
      <c r="AB91" s="408">
        <v>0</v>
      </c>
      <c r="AC91" s="408">
        <v>0</v>
      </c>
      <c r="AD91" s="408">
        <v>0</v>
      </c>
      <c r="AE91" s="408">
        <v>0</v>
      </c>
      <c r="AF91" s="408">
        <v>27784.638103581234</v>
      </c>
      <c r="AG91" s="408">
        <v>0</v>
      </c>
      <c r="AH91" s="408">
        <v>0</v>
      </c>
      <c r="AI91" s="408">
        <v>0</v>
      </c>
      <c r="AJ91" s="408">
        <v>0</v>
      </c>
      <c r="AK91" s="408">
        <v>0</v>
      </c>
      <c r="AL91" s="408">
        <v>1029.3117647122046</v>
      </c>
      <c r="AM91" s="408"/>
      <c r="AN91" s="408">
        <v>146.10265593843525</v>
      </c>
      <c r="AO91" s="408">
        <v>0</v>
      </c>
      <c r="AP91" s="408">
        <v>0</v>
      </c>
      <c r="AQ91" s="408">
        <v>0</v>
      </c>
      <c r="AR91" s="408">
        <v>0</v>
      </c>
      <c r="AS91" s="408">
        <v>0</v>
      </c>
      <c r="AT91" s="408">
        <v>0</v>
      </c>
      <c r="AU91" s="408">
        <v>0</v>
      </c>
      <c r="AV91" s="408">
        <v>0</v>
      </c>
      <c r="AW91" s="408">
        <v>0</v>
      </c>
      <c r="AX91" s="408">
        <v>0</v>
      </c>
      <c r="AY91" s="408">
        <v>0</v>
      </c>
      <c r="AZ91" s="408">
        <v>0</v>
      </c>
      <c r="BA91" s="408"/>
      <c r="BB91" s="408">
        <v>0</v>
      </c>
      <c r="BC91" s="408">
        <v>0</v>
      </c>
      <c r="BD91" s="408">
        <v>133.42833102343579</v>
      </c>
      <c r="BE91" s="408">
        <v>0</v>
      </c>
      <c r="BF91" s="408">
        <v>0</v>
      </c>
      <c r="BG91" s="408">
        <v>1807.4499117995708</v>
      </c>
      <c r="BH91" s="408">
        <v>0</v>
      </c>
      <c r="BI91" s="408">
        <v>0</v>
      </c>
      <c r="BJ91" s="408">
        <v>0</v>
      </c>
      <c r="BK91" s="408">
        <v>0</v>
      </c>
      <c r="BL91" s="408">
        <v>0</v>
      </c>
      <c r="BM91" s="408"/>
      <c r="BN91" s="408"/>
      <c r="BO91" s="408"/>
      <c r="BP91" s="408"/>
      <c r="BQ91" s="408"/>
      <c r="BR91" s="408"/>
      <c r="BS91" s="408"/>
      <c r="BT91" s="408"/>
      <c r="BU91" s="408"/>
      <c r="BV91" s="408">
        <v>29725.516346404238</v>
      </c>
      <c r="BW91" s="408"/>
      <c r="BX91" s="408"/>
      <c r="BY91" s="408"/>
      <c r="BZ91" s="408"/>
      <c r="CA91" s="408"/>
      <c r="CB91" s="408"/>
      <c r="CC91" s="408"/>
      <c r="CD91" s="408"/>
      <c r="CE91" s="408"/>
      <c r="CF91" s="408"/>
      <c r="CG91" s="408"/>
      <c r="CH91" s="408"/>
      <c r="CI91" s="408">
        <v>38119.434000000001</v>
      </c>
      <c r="CJ91" s="408">
        <v>1426.2809999999954</v>
      </c>
      <c r="CK91" s="408"/>
      <c r="CL91" s="408"/>
      <c r="CM91" s="408"/>
      <c r="CN91" s="408"/>
      <c r="CO91" s="408">
        <v>-305.4060000000008</v>
      </c>
      <c r="CP91" s="408">
        <v>1731.717000000001</v>
      </c>
      <c r="CQ91" s="408">
        <v>30</v>
      </c>
      <c r="CR91" s="408">
        <v>1425.8548528355896</v>
      </c>
      <c r="CS91" s="408">
        <v>0</v>
      </c>
      <c r="CT91" s="408">
        <v>0</v>
      </c>
      <c r="CU91" s="408">
        <v>0</v>
      </c>
      <c r="CV91" s="408">
        <v>0</v>
      </c>
      <c r="CW91" s="408">
        <v>0</v>
      </c>
      <c r="CX91" s="408">
        <v>0</v>
      </c>
      <c r="CY91" s="408">
        <v>0</v>
      </c>
      <c r="CZ91" s="408">
        <v>0</v>
      </c>
      <c r="DA91" s="408">
        <v>0</v>
      </c>
      <c r="DB91" s="408">
        <v>0</v>
      </c>
      <c r="DC91" s="408">
        <v>1730.940420229068</v>
      </c>
      <c r="DD91" s="408">
        <v>0</v>
      </c>
      <c r="DE91" s="408">
        <v>0</v>
      </c>
      <c r="DF91" s="408">
        <v>8.3123807663490936</v>
      </c>
      <c r="DG91" s="408">
        <v>112.60136260223976</v>
      </c>
      <c r="DH91" s="408">
        <v>0</v>
      </c>
      <c r="DI91" s="408">
        <v>-360.18168674424669</v>
      </c>
      <c r="DJ91" s="408"/>
      <c r="DK91" s="408">
        <v>0</v>
      </c>
      <c r="DL91" s="408">
        <v>0</v>
      </c>
      <c r="DM91" s="408">
        <v>0</v>
      </c>
      <c r="DN91" s="408">
        <v>0</v>
      </c>
      <c r="DO91" s="408">
        <v>-56.48110621132389</v>
      </c>
      <c r="DP91" s="408">
        <v>-9.3365178064958911</v>
      </c>
      <c r="DQ91" s="408">
        <v>0</v>
      </c>
      <c r="DR91" s="408">
        <v>0</v>
      </c>
      <c r="DS91" s="408"/>
      <c r="DT91" s="408"/>
      <c r="DU91" s="408"/>
      <c r="DV91" s="408">
        <v>0</v>
      </c>
      <c r="DW91" s="408">
        <v>0</v>
      </c>
      <c r="DX91" s="408">
        <v>0</v>
      </c>
      <c r="DY91" s="408">
        <v>-305.40600000000086</v>
      </c>
      <c r="DZ91" s="408">
        <v>1731.7170000000006</v>
      </c>
      <c r="EA91" s="408">
        <v>0</v>
      </c>
      <c r="EB91" s="408">
        <v>0</v>
      </c>
      <c r="EC91" s="408">
        <v>0</v>
      </c>
      <c r="ED91" s="408">
        <v>0</v>
      </c>
      <c r="EE91" s="408">
        <v>0</v>
      </c>
      <c r="EF91" s="408">
        <v>0</v>
      </c>
      <c r="EG91" s="408">
        <v>0</v>
      </c>
      <c r="EH91" s="408">
        <v>0</v>
      </c>
      <c r="EI91" s="408">
        <v>0</v>
      </c>
      <c r="EJ91" s="408">
        <v>0</v>
      </c>
      <c r="EK91" s="408">
        <v>0</v>
      </c>
      <c r="EL91" s="408">
        <v>0</v>
      </c>
      <c r="EM91" s="408">
        <v>0</v>
      </c>
      <c r="EN91" s="408">
        <v>0</v>
      </c>
      <c r="EO91" s="408">
        <v>0</v>
      </c>
      <c r="EP91" s="408">
        <v>0</v>
      </c>
      <c r="EQ91" s="408">
        <v>0</v>
      </c>
      <c r="ER91" s="408">
        <v>0</v>
      </c>
      <c r="ES91" s="408">
        <v>0</v>
      </c>
      <c r="ET91" s="408">
        <v>0</v>
      </c>
      <c r="EU91" s="408">
        <v>0</v>
      </c>
      <c r="EV91" s="408">
        <v>257</v>
      </c>
      <c r="EW91" s="408">
        <v>0</v>
      </c>
      <c r="EX91" s="408">
        <v>0</v>
      </c>
      <c r="EY91" s="408">
        <v>0</v>
      </c>
      <c r="EZ91" s="408"/>
      <c r="FA91" s="408">
        <v>0</v>
      </c>
      <c r="FB91" s="408"/>
      <c r="FC91" s="408"/>
      <c r="FD91" s="408"/>
      <c r="FE91" s="408"/>
      <c r="FF91" s="408">
        <v>0</v>
      </c>
      <c r="FG91" s="408">
        <v>0</v>
      </c>
      <c r="FH91" s="408">
        <v>0</v>
      </c>
      <c r="FI91" s="408">
        <v>0</v>
      </c>
    </row>
    <row r="92" spans="1:165" s="861" customFormat="1">
      <c r="A92" s="408">
        <v>90</v>
      </c>
      <c r="B92" s="408" t="s">
        <v>1035</v>
      </c>
      <c r="C92" s="408" t="s">
        <v>2241</v>
      </c>
      <c r="D92" s="408" t="s">
        <v>596</v>
      </c>
      <c r="E92" s="408" t="s">
        <v>997</v>
      </c>
      <c r="F92" s="408" t="s">
        <v>1321</v>
      </c>
      <c r="G92" s="408" t="s">
        <v>1321</v>
      </c>
      <c r="H92" s="408" t="s">
        <v>1321</v>
      </c>
      <c r="I92" s="408" t="s">
        <v>1321</v>
      </c>
      <c r="J92" s="408" t="s">
        <v>2234</v>
      </c>
      <c r="K92" s="828">
        <v>44440</v>
      </c>
      <c r="L92" s="408">
        <v>923</v>
      </c>
      <c r="M92" s="408">
        <v>923</v>
      </c>
      <c r="N92" s="408">
        <v>0</v>
      </c>
      <c r="O92" s="408">
        <v>0</v>
      </c>
      <c r="P92" s="408">
        <v>0</v>
      </c>
      <c r="Q92" s="408">
        <v>0</v>
      </c>
      <c r="R92" s="408">
        <v>47.39</v>
      </c>
      <c r="S92" s="408"/>
      <c r="T92" s="408"/>
      <c r="U92" s="408">
        <v>43740.97</v>
      </c>
      <c r="V92" s="408"/>
      <c r="W92" s="408">
        <v>43740.97</v>
      </c>
      <c r="X92" s="408">
        <v>29739.059999999998</v>
      </c>
      <c r="Y92" s="408">
        <v>0</v>
      </c>
      <c r="Z92" s="408">
        <v>0</v>
      </c>
      <c r="AA92" s="408">
        <v>0</v>
      </c>
      <c r="AB92" s="408">
        <v>0</v>
      </c>
      <c r="AC92" s="408">
        <v>0</v>
      </c>
      <c r="AD92" s="408">
        <v>23047.402465646839</v>
      </c>
      <c r="AE92" s="408">
        <v>20693.537467808328</v>
      </c>
      <c r="AF92" s="408"/>
      <c r="AG92" s="408"/>
      <c r="AH92" s="408"/>
      <c r="AI92" s="408">
        <v>0</v>
      </c>
      <c r="AJ92" s="408">
        <v>0</v>
      </c>
      <c r="AK92" s="408">
        <v>0</v>
      </c>
      <c r="AL92" s="408">
        <v>0</v>
      </c>
      <c r="AM92" s="408"/>
      <c r="AN92" s="408">
        <v>0</v>
      </c>
      <c r="AO92" s="408">
        <v>0</v>
      </c>
      <c r="AP92" s="408">
        <v>0</v>
      </c>
      <c r="AQ92" s="408">
        <v>0</v>
      </c>
      <c r="AR92" s="408">
        <v>0</v>
      </c>
      <c r="AS92" s="408"/>
      <c r="AT92" s="408"/>
      <c r="AU92" s="408">
        <v>0</v>
      </c>
      <c r="AV92" s="408">
        <v>0</v>
      </c>
      <c r="AW92" s="408">
        <v>0</v>
      </c>
      <c r="AX92" s="408"/>
      <c r="AY92" s="408"/>
      <c r="AZ92" s="408">
        <v>0</v>
      </c>
      <c r="BA92" s="408"/>
      <c r="BB92" s="408">
        <v>0</v>
      </c>
      <c r="BC92" s="408">
        <v>0</v>
      </c>
      <c r="BD92" s="408">
        <v>0</v>
      </c>
      <c r="BE92" s="408">
        <v>0</v>
      </c>
      <c r="BF92" s="408"/>
      <c r="BG92" s="408">
        <v>0</v>
      </c>
      <c r="BH92" s="408">
        <v>0</v>
      </c>
      <c r="BI92" s="408">
        <v>179.03</v>
      </c>
      <c r="BJ92" s="408">
        <v>62.93</v>
      </c>
      <c r="BK92" s="408">
        <v>46641.55</v>
      </c>
      <c r="BL92" s="408">
        <v>11</v>
      </c>
      <c r="BM92" s="408"/>
      <c r="BN92" s="408"/>
      <c r="BO92" s="408"/>
      <c r="BP92" s="408"/>
      <c r="BQ92" s="408"/>
      <c r="BR92" s="408"/>
      <c r="BS92" s="408"/>
      <c r="BT92" s="408"/>
      <c r="BU92" s="408"/>
      <c r="BV92" s="408">
        <v>0</v>
      </c>
      <c r="BW92" s="408"/>
      <c r="BX92" s="408"/>
      <c r="BY92" s="408"/>
      <c r="BZ92" s="408"/>
      <c r="CA92" s="408"/>
      <c r="CB92" s="408"/>
      <c r="CC92" s="408"/>
      <c r="CD92" s="408"/>
      <c r="CE92" s="408"/>
      <c r="CF92" s="408"/>
      <c r="CG92" s="408"/>
      <c r="CH92" s="408"/>
      <c r="CI92" s="408">
        <v>29739.059999999998</v>
      </c>
      <c r="CJ92" s="408">
        <v>-14001.94000000001</v>
      </c>
      <c r="CK92" s="408"/>
      <c r="CL92" s="408"/>
      <c r="CM92" s="408"/>
      <c r="CN92" s="408"/>
      <c r="CO92" s="408">
        <v>-14001.910000000002</v>
      </c>
      <c r="CP92" s="408">
        <v>0</v>
      </c>
      <c r="CQ92" s="408">
        <v>30</v>
      </c>
      <c r="CR92" s="408">
        <v>-104.1757087170663</v>
      </c>
      <c r="CS92" s="408">
        <v>0</v>
      </c>
      <c r="CT92" s="408">
        <v>0</v>
      </c>
      <c r="CU92" s="408">
        <v>0</v>
      </c>
      <c r="CV92" s="408">
        <v>0</v>
      </c>
      <c r="CW92" s="408"/>
      <c r="CX92" s="408"/>
      <c r="CY92" s="408"/>
      <c r="CZ92" s="408">
        <v>-104.1757087170663</v>
      </c>
      <c r="DA92" s="408">
        <v>0</v>
      </c>
      <c r="DB92" s="408">
        <v>0</v>
      </c>
      <c r="DC92" s="408"/>
      <c r="DD92" s="408"/>
      <c r="DE92" s="408">
        <v>0</v>
      </c>
      <c r="DF92" s="408">
        <v>0</v>
      </c>
      <c r="DG92" s="408">
        <v>0</v>
      </c>
      <c r="DH92" s="408">
        <v>0</v>
      </c>
      <c r="DI92" s="408">
        <v>0</v>
      </c>
      <c r="DJ92" s="408"/>
      <c r="DK92" s="408">
        <v>0</v>
      </c>
      <c r="DL92" s="408">
        <v>0</v>
      </c>
      <c r="DM92" s="408"/>
      <c r="DN92" s="408">
        <v>0</v>
      </c>
      <c r="DO92" s="408">
        <v>0</v>
      </c>
      <c r="DP92" s="408">
        <v>0</v>
      </c>
      <c r="DQ92" s="408">
        <v>0</v>
      </c>
      <c r="DR92" s="408">
        <v>0</v>
      </c>
      <c r="DS92" s="408"/>
      <c r="DT92" s="408"/>
      <c r="DU92" s="408">
        <v>20693.537467808328</v>
      </c>
      <c r="DV92" s="408"/>
      <c r="DW92" s="408">
        <v>0</v>
      </c>
      <c r="DX92" s="408">
        <v>0</v>
      </c>
      <c r="DY92" s="408">
        <v>-14001.910000000003</v>
      </c>
      <c r="DZ92" s="408"/>
      <c r="EA92" s="408">
        <v>0</v>
      </c>
      <c r="EB92" s="408"/>
      <c r="EC92" s="408">
        <v>-13899.324918913102</v>
      </c>
      <c r="ED92" s="408"/>
      <c r="EE92" s="408">
        <v>0</v>
      </c>
      <c r="EF92" s="408">
        <v>0</v>
      </c>
      <c r="EG92" s="408"/>
      <c r="EH92" s="408">
        <v>0</v>
      </c>
      <c r="EI92" s="408">
        <v>0</v>
      </c>
      <c r="EJ92" s="408">
        <v>0</v>
      </c>
      <c r="EK92" s="408">
        <v>0</v>
      </c>
      <c r="EL92" s="408">
        <v>0</v>
      </c>
      <c r="EM92" s="408"/>
      <c r="EN92" s="408"/>
      <c r="EO92" s="408">
        <v>0</v>
      </c>
      <c r="EP92" s="408">
        <v>0</v>
      </c>
      <c r="EQ92" s="408"/>
      <c r="ER92" s="408">
        <v>0</v>
      </c>
      <c r="ES92" s="408"/>
      <c r="ET92" s="408">
        <v>0</v>
      </c>
      <c r="EU92" s="408"/>
      <c r="EV92" s="408">
        <v>257</v>
      </c>
      <c r="EW92" s="408"/>
      <c r="EX92" s="408"/>
      <c r="EY92" s="408"/>
      <c r="EZ92" s="408"/>
      <c r="FA92" s="408">
        <v>0</v>
      </c>
      <c r="FB92" s="408"/>
      <c r="FC92" s="408"/>
      <c r="FD92" s="408"/>
      <c r="FE92" s="408"/>
      <c r="FF92" s="408">
        <v>0</v>
      </c>
      <c r="FG92" s="408">
        <v>0</v>
      </c>
      <c r="FH92" s="408">
        <v>0</v>
      </c>
      <c r="FI92" s="408">
        <v>0</v>
      </c>
    </row>
    <row r="93" spans="1:165" s="861" customFormat="1">
      <c r="A93" s="408">
        <v>91</v>
      </c>
      <c r="B93" s="408" t="s">
        <v>2236</v>
      </c>
      <c r="C93" s="408" t="s">
        <v>2241</v>
      </c>
      <c r="D93" s="408" t="s">
        <v>596</v>
      </c>
      <c r="E93" s="408" t="s">
        <v>997</v>
      </c>
      <c r="F93" s="408" t="s">
        <v>1321</v>
      </c>
      <c r="G93" s="408" t="s">
        <v>1321</v>
      </c>
      <c r="H93" s="408" t="s">
        <v>1321</v>
      </c>
      <c r="I93" s="408" t="s">
        <v>1321</v>
      </c>
      <c r="J93" s="408" t="s">
        <v>2234</v>
      </c>
      <c r="K93" s="828">
        <v>44440</v>
      </c>
      <c r="L93" s="408">
        <v>60</v>
      </c>
      <c r="M93" s="408">
        <v>60</v>
      </c>
      <c r="N93" s="408">
        <v>0</v>
      </c>
      <c r="O93" s="408">
        <v>0</v>
      </c>
      <c r="P93" s="408">
        <v>0</v>
      </c>
      <c r="Q93" s="408">
        <v>0</v>
      </c>
      <c r="R93" s="408">
        <v>47.39</v>
      </c>
      <c r="S93" s="408"/>
      <c r="T93" s="408"/>
      <c r="U93" s="408">
        <v>2843.4</v>
      </c>
      <c r="V93" s="408"/>
      <c r="W93" s="408">
        <v>2843.4</v>
      </c>
      <c r="X93" s="408">
        <v>1933.1999999999998</v>
      </c>
      <c r="Y93" s="408">
        <v>0</v>
      </c>
      <c r="Z93" s="408">
        <v>0</v>
      </c>
      <c r="AA93" s="408">
        <v>0</v>
      </c>
      <c r="AB93" s="408">
        <v>0</v>
      </c>
      <c r="AC93" s="408">
        <v>0</v>
      </c>
      <c r="AD93" s="408">
        <v>1498.206010767942</v>
      </c>
      <c r="AE93" s="408">
        <v>1345.1920347437699</v>
      </c>
      <c r="AF93" s="408"/>
      <c r="AG93" s="408"/>
      <c r="AH93" s="408"/>
      <c r="AI93" s="408">
        <v>0</v>
      </c>
      <c r="AJ93" s="408">
        <v>0</v>
      </c>
      <c r="AK93" s="408">
        <v>0</v>
      </c>
      <c r="AL93" s="408">
        <v>0</v>
      </c>
      <c r="AM93" s="408"/>
      <c r="AN93" s="408">
        <v>0</v>
      </c>
      <c r="AO93" s="408">
        <v>0</v>
      </c>
      <c r="AP93" s="408">
        <v>0</v>
      </c>
      <c r="AQ93" s="408">
        <v>0</v>
      </c>
      <c r="AR93" s="408">
        <v>0</v>
      </c>
      <c r="AS93" s="408"/>
      <c r="AT93" s="408"/>
      <c r="AU93" s="408">
        <v>0</v>
      </c>
      <c r="AV93" s="408">
        <v>0</v>
      </c>
      <c r="AW93" s="408">
        <v>0</v>
      </c>
      <c r="AX93" s="408"/>
      <c r="AY93" s="408"/>
      <c r="AZ93" s="408">
        <v>0</v>
      </c>
      <c r="BA93" s="408"/>
      <c r="BB93" s="408">
        <v>0</v>
      </c>
      <c r="BC93" s="408">
        <v>0</v>
      </c>
      <c r="BD93" s="408">
        <v>0</v>
      </c>
      <c r="BE93" s="408">
        <v>0</v>
      </c>
      <c r="BF93" s="408"/>
      <c r="BG93" s="408">
        <v>0</v>
      </c>
      <c r="BH93" s="408">
        <v>0</v>
      </c>
      <c r="BI93" s="408">
        <v>2.68</v>
      </c>
      <c r="BJ93" s="408">
        <v>0.95</v>
      </c>
      <c r="BK93" s="408">
        <v>532.77</v>
      </c>
      <c r="BL93" s="408">
        <v>1</v>
      </c>
      <c r="BM93" s="408"/>
      <c r="BN93" s="408"/>
      <c r="BO93" s="408"/>
      <c r="BP93" s="408"/>
      <c r="BQ93" s="408"/>
      <c r="BR93" s="408"/>
      <c r="BS93" s="408"/>
      <c r="BT93" s="408"/>
      <c r="BU93" s="408"/>
      <c r="BV93" s="408">
        <v>0</v>
      </c>
      <c r="BW93" s="408"/>
      <c r="BX93" s="408"/>
      <c r="BY93" s="408"/>
      <c r="BZ93" s="408"/>
      <c r="CA93" s="408"/>
      <c r="CB93" s="408"/>
      <c r="CC93" s="408"/>
      <c r="CD93" s="408"/>
      <c r="CE93" s="408"/>
      <c r="CF93" s="408"/>
      <c r="CG93" s="408"/>
      <c r="CH93" s="408"/>
      <c r="CI93" s="408">
        <v>1933.1999999999998</v>
      </c>
      <c r="CJ93" s="408">
        <v>-910.23000000000093</v>
      </c>
      <c r="CK93" s="408"/>
      <c r="CL93" s="408"/>
      <c r="CM93" s="408"/>
      <c r="CN93" s="408"/>
      <c r="CO93" s="408">
        <v>-910.2</v>
      </c>
      <c r="CP93" s="408">
        <v>0</v>
      </c>
      <c r="CQ93" s="408">
        <v>30</v>
      </c>
      <c r="CR93" s="408">
        <v>-6.7719853987259739</v>
      </c>
      <c r="CS93" s="408">
        <v>0</v>
      </c>
      <c r="CT93" s="408">
        <v>0</v>
      </c>
      <c r="CU93" s="408">
        <v>0</v>
      </c>
      <c r="CV93" s="408">
        <v>0</v>
      </c>
      <c r="CW93" s="408"/>
      <c r="CX93" s="408"/>
      <c r="CY93" s="408"/>
      <c r="CZ93" s="408">
        <v>-6.7719853987259739</v>
      </c>
      <c r="DA93" s="408">
        <v>0</v>
      </c>
      <c r="DB93" s="408">
        <v>0</v>
      </c>
      <c r="DC93" s="408"/>
      <c r="DD93" s="408"/>
      <c r="DE93" s="408">
        <v>0</v>
      </c>
      <c r="DF93" s="408">
        <v>0</v>
      </c>
      <c r="DG93" s="408">
        <v>0</v>
      </c>
      <c r="DH93" s="408">
        <v>0</v>
      </c>
      <c r="DI93" s="408">
        <v>0</v>
      </c>
      <c r="DJ93" s="408"/>
      <c r="DK93" s="408">
        <v>0</v>
      </c>
      <c r="DL93" s="408">
        <v>0</v>
      </c>
      <c r="DM93" s="408"/>
      <c r="DN93" s="408">
        <v>0</v>
      </c>
      <c r="DO93" s="408">
        <v>0</v>
      </c>
      <c r="DP93" s="408">
        <v>0</v>
      </c>
      <c r="DQ93" s="408">
        <v>0</v>
      </c>
      <c r="DR93" s="408">
        <v>0</v>
      </c>
      <c r="DS93" s="408"/>
      <c r="DT93" s="408"/>
      <c r="DU93" s="408">
        <v>1345.1920347437699</v>
      </c>
      <c r="DV93" s="408"/>
      <c r="DW93" s="408">
        <v>0</v>
      </c>
      <c r="DX93" s="408">
        <v>0</v>
      </c>
      <c r="DY93" s="408">
        <v>-910.20000000000027</v>
      </c>
      <c r="DZ93" s="408"/>
      <c r="EA93" s="408">
        <v>0</v>
      </c>
      <c r="EB93" s="408"/>
      <c r="EC93" s="408">
        <v>-903.53141401385267</v>
      </c>
      <c r="ED93" s="408"/>
      <c r="EE93" s="408">
        <v>0</v>
      </c>
      <c r="EF93" s="408">
        <v>0</v>
      </c>
      <c r="EG93" s="408"/>
      <c r="EH93" s="408">
        <v>0</v>
      </c>
      <c r="EI93" s="408">
        <v>0</v>
      </c>
      <c r="EJ93" s="408">
        <v>0</v>
      </c>
      <c r="EK93" s="408">
        <v>0</v>
      </c>
      <c r="EL93" s="408">
        <v>0</v>
      </c>
      <c r="EM93" s="408"/>
      <c r="EN93" s="408"/>
      <c r="EO93" s="408">
        <v>0</v>
      </c>
      <c r="EP93" s="408">
        <v>0</v>
      </c>
      <c r="EQ93" s="408"/>
      <c r="ER93" s="408">
        <v>0</v>
      </c>
      <c r="ES93" s="408"/>
      <c r="ET93" s="408">
        <v>0</v>
      </c>
      <c r="EU93" s="408"/>
      <c r="EV93" s="408">
        <v>257</v>
      </c>
      <c r="EW93" s="408"/>
      <c r="EX93" s="408"/>
      <c r="EY93" s="408"/>
      <c r="EZ93" s="408"/>
      <c r="FA93" s="408">
        <v>0</v>
      </c>
      <c r="FB93" s="408"/>
      <c r="FC93" s="408"/>
      <c r="FD93" s="408"/>
      <c r="FE93" s="408"/>
      <c r="FF93" s="408">
        <v>0</v>
      </c>
      <c r="FG93" s="408">
        <v>0</v>
      </c>
      <c r="FH93" s="408">
        <v>0</v>
      </c>
      <c r="FI93" s="408">
        <v>0</v>
      </c>
    </row>
    <row r="94" spans="1:165" s="861" customFormat="1">
      <c r="A94" s="408">
        <v>92</v>
      </c>
      <c r="B94" s="408" t="s">
        <v>1035</v>
      </c>
      <c r="C94" s="408" t="s">
        <v>2233</v>
      </c>
      <c r="D94" s="408" t="s">
        <v>2243</v>
      </c>
      <c r="E94" s="408" t="s">
        <v>973</v>
      </c>
      <c r="F94" s="408" t="s">
        <v>1321</v>
      </c>
      <c r="G94" s="408" t="s">
        <v>1321</v>
      </c>
      <c r="H94" s="408" t="s">
        <v>1321</v>
      </c>
      <c r="I94" s="408" t="s">
        <v>1321</v>
      </c>
      <c r="J94" s="408" t="s">
        <v>2234</v>
      </c>
      <c r="K94" s="828">
        <v>44440</v>
      </c>
      <c r="L94" s="408">
        <v>0</v>
      </c>
      <c r="M94" s="408">
        <v>0</v>
      </c>
      <c r="N94" s="408">
        <v>2798.942</v>
      </c>
      <c r="O94" s="408">
        <v>2798.942</v>
      </c>
      <c r="P94" s="408">
        <v>2798.942</v>
      </c>
      <c r="Q94" s="408">
        <v>2798.942</v>
      </c>
      <c r="R94" s="408"/>
      <c r="S94" s="408">
        <v>710.91</v>
      </c>
      <c r="T94" s="408">
        <v>256.55</v>
      </c>
      <c r="U94" s="408"/>
      <c r="V94" s="408">
        <v>2707864.4273199998</v>
      </c>
      <c r="W94" s="408">
        <v>2707864.4273199998</v>
      </c>
      <c r="X94" s="408">
        <v>1848505.2650600001</v>
      </c>
      <c r="Y94" s="408">
        <v>0</v>
      </c>
      <c r="Z94" s="408">
        <v>172064.06770138183</v>
      </c>
      <c r="AA94" s="408">
        <v>0</v>
      </c>
      <c r="AB94" s="408">
        <v>0</v>
      </c>
      <c r="AC94" s="408">
        <v>0</v>
      </c>
      <c r="AD94" s="408">
        <v>344501.58985782962</v>
      </c>
      <c r="AE94" s="408">
        <v>1334843.6018735741</v>
      </c>
      <c r="AF94" s="408">
        <v>718075.62828175316</v>
      </c>
      <c r="AG94" s="408">
        <v>0</v>
      </c>
      <c r="AH94" s="408">
        <v>0</v>
      </c>
      <c r="AI94" s="408">
        <v>0</v>
      </c>
      <c r="AJ94" s="408">
        <v>0</v>
      </c>
      <c r="AK94" s="408">
        <v>0</v>
      </c>
      <c r="AL94" s="408">
        <v>26601.88300412842</v>
      </c>
      <c r="AM94" s="408"/>
      <c r="AN94" s="408">
        <v>6145.9298483750154</v>
      </c>
      <c r="AO94" s="408">
        <v>0</v>
      </c>
      <c r="AP94" s="408">
        <v>0</v>
      </c>
      <c r="AQ94" s="408">
        <v>0</v>
      </c>
      <c r="AR94" s="408">
        <v>0</v>
      </c>
      <c r="AS94" s="408">
        <v>0</v>
      </c>
      <c r="AT94" s="408">
        <v>0</v>
      </c>
      <c r="AU94" s="408">
        <v>0</v>
      </c>
      <c r="AV94" s="408">
        <v>0</v>
      </c>
      <c r="AW94" s="408">
        <v>0</v>
      </c>
      <c r="AX94" s="408">
        <v>0</v>
      </c>
      <c r="AY94" s="408">
        <v>0</v>
      </c>
      <c r="AZ94" s="408">
        <v>0</v>
      </c>
      <c r="BA94" s="408"/>
      <c r="BB94" s="408">
        <v>0</v>
      </c>
      <c r="BC94" s="408">
        <v>0</v>
      </c>
      <c r="BD94" s="408">
        <v>4171.3201654141658</v>
      </c>
      <c r="BE94" s="408">
        <v>0</v>
      </c>
      <c r="BF94" s="408">
        <v>0</v>
      </c>
      <c r="BG94" s="408">
        <v>101471.17026995978</v>
      </c>
      <c r="BH94" s="408">
        <v>0</v>
      </c>
      <c r="BI94" s="408">
        <v>2364.38</v>
      </c>
      <c r="BJ94" s="408">
        <v>857.4</v>
      </c>
      <c r="BK94" s="408">
        <v>226487.29</v>
      </c>
      <c r="BL94" s="408">
        <v>10222</v>
      </c>
      <c r="BM94" s="408"/>
      <c r="BN94" s="408"/>
      <c r="BO94" s="408"/>
      <c r="BP94" s="408"/>
      <c r="BQ94" s="408"/>
      <c r="BR94" s="408">
        <v>221816.15349999993</v>
      </c>
      <c r="BS94" s="408"/>
      <c r="BT94" s="408"/>
      <c r="BU94" s="408"/>
      <c r="BV94" s="408">
        <v>823718.11871712701</v>
      </c>
      <c r="BW94" s="408"/>
      <c r="BX94" s="408"/>
      <c r="BY94" s="408"/>
      <c r="BZ94" s="408"/>
      <c r="CA94" s="408"/>
      <c r="CB94" s="408"/>
      <c r="CC94" s="408"/>
      <c r="CD94" s="408"/>
      <c r="CE94" s="408"/>
      <c r="CF94" s="408"/>
      <c r="CG94" s="408"/>
      <c r="CH94" s="408"/>
      <c r="CI94" s="408">
        <v>1626687.9492000001</v>
      </c>
      <c r="CJ94" s="408">
        <v>-756247.33133999957</v>
      </c>
      <c r="CK94" s="408"/>
      <c r="CL94" s="408"/>
      <c r="CM94" s="408"/>
      <c r="CN94" s="408"/>
      <c r="CO94" s="408">
        <v>-904114.24483999994</v>
      </c>
      <c r="CP94" s="408">
        <v>44755.082580000024</v>
      </c>
      <c r="CQ94" s="408">
        <v>30</v>
      </c>
      <c r="CR94" s="408">
        <v>37207.136890522437</v>
      </c>
      <c r="CS94" s="408">
        <v>0</v>
      </c>
      <c r="CT94" s="408">
        <v>0</v>
      </c>
      <c r="CU94" s="408">
        <v>0</v>
      </c>
      <c r="CV94" s="408">
        <v>0</v>
      </c>
      <c r="CW94" s="408">
        <v>0</v>
      </c>
      <c r="CX94" s="408">
        <v>0</v>
      </c>
      <c r="CY94" s="408">
        <v>0</v>
      </c>
      <c r="CZ94" s="408">
        <v>-1557.1688536735601</v>
      </c>
      <c r="DA94" s="408">
        <v>0</v>
      </c>
      <c r="DB94" s="408">
        <v>0</v>
      </c>
      <c r="DC94" s="408">
        <v>44735.012388520641</v>
      </c>
      <c r="DD94" s="408">
        <v>0</v>
      </c>
      <c r="DE94" s="408">
        <v>0</v>
      </c>
      <c r="DF94" s="408">
        <v>259.86686071327404</v>
      </c>
      <c r="DG94" s="408">
        <v>6321.4985724640865</v>
      </c>
      <c r="DH94" s="408">
        <v>0</v>
      </c>
      <c r="DI94" s="408">
        <v>-10699.606782557035</v>
      </c>
      <c r="DJ94" s="408"/>
      <c r="DK94" s="408">
        <v>0</v>
      </c>
      <c r="DL94" s="408">
        <v>0</v>
      </c>
      <c r="DM94" s="408">
        <v>0</v>
      </c>
      <c r="DN94" s="408">
        <v>0</v>
      </c>
      <c r="DO94" s="408">
        <v>-1459.7169010280304</v>
      </c>
      <c r="DP94" s="408">
        <v>-392.74839391698424</v>
      </c>
      <c r="DQ94" s="408">
        <v>0</v>
      </c>
      <c r="DR94" s="408">
        <v>0</v>
      </c>
      <c r="DS94" s="408"/>
      <c r="DT94" s="408"/>
      <c r="DU94" s="408"/>
      <c r="DV94" s="408">
        <v>1334843.6018735741</v>
      </c>
      <c r="DW94" s="408">
        <v>0</v>
      </c>
      <c r="DX94" s="408">
        <v>0</v>
      </c>
      <c r="DY94" s="408">
        <v>-904114.24483999982</v>
      </c>
      <c r="DZ94" s="408">
        <v>44755.082580000046</v>
      </c>
      <c r="EA94" s="408">
        <v>0</v>
      </c>
      <c r="EB94" s="408">
        <v>0</v>
      </c>
      <c r="EC94" s="408">
        <v>-896580.63379620435</v>
      </c>
      <c r="ED94" s="408">
        <v>0</v>
      </c>
      <c r="EE94" s="408">
        <v>0</v>
      </c>
      <c r="EF94" s="408">
        <v>0</v>
      </c>
      <c r="EG94" s="408">
        <v>0</v>
      </c>
      <c r="EH94" s="408">
        <v>0</v>
      </c>
      <c r="EI94" s="408">
        <v>0</v>
      </c>
      <c r="EJ94" s="408">
        <v>0</v>
      </c>
      <c r="EK94" s="408">
        <v>0</v>
      </c>
      <c r="EL94" s="408">
        <v>0</v>
      </c>
      <c r="EM94" s="408">
        <v>0</v>
      </c>
      <c r="EN94" s="408">
        <v>0</v>
      </c>
      <c r="EO94" s="408">
        <v>0</v>
      </c>
      <c r="EP94" s="408">
        <v>0</v>
      </c>
      <c r="EQ94" s="408">
        <v>0</v>
      </c>
      <c r="ER94" s="408">
        <v>0</v>
      </c>
      <c r="ES94" s="408">
        <v>0</v>
      </c>
      <c r="ET94" s="408">
        <v>0</v>
      </c>
      <c r="EU94" s="408">
        <v>0</v>
      </c>
      <c r="EV94" s="408">
        <v>257</v>
      </c>
      <c r="EW94" s="408">
        <v>0</v>
      </c>
      <c r="EX94" s="408">
        <v>0</v>
      </c>
      <c r="EY94" s="408">
        <v>0</v>
      </c>
      <c r="EZ94" s="408"/>
      <c r="FA94" s="408">
        <v>0</v>
      </c>
      <c r="FB94" s="408"/>
      <c r="FC94" s="408"/>
      <c r="FD94" s="408"/>
      <c r="FE94" s="408"/>
      <c r="FF94" s="408">
        <v>0</v>
      </c>
      <c r="FG94" s="408">
        <v>0</v>
      </c>
      <c r="FH94" s="408">
        <v>0</v>
      </c>
      <c r="FI94" s="408">
        <v>0</v>
      </c>
    </row>
    <row r="95" spans="1:165" s="861" customFormat="1">
      <c r="A95" s="408">
        <v>93</v>
      </c>
      <c r="B95" s="408" t="s">
        <v>2235</v>
      </c>
      <c r="C95" s="408" t="s">
        <v>2233</v>
      </c>
      <c r="D95" s="408" t="s">
        <v>2243</v>
      </c>
      <c r="E95" s="408" t="s">
        <v>973</v>
      </c>
      <c r="F95" s="408" t="s">
        <v>1321</v>
      </c>
      <c r="G95" s="408" t="s">
        <v>1321</v>
      </c>
      <c r="H95" s="408" t="s">
        <v>1321</v>
      </c>
      <c r="I95" s="408" t="s">
        <v>1321</v>
      </c>
      <c r="J95" s="408" t="s">
        <v>2234</v>
      </c>
      <c r="K95" s="828">
        <v>44440</v>
      </c>
      <c r="L95" s="408">
        <v>0</v>
      </c>
      <c r="M95" s="408">
        <v>0</v>
      </c>
      <c r="N95" s="408">
        <v>-12.622999999999999</v>
      </c>
      <c r="O95" s="408">
        <v>-12.622999999999999</v>
      </c>
      <c r="P95" s="408">
        <v>-12.622999999999999</v>
      </c>
      <c r="Q95" s="408">
        <v>-12.622999999999999</v>
      </c>
      <c r="R95" s="408"/>
      <c r="S95" s="408">
        <v>710.91</v>
      </c>
      <c r="T95" s="408">
        <v>256.55</v>
      </c>
      <c r="U95" s="408"/>
      <c r="V95" s="408">
        <v>-12212.247579999999</v>
      </c>
      <c r="W95" s="408">
        <v>-12212.247579999999</v>
      </c>
      <c r="X95" s="408">
        <v>-8336.6078899999993</v>
      </c>
      <c r="Y95" s="408">
        <v>0</v>
      </c>
      <c r="Z95" s="408">
        <v>-775.99490328650711</v>
      </c>
      <c r="AA95" s="408">
        <v>0</v>
      </c>
      <c r="AB95" s="408">
        <v>0</v>
      </c>
      <c r="AC95" s="408">
        <v>0</v>
      </c>
      <c r="AD95" s="408">
        <v>-1553.6740556879647</v>
      </c>
      <c r="AE95" s="408">
        <v>-6020.0357086535287</v>
      </c>
      <c r="AF95" s="408">
        <v>-3238.4624818236925</v>
      </c>
      <c r="AG95" s="408">
        <v>0</v>
      </c>
      <c r="AH95" s="408">
        <v>0</v>
      </c>
      <c r="AI95" s="408">
        <v>0</v>
      </c>
      <c r="AJ95" s="408">
        <v>0</v>
      </c>
      <c r="AK95" s="408">
        <v>0</v>
      </c>
      <c r="AL95" s="408">
        <v>-119.97232138469215</v>
      </c>
      <c r="AM95" s="408"/>
      <c r="AN95" s="408">
        <v>-27.717642050474005</v>
      </c>
      <c r="AO95" s="408">
        <v>0</v>
      </c>
      <c r="AP95" s="408">
        <v>0</v>
      </c>
      <c r="AQ95" s="408">
        <v>0</v>
      </c>
      <c r="AR95" s="408">
        <v>0</v>
      </c>
      <c r="AS95" s="408">
        <v>0</v>
      </c>
      <c r="AT95" s="408">
        <v>0</v>
      </c>
      <c r="AU95" s="408">
        <v>0</v>
      </c>
      <c r="AV95" s="408">
        <v>0</v>
      </c>
      <c r="AW95" s="408">
        <v>0</v>
      </c>
      <c r="AX95" s="408">
        <v>0</v>
      </c>
      <c r="AY95" s="408">
        <v>0</v>
      </c>
      <c r="AZ95" s="408">
        <v>0</v>
      </c>
      <c r="BA95" s="408"/>
      <c r="BB95" s="408">
        <v>0</v>
      </c>
      <c r="BC95" s="408">
        <v>0</v>
      </c>
      <c r="BD95" s="408">
        <v>-18.812313527048079</v>
      </c>
      <c r="BE95" s="408">
        <v>0</v>
      </c>
      <c r="BF95" s="408">
        <v>0</v>
      </c>
      <c r="BG95" s="408">
        <v>-457.62669691537093</v>
      </c>
      <c r="BH95" s="408">
        <v>0</v>
      </c>
      <c r="BI95" s="408">
        <v>-8.81</v>
      </c>
      <c r="BJ95" s="408">
        <v>-3.12</v>
      </c>
      <c r="BK95" s="408">
        <v>-47.05</v>
      </c>
      <c r="BL95" s="408">
        <v>0</v>
      </c>
      <c r="BM95" s="408"/>
      <c r="BN95" s="408"/>
      <c r="BO95" s="408"/>
      <c r="BP95" s="408"/>
      <c r="BQ95" s="408"/>
      <c r="BR95" s="408">
        <v>-1000.3727499999997</v>
      </c>
      <c r="BS95" s="408"/>
      <c r="BT95" s="408"/>
      <c r="BU95" s="408"/>
      <c r="BV95" s="408">
        <v>-3714.9014922661113</v>
      </c>
      <c r="BW95" s="408"/>
      <c r="BX95" s="408"/>
      <c r="BY95" s="408"/>
      <c r="BZ95" s="408"/>
      <c r="CA95" s="408"/>
      <c r="CB95" s="408"/>
      <c r="CC95" s="408"/>
      <c r="CD95" s="408"/>
      <c r="CE95" s="408"/>
      <c r="CF95" s="408"/>
      <c r="CG95" s="408"/>
      <c r="CH95" s="408"/>
      <c r="CI95" s="408">
        <v>-7334.4916000000003</v>
      </c>
      <c r="CJ95" s="408">
        <v>3412.3219099999997</v>
      </c>
      <c r="CK95" s="408"/>
      <c r="CL95" s="408"/>
      <c r="CM95" s="408"/>
      <c r="CN95" s="408"/>
      <c r="CO95" s="408">
        <v>4077.4814599999995</v>
      </c>
      <c r="CP95" s="408">
        <v>-201.84177000000011</v>
      </c>
      <c r="CQ95" s="408">
        <v>30</v>
      </c>
      <c r="CR95" s="408">
        <v>-167.80115092383585</v>
      </c>
      <c r="CS95" s="408">
        <v>0</v>
      </c>
      <c r="CT95" s="408">
        <v>0</v>
      </c>
      <c r="CU95" s="408">
        <v>0</v>
      </c>
      <c r="CV95" s="408">
        <v>0</v>
      </c>
      <c r="CW95" s="408">
        <v>0</v>
      </c>
      <c r="CX95" s="408">
        <v>0</v>
      </c>
      <c r="CY95" s="408">
        <v>0</v>
      </c>
      <c r="CZ95" s="408">
        <v>7.0227044504395053</v>
      </c>
      <c r="DA95" s="408">
        <v>0</v>
      </c>
      <c r="DB95" s="408">
        <v>0</v>
      </c>
      <c r="DC95" s="408">
        <v>-201.7512550743445</v>
      </c>
      <c r="DD95" s="408">
        <v>0</v>
      </c>
      <c r="DE95" s="408">
        <v>0</v>
      </c>
      <c r="DF95" s="408">
        <v>-1.1719783342361758</v>
      </c>
      <c r="DG95" s="408">
        <v>-28.509442668056124</v>
      </c>
      <c r="DH95" s="408">
        <v>0</v>
      </c>
      <c r="DI95" s="408">
        <v>48.254353400755576</v>
      </c>
      <c r="DJ95" s="408"/>
      <c r="DK95" s="408">
        <v>0</v>
      </c>
      <c r="DL95" s="408">
        <v>0</v>
      </c>
      <c r="DM95" s="408">
        <v>0</v>
      </c>
      <c r="DN95" s="408">
        <v>0</v>
      </c>
      <c r="DO95" s="408">
        <v>6.583204097004085</v>
      </c>
      <c r="DP95" s="408">
        <v>1.7712632046016275</v>
      </c>
      <c r="DQ95" s="408">
        <v>0</v>
      </c>
      <c r="DR95" s="408">
        <v>0</v>
      </c>
      <c r="DS95" s="408"/>
      <c r="DT95" s="408"/>
      <c r="DU95" s="408"/>
      <c r="DV95" s="408">
        <v>-6020.0357086535287</v>
      </c>
      <c r="DW95" s="408">
        <v>0</v>
      </c>
      <c r="DX95" s="408">
        <v>0</v>
      </c>
      <c r="DY95" s="408">
        <v>4077.4814599999991</v>
      </c>
      <c r="DZ95" s="408">
        <v>-201.84177000000045</v>
      </c>
      <c r="EA95" s="408">
        <v>0</v>
      </c>
      <c r="EB95" s="408">
        <v>0</v>
      </c>
      <c r="EC95" s="408">
        <v>4043.5054890060196</v>
      </c>
      <c r="ED95" s="408">
        <v>0</v>
      </c>
      <c r="EE95" s="408">
        <v>0</v>
      </c>
      <c r="EF95" s="408">
        <v>0</v>
      </c>
      <c r="EG95" s="408">
        <v>0</v>
      </c>
      <c r="EH95" s="408">
        <v>0</v>
      </c>
      <c r="EI95" s="408">
        <v>0</v>
      </c>
      <c r="EJ95" s="408">
        <v>0</v>
      </c>
      <c r="EK95" s="408">
        <v>0</v>
      </c>
      <c r="EL95" s="408">
        <v>0</v>
      </c>
      <c r="EM95" s="408">
        <v>0</v>
      </c>
      <c r="EN95" s="408">
        <v>0</v>
      </c>
      <c r="EO95" s="408">
        <v>0</v>
      </c>
      <c r="EP95" s="408">
        <v>0</v>
      </c>
      <c r="EQ95" s="408">
        <v>0</v>
      </c>
      <c r="ER95" s="408">
        <v>0</v>
      </c>
      <c r="ES95" s="408">
        <v>0</v>
      </c>
      <c r="ET95" s="408">
        <v>0</v>
      </c>
      <c r="EU95" s="408">
        <v>0</v>
      </c>
      <c r="EV95" s="408">
        <v>257</v>
      </c>
      <c r="EW95" s="408">
        <v>0</v>
      </c>
      <c r="EX95" s="408">
        <v>0</v>
      </c>
      <c r="EY95" s="408">
        <v>0</v>
      </c>
      <c r="EZ95" s="408"/>
      <c r="FA95" s="408">
        <v>0</v>
      </c>
      <c r="FB95" s="408"/>
      <c r="FC95" s="408"/>
      <c r="FD95" s="408"/>
      <c r="FE95" s="408"/>
      <c r="FF95" s="408">
        <v>0</v>
      </c>
      <c r="FG95" s="408">
        <v>0</v>
      </c>
      <c r="FH95" s="408">
        <v>0</v>
      </c>
      <c r="FI95" s="408">
        <v>0</v>
      </c>
    </row>
    <row r="96" spans="1:165" s="861" customFormat="1">
      <c r="A96" s="408">
        <v>94</v>
      </c>
      <c r="B96" s="408" t="s">
        <v>2236</v>
      </c>
      <c r="C96" s="408" t="s">
        <v>2233</v>
      </c>
      <c r="D96" s="408" t="s">
        <v>2243</v>
      </c>
      <c r="E96" s="408" t="s">
        <v>973</v>
      </c>
      <c r="F96" s="408" t="s">
        <v>1321</v>
      </c>
      <c r="G96" s="408" t="s">
        <v>1321</v>
      </c>
      <c r="H96" s="408" t="s">
        <v>1321</v>
      </c>
      <c r="I96" s="408" t="s">
        <v>1321</v>
      </c>
      <c r="J96" s="408" t="s">
        <v>2234</v>
      </c>
      <c r="K96" s="828">
        <v>44440</v>
      </c>
      <c r="L96" s="408">
        <v>0</v>
      </c>
      <c r="M96" s="408">
        <v>0</v>
      </c>
      <c r="N96" s="408">
        <v>95.204999999999998</v>
      </c>
      <c r="O96" s="408">
        <v>95.204999999999998</v>
      </c>
      <c r="P96" s="408">
        <v>95.204999999999998</v>
      </c>
      <c r="Q96" s="408">
        <v>95.204999999999998</v>
      </c>
      <c r="R96" s="408"/>
      <c r="S96" s="408">
        <v>710.91</v>
      </c>
      <c r="T96" s="408">
        <v>256.55</v>
      </c>
      <c r="U96" s="408"/>
      <c r="V96" s="408">
        <v>92107.029299999995</v>
      </c>
      <c r="W96" s="408">
        <v>92107.029299999995</v>
      </c>
      <c r="X96" s="408">
        <v>62876.238149999997</v>
      </c>
      <c r="Y96" s="408">
        <v>0</v>
      </c>
      <c r="Z96" s="408">
        <v>5852.6970424932197</v>
      </c>
      <c r="AA96" s="408">
        <v>0</v>
      </c>
      <c r="AB96" s="408">
        <v>0</v>
      </c>
      <c r="AC96" s="408">
        <v>0</v>
      </c>
      <c r="AD96" s="408">
        <v>11718.09700323003</v>
      </c>
      <c r="AE96" s="408">
        <v>45404.222422748891</v>
      </c>
      <c r="AF96" s="408">
        <v>24425.082831500011</v>
      </c>
      <c r="AG96" s="408">
        <v>0</v>
      </c>
      <c r="AH96" s="408">
        <v>0</v>
      </c>
      <c r="AI96" s="408">
        <v>0</v>
      </c>
      <c r="AJ96" s="408">
        <v>0</v>
      </c>
      <c r="AK96" s="408">
        <v>0</v>
      </c>
      <c r="AL96" s="408">
        <v>904.85343083495343</v>
      </c>
      <c r="AM96" s="408"/>
      <c r="AN96" s="408">
        <v>209.05158135271947</v>
      </c>
      <c r="AO96" s="408">
        <v>0</v>
      </c>
      <c r="AP96" s="408">
        <v>0</v>
      </c>
      <c r="AQ96" s="408">
        <v>0</v>
      </c>
      <c r="AR96" s="408">
        <v>0</v>
      </c>
      <c r="AS96" s="408">
        <v>0</v>
      </c>
      <c r="AT96" s="408">
        <v>0</v>
      </c>
      <c r="AU96" s="408">
        <v>0</v>
      </c>
      <c r="AV96" s="408">
        <v>0</v>
      </c>
      <c r="AW96" s="408">
        <v>0</v>
      </c>
      <c r="AX96" s="408">
        <v>0</v>
      </c>
      <c r="AY96" s="408">
        <v>0</v>
      </c>
      <c r="AZ96" s="408">
        <v>0</v>
      </c>
      <c r="BA96" s="408"/>
      <c r="BB96" s="408">
        <v>0</v>
      </c>
      <c r="BC96" s="408">
        <v>0</v>
      </c>
      <c r="BD96" s="408">
        <v>141.88594702864711</v>
      </c>
      <c r="BE96" s="408">
        <v>0</v>
      </c>
      <c r="BF96" s="408">
        <v>0</v>
      </c>
      <c r="BG96" s="408">
        <v>3451.5051635766372</v>
      </c>
      <c r="BH96" s="408">
        <v>0</v>
      </c>
      <c r="BI96" s="408">
        <v>77.150000000000006</v>
      </c>
      <c r="BJ96" s="408">
        <v>27.49</v>
      </c>
      <c r="BK96" s="408">
        <v>3742.21</v>
      </c>
      <c r="BL96" s="408">
        <v>146</v>
      </c>
      <c r="BM96" s="408"/>
      <c r="BN96" s="408"/>
      <c r="BO96" s="408"/>
      <c r="BP96" s="408"/>
      <c r="BQ96" s="408"/>
      <c r="BR96" s="408">
        <v>7544.9962499999965</v>
      </c>
      <c r="BS96" s="408"/>
      <c r="BT96" s="408"/>
      <c r="BU96" s="408"/>
      <c r="BV96" s="408">
        <v>28018.473942105295</v>
      </c>
      <c r="BW96" s="408"/>
      <c r="BX96" s="408"/>
      <c r="BY96" s="408"/>
      <c r="BZ96" s="408"/>
      <c r="CA96" s="408"/>
      <c r="CB96" s="408"/>
      <c r="CC96" s="408"/>
      <c r="CD96" s="408"/>
      <c r="CE96" s="408"/>
      <c r="CF96" s="408"/>
      <c r="CG96" s="408"/>
      <c r="CH96" s="408"/>
      <c r="CI96" s="408">
        <v>55334.147799999999</v>
      </c>
      <c r="CJ96" s="408">
        <v>-25720.563050000004</v>
      </c>
      <c r="CK96" s="408"/>
      <c r="CL96" s="408"/>
      <c r="CM96" s="408"/>
      <c r="CN96" s="408"/>
      <c r="CO96" s="408">
        <v>-30753.119099999996</v>
      </c>
      <c r="CP96" s="408">
        <v>1522.3279500000008</v>
      </c>
      <c r="CQ96" s="408">
        <v>30</v>
      </c>
      <c r="CR96" s="408">
        <v>1265.5873067974244</v>
      </c>
      <c r="CS96" s="408">
        <v>0</v>
      </c>
      <c r="CT96" s="408">
        <v>0</v>
      </c>
      <c r="CU96" s="408">
        <v>0</v>
      </c>
      <c r="CV96" s="408">
        <v>0</v>
      </c>
      <c r="CW96" s="408">
        <v>0</v>
      </c>
      <c r="CX96" s="408">
        <v>0</v>
      </c>
      <c r="CY96" s="408">
        <v>0</v>
      </c>
      <c r="CZ96" s="408">
        <v>-52.966535467327049</v>
      </c>
      <c r="DA96" s="408">
        <v>0</v>
      </c>
      <c r="DB96" s="408">
        <v>0</v>
      </c>
      <c r="DC96" s="408">
        <v>1521.6452696944471</v>
      </c>
      <c r="DD96" s="408">
        <v>0</v>
      </c>
      <c r="DE96" s="408">
        <v>0</v>
      </c>
      <c r="DF96" s="408">
        <v>8.8392772962810113</v>
      </c>
      <c r="DG96" s="408">
        <v>215.02348801491553</v>
      </c>
      <c r="DH96" s="408">
        <v>0</v>
      </c>
      <c r="DI96" s="408">
        <v>-363.94325560634843</v>
      </c>
      <c r="DJ96" s="408"/>
      <c r="DK96" s="408">
        <v>0</v>
      </c>
      <c r="DL96" s="408">
        <v>0</v>
      </c>
      <c r="DM96" s="408">
        <v>0</v>
      </c>
      <c r="DN96" s="408">
        <v>0</v>
      </c>
      <c r="DO96" s="408">
        <v>-49.651742537849486</v>
      </c>
      <c r="DP96" s="408">
        <v>-13.359194596696341</v>
      </c>
      <c r="DQ96" s="408">
        <v>0</v>
      </c>
      <c r="DR96" s="408">
        <v>0</v>
      </c>
      <c r="DS96" s="408"/>
      <c r="DT96" s="408"/>
      <c r="DU96" s="408"/>
      <c r="DV96" s="408">
        <v>45404.222422748891</v>
      </c>
      <c r="DW96" s="408">
        <v>0</v>
      </c>
      <c r="DX96" s="408">
        <v>0</v>
      </c>
      <c r="DY96" s="408">
        <v>-30753.119100000004</v>
      </c>
      <c r="DZ96" s="408">
        <v>1522.3279500000026</v>
      </c>
      <c r="EA96" s="408">
        <v>0</v>
      </c>
      <c r="EB96" s="408">
        <v>0</v>
      </c>
      <c r="EC96" s="408">
        <v>-30496.866044586721</v>
      </c>
      <c r="ED96" s="408">
        <v>0</v>
      </c>
      <c r="EE96" s="408">
        <v>0</v>
      </c>
      <c r="EF96" s="408">
        <v>0</v>
      </c>
      <c r="EG96" s="408">
        <v>0</v>
      </c>
      <c r="EH96" s="408">
        <v>0</v>
      </c>
      <c r="EI96" s="408">
        <v>0</v>
      </c>
      <c r="EJ96" s="408">
        <v>0</v>
      </c>
      <c r="EK96" s="408">
        <v>0</v>
      </c>
      <c r="EL96" s="408">
        <v>0</v>
      </c>
      <c r="EM96" s="408">
        <v>0</v>
      </c>
      <c r="EN96" s="408">
        <v>0</v>
      </c>
      <c r="EO96" s="408">
        <v>0</v>
      </c>
      <c r="EP96" s="408">
        <v>0</v>
      </c>
      <c r="EQ96" s="408">
        <v>0</v>
      </c>
      <c r="ER96" s="408">
        <v>0</v>
      </c>
      <c r="ES96" s="408">
        <v>0</v>
      </c>
      <c r="ET96" s="408">
        <v>0</v>
      </c>
      <c r="EU96" s="408">
        <v>0</v>
      </c>
      <c r="EV96" s="408">
        <v>257</v>
      </c>
      <c r="EW96" s="408">
        <v>0</v>
      </c>
      <c r="EX96" s="408">
        <v>0</v>
      </c>
      <c r="EY96" s="408">
        <v>0</v>
      </c>
      <c r="EZ96" s="408"/>
      <c r="FA96" s="408">
        <v>0</v>
      </c>
      <c r="FB96" s="408"/>
      <c r="FC96" s="408"/>
      <c r="FD96" s="408"/>
      <c r="FE96" s="408"/>
      <c r="FF96" s="408">
        <v>0</v>
      </c>
      <c r="FG96" s="408">
        <v>0</v>
      </c>
      <c r="FH96" s="408">
        <v>0</v>
      </c>
      <c r="FI96" s="408">
        <v>0</v>
      </c>
    </row>
    <row r="97" spans="1:165" s="861" customFormat="1">
      <c r="A97" s="408">
        <v>95</v>
      </c>
      <c r="B97" s="408" t="s">
        <v>1035</v>
      </c>
      <c r="C97" s="408" t="s">
        <v>2241</v>
      </c>
      <c r="D97" s="408" t="s">
        <v>596</v>
      </c>
      <c r="E97" s="408" t="s">
        <v>973</v>
      </c>
      <c r="F97" s="408" t="s">
        <v>1321</v>
      </c>
      <c r="G97" s="408" t="s">
        <v>1321</v>
      </c>
      <c r="H97" s="408" t="s">
        <v>1321</v>
      </c>
      <c r="I97" s="408" t="s">
        <v>972</v>
      </c>
      <c r="J97" s="408" t="s">
        <v>2234</v>
      </c>
      <c r="K97" s="828">
        <v>44440</v>
      </c>
      <c r="L97" s="408">
        <v>0</v>
      </c>
      <c r="M97" s="408">
        <v>0</v>
      </c>
      <c r="N97" s="408">
        <v>12.464</v>
      </c>
      <c r="O97" s="408">
        <v>11.965439999999999</v>
      </c>
      <c r="P97" s="408">
        <v>12.464</v>
      </c>
      <c r="Q97" s="408">
        <v>11.965439999999999</v>
      </c>
      <c r="R97" s="408"/>
      <c r="S97" s="408">
        <v>3130.62</v>
      </c>
      <c r="T97" s="408">
        <v>256.55</v>
      </c>
      <c r="U97" s="408"/>
      <c r="V97" s="408">
        <v>42217.686880000001</v>
      </c>
      <c r="W97" s="408">
        <v>42217.686880000001</v>
      </c>
      <c r="X97" s="408">
        <v>22218.700320000004</v>
      </c>
      <c r="Y97" s="408">
        <v>0</v>
      </c>
      <c r="Z97" s="408">
        <v>666.61177318148077</v>
      </c>
      <c r="AA97" s="408">
        <v>0</v>
      </c>
      <c r="AB97" s="408">
        <v>0</v>
      </c>
      <c r="AC97" s="408">
        <v>0</v>
      </c>
      <c r="AD97" s="408">
        <v>8029.4808938487276</v>
      </c>
      <c r="AE97" s="408">
        <v>29965.308935863708</v>
      </c>
      <c r="AF97" s="408">
        <v>3197.6706308682965</v>
      </c>
      <c r="AG97" s="408">
        <v>0</v>
      </c>
      <c r="AH97" s="408">
        <v>0</v>
      </c>
      <c r="AI97" s="408">
        <v>0</v>
      </c>
      <c r="AJ97" s="408">
        <v>0</v>
      </c>
      <c r="AK97" s="408">
        <v>0</v>
      </c>
      <c r="AL97" s="408">
        <v>118.46114344758006</v>
      </c>
      <c r="AM97" s="408"/>
      <c r="AN97" s="408">
        <v>16.814621455370794</v>
      </c>
      <c r="AO97" s="408">
        <v>0</v>
      </c>
      <c r="AP97" s="408">
        <v>0</v>
      </c>
      <c r="AQ97" s="408">
        <v>0</v>
      </c>
      <c r="AR97" s="408">
        <v>0</v>
      </c>
      <c r="AS97" s="408">
        <v>0</v>
      </c>
      <c r="AT97" s="408">
        <v>0</v>
      </c>
      <c r="AU97" s="408">
        <v>0</v>
      </c>
      <c r="AV97" s="408">
        <v>0</v>
      </c>
      <c r="AW97" s="408">
        <v>0</v>
      </c>
      <c r="AX97" s="408">
        <v>0</v>
      </c>
      <c r="AY97" s="408">
        <v>0</v>
      </c>
      <c r="AZ97" s="408">
        <v>0</v>
      </c>
      <c r="BA97" s="408"/>
      <c r="BB97" s="408">
        <v>0</v>
      </c>
      <c r="BC97" s="408">
        <v>0</v>
      </c>
      <c r="BD97" s="408">
        <v>15.355962307258576</v>
      </c>
      <c r="BE97" s="408">
        <v>0</v>
      </c>
      <c r="BF97" s="408">
        <v>0</v>
      </c>
      <c r="BG97" s="408">
        <v>208.01528809482781</v>
      </c>
      <c r="BH97" s="408">
        <v>0</v>
      </c>
      <c r="BI97" s="408">
        <v>0</v>
      </c>
      <c r="BJ97" s="408">
        <v>0</v>
      </c>
      <c r="BK97" s="408">
        <v>0</v>
      </c>
      <c r="BL97" s="408">
        <v>0</v>
      </c>
      <c r="BM97" s="408"/>
      <c r="BN97" s="408"/>
      <c r="BO97" s="408"/>
      <c r="BP97" s="408"/>
      <c r="BQ97" s="408"/>
      <c r="BR97" s="408">
        <v>888.74801280000224</v>
      </c>
      <c r="BS97" s="408"/>
      <c r="BT97" s="408"/>
      <c r="BU97" s="408"/>
      <c r="BV97" s="408">
        <v>3421.0418812703829</v>
      </c>
      <c r="BW97" s="408"/>
      <c r="BX97" s="408"/>
      <c r="BY97" s="408"/>
      <c r="BZ97" s="408"/>
      <c r="CA97" s="408"/>
      <c r="CB97" s="408"/>
      <c r="CC97" s="408"/>
      <c r="CD97" s="408"/>
      <c r="CE97" s="408"/>
      <c r="CF97" s="408"/>
      <c r="CG97" s="408"/>
      <c r="CH97" s="408"/>
      <c r="CI97" s="408">
        <v>21338.081100000003</v>
      </c>
      <c r="CJ97" s="408">
        <v>-19190.9283048</v>
      </c>
      <c r="CK97" s="408"/>
      <c r="CL97" s="408"/>
      <c r="CM97" s="408"/>
      <c r="CN97" s="408"/>
      <c r="CO97" s="408">
        <v>-20198.285920000002</v>
      </c>
      <c r="CP97" s="408">
        <v>199.29936000000012</v>
      </c>
      <c r="CQ97" s="408">
        <v>30</v>
      </c>
      <c r="CR97" s="408">
        <v>127.80462440671181</v>
      </c>
      <c r="CS97" s="408">
        <v>0</v>
      </c>
      <c r="CT97" s="408">
        <v>0</v>
      </c>
      <c r="CU97" s="408">
        <v>0</v>
      </c>
      <c r="CV97" s="408">
        <v>0</v>
      </c>
      <c r="CW97" s="408">
        <v>0</v>
      </c>
      <c r="CX97" s="408">
        <v>0</v>
      </c>
      <c r="CY97" s="408">
        <v>0</v>
      </c>
      <c r="CZ97" s="408">
        <v>-36.293758656470345</v>
      </c>
      <c r="DA97" s="408">
        <v>0</v>
      </c>
      <c r="DB97" s="408">
        <v>0</v>
      </c>
      <c r="DC97" s="408">
        <v>199.2099852053102</v>
      </c>
      <c r="DD97" s="408">
        <v>0</v>
      </c>
      <c r="DE97" s="408">
        <v>0</v>
      </c>
      <c r="DF97" s="408">
        <v>0.95665294433771919</v>
      </c>
      <c r="DG97" s="408">
        <v>12.959034011766533</v>
      </c>
      <c r="DH97" s="408">
        <v>0</v>
      </c>
      <c r="DI97" s="408">
        <v>-41.452488860390417</v>
      </c>
      <c r="DJ97" s="408"/>
      <c r="DK97" s="408">
        <v>0</v>
      </c>
      <c r="DL97" s="408">
        <v>0</v>
      </c>
      <c r="DM97" s="408">
        <v>0</v>
      </c>
      <c r="DN97" s="408">
        <v>0</v>
      </c>
      <c r="DO97" s="408">
        <v>-6.5002816973032367</v>
      </c>
      <c r="DP97" s="408">
        <v>-1.0745185405370723</v>
      </c>
      <c r="DQ97" s="408">
        <v>0</v>
      </c>
      <c r="DR97" s="408">
        <v>0</v>
      </c>
      <c r="DS97" s="408"/>
      <c r="DT97" s="408"/>
      <c r="DU97" s="408"/>
      <c r="DV97" s="408">
        <v>29965.308935863708</v>
      </c>
      <c r="DW97" s="408">
        <v>0</v>
      </c>
      <c r="DX97" s="408">
        <v>0</v>
      </c>
      <c r="DY97" s="408">
        <v>-20198.285920000002</v>
      </c>
      <c r="DZ97" s="408">
        <v>199.29936000000043</v>
      </c>
      <c r="EA97" s="408">
        <v>0</v>
      </c>
      <c r="EB97" s="408">
        <v>0</v>
      </c>
      <c r="EC97" s="408">
        <v>-20126.938946185466</v>
      </c>
      <c r="ED97" s="408">
        <v>0</v>
      </c>
      <c r="EE97" s="408">
        <v>0</v>
      </c>
      <c r="EF97" s="408">
        <v>0</v>
      </c>
      <c r="EG97" s="408">
        <v>0</v>
      </c>
      <c r="EH97" s="408">
        <v>0</v>
      </c>
      <c r="EI97" s="408">
        <v>0</v>
      </c>
      <c r="EJ97" s="408">
        <v>0</v>
      </c>
      <c r="EK97" s="408">
        <v>0</v>
      </c>
      <c r="EL97" s="408">
        <v>0</v>
      </c>
      <c r="EM97" s="408">
        <v>0</v>
      </c>
      <c r="EN97" s="408">
        <v>0</v>
      </c>
      <c r="EO97" s="408">
        <v>0</v>
      </c>
      <c r="EP97" s="408">
        <v>0</v>
      </c>
      <c r="EQ97" s="408">
        <v>0</v>
      </c>
      <c r="ER97" s="408">
        <v>0</v>
      </c>
      <c r="ES97" s="408">
        <v>0</v>
      </c>
      <c r="ET97" s="408">
        <v>0</v>
      </c>
      <c r="EU97" s="408">
        <v>0</v>
      </c>
      <c r="EV97" s="408">
        <v>257</v>
      </c>
      <c r="EW97" s="408">
        <v>0</v>
      </c>
      <c r="EX97" s="408">
        <v>0</v>
      </c>
      <c r="EY97" s="408">
        <v>0</v>
      </c>
      <c r="EZ97" s="408"/>
      <c r="FA97" s="408">
        <v>0</v>
      </c>
      <c r="FB97" s="408"/>
      <c r="FC97" s="408"/>
      <c r="FD97" s="408"/>
      <c r="FE97" s="408"/>
      <c r="FF97" s="408">
        <v>0</v>
      </c>
      <c r="FG97" s="408">
        <v>0</v>
      </c>
      <c r="FH97" s="408">
        <v>0</v>
      </c>
      <c r="FI97" s="408">
        <v>0</v>
      </c>
    </row>
    <row r="98" spans="1:165" s="861" customFormat="1">
      <c r="A98" s="408">
        <v>96</v>
      </c>
      <c r="B98" s="408" t="s">
        <v>1035</v>
      </c>
      <c r="C98" s="408" t="s">
        <v>2241</v>
      </c>
      <c r="D98" s="408" t="s">
        <v>596</v>
      </c>
      <c r="E98" s="408" t="s">
        <v>973</v>
      </c>
      <c r="F98" s="408" t="s">
        <v>1321</v>
      </c>
      <c r="G98" s="408" t="s">
        <v>1321</v>
      </c>
      <c r="H98" s="408" t="s">
        <v>1321</v>
      </c>
      <c r="I98" s="408" t="s">
        <v>2242</v>
      </c>
      <c r="J98" s="408" t="s">
        <v>2234</v>
      </c>
      <c r="K98" s="828">
        <v>44440</v>
      </c>
      <c r="L98" s="408">
        <v>0</v>
      </c>
      <c r="M98" s="408">
        <v>0</v>
      </c>
      <c r="N98" s="408">
        <v>130.72</v>
      </c>
      <c r="O98" s="408">
        <v>125.49120000000001</v>
      </c>
      <c r="P98" s="408">
        <v>130.72</v>
      </c>
      <c r="Q98" s="408">
        <v>125.49120000000001</v>
      </c>
      <c r="R98" s="408"/>
      <c r="S98" s="408">
        <v>82.26</v>
      </c>
      <c r="T98" s="408">
        <v>256.55</v>
      </c>
      <c r="U98" s="408"/>
      <c r="V98" s="408">
        <v>44289.243199999997</v>
      </c>
      <c r="W98" s="408">
        <v>44289.243199999997</v>
      </c>
      <c r="X98" s="408">
        <v>46010.825600000004</v>
      </c>
      <c r="Y98" s="408">
        <v>0</v>
      </c>
      <c r="Z98" s="408">
        <v>6991.2942065374809</v>
      </c>
      <c r="AA98" s="408">
        <v>0</v>
      </c>
      <c r="AB98" s="408">
        <v>0</v>
      </c>
      <c r="AC98" s="408">
        <v>0</v>
      </c>
      <c r="AD98" s="408">
        <v>0</v>
      </c>
      <c r="AE98" s="408">
        <v>0</v>
      </c>
      <c r="AF98" s="408">
        <v>33536.545640813842</v>
      </c>
      <c r="AG98" s="408">
        <v>0</v>
      </c>
      <c r="AH98" s="408">
        <v>0</v>
      </c>
      <c r="AI98" s="408">
        <v>0</v>
      </c>
      <c r="AJ98" s="408">
        <v>0</v>
      </c>
      <c r="AK98" s="408">
        <v>0</v>
      </c>
      <c r="AL98" s="408">
        <v>1242.3973581087664</v>
      </c>
      <c r="AM98" s="408"/>
      <c r="AN98" s="408">
        <v>176.3484689221815</v>
      </c>
      <c r="AO98" s="408">
        <v>0</v>
      </c>
      <c r="AP98" s="408">
        <v>0</v>
      </c>
      <c r="AQ98" s="408">
        <v>0</v>
      </c>
      <c r="AR98" s="408">
        <v>0</v>
      </c>
      <c r="AS98" s="408">
        <v>0</v>
      </c>
      <c r="AT98" s="408">
        <v>0</v>
      </c>
      <c r="AU98" s="408">
        <v>0</v>
      </c>
      <c r="AV98" s="408">
        <v>0</v>
      </c>
      <c r="AW98" s="408">
        <v>0</v>
      </c>
      <c r="AX98" s="408">
        <v>0</v>
      </c>
      <c r="AY98" s="408">
        <v>0</v>
      </c>
      <c r="AZ98" s="408">
        <v>0</v>
      </c>
      <c r="BA98" s="408"/>
      <c r="BB98" s="408">
        <v>0</v>
      </c>
      <c r="BC98" s="408">
        <v>0</v>
      </c>
      <c r="BD98" s="408">
        <v>161.0503363931997</v>
      </c>
      <c r="BE98" s="408">
        <v>0</v>
      </c>
      <c r="BF98" s="408">
        <v>0</v>
      </c>
      <c r="BG98" s="408">
        <v>2181.6237531896577</v>
      </c>
      <c r="BH98" s="408">
        <v>0</v>
      </c>
      <c r="BI98" s="408">
        <v>0</v>
      </c>
      <c r="BJ98" s="408">
        <v>0</v>
      </c>
      <c r="BK98" s="408">
        <v>0</v>
      </c>
      <c r="BL98" s="408">
        <v>0</v>
      </c>
      <c r="BM98" s="408"/>
      <c r="BN98" s="408"/>
      <c r="BO98" s="408"/>
      <c r="BP98" s="408"/>
      <c r="BQ98" s="408"/>
      <c r="BR98" s="408">
        <v>1840.4330239999974</v>
      </c>
      <c r="BS98" s="408"/>
      <c r="BT98" s="408"/>
      <c r="BU98" s="408"/>
      <c r="BV98" s="408">
        <v>35879.219730396697</v>
      </c>
      <c r="BW98" s="408"/>
      <c r="BX98" s="408"/>
      <c r="BY98" s="408"/>
      <c r="BZ98" s="408"/>
      <c r="CA98" s="408"/>
      <c r="CB98" s="408"/>
      <c r="CC98" s="408"/>
      <c r="CD98" s="408"/>
      <c r="CE98" s="408"/>
      <c r="CF98" s="408"/>
      <c r="CG98" s="408"/>
      <c r="CH98" s="408"/>
      <c r="CI98" s="408">
        <v>44169.970199999996</v>
      </c>
      <c r="CJ98" s="408">
        <v>1652.2667279999951</v>
      </c>
      <c r="CK98" s="408"/>
      <c r="CL98" s="408"/>
      <c r="CM98" s="408"/>
      <c r="CN98" s="408"/>
      <c r="CO98" s="408">
        <v>-368.63040000000098</v>
      </c>
      <c r="CP98" s="408">
        <v>2090.2128000000012</v>
      </c>
      <c r="CQ98" s="408">
        <v>30</v>
      </c>
      <c r="CR98" s="408">
        <v>1721.0318223699724</v>
      </c>
      <c r="CS98" s="408">
        <v>0</v>
      </c>
      <c r="CT98" s="408">
        <v>0</v>
      </c>
      <c r="CU98" s="408">
        <v>0</v>
      </c>
      <c r="CV98" s="408">
        <v>0</v>
      </c>
      <c r="CW98" s="408">
        <v>0</v>
      </c>
      <c r="CX98" s="408">
        <v>0</v>
      </c>
      <c r="CY98" s="408">
        <v>0</v>
      </c>
      <c r="CZ98" s="408">
        <v>0</v>
      </c>
      <c r="DA98" s="408">
        <v>0</v>
      </c>
      <c r="DB98" s="408">
        <v>0</v>
      </c>
      <c r="DC98" s="408">
        <v>2089.2754545922726</v>
      </c>
      <c r="DD98" s="408">
        <v>0</v>
      </c>
      <c r="DE98" s="408">
        <v>0</v>
      </c>
      <c r="DF98" s="408">
        <v>10.033189416224843</v>
      </c>
      <c r="DG98" s="408">
        <v>135.91182012340505</v>
      </c>
      <c r="DH98" s="408">
        <v>0</v>
      </c>
      <c r="DI98" s="408">
        <v>-434.74561487726533</v>
      </c>
      <c r="DJ98" s="408"/>
      <c r="DK98" s="408">
        <v>0</v>
      </c>
      <c r="DL98" s="408">
        <v>0</v>
      </c>
      <c r="DM98" s="408">
        <v>0</v>
      </c>
      <c r="DN98" s="408">
        <v>0</v>
      </c>
      <c r="DO98" s="408">
        <v>-68.173686093668266</v>
      </c>
      <c r="DP98" s="408">
        <v>-11.269340790998569</v>
      </c>
      <c r="DQ98" s="408">
        <v>0</v>
      </c>
      <c r="DR98" s="408">
        <v>0</v>
      </c>
      <c r="DS98" s="408"/>
      <c r="DT98" s="408"/>
      <c r="DU98" s="408"/>
      <c r="DV98" s="408">
        <v>0</v>
      </c>
      <c r="DW98" s="408">
        <v>0</v>
      </c>
      <c r="DX98" s="408">
        <v>0</v>
      </c>
      <c r="DY98" s="408">
        <v>-368.63040000000001</v>
      </c>
      <c r="DZ98" s="408">
        <v>2090.2128000000012</v>
      </c>
      <c r="EA98" s="408">
        <v>0</v>
      </c>
      <c r="EB98" s="408">
        <v>0</v>
      </c>
      <c r="EC98" s="408">
        <v>0</v>
      </c>
      <c r="ED98" s="408">
        <v>0</v>
      </c>
      <c r="EE98" s="408">
        <v>0</v>
      </c>
      <c r="EF98" s="408">
        <v>0</v>
      </c>
      <c r="EG98" s="408">
        <v>0</v>
      </c>
      <c r="EH98" s="408">
        <v>0</v>
      </c>
      <c r="EI98" s="408">
        <v>0</v>
      </c>
      <c r="EJ98" s="408">
        <v>0</v>
      </c>
      <c r="EK98" s="408">
        <v>0</v>
      </c>
      <c r="EL98" s="408">
        <v>0</v>
      </c>
      <c r="EM98" s="408">
        <v>0</v>
      </c>
      <c r="EN98" s="408">
        <v>0</v>
      </c>
      <c r="EO98" s="408">
        <v>0</v>
      </c>
      <c r="EP98" s="408">
        <v>0</v>
      </c>
      <c r="EQ98" s="408">
        <v>0</v>
      </c>
      <c r="ER98" s="408">
        <v>0</v>
      </c>
      <c r="ES98" s="408">
        <v>0</v>
      </c>
      <c r="ET98" s="408">
        <v>0</v>
      </c>
      <c r="EU98" s="408">
        <v>0</v>
      </c>
      <c r="EV98" s="408">
        <v>257</v>
      </c>
      <c r="EW98" s="408">
        <v>0</v>
      </c>
      <c r="EX98" s="408">
        <v>0</v>
      </c>
      <c r="EY98" s="408">
        <v>0</v>
      </c>
      <c r="EZ98" s="408"/>
      <c r="FA98" s="408">
        <v>0</v>
      </c>
      <c r="FB98" s="408"/>
      <c r="FC98" s="408"/>
      <c r="FD98" s="408"/>
      <c r="FE98" s="408"/>
      <c r="FF98" s="408">
        <v>0</v>
      </c>
      <c r="FG98" s="408">
        <v>0</v>
      </c>
      <c r="FH98" s="408">
        <v>0</v>
      </c>
      <c r="FI98" s="408">
        <v>0</v>
      </c>
    </row>
    <row r="99" spans="1:165" s="861" customFormat="1">
      <c r="A99" s="408">
        <v>97</v>
      </c>
      <c r="B99" s="408" t="s">
        <v>1035</v>
      </c>
      <c r="C99" s="408" t="s">
        <v>2241</v>
      </c>
      <c r="D99" s="408" t="s">
        <v>596</v>
      </c>
      <c r="E99" s="408" t="s">
        <v>973</v>
      </c>
      <c r="F99" s="408" t="s">
        <v>1321</v>
      </c>
      <c r="G99" s="408" t="s">
        <v>1321</v>
      </c>
      <c r="H99" s="408" t="s">
        <v>1321</v>
      </c>
      <c r="I99" s="408" t="s">
        <v>1321</v>
      </c>
      <c r="J99" s="408" t="s">
        <v>2234</v>
      </c>
      <c r="K99" s="828">
        <v>44440</v>
      </c>
      <c r="L99" s="408">
        <v>864</v>
      </c>
      <c r="M99" s="408">
        <v>829.44</v>
      </c>
      <c r="N99" s="408">
        <v>0</v>
      </c>
      <c r="O99" s="408">
        <v>0</v>
      </c>
      <c r="P99" s="408">
        <v>0</v>
      </c>
      <c r="Q99" s="408">
        <v>0</v>
      </c>
      <c r="R99" s="408">
        <v>47.39</v>
      </c>
      <c r="S99" s="408"/>
      <c r="T99" s="408"/>
      <c r="U99" s="408">
        <v>40944.959999999999</v>
      </c>
      <c r="V99" s="408"/>
      <c r="W99" s="408">
        <v>40944.959999999999</v>
      </c>
      <c r="X99" s="408">
        <v>27838.079999999998</v>
      </c>
      <c r="Y99" s="408">
        <v>0</v>
      </c>
      <c r="Z99" s="408">
        <v>0</v>
      </c>
      <c r="AA99" s="408">
        <v>0</v>
      </c>
      <c r="AB99" s="408">
        <v>0</v>
      </c>
      <c r="AC99" s="408">
        <v>0</v>
      </c>
      <c r="AD99" s="408">
        <v>21574.166555058364</v>
      </c>
      <c r="AE99" s="408">
        <v>19370.765300310286</v>
      </c>
      <c r="AF99" s="408"/>
      <c r="AG99" s="408"/>
      <c r="AH99" s="408"/>
      <c r="AI99" s="408">
        <v>0</v>
      </c>
      <c r="AJ99" s="408">
        <v>0</v>
      </c>
      <c r="AK99" s="408">
        <v>0</v>
      </c>
      <c r="AL99" s="408">
        <v>0</v>
      </c>
      <c r="AM99" s="408"/>
      <c r="AN99" s="408">
        <v>0</v>
      </c>
      <c r="AO99" s="408">
        <v>0</v>
      </c>
      <c r="AP99" s="408">
        <v>0</v>
      </c>
      <c r="AQ99" s="408">
        <v>0</v>
      </c>
      <c r="AR99" s="408">
        <v>0</v>
      </c>
      <c r="AS99" s="408"/>
      <c r="AT99" s="408"/>
      <c r="AU99" s="408">
        <v>0</v>
      </c>
      <c r="AV99" s="408">
        <v>0</v>
      </c>
      <c r="AW99" s="408">
        <v>0</v>
      </c>
      <c r="AX99" s="408"/>
      <c r="AY99" s="408"/>
      <c r="AZ99" s="408">
        <v>0</v>
      </c>
      <c r="BA99" s="408"/>
      <c r="BB99" s="408">
        <v>0</v>
      </c>
      <c r="BC99" s="408">
        <v>0</v>
      </c>
      <c r="BD99" s="408">
        <v>0</v>
      </c>
      <c r="BE99" s="408">
        <v>0</v>
      </c>
      <c r="BF99" s="408"/>
      <c r="BG99" s="408">
        <v>0</v>
      </c>
      <c r="BH99" s="408">
        <v>0</v>
      </c>
      <c r="BI99" s="408">
        <v>138.85</v>
      </c>
      <c r="BJ99" s="408">
        <v>48.82</v>
      </c>
      <c r="BK99" s="408">
        <v>7319.18</v>
      </c>
      <c r="BL99" s="408">
        <v>7</v>
      </c>
      <c r="BM99" s="408"/>
      <c r="BN99" s="408"/>
      <c r="BO99" s="408"/>
      <c r="BP99" s="408"/>
      <c r="BQ99" s="408"/>
      <c r="BR99" s="408">
        <v>1113.5231999999983</v>
      </c>
      <c r="BS99" s="408"/>
      <c r="BT99" s="408"/>
      <c r="BU99" s="408"/>
      <c r="BV99" s="408">
        <v>0</v>
      </c>
      <c r="BW99" s="408"/>
      <c r="BX99" s="408"/>
      <c r="BY99" s="408"/>
      <c r="BZ99" s="408"/>
      <c r="CA99" s="408"/>
      <c r="CB99" s="408"/>
      <c r="CC99" s="408"/>
      <c r="CD99" s="408"/>
      <c r="CE99" s="408"/>
      <c r="CF99" s="408"/>
      <c r="CG99" s="408"/>
      <c r="CH99" s="408"/>
      <c r="CI99" s="408">
        <v>26724.556800000002</v>
      </c>
      <c r="CJ99" s="408">
        <v>-12582.634800000003</v>
      </c>
      <c r="CK99" s="408"/>
      <c r="CL99" s="408"/>
      <c r="CM99" s="408"/>
      <c r="CN99" s="408"/>
      <c r="CO99" s="408">
        <v>-13106.880000000001</v>
      </c>
      <c r="CP99" s="408">
        <v>0</v>
      </c>
      <c r="CQ99" s="408">
        <v>30</v>
      </c>
      <c r="CR99" s="408">
        <v>-97.516589741651842</v>
      </c>
      <c r="CS99" s="408">
        <v>0</v>
      </c>
      <c r="CT99" s="408">
        <v>0</v>
      </c>
      <c r="CU99" s="408">
        <v>0</v>
      </c>
      <c r="CV99" s="408">
        <v>0</v>
      </c>
      <c r="CW99" s="408"/>
      <c r="CX99" s="408"/>
      <c r="CY99" s="408"/>
      <c r="CZ99" s="408">
        <v>-97.516589741651842</v>
      </c>
      <c r="DA99" s="408">
        <v>0</v>
      </c>
      <c r="DB99" s="408">
        <v>0</v>
      </c>
      <c r="DC99" s="408"/>
      <c r="DD99" s="408"/>
      <c r="DE99" s="408">
        <v>0</v>
      </c>
      <c r="DF99" s="408">
        <v>0</v>
      </c>
      <c r="DG99" s="408">
        <v>0</v>
      </c>
      <c r="DH99" s="408">
        <v>0</v>
      </c>
      <c r="DI99" s="408">
        <v>0</v>
      </c>
      <c r="DJ99" s="408"/>
      <c r="DK99" s="408">
        <v>0</v>
      </c>
      <c r="DL99" s="408">
        <v>0</v>
      </c>
      <c r="DM99" s="408"/>
      <c r="DN99" s="408">
        <v>0</v>
      </c>
      <c r="DO99" s="408">
        <v>0</v>
      </c>
      <c r="DP99" s="408">
        <v>0</v>
      </c>
      <c r="DQ99" s="408">
        <v>0</v>
      </c>
      <c r="DR99" s="408">
        <v>0</v>
      </c>
      <c r="DS99" s="408"/>
      <c r="DT99" s="408"/>
      <c r="DU99" s="408">
        <v>19370.765300310286</v>
      </c>
      <c r="DV99" s="408"/>
      <c r="DW99" s="408">
        <v>0</v>
      </c>
      <c r="DX99" s="408">
        <v>0</v>
      </c>
      <c r="DY99" s="408">
        <v>-13106.880000000001</v>
      </c>
      <c r="DZ99" s="408"/>
      <c r="EA99" s="408">
        <v>0</v>
      </c>
      <c r="EB99" s="408"/>
      <c r="EC99" s="408">
        <v>-13010.852361799478</v>
      </c>
      <c r="ED99" s="408"/>
      <c r="EE99" s="408">
        <v>0</v>
      </c>
      <c r="EF99" s="408">
        <v>0</v>
      </c>
      <c r="EG99" s="408"/>
      <c r="EH99" s="408">
        <v>0</v>
      </c>
      <c r="EI99" s="408">
        <v>0</v>
      </c>
      <c r="EJ99" s="408">
        <v>0</v>
      </c>
      <c r="EK99" s="408">
        <v>0</v>
      </c>
      <c r="EL99" s="408">
        <v>0</v>
      </c>
      <c r="EM99" s="408"/>
      <c r="EN99" s="408"/>
      <c r="EO99" s="408">
        <v>0</v>
      </c>
      <c r="EP99" s="408">
        <v>0</v>
      </c>
      <c r="EQ99" s="408"/>
      <c r="ER99" s="408">
        <v>0</v>
      </c>
      <c r="ES99" s="408"/>
      <c r="ET99" s="408">
        <v>0</v>
      </c>
      <c r="EU99" s="408"/>
      <c r="EV99" s="408">
        <v>257</v>
      </c>
      <c r="EW99" s="408"/>
      <c r="EX99" s="408"/>
      <c r="EY99" s="408"/>
      <c r="EZ99" s="408"/>
      <c r="FA99" s="408">
        <v>0</v>
      </c>
      <c r="FB99" s="408"/>
      <c r="FC99" s="408"/>
      <c r="FD99" s="408"/>
      <c r="FE99" s="408"/>
      <c r="FF99" s="408">
        <v>0</v>
      </c>
      <c r="FG99" s="408">
        <v>0</v>
      </c>
      <c r="FH99" s="408">
        <v>0</v>
      </c>
      <c r="FI99" s="408">
        <v>0</v>
      </c>
    </row>
    <row r="100" spans="1:165" s="861" customFormat="1">
      <c r="A100" s="408">
        <v>98</v>
      </c>
      <c r="B100" s="408" t="s">
        <v>1035</v>
      </c>
      <c r="C100" s="408" t="s">
        <v>2233</v>
      </c>
      <c r="D100" s="408" t="s">
        <v>1958</v>
      </c>
      <c r="E100" s="408" t="s">
        <v>2244</v>
      </c>
      <c r="F100" s="408" t="s">
        <v>1321</v>
      </c>
      <c r="G100" s="408" t="s">
        <v>1321</v>
      </c>
      <c r="H100" s="408" t="s">
        <v>1321</v>
      </c>
      <c r="I100" s="408" t="s">
        <v>1321</v>
      </c>
      <c r="J100" s="408" t="s">
        <v>2234</v>
      </c>
      <c r="K100" s="828">
        <v>44440</v>
      </c>
      <c r="L100" s="408">
        <v>0</v>
      </c>
      <c r="M100" s="408">
        <v>0</v>
      </c>
      <c r="N100" s="408">
        <v>138.65799999999999</v>
      </c>
      <c r="O100" s="408">
        <v>138.65799999999999</v>
      </c>
      <c r="P100" s="408">
        <v>138.65799999999999</v>
      </c>
      <c r="Q100" s="408">
        <v>138.65799999999999</v>
      </c>
      <c r="R100" s="408"/>
      <c r="S100" s="408">
        <v>710.91</v>
      </c>
      <c r="T100" s="408">
        <v>256.55</v>
      </c>
      <c r="U100" s="408"/>
      <c r="V100" s="408">
        <v>134146.06867999997</v>
      </c>
      <c r="W100" s="408">
        <v>134146.06867999997</v>
      </c>
      <c r="X100" s="408">
        <v>91573.90294</v>
      </c>
      <c r="Y100" s="408">
        <v>0</v>
      </c>
      <c r="Z100" s="408">
        <v>8523.9563732789757</v>
      </c>
      <c r="AA100" s="408">
        <v>0</v>
      </c>
      <c r="AB100" s="408">
        <v>0</v>
      </c>
      <c r="AC100" s="408">
        <v>0</v>
      </c>
      <c r="AD100" s="408">
        <v>17066.413468555951</v>
      </c>
      <c r="AE100" s="408">
        <v>66127.395333160181</v>
      </c>
      <c r="AF100" s="408">
        <v>35573.059558322864</v>
      </c>
      <c r="AG100" s="408">
        <v>0</v>
      </c>
      <c r="AH100" s="408">
        <v>0</v>
      </c>
      <c r="AI100" s="408">
        <v>0</v>
      </c>
      <c r="AJ100" s="408">
        <v>0</v>
      </c>
      <c r="AK100" s="408">
        <v>0</v>
      </c>
      <c r="AL100" s="408">
        <v>1317.8422037993064</v>
      </c>
      <c r="AM100" s="408"/>
      <c r="AN100" s="408">
        <v>304.465880649182</v>
      </c>
      <c r="AO100" s="408">
        <v>0</v>
      </c>
      <c r="AP100" s="408">
        <v>0</v>
      </c>
      <c r="AQ100" s="408">
        <v>0</v>
      </c>
      <c r="AR100" s="408">
        <v>0</v>
      </c>
      <c r="AS100" s="408">
        <v>0</v>
      </c>
      <c r="AT100" s="408">
        <v>0</v>
      </c>
      <c r="AU100" s="408">
        <v>0</v>
      </c>
      <c r="AV100" s="408">
        <v>0</v>
      </c>
      <c r="AW100" s="408">
        <v>0</v>
      </c>
      <c r="AX100" s="408">
        <v>0</v>
      </c>
      <c r="AY100" s="408">
        <v>0</v>
      </c>
      <c r="AZ100" s="408">
        <v>0</v>
      </c>
      <c r="BA100" s="408"/>
      <c r="BB100" s="408">
        <v>0</v>
      </c>
      <c r="BC100" s="408">
        <v>0</v>
      </c>
      <c r="BD100" s="408">
        <v>206.64483633315635</v>
      </c>
      <c r="BE100" s="408">
        <v>0</v>
      </c>
      <c r="BF100" s="408">
        <v>0</v>
      </c>
      <c r="BG100" s="408">
        <v>5026.8242526254853</v>
      </c>
      <c r="BH100" s="408">
        <v>0</v>
      </c>
      <c r="BI100" s="408">
        <v>165.39</v>
      </c>
      <c r="BJ100" s="408">
        <v>58.18</v>
      </c>
      <c r="BK100" s="408">
        <v>42053.19</v>
      </c>
      <c r="BL100" s="408">
        <v>268</v>
      </c>
      <c r="BM100" s="408"/>
      <c r="BN100" s="408"/>
      <c r="BO100" s="408"/>
      <c r="BP100" s="408"/>
      <c r="BQ100" s="408"/>
      <c r="BR100" s="408"/>
      <c r="BS100" s="408"/>
      <c r="BT100" s="408"/>
      <c r="BU100" s="408"/>
      <c r="BV100" s="408">
        <v>40806.528647281506</v>
      </c>
      <c r="BW100" s="408"/>
      <c r="BX100" s="408"/>
      <c r="BY100" s="408"/>
      <c r="BZ100" s="408"/>
      <c r="CA100" s="408"/>
      <c r="CB100" s="408"/>
      <c r="CC100" s="408"/>
      <c r="CD100" s="408"/>
      <c r="CE100" s="408"/>
      <c r="CF100" s="408"/>
      <c r="CG100" s="408"/>
      <c r="CH100" s="408"/>
      <c r="CI100" s="408">
        <v>91575.223800000007</v>
      </c>
      <c r="CJ100" s="408">
        <v>-42570.874879999988</v>
      </c>
      <c r="CK100" s="408"/>
      <c r="CL100" s="408"/>
      <c r="CM100" s="408"/>
      <c r="CN100" s="408"/>
      <c r="CO100" s="408">
        <v>-44789.307159999997</v>
      </c>
      <c r="CP100" s="408">
        <v>2217.1414200000008</v>
      </c>
      <c r="CQ100" s="408">
        <v>30</v>
      </c>
      <c r="CR100" s="408">
        <v>1843.2204693652311</v>
      </c>
      <c r="CS100" s="408">
        <v>0</v>
      </c>
      <c r="CT100" s="408">
        <v>0</v>
      </c>
      <c r="CU100" s="408">
        <v>0</v>
      </c>
      <c r="CV100" s="408">
        <v>0</v>
      </c>
      <c r="CW100" s="408">
        <v>0</v>
      </c>
      <c r="CX100" s="408">
        <v>0</v>
      </c>
      <c r="CY100" s="408">
        <v>0</v>
      </c>
      <c r="CZ100" s="408">
        <v>-77.141262274340988</v>
      </c>
      <c r="DA100" s="408">
        <v>0</v>
      </c>
      <c r="DB100" s="408">
        <v>0</v>
      </c>
      <c r="DC100" s="408">
        <v>2216.1471540916173</v>
      </c>
      <c r="DD100" s="408">
        <v>0</v>
      </c>
      <c r="DE100" s="408">
        <v>0</v>
      </c>
      <c r="DF100" s="408">
        <v>12.873656964946491</v>
      </c>
      <c r="DG100" s="408">
        <v>313.16345571316833</v>
      </c>
      <c r="DH100" s="408">
        <v>0</v>
      </c>
      <c r="DI100" s="408">
        <v>-530.05245455454133</v>
      </c>
      <c r="DJ100" s="408"/>
      <c r="DK100" s="408">
        <v>0</v>
      </c>
      <c r="DL100" s="408">
        <v>0</v>
      </c>
      <c r="DM100" s="408">
        <v>0</v>
      </c>
      <c r="DN100" s="408">
        <v>0</v>
      </c>
      <c r="DO100" s="408">
        <v>-72.313547784392995</v>
      </c>
      <c r="DP100" s="408">
        <v>-19.456532791226493</v>
      </c>
      <c r="DQ100" s="408">
        <v>0</v>
      </c>
      <c r="DR100" s="408">
        <v>0</v>
      </c>
      <c r="DS100" s="408"/>
      <c r="DT100" s="408"/>
      <c r="DU100" s="408"/>
      <c r="DV100" s="408">
        <v>66127.395333160181</v>
      </c>
      <c r="DW100" s="408">
        <v>0</v>
      </c>
      <c r="DX100" s="408">
        <v>0</v>
      </c>
      <c r="DY100" s="408">
        <v>-44789.307159999989</v>
      </c>
      <c r="DZ100" s="408">
        <v>2217.1414199999999</v>
      </c>
      <c r="EA100" s="408">
        <v>0</v>
      </c>
      <c r="EB100" s="408">
        <v>0</v>
      </c>
      <c r="EC100" s="408">
        <v>-44416.096339586205</v>
      </c>
      <c r="ED100" s="408">
        <v>0</v>
      </c>
      <c r="EE100" s="408">
        <v>0</v>
      </c>
      <c r="EF100" s="408">
        <v>0</v>
      </c>
      <c r="EG100" s="408">
        <v>0</v>
      </c>
      <c r="EH100" s="408">
        <v>0</v>
      </c>
      <c r="EI100" s="408">
        <v>0</v>
      </c>
      <c r="EJ100" s="408">
        <v>0</v>
      </c>
      <c r="EK100" s="408">
        <v>0</v>
      </c>
      <c r="EL100" s="408">
        <v>0</v>
      </c>
      <c r="EM100" s="408">
        <v>0</v>
      </c>
      <c r="EN100" s="408">
        <v>0</v>
      </c>
      <c r="EO100" s="408">
        <v>0</v>
      </c>
      <c r="EP100" s="408">
        <v>0</v>
      </c>
      <c r="EQ100" s="408">
        <v>0</v>
      </c>
      <c r="ER100" s="408">
        <v>0</v>
      </c>
      <c r="ES100" s="408">
        <v>0</v>
      </c>
      <c r="ET100" s="408">
        <v>0</v>
      </c>
      <c r="EU100" s="408">
        <v>0</v>
      </c>
      <c r="EV100" s="408">
        <v>257</v>
      </c>
      <c r="EW100" s="408">
        <v>0</v>
      </c>
      <c r="EX100" s="408">
        <v>0</v>
      </c>
      <c r="EY100" s="408">
        <v>0</v>
      </c>
      <c r="EZ100" s="408"/>
      <c r="FA100" s="408">
        <v>0</v>
      </c>
      <c r="FB100" s="408"/>
      <c r="FC100" s="408"/>
      <c r="FD100" s="408"/>
      <c r="FE100" s="408"/>
      <c r="FF100" s="408">
        <v>0</v>
      </c>
      <c r="FG100" s="408">
        <v>0</v>
      </c>
      <c r="FH100" s="408">
        <v>0</v>
      </c>
      <c r="FI100" s="408">
        <v>0</v>
      </c>
    </row>
    <row r="101" spans="1:165" s="861" customFormat="1">
      <c r="A101" s="408">
        <v>99</v>
      </c>
      <c r="B101" s="408" t="s">
        <v>1035</v>
      </c>
      <c r="C101" s="408" t="s">
        <v>2233</v>
      </c>
      <c r="D101" s="408" t="s">
        <v>2245</v>
      </c>
      <c r="E101" s="408" t="s">
        <v>2246</v>
      </c>
      <c r="F101" s="408" t="s">
        <v>2247</v>
      </c>
      <c r="G101" s="408" t="s">
        <v>1321</v>
      </c>
      <c r="H101" s="408" t="s">
        <v>1321</v>
      </c>
      <c r="I101" s="408" t="s">
        <v>1321</v>
      </c>
      <c r="J101" s="408" t="s">
        <v>2234</v>
      </c>
      <c r="K101" s="828">
        <v>44440</v>
      </c>
      <c r="L101" s="408">
        <v>0</v>
      </c>
      <c r="M101" s="408">
        <v>0</v>
      </c>
      <c r="N101" s="408">
        <v>208.405</v>
      </c>
      <c r="O101" s="408">
        <v>208.405</v>
      </c>
      <c r="P101" s="408">
        <v>208.405</v>
      </c>
      <c r="Q101" s="408">
        <v>208.405</v>
      </c>
      <c r="R101" s="408"/>
      <c r="S101" s="408">
        <v>391</v>
      </c>
      <c r="T101" s="408">
        <v>141.1</v>
      </c>
      <c r="U101" s="408"/>
      <c r="V101" s="408">
        <v>110892.3005</v>
      </c>
      <c r="W101" s="408">
        <v>110892.3005</v>
      </c>
      <c r="X101" s="408">
        <v>75698.948149999997</v>
      </c>
      <c r="Y101" s="408">
        <v>0</v>
      </c>
      <c r="Z101" s="408">
        <v>7046.3970372085614</v>
      </c>
      <c r="AA101" s="408">
        <v>0</v>
      </c>
      <c r="AB101" s="408">
        <v>0</v>
      </c>
      <c r="AC101" s="408">
        <v>0</v>
      </c>
      <c r="AD101" s="408">
        <v>14108.087844934456</v>
      </c>
      <c r="AE101" s="408">
        <v>54664.74277303851</v>
      </c>
      <c r="AF101" s="408">
        <v>29406.75556036265</v>
      </c>
      <c r="AG101" s="408">
        <v>0</v>
      </c>
      <c r="AH101" s="408">
        <v>0</v>
      </c>
      <c r="AI101" s="408">
        <v>0</v>
      </c>
      <c r="AJ101" s="408">
        <v>0</v>
      </c>
      <c r="AK101" s="408">
        <v>0</v>
      </c>
      <c r="AL101" s="408">
        <v>1089.4048483717991</v>
      </c>
      <c r="AM101" s="408"/>
      <c r="AN101" s="408">
        <v>251.68916702376529</v>
      </c>
      <c r="AO101" s="408">
        <v>0</v>
      </c>
      <c r="AP101" s="408">
        <v>0</v>
      </c>
      <c r="AQ101" s="408">
        <v>0</v>
      </c>
      <c r="AR101" s="408">
        <v>0</v>
      </c>
      <c r="AS101" s="408">
        <v>0</v>
      </c>
      <c r="AT101" s="408">
        <v>0</v>
      </c>
      <c r="AU101" s="408">
        <v>0</v>
      </c>
      <c r="AV101" s="408">
        <v>0</v>
      </c>
      <c r="AW101" s="408">
        <v>0</v>
      </c>
      <c r="AX101" s="408">
        <v>0</v>
      </c>
      <c r="AY101" s="408">
        <v>0</v>
      </c>
      <c r="AZ101" s="408">
        <v>0</v>
      </c>
      <c r="BA101" s="408"/>
      <c r="BB101" s="408">
        <v>0</v>
      </c>
      <c r="BC101" s="408">
        <v>0</v>
      </c>
      <c r="BD101" s="408">
        <v>170.82461461874766</v>
      </c>
      <c r="BE101" s="408">
        <v>0</v>
      </c>
      <c r="BF101" s="408">
        <v>0</v>
      </c>
      <c r="BG101" s="408">
        <v>4155.4646655990209</v>
      </c>
      <c r="BH101" s="408">
        <v>0</v>
      </c>
      <c r="BI101" s="408">
        <v>147.76</v>
      </c>
      <c r="BJ101" s="408">
        <v>52.03</v>
      </c>
      <c r="BK101" s="408">
        <v>26368.639999999999</v>
      </c>
      <c r="BL101" s="408">
        <v>26</v>
      </c>
      <c r="BM101" s="408"/>
      <c r="BN101" s="408"/>
      <c r="BO101" s="408"/>
      <c r="BP101" s="408"/>
      <c r="BQ101" s="408"/>
      <c r="BR101" s="408"/>
      <c r="BS101" s="408"/>
      <c r="BT101" s="408"/>
      <c r="BU101" s="408"/>
      <c r="BV101" s="408">
        <v>33733.04484058042</v>
      </c>
      <c r="BW101" s="408"/>
      <c r="BX101" s="408"/>
      <c r="BY101" s="408"/>
      <c r="BZ101" s="408"/>
      <c r="CA101" s="408"/>
      <c r="CB101" s="408"/>
      <c r="CC101" s="408"/>
      <c r="CD101" s="408"/>
      <c r="CE101" s="408"/>
      <c r="CF101" s="408"/>
      <c r="CG101" s="408"/>
      <c r="CH101" s="408"/>
      <c r="CI101" s="408">
        <v>75700.764299999995</v>
      </c>
      <c r="CJ101" s="408">
        <v>-35191.566199999987</v>
      </c>
      <c r="CK101" s="408"/>
      <c r="CL101" s="408"/>
      <c r="CM101" s="408"/>
      <c r="CN101" s="408"/>
      <c r="CO101" s="408">
        <v>-37025.232299999996</v>
      </c>
      <c r="CP101" s="408">
        <v>1831.8799499999984</v>
      </c>
      <c r="CQ101" s="408">
        <v>30</v>
      </c>
      <c r="CR101" s="408">
        <v>1523.7130137095082</v>
      </c>
      <c r="CS101" s="408">
        <v>0</v>
      </c>
      <c r="CT101" s="408">
        <v>0</v>
      </c>
      <c r="CU101" s="408">
        <v>0</v>
      </c>
      <c r="CV101" s="408">
        <v>0</v>
      </c>
      <c r="CW101" s="408">
        <v>0</v>
      </c>
      <c r="CX101" s="408">
        <v>0</v>
      </c>
      <c r="CY101" s="408">
        <v>0</v>
      </c>
      <c r="CZ101" s="408">
        <v>-63.769444390929493</v>
      </c>
      <c r="DA101" s="408">
        <v>0</v>
      </c>
      <c r="DB101" s="408">
        <v>0</v>
      </c>
      <c r="DC101" s="408">
        <v>1831.9958545966329</v>
      </c>
      <c r="DD101" s="408">
        <v>0</v>
      </c>
      <c r="DE101" s="408">
        <v>0</v>
      </c>
      <c r="DF101" s="408">
        <v>10.642111986894321</v>
      </c>
      <c r="DG101" s="408">
        <v>258.87908734688699</v>
      </c>
      <c r="DH101" s="408">
        <v>0</v>
      </c>
      <c r="DI101" s="408">
        <v>-438.17212122843466</v>
      </c>
      <c r="DJ101" s="408"/>
      <c r="DK101" s="408">
        <v>0</v>
      </c>
      <c r="DL101" s="408">
        <v>0</v>
      </c>
      <c r="DM101" s="408">
        <v>0</v>
      </c>
      <c r="DN101" s="408">
        <v>0</v>
      </c>
      <c r="DO101" s="408">
        <v>-59.778575410747635</v>
      </c>
      <c r="DP101" s="408">
        <v>-16.083899190784365</v>
      </c>
      <c r="DQ101" s="408">
        <v>0</v>
      </c>
      <c r="DR101" s="408">
        <v>0</v>
      </c>
      <c r="DS101" s="408"/>
      <c r="DT101" s="408"/>
      <c r="DU101" s="408"/>
      <c r="DV101" s="408">
        <v>54664.74277303851</v>
      </c>
      <c r="DW101" s="408">
        <v>0</v>
      </c>
      <c r="DX101" s="408">
        <v>0</v>
      </c>
      <c r="DY101" s="408">
        <v>-37025.232299999996</v>
      </c>
      <c r="DZ101" s="408">
        <v>1831.8799499999986</v>
      </c>
      <c r="EA101" s="408">
        <v>0</v>
      </c>
      <c r="EB101" s="408">
        <v>0</v>
      </c>
      <c r="EC101" s="408">
        <v>-36716.922981063428</v>
      </c>
      <c r="ED101" s="408">
        <v>0</v>
      </c>
      <c r="EE101" s="408">
        <v>0</v>
      </c>
      <c r="EF101" s="408">
        <v>0</v>
      </c>
      <c r="EG101" s="408">
        <v>0</v>
      </c>
      <c r="EH101" s="408">
        <v>0</v>
      </c>
      <c r="EI101" s="408">
        <v>0</v>
      </c>
      <c r="EJ101" s="408">
        <v>0</v>
      </c>
      <c r="EK101" s="408">
        <v>0</v>
      </c>
      <c r="EL101" s="408">
        <v>0</v>
      </c>
      <c r="EM101" s="408">
        <v>0</v>
      </c>
      <c r="EN101" s="408">
        <v>0</v>
      </c>
      <c r="EO101" s="408">
        <v>0</v>
      </c>
      <c r="EP101" s="408">
        <v>0</v>
      </c>
      <c r="EQ101" s="408">
        <v>0</v>
      </c>
      <c r="ER101" s="408">
        <v>0</v>
      </c>
      <c r="ES101" s="408">
        <v>0</v>
      </c>
      <c r="ET101" s="408">
        <v>0</v>
      </c>
      <c r="EU101" s="408">
        <v>0</v>
      </c>
      <c r="EV101" s="408">
        <v>257</v>
      </c>
      <c r="EW101" s="408">
        <v>0</v>
      </c>
      <c r="EX101" s="408">
        <v>0</v>
      </c>
      <c r="EY101" s="408">
        <v>0</v>
      </c>
      <c r="EZ101" s="408"/>
      <c r="FA101" s="408">
        <v>0</v>
      </c>
      <c r="FB101" s="408"/>
      <c r="FC101" s="408"/>
      <c r="FD101" s="408"/>
      <c r="FE101" s="408"/>
      <c r="FF101" s="408">
        <v>0</v>
      </c>
      <c r="FG101" s="408">
        <v>0</v>
      </c>
      <c r="FH101" s="408">
        <v>0</v>
      </c>
      <c r="FI101" s="408">
        <v>0</v>
      </c>
    </row>
    <row r="102" spans="1:165" s="861" customFormat="1">
      <c r="A102" s="408">
        <v>100</v>
      </c>
      <c r="B102" s="408" t="s">
        <v>1035</v>
      </c>
      <c r="C102" s="408" t="s">
        <v>2233</v>
      </c>
      <c r="D102" s="408" t="s">
        <v>1958</v>
      </c>
      <c r="E102" s="408" t="s">
        <v>1000</v>
      </c>
      <c r="F102" s="408" t="s">
        <v>2248</v>
      </c>
      <c r="G102" s="408" t="s">
        <v>1321</v>
      </c>
      <c r="H102" s="408" t="s">
        <v>1321</v>
      </c>
      <c r="I102" s="408" t="s">
        <v>1321</v>
      </c>
      <c r="J102" s="408" t="s">
        <v>2234</v>
      </c>
      <c r="K102" s="828">
        <v>44440</v>
      </c>
      <c r="L102" s="408">
        <v>0</v>
      </c>
      <c r="M102" s="408">
        <v>0</v>
      </c>
      <c r="N102" s="408">
        <v>32.029000000000003</v>
      </c>
      <c r="O102" s="408">
        <v>30.10726</v>
      </c>
      <c r="P102" s="408">
        <v>32.029000000000003</v>
      </c>
      <c r="Q102" s="408">
        <v>30.10726</v>
      </c>
      <c r="R102" s="408"/>
      <c r="S102" s="408">
        <v>710.91</v>
      </c>
      <c r="T102" s="408">
        <v>256.55</v>
      </c>
      <c r="U102" s="408"/>
      <c r="V102" s="408">
        <v>30986.776340000004</v>
      </c>
      <c r="W102" s="408">
        <v>30986.776340000004</v>
      </c>
      <c r="X102" s="408">
        <v>21152.912470000003</v>
      </c>
      <c r="Y102" s="408">
        <v>0</v>
      </c>
      <c r="Z102" s="408">
        <v>1968.9725704954085</v>
      </c>
      <c r="AA102" s="408">
        <v>0</v>
      </c>
      <c r="AB102" s="408">
        <v>0</v>
      </c>
      <c r="AC102" s="408">
        <v>0</v>
      </c>
      <c r="AD102" s="408">
        <v>3942.218674612202</v>
      </c>
      <c r="AE102" s="408">
        <v>15274.952365718444</v>
      </c>
      <c r="AF102" s="408">
        <v>8217.1207185558942</v>
      </c>
      <c r="AG102" s="408">
        <v>0</v>
      </c>
      <c r="AH102" s="408">
        <v>0</v>
      </c>
      <c r="AI102" s="408">
        <v>0</v>
      </c>
      <c r="AJ102" s="408">
        <v>0</v>
      </c>
      <c r="AK102" s="408">
        <v>0</v>
      </c>
      <c r="AL102" s="408">
        <v>304.41206382241194</v>
      </c>
      <c r="AM102" s="408"/>
      <c r="AN102" s="408">
        <v>70.329427016924029</v>
      </c>
      <c r="AO102" s="408">
        <v>0</v>
      </c>
      <c r="AP102" s="408">
        <v>0</v>
      </c>
      <c r="AQ102" s="408">
        <v>0</v>
      </c>
      <c r="AR102" s="408">
        <v>0</v>
      </c>
      <c r="AS102" s="408">
        <v>0</v>
      </c>
      <c r="AT102" s="408">
        <v>0</v>
      </c>
      <c r="AU102" s="408">
        <v>0</v>
      </c>
      <c r="AV102" s="408">
        <v>0</v>
      </c>
      <c r="AW102" s="408">
        <v>0</v>
      </c>
      <c r="AX102" s="408">
        <v>0</v>
      </c>
      <c r="AY102" s="408">
        <v>0</v>
      </c>
      <c r="AZ102" s="408">
        <v>0</v>
      </c>
      <c r="BA102" s="408"/>
      <c r="BB102" s="408">
        <v>0</v>
      </c>
      <c r="BC102" s="408">
        <v>0</v>
      </c>
      <c r="BD102" s="408">
        <v>47.733469853269675</v>
      </c>
      <c r="BE102" s="408">
        <v>0</v>
      </c>
      <c r="BF102" s="408">
        <v>0</v>
      </c>
      <c r="BG102" s="408">
        <v>1161.160221461017</v>
      </c>
      <c r="BH102" s="408">
        <v>0</v>
      </c>
      <c r="BI102" s="408">
        <v>37.549999999999997</v>
      </c>
      <c r="BJ102" s="408">
        <v>13.21</v>
      </c>
      <c r="BK102" s="408">
        <v>10432.25</v>
      </c>
      <c r="BL102" s="408">
        <v>9</v>
      </c>
      <c r="BM102" s="408"/>
      <c r="BN102" s="408"/>
      <c r="BO102" s="408"/>
      <c r="BP102" s="408"/>
      <c r="BQ102" s="408">
        <v>1269.1747482000023</v>
      </c>
      <c r="BR102" s="408"/>
      <c r="BS102" s="408"/>
      <c r="BT102" s="408"/>
      <c r="BU102" s="408"/>
      <c r="BV102" s="408">
        <v>9426.0144098701821</v>
      </c>
      <c r="BW102" s="408"/>
      <c r="BX102" s="408"/>
      <c r="BY102" s="408"/>
      <c r="BZ102" s="408"/>
      <c r="CA102" s="408"/>
      <c r="CB102" s="408"/>
      <c r="CC102" s="408"/>
      <c r="CD102" s="408"/>
      <c r="CE102" s="408"/>
      <c r="CF102" s="408"/>
      <c r="CG102" s="408"/>
      <c r="CH102" s="408"/>
      <c r="CI102" s="408">
        <v>19885.547299999998</v>
      </c>
      <c r="CJ102" s="408">
        <v>-9242.0524595999959</v>
      </c>
      <c r="CK102" s="408"/>
      <c r="CL102" s="408"/>
      <c r="CM102" s="408"/>
      <c r="CN102" s="408"/>
      <c r="CO102" s="408">
        <v>-10346.007580000001</v>
      </c>
      <c r="CP102" s="408">
        <v>512.1437100000004</v>
      </c>
      <c r="CQ102" s="408">
        <v>30</v>
      </c>
      <c r="CR102" s="408">
        <v>425.77066172379818</v>
      </c>
      <c r="CS102" s="408">
        <v>0</v>
      </c>
      <c r="CT102" s="408">
        <v>0</v>
      </c>
      <c r="CU102" s="408">
        <v>0</v>
      </c>
      <c r="CV102" s="408">
        <v>0</v>
      </c>
      <c r="CW102" s="408">
        <v>0</v>
      </c>
      <c r="CX102" s="408">
        <v>0</v>
      </c>
      <c r="CY102" s="408">
        <v>0</v>
      </c>
      <c r="CZ102" s="408">
        <v>-17.819076356105597</v>
      </c>
      <c r="DA102" s="408">
        <v>0</v>
      </c>
      <c r="DB102" s="408">
        <v>0</v>
      </c>
      <c r="DC102" s="408">
        <v>511.91404173145747</v>
      </c>
      <c r="DD102" s="408">
        <v>0</v>
      </c>
      <c r="DE102" s="408">
        <v>0</v>
      </c>
      <c r="DF102" s="408">
        <v>2.9737220999168485</v>
      </c>
      <c r="DG102" s="408">
        <v>72.338504255340922</v>
      </c>
      <c r="DH102" s="408">
        <v>0</v>
      </c>
      <c r="DI102" s="408">
        <v>-122.43830191498068</v>
      </c>
      <c r="DJ102" s="408"/>
      <c r="DK102" s="408">
        <v>0</v>
      </c>
      <c r="DL102" s="408">
        <v>0</v>
      </c>
      <c r="DM102" s="408">
        <v>0</v>
      </c>
      <c r="DN102" s="408">
        <v>0</v>
      </c>
      <c r="DO102" s="408">
        <v>-16.703909056717407</v>
      </c>
      <c r="DP102" s="408">
        <v>-4.4943190351093563</v>
      </c>
      <c r="DQ102" s="408">
        <v>0</v>
      </c>
      <c r="DR102" s="408">
        <v>0</v>
      </c>
      <c r="DS102" s="408"/>
      <c r="DT102" s="408"/>
      <c r="DU102" s="408"/>
      <c r="DV102" s="408">
        <v>15274.952365718444</v>
      </c>
      <c r="DW102" s="408">
        <v>0</v>
      </c>
      <c r="DX102" s="408">
        <v>0</v>
      </c>
      <c r="DY102" s="408">
        <v>-10346.007580000001</v>
      </c>
      <c r="DZ102" s="408">
        <v>512.14371000000028</v>
      </c>
      <c r="EA102" s="408">
        <v>0</v>
      </c>
      <c r="EB102" s="408">
        <v>0</v>
      </c>
      <c r="EC102" s="408">
        <v>-10259.798566693642</v>
      </c>
      <c r="ED102" s="408">
        <v>0</v>
      </c>
      <c r="EE102" s="408">
        <v>0</v>
      </c>
      <c r="EF102" s="408">
        <v>0</v>
      </c>
      <c r="EG102" s="408">
        <v>0</v>
      </c>
      <c r="EH102" s="408">
        <v>0</v>
      </c>
      <c r="EI102" s="408">
        <v>0</v>
      </c>
      <c r="EJ102" s="408">
        <v>0</v>
      </c>
      <c r="EK102" s="408">
        <v>0</v>
      </c>
      <c r="EL102" s="408">
        <v>0</v>
      </c>
      <c r="EM102" s="408">
        <v>0</v>
      </c>
      <c r="EN102" s="408">
        <v>0</v>
      </c>
      <c r="EO102" s="408">
        <v>0</v>
      </c>
      <c r="EP102" s="408">
        <v>0</v>
      </c>
      <c r="EQ102" s="408">
        <v>0</v>
      </c>
      <c r="ER102" s="408">
        <v>0</v>
      </c>
      <c r="ES102" s="408">
        <v>0</v>
      </c>
      <c r="ET102" s="408">
        <v>0</v>
      </c>
      <c r="EU102" s="408">
        <v>0</v>
      </c>
      <c r="EV102" s="408">
        <v>257</v>
      </c>
      <c r="EW102" s="408">
        <v>0</v>
      </c>
      <c r="EX102" s="408">
        <v>0</v>
      </c>
      <c r="EY102" s="408">
        <v>0</v>
      </c>
      <c r="EZ102" s="408"/>
      <c r="FA102" s="408">
        <v>0</v>
      </c>
      <c r="FB102" s="408"/>
      <c r="FC102" s="408"/>
      <c r="FD102" s="408"/>
      <c r="FE102" s="408"/>
      <c r="FF102" s="408">
        <v>0</v>
      </c>
      <c r="FG102" s="408">
        <v>0</v>
      </c>
      <c r="FH102" s="408">
        <v>0</v>
      </c>
      <c r="FI102" s="408">
        <v>0</v>
      </c>
    </row>
    <row r="103" spans="1:165" s="861" customFormat="1">
      <c r="A103" s="408">
        <v>101</v>
      </c>
      <c r="B103" s="408" t="s">
        <v>1035</v>
      </c>
      <c r="C103" s="408" t="s">
        <v>2241</v>
      </c>
      <c r="D103" s="408" t="s">
        <v>596</v>
      </c>
      <c r="E103" s="408" t="s">
        <v>1000</v>
      </c>
      <c r="F103" s="408" t="s">
        <v>2248</v>
      </c>
      <c r="G103" s="408" t="s">
        <v>1321</v>
      </c>
      <c r="H103" s="408" t="s">
        <v>1321</v>
      </c>
      <c r="I103" s="408" t="s">
        <v>972</v>
      </c>
      <c r="J103" s="408" t="s">
        <v>2234</v>
      </c>
      <c r="K103" s="828">
        <v>44440</v>
      </c>
      <c r="L103" s="408">
        <v>0</v>
      </c>
      <c r="M103" s="408">
        <v>0</v>
      </c>
      <c r="N103" s="408">
        <v>1.661</v>
      </c>
      <c r="O103" s="408">
        <v>1.56134</v>
      </c>
      <c r="P103" s="408">
        <v>1.661</v>
      </c>
      <c r="Q103" s="408">
        <v>1.56134</v>
      </c>
      <c r="R103" s="408"/>
      <c r="S103" s="408">
        <v>3130.62</v>
      </c>
      <c r="T103" s="408">
        <v>256.55</v>
      </c>
      <c r="U103" s="408"/>
      <c r="V103" s="408">
        <v>5626.0893699999997</v>
      </c>
      <c r="W103" s="408">
        <v>5626.0893699999997</v>
      </c>
      <c r="X103" s="408">
        <v>2960.9484299999999</v>
      </c>
      <c r="Y103" s="408">
        <v>0</v>
      </c>
      <c r="Z103" s="408">
        <v>88.835217847756709</v>
      </c>
      <c r="AA103" s="408">
        <v>0</v>
      </c>
      <c r="AB103" s="408">
        <v>0</v>
      </c>
      <c r="AC103" s="408">
        <v>0</v>
      </c>
      <c r="AD103" s="408">
        <v>1070.0391338801937</v>
      </c>
      <c r="AE103" s="408">
        <v>3993.2909292738782</v>
      </c>
      <c r="AF103" s="408">
        <v>426.13373859693843</v>
      </c>
      <c r="AG103" s="408">
        <v>0</v>
      </c>
      <c r="AH103" s="408">
        <v>0</v>
      </c>
      <c r="AI103" s="408">
        <v>0</v>
      </c>
      <c r="AJ103" s="408">
        <v>0</v>
      </c>
      <c r="AK103" s="408">
        <v>0</v>
      </c>
      <c r="AL103" s="408">
        <v>15.786582097755975</v>
      </c>
      <c r="AM103" s="408"/>
      <c r="AN103" s="408">
        <v>2.2407803463872664</v>
      </c>
      <c r="AO103" s="408">
        <v>0</v>
      </c>
      <c r="AP103" s="408">
        <v>0</v>
      </c>
      <c r="AQ103" s="408">
        <v>0</v>
      </c>
      <c r="AR103" s="408">
        <v>0</v>
      </c>
      <c r="AS103" s="408">
        <v>0</v>
      </c>
      <c r="AT103" s="408">
        <v>0</v>
      </c>
      <c r="AU103" s="408">
        <v>0</v>
      </c>
      <c r="AV103" s="408">
        <v>0</v>
      </c>
      <c r="AW103" s="408">
        <v>0</v>
      </c>
      <c r="AX103" s="408">
        <v>0</v>
      </c>
      <c r="AY103" s="408">
        <v>0</v>
      </c>
      <c r="AZ103" s="408">
        <v>0</v>
      </c>
      <c r="BA103" s="408"/>
      <c r="BB103" s="408">
        <v>0</v>
      </c>
      <c r="BC103" s="408">
        <v>0</v>
      </c>
      <c r="BD103" s="408">
        <v>2.0463938857795649</v>
      </c>
      <c r="BE103" s="408">
        <v>0</v>
      </c>
      <c r="BF103" s="408">
        <v>0</v>
      </c>
      <c r="BG103" s="408">
        <v>27.720907696205792</v>
      </c>
      <c r="BH103" s="408">
        <v>0</v>
      </c>
      <c r="BI103" s="408">
        <v>0</v>
      </c>
      <c r="BJ103" s="408">
        <v>0</v>
      </c>
      <c r="BK103" s="408">
        <v>0</v>
      </c>
      <c r="BL103" s="408">
        <v>0</v>
      </c>
      <c r="BM103" s="408"/>
      <c r="BN103" s="408"/>
      <c r="BO103" s="408"/>
      <c r="BP103" s="408"/>
      <c r="BQ103" s="408">
        <v>177.65690580000012</v>
      </c>
      <c r="BR103" s="408"/>
      <c r="BS103" s="408"/>
      <c r="BT103" s="408"/>
      <c r="BU103" s="408"/>
      <c r="BV103" s="408">
        <v>455.90104017892378</v>
      </c>
      <c r="BW103" s="408"/>
      <c r="BX103" s="408"/>
      <c r="BY103" s="408"/>
      <c r="BZ103" s="408"/>
      <c r="CA103" s="408"/>
      <c r="CB103" s="408"/>
      <c r="CC103" s="408"/>
      <c r="CD103" s="408"/>
      <c r="CE103" s="408"/>
      <c r="CF103" s="408"/>
      <c r="CG103" s="408"/>
      <c r="CH103" s="408"/>
      <c r="CI103" s="408">
        <v>2780.9028000000003</v>
      </c>
      <c r="CJ103" s="408">
        <v>-2507.6512078000001</v>
      </c>
      <c r="CK103" s="408"/>
      <c r="CL103" s="408"/>
      <c r="CM103" s="408"/>
      <c r="CN103" s="408"/>
      <c r="CO103" s="408">
        <v>-2691.7003300000001</v>
      </c>
      <c r="CP103" s="408">
        <v>26.559390000000015</v>
      </c>
      <c r="CQ103" s="408">
        <v>30</v>
      </c>
      <c r="CR103" s="408">
        <v>17.031729873199083</v>
      </c>
      <c r="CS103" s="408">
        <v>0</v>
      </c>
      <c r="CT103" s="408">
        <v>0</v>
      </c>
      <c r="CU103" s="408">
        <v>0</v>
      </c>
      <c r="CV103" s="408">
        <v>0</v>
      </c>
      <c r="CW103" s="408">
        <v>0</v>
      </c>
      <c r="CX103" s="408">
        <v>0</v>
      </c>
      <c r="CY103" s="408">
        <v>0</v>
      </c>
      <c r="CZ103" s="408">
        <v>-4.8366441855259836</v>
      </c>
      <c r="DA103" s="408">
        <v>0</v>
      </c>
      <c r="DB103" s="408">
        <v>0</v>
      </c>
      <c r="DC103" s="408">
        <v>26.547479575258365</v>
      </c>
      <c r="DD103" s="408">
        <v>0</v>
      </c>
      <c r="DE103" s="408">
        <v>0</v>
      </c>
      <c r="DF103" s="408">
        <v>0.12748720639802213</v>
      </c>
      <c r="DG103" s="408">
        <v>1.7269701134101574</v>
      </c>
      <c r="DH103" s="408">
        <v>0</v>
      </c>
      <c r="DI103" s="408">
        <v>-5.5241161743508229</v>
      </c>
      <c r="DJ103" s="408"/>
      <c r="DK103" s="408">
        <v>0</v>
      </c>
      <c r="DL103" s="408">
        <v>0</v>
      </c>
      <c r="DM103" s="408">
        <v>0</v>
      </c>
      <c r="DN103" s="408">
        <v>0</v>
      </c>
      <c r="DO103" s="408">
        <v>-0.86625223838420062</v>
      </c>
      <c r="DP103" s="408">
        <v>-0.14319442360655321</v>
      </c>
      <c r="DQ103" s="408">
        <v>0</v>
      </c>
      <c r="DR103" s="408">
        <v>0</v>
      </c>
      <c r="DS103" s="408"/>
      <c r="DT103" s="408"/>
      <c r="DU103" s="408"/>
      <c r="DV103" s="408">
        <v>3993.2909292738782</v>
      </c>
      <c r="DW103" s="408">
        <v>0</v>
      </c>
      <c r="DX103" s="408">
        <v>0</v>
      </c>
      <c r="DY103" s="408">
        <v>-2691.7003300000001</v>
      </c>
      <c r="DZ103" s="408">
        <v>26.559390000000008</v>
      </c>
      <c r="EA103" s="408">
        <v>0</v>
      </c>
      <c r="EB103" s="408">
        <v>0</v>
      </c>
      <c r="EC103" s="408">
        <v>-2682.1923611692919</v>
      </c>
      <c r="ED103" s="408">
        <v>0</v>
      </c>
      <c r="EE103" s="408">
        <v>0</v>
      </c>
      <c r="EF103" s="408">
        <v>0</v>
      </c>
      <c r="EG103" s="408">
        <v>0</v>
      </c>
      <c r="EH103" s="408">
        <v>0</v>
      </c>
      <c r="EI103" s="408">
        <v>0</v>
      </c>
      <c r="EJ103" s="408">
        <v>0</v>
      </c>
      <c r="EK103" s="408">
        <v>0</v>
      </c>
      <c r="EL103" s="408">
        <v>0</v>
      </c>
      <c r="EM103" s="408">
        <v>0</v>
      </c>
      <c r="EN103" s="408">
        <v>0</v>
      </c>
      <c r="EO103" s="408">
        <v>0</v>
      </c>
      <c r="EP103" s="408">
        <v>0</v>
      </c>
      <c r="EQ103" s="408">
        <v>0</v>
      </c>
      <c r="ER103" s="408">
        <v>0</v>
      </c>
      <c r="ES103" s="408">
        <v>0</v>
      </c>
      <c r="ET103" s="408">
        <v>0</v>
      </c>
      <c r="EU103" s="408">
        <v>0</v>
      </c>
      <c r="EV103" s="408">
        <v>257</v>
      </c>
      <c r="EW103" s="408">
        <v>0</v>
      </c>
      <c r="EX103" s="408">
        <v>0</v>
      </c>
      <c r="EY103" s="408">
        <v>0</v>
      </c>
      <c r="EZ103" s="408"/>
      <c r="FA103" s="408">
        <v>0</v>
      </c>
      <c r="FB103" s="408"/>
      <c r="FC103" s="408"/>
      <c r="FD103" s="408"/>
      <c r="FE103" s="408"/>
      <c r="FF103" s="408">
        <v>0</v>
      </c>
      <c r="FG103" s="408">
        <v>0</v>
      </c>
      <c r="FH103" s="408">
        <v>0</v>
      </c>
      <c r="FI103" s="408">
        <v>0</v>
      </c>
    </row>
    <row r="104" spans="1:165" s="861" customFormat="1">
      <c r="A104" s="408">
        <v>102</v>
      </c>
      <c r="B104" s="408" t="s">
        <v>1035</v>
      </c>
      <c r="C104" s="408" t="s">
        <v>2241</v>
      </c>
      <c r="D104" s="408" t="s">
        <v>596</v>
      </c>
      <c r="E104" s="408" t="s">
        <v>1000</v>
      </c>
      <c r="F104" s="408" t="s">
        <v>2248</v>
      </c>
      <c r="G104" s="408" t="s">
        <v>1321</v>
      </c>
      <c r="H104" s="408" t="s">
        <v>1321</v>
      </c>
      <c r="I104" s="408" t="s">
        <v>2242</v>
      </c>
      <c r="J104" s="408" t="s">
        <v>2234</v>
      </c>
      <c r="K104" s="828">
        <v>44440</v>
      </c>
      <c r="L104" s="408">
        <v>0</v>
      </c>
      <c r="M104" s="408">
        <v>0</v>
      </c>
      <c r="N104" s="408">
        <v>16.683</v>
      </c>
      <c r="O104" s="408">
        <v>15.68202</v>
      </c>
      <c r="P104" s="408">
        <v>16.683</v>
      </c>
      <c r="Q104" s="408">
        <v>15.68202</v>
      </c>
      <c r="R104" s="408"/>
      <c r="S104" s="408">
        <v>82.26</v>
      </c>
      <c r="T104" s="408">
        <v>256.55</v>
      </c>
      <c r="U104" s="408"/>
      <c r="V104" s="408">
        <v>5652.3672299999998</v>
      </c>
      <c r="W104" s="408">
        <v>5652.3672299999998</v>
      </c>
      <c r="X104" s="408">
        <v>5872.0823399999999</v>
      </c>
      <c r="Y104" s="408">
        <v>0</v>
      </c>
      <c r="Z104" s="408">
        <v>892.25643549315168</v>
      </c>
      <c r="AA104" s="408">
        <v>0</v>
      </c>
      <c r="AB104" s="408">
        <v>0</v>
      </c>
      <c r="AC104" s="408">
        <v>0</v>
      </c>
      <c r="AD104" s="408">
        <v>0</v>
      </c>
      <c r="AE104" s="408">
        <v>0</v>
      </c>
      <c r="AF104" s="408">
        <v>4280.0657200558235</v>
      </c>
      <c r="AG104" s="408">
        <v>0</v>
      </c>
      <c r="AH104" s="408">
        <v>0</v>
      </c>
      <c r="AI104" s="408">
        <v>0</v>
      </c>
      <c r="AJ104" s="408">
        <v>0</v>
      </c>
      <c r="AK104" s="408">
        <v>0</v>
      </c>
      <c r="AL104" s="408">
        <v>158.55963223170556</v>
      </c>
      <c r="AM104" s="408"/>
      <c r="AN104" s="408">
        <v>22.506284478494138</v>
      </c>
      <c r="AO104" s="408">
        <v>0</v>
      </c>
      <c r="AP104" s="408">
        <v>0</v>
      </c>
      <c r="AQ104" s="408">
        <v>0</v>
      </c>
      <c r="AR104" s="408">
        <v>0</v>
      </c>
      <c r="AS104" s="408">
        <v>0</v>
      </c>
      <c r="AT104" s="408">
        <v>0</v>
      </c>
      <c r="AU104" s="408">
        <v>0</v>
      </c>
      <c r="AV104" s="408">
        <v>0</v>
      </c>
      <c r="AW104" s="408">
        <v>0</v>
      </c>
      <c r="AX104" s="408">
        <v>0</v>
      </c>
      <c r="AY104" s="408">
        <v>0</v>
      </c>
      <c r="AZ104" s="408">
        <v>0</v>
      </c>
      <c r="BA104" s="408"/>
      <c r="BB104" s="408">
        <v>0</v>
      </c>
      <c r="BC104" s="408">
        <v>0</v>
      </c>
      <c r="BD104" s="408">
        <v>20.553876698651703</v>
      </c>
      <c r="BE104" s="408">
        <v>0</v>
      </c>
      <c r="BF104" s="408">
        <v>0</v>
      </c>
      <c r="BG104" s="408">
        <v>278.42739500048236</v>
      </c>
      <c r="BH104" s="408">
        <v>0</v>
      </c>
      <c r="BI104" s="408">
        <v>0</v>
      </c>
      <c r="BJ104" s="408">
        <v>0</v>
      </c>
      <c r="BK104" s="408">
        <v>0</v>
      </c>
      <c r="BL104" s="408">
        <v>0</v>
      </c>
      <c r="BM104" s="408"/>
      <c r="BN104" s="408"/>
      <c r="BO104" s="408"/>
      <c r="BP104" s="408"/>
      <c r="BQ104" s="408">
        <v>352.32494040000006</v>
      </c>
      <c r="BR104" s="408"/>
      <c r="BS104" s="408"/>
      <c r="BT104" s="408"/>
      <c r="BU104" s="408"/>
      <c r="BV104" s="408">
        <v>4579.0469917549581</v>
      </c>
      <c r="BW104" s="408"/>
      <c r="BX104" s="408"/>
      <c r="BY104" s="408"/>
      <c r="BZ104" s="408"/>
      <c r="CA104" s="408"/>
      <c r="CB104" s="408"/>
      <c r="CC104" s="408"/>
      <c r="CD104" s="408"/>
      <c r="CE104" s="408"/>
      <c r="CF104" s="408"/>
      <c r="CG104" s="408"/>
      <c r="CH104" s="408"/>
      <c r="CI104" s="408">
        <v>5519.0464000000002</v>
      </c>
      <c r="CJ104" s="408">
        <v>205.79120379999949</v>
      </c>
      <c r="CK104" s="408"/>
      <c r="CL104" s="408"/>
      <c r="CM104" s="408"/>
      <c r="CN104" s="408"/>
      <c r="CO104" s="408">
        <v>-47.046060000000125</v>
      </c>
      <c r="CP104" s="408">
        <v>266.76117000000016</v>
      </c>
      <c r="CQ104" s="408">
        <v>30</v>
      </c>
      <c r="CR104" s="408">
        <v>219.64484311963042</v>
      </c>
      <c r="CS104" s="408">
        <v>0</v>
      </c>
      <c r="CT104" s="408">
        <v>0</v>
      </c>
      <c r="CU104" s="408">
        <v>0</v>
      </c>
      <c r="CV104" s="408">
        <v>0</v>
      </c>
      <c r="CW104" s="408">
        <v>0</v>
      </c>
      <c r="CX104" s="408">
        <v>0</v>
      </c>
      <c r="CY104" s="408">
        <v>0</v>
      </c>
      <c r="CZ104" s="408">
        <v>0</v>
      </c>
      <c r="DA104" s="408">
        <v>0</v>
      </c>
      <c r="DB104" s="408">
        <v>0</v>
      </c>
      <c r="DC104" s="408">
        <v>266.64154229622818</v>
      </c>
      <c r="DD104" s="408">
        <v>0</v>
      </c>
      <c r="DE104" s="408">
        <v>0</v>
      </c>
      <c r="DF104" s="408">
        <v>1.2804750537857963</v>
      </c>
      <c r="DG104" s="408">
        <v>17.345600482854707</v>
      </c>
      <c r="DH104" s="408">
        <v>0</v>
      </c>
      <c r="DI104" s="408">
        <v>-55.483943489882336</v>
      </c>
      <c r="DJ104" s="408"/>
      <c r="DK104" s="408">
        <v>0</v>
      </c>
      <c r="DL104" s="408">
        <v>0</v>
      </c>
      <c r="DM104" s="408">
        <v>0</v>
      </c>
      <c r="DN104" s="408">
        <v>0</v>
      </c>
      <c r="DO104" s="408">
        <v>-8.7005936742707206</v>
      </c>
      <c r="DP104" s="408">
        <v>-1.4382375490837589</v>
      </c>
      <c r="DQ104" s="408">
        <v>0</v>
      </c>
      <c r="DR104" s="408">
        <v>0</v>
      </c>
      <c r="DS104" s="408"/>
      <c r="DT104" s="408"/>
      <c r="DU104" s="408"/>
      <c r="DV104" s="408">
        <v>0</v>
      </c>
      <c r="DW104" s="408">
        <v>0</v>
      </c>
      <c r="DX104" s="408">
        <v>0</v>
      </c>
      <c r="DY104" s="408">
        <v>-47.046060000000125</v>
      </c>
      <c r="DZ104" s="408">
        <v>266.76116999999977</v>
      </c>
      <c r="EA104" s="408">
        <v>0</v>
      </c>
      <c r="EB104" s="408">
        <v>0</v>
      </c>
      <c r="EC104" s="408">
        <v>0</v>
      </c>
      <c r="ED104" s="408">
        <v>0</v>
      </c>
      <c r="EE104" s="408">
        <v>0</v>
      </c>
      <c r="EF104" s="408">
        <v>0</v>
      </c>
      <c r="EG104" s="408">
        <v>0</v>
      </c>
      <c r="EH104" s="408">
        <v>0</v>
      </c>
      <c r="EI104" s="408">
        <v>0</v>
      </c>
      <c r="EJ104" s="408">
        <v>0</v>
      </c>
      <c r="EK104" s="408">
        <v>0</v>
      </c>
      <c r="EL104" s="408">
        <v>0</v>
      </c>
      <c r="EM104" s="408">
        <v>0</v>
      </c>
      <c r="EN104" s="408">
        <v>0</v>
      </c>
      <c r="EO104" s="408">
        <v>0</v>
      </c>
      <c r="EP104" s="408">
        <v>0</v>
      </c>
      <c r="EQ104" s="408">
        <v>0</v>
      </c>
      <c r="ER104" s="408">
        <v>0</v>
      </c>
      <c r="ES104" s="408">
        <v>0</v>
      </c>
      <c r="ET104" s="408">
        <v>0</v>
      </c>
      <c r="EU104" s="408">
        <v>0</v>
      </c>
      <c r="EV104" s="408">
        <v>257</v>
      </c>
      <c r="EW104" s="408">
        <v>0</v>
      </c>
      <c r="EX104" s="408">
        <v>0</v>
      </c>
      <c r="EY104" s="408">
        <v>0</v>
      </c>
      <c r="EZ104" s="408"/>
      <c r="FA104" s="408">
        <v>0</v>
      </c>
      <c r="FB104" s="408"/>
      <c r="FC104" s="408"/>
      <c r="FD104" s="408"/>
      <c r="FE104" s="408"/>
      <c r="FF104" s="408">
        <v>0</v>
      </c>
      <c r="FG104" s="408">
        <v>0</v>
      </c>
      <c r="FH104" s="408">
        <v>0</v>
      </c>
      <c r="FI104" s="408">
        <v>0</v>
      </c>
    </row>
    <row r="105" spans="1:165" s="861" customFormat="1">
      <c r="A105" s="408">
        <v>103</v>
      </c>
      <c r="B105" s="408" t="s">
        <v>1035</v>
      </c>
      <c r="C105" s="408" t="s">
        <v>2241</v>
      </c>
      <c r="D105" s="408" t="s">
        <v>596</v>
      </c>
      <c r="E105" s="408" t="s">
        <v>1000</v>
      </c>
      <c r="F105" s="408" t="s">
        <v>2248</v>
      </c>
      <c r="G105" s="408" t="s">
        <v>1321</v>
      </c>
      <c r="H105" s="408" t="s">
        <v>1321</v>
      </c>
      <c r="I105" s="408" t="s">
        <v>1321</v>
      </c>
      <c r="J105" s="408" t="s">
        <v>2234</v>
      </c>
      <c r="K105" s="828">
        <v>44440</v>
      </c>
      <c r="L105" s="408">
        <v>79</v>
      </c>
      <c r="M105" s="408">
        <v>74.260000000000005</v>
      </c>
      <c r="N105" s="408">
        <v>0</v>
      </c>
      <c r="O105" s="408">
        <v>0</v>
      </c>
      <c r="P105" s="408">
        <v>0</v>
      </c>
      <c r="Q105" s="408">
        <v>0</v>
      </c>
      <c r="R105" s="408">
        <v>47.39</v>
      </c>
      <c r="S105" s="408"/>
      <c r="T105" s="408"/>
      <c r="U105" s="408">
        <v>3743.81</v>
      </c>
      <c r="V105" s="408"/>
      <c r="W105" s="408">
        <v>3743.81</v>
      </c>
      <c r="X105" s="408">
        <v>2545.38</v>
      </c>
      <c r="Y105" s="408">
        <v>0</v>
      </c>
      <c r="Z105" s="408">
        <v>0</v>
      </c>
      <c r="AA105" s="408">
        <v>0</v>
      </c>
      <c r="AB105" s="408">
        <v>0</v>
      </c>
      <c r="AC105" s="408">
        <v>0</v>
      </c>
      <c r="AD105" s="408">
        <v>1972.6379141777902</v>
      </c>
      <c r="AE105" s="408">
        <v>1771.1695124126304</v>
      </c>
      <c r="AF105" s="408"/>
      <c r="AG105" s="408"/>
      <c r="AH105" s="408"/>
      <c r="AI105" s="408">
        <v>0</v>
      </c>
      <c r="AJ105" s="408">
        <v>0</v>
      </c>
      <c r="AK105" s="408">
        <v>0</v>
      </c>
      <c r="AL105" s="408">
        <v>0</v>
      </c>
      <c r="AM105" s="408"/>
      <c r="AN105" s="408">
        <v>0</v>
      </c>
      <c r="AO105" s="408">
        <v>0</v>
      </c>
      <c r="AP105" s="408">
        <v>0</v>
      </c>
      <c r="AQ105" s="408">
        <v>0</v>
      </c>
      <c r="AR105" s="408">
        <v>0</v>
      </c>
      <c r="AS105" s="408"/>
      <c r="AT105" s="408"/>
      <c r="AU105" s="408">
        <v>0</v>
      </c>
      <c r="AV105" s="408">
        <v>0</v>
      </c>
      <c r="AW105" s="408">
        <v>0</v>
      </c>
      <c r="AX105" s="408"/>
      <c r="AY105" s="408"/>
      <c r="AZ105" s="408">
        <v>0</v>
      </c>
      <c r="BA105" s="408"/>
      <c r="BB105" s="408">
        <v>0</v>
      </c>
      <c r="BC105" s="408">
        <v>0</v>
      </c>
      <c r="BD105" s="408">
        <v>0</v>
      </c>
      <c r="BE105" s="408">
        <v>0</v>
      </c>
      <c r="BF105" s="408"/>
      <c r="BG105" s="408">
        <v>0</v>
      </c>
      <c r="BH105" s="408">
        <v>0</v>
      </c>
      <c r="BI105" s="408">
        <v>21.51</v>
      </c>
      <c r="BJ105" s="408">
        <v>7.57</v>
      </c>
      <c r="BK105" s="408">
        <v>5853.6</v>
      </c>
      <c r="BL105" s="408">
        <v>1</v>
      </c>
      <c r="BM105" s="408"/>
      <c r="BN105" s="408"/>
      <c r="BO105" s="408"/>
      <c r="BP105" s="408"/>
      <c r="BQ105" s="408">
        <v>152.72279999999984</v>
      </c>
      <c r="BR105" s="408"/>
      <c r="BS105" s="408"/>
      <c r="BT105" s="408"/>
      <c r="BU105" s="408"/>
      <c r="BV105" s="408">
        <v>0</v>
      </c>
      <c r="BW105" s="408"/>
      <c r="BX105" s="408"/>
      <c r="BY105" s="408"/>
      <c r="BZ105" s="408"/>
      <c r="CA105" s="408"/>
      <c r="CB105" s="408"/>
      <c r="CC105" s="408"/>
      <c r="CD105" s="408"/>
      <c r="CE105" s="408"/>
      <c r="CF105" s="408"/>
      <c r="CG105" s="408"/>
      <c r="CH105" s="408"/>
      <c r="CI105" s="408">
        <v>2392.6572000000001</v>
      </c>
      <c r="CJ105" s="408">
        <v>-1126.5542000000009</v>
      </c>
      <c r="CK105" s="408"/>
      <c r="CL105" s="408"/>
      <c r="CM105" s="408"/>
      <c r="CN105" s="408"/>
      <c r="CO105" s="408">
        <v>-1198.43</v>
      </c>
      <c r="CP105" s="408">
        <v>0</v>
      </c>
      <c r="CQ105" s="408">
        <v>30</v>
      </c>
      <c r="CR105" s="408">
        <v>-8.9164474416556914</v>
      </c>
      <c r="CS105" s="408">
        <v>0</v>
      </c>
      <c r="CT105" s="408">
        <v>0</v>
      </c>
      <c r="CU105" s="408">
        <v>0</v>
      </c>
      <c r="CV105" s="408">
        <v>0</v>
      </c>
      <c r="CW105" s="408"/>
      <c r="CX105" s="408"/>
      <c r="CY105" s="408"/>
      <c r="CZ105" s="408">
        <v>-8.9164474416556914</v>
      </c>
      <c r="DA105" s="408">
        <v>0</v>
      </c>
      <c r="DB105" s="408">
        <v>0</v>
      </c>
      <c r="DC105" s="408"/>
      <c r="DD105" s="408"/>
      <c r="DE105" s="408">
        <v>0</v>
      </c>
      <c r="DF105" s="408">
        <v>0</v>
      </c>
      <c r="DG105" s="408">
        <v>0</v>
      </c>
      <c r="DH105" s="408">
        <v>0</v>
      </c>
      <c r="DI105" s="408">
        <v>0</v>
      </c>
      <c r="DJ105" s="408"/>
      <c r="DK105" s="408">
        <v>0</v>
      </c>
      <c r="DL105" s="408">
        <v>0</v>
      </c>
      <c r="DM105" s="408"/>
      <c r="DN105" s="408">
        <v>0</v>
      </c>
      <c r="DO105" s="408">
        <v>0</v>
      </c>
      <c r="DP105" s="408">
        <v>0</v>
      </c>
      <c r="DQ105" s="408">
        <v>0</v>
      </c>
      <c r="DR105" s="408">
        <v>0</v>
      </c>
      <c r="DS105" s="408"/>
      <c r="DT105" s="408"/>
      <c r="DU105" s="408">
        <v>1771.1695124126304</v>
      </c>
      <c r="DV105" s="408"/>
      <c r="DW105" s="408">
        <v>0</v>
      </c>
      <c r="DX105" s="408">
        <v>0</v>
      </c>
      <c r="DY105" s="408">
        <v>-1198.4299999999998</v>
      </c>
      <c r="DZ105" s="408"/>
      <c r="EA105" s="408">
        <v>0</v>
      </c>
      <c r="EB105" s="408"/>
      <c r="EC105" s="408">
        <v>-1189.6496951182394</v>
      </c>
      <c r="ED105" s="408"/>
      <c r="EE105" s="408">
        <v>0</v>
      </c>
      <c r="EF105" s="408">
        <v>0</v>
      </c>
      <c r="EG105" s="408"/>
      <c r="EH105" s="408">
        <v>0</v>
      </c>
      <c r="EI105" s="408">
        <v>0</v>
      </c>
      <c r="EJ105" s="408">
        <v>0</v>
      </c>
      <c r="EK105" s="408">
        <v>0</v>
      </c>
      <c r="EL105" s="408">
        <v>0</v>
      </c>
      <c r="EM105" s="408"/>
      <c r="EN105" s="408"/>
      <c r="EO105" s="408">
        <v>0</v>
      </c>
      <c r="EP105" s="408">
        <v>0</v>
      </c>
      <c r="EQ105" s="408"/>
      <c r="ER105" s="408">
        <v>0</v>
      </c>
      <c r="ES105" s="408"/>
      <c r="ET105" s="408">
        <v>0</v>
      </c>
      <c r="EU105" s="408"/>
      <c r="EV105" s="408">
        <v>257</v>
      </c>
      <c r="EW105" s="408"/>
      <c r="EX105" s="408"/>
      <c r="EY105" s="408"/>
      <c r="EZ105" s="408"/>
      <c r="FA105" s="408">
        <v>0</v>
      </c>
      <c r="FB105" s="408"/>
      <c r="FC105" s="408"/>
      <c r="FD105" s="408"/>
      <c r="FE105" s="408"/>
      <c r="FF105" s="408">
        <v>0</v>
      </c>
      <c r="FG105" s="408">
        <v>0</v>
      </c>
      <c r="FH105" s="408">
        <v>0</v>
      </c>
      <c r="FI105" s="408">
        <v>0</v>
      </c>
    </row>
    <row r="106" spans="1:165" s="861" customFormat="1">
      <c r="A106" s="408">
        <v>104</v>
      </c>
      <c r="B106" s="408" t="s">
        <v>1035</v>
      </c>
      <c r="C106" s="408" t="s">
        <v>2233</v>
      </c>
      <c r="D106" s="408" t="s">
        <v>1958</v>
      </c>
      <c r="E106" s="408" t="s">
        <v>2249</v>
      </c>
      <c r="F106" s="408" t="s">
        <v>1321</v>
      </c>
      <c r="G106" s="408" t="s">
        <v>1321</v>
      </c>
      <c r="H106" s="408" t="s">
        <v>1321</v>
      </c>
      <c r="I106" s="408" t="s">
        <v>1321</v>
      </c>
      <c r="J106" s="408" t="s">
        <v>2234</v>
      </c>
      <c r="K106" s="828">
        <v>44440</v>
      </c>
      <c r="L106" s="408">
        <v>0</v>
      </c>
      <c r="M106" s="408">
        <v>0</v>
      </c>
      <c r="N106" s="408">
        <v>0.496</v>
      </c>
      <c r="O106" s="408">
        <v>0.496</v>
      </c>
      <c r="P106" s="408">
        <v>0.496</v>
      </c>
      <c r="Q106" s="408">
        <v>0.496</v>
      </c>
      <c r="R106" s="408"/>
      <c r="S106" s="408">
        <v>710.91</v>
      </c>
      <c r="T106" s="408">
        <v>256.55</v>
      </c>
      <c r="U106" s="408"/>
      <c r="V106" s="408">
        <v>479.86016000000001</v>
      </c>
      <c r="W106" s="408">
        <v>479.86016000000001</v>
      </c>
      <c r="X106" s="408">
        <v>327.57328000000001</v>
      </c>
      <c r="Y106" s="408">
        <v>0</v>
      </c>
      <c r="Z106" s="408">
        <v>30.491441973390444</v>
      </c>
      <c r="AA106" s="408">
        <v>0</v>
      </c>
      <c r="AB106" s="408">
        <v>0</v>
      </c>
      <c r="AC106" s="408">
        <v>0</v>
      </c>
      <c r="AD106" s="408">
        <v>61.049063742472512</v>
      </c>
      <c r="AE106" s="408">
        <v>236.5473905959083</v>
      </c>
      <c r="AF106" s="408">
        <v>127.2500507790978</v>
      </c>
      <c r="AG106" s="408">
        <v>0</v>
      </c>
      <c r="AH106" s="408">
        <v>0</v>
      </c>
      <c r="AI106" s="408">
        <v>0</v>
      </c>
      <c r="AJ106" s="408">
        <v>0</v>
      </c>
      <c r="AK106" s="408">
        <v>0</v>
      </c>
      <c r="AL106" s="408">
        <v>4.7141148226893215</v>
      </c>
      <c r="AM106" s="408"/>
      <c r="AN106" s="408">
        <v>1.0891191045738025</v>
      </c>
      <c r="AO106" s="408">
        <v>0</v>
      </c>
      <c r="AP106" s="408">
        <v>0</v>
      </c>
      <c r="AQ106" s="408">
        <v>0</v>
      </c>
      <c r="AR106" s="408">
        <v>0</v>
      </c>
      <c r="AS106" s="408">
        <v>0</v>
      </c>
      <c r="AT106" s="408">
        <v>0</v>
      </c>
      <c r="AU106" s="408">
        <v>0</v>
      </c>
      <c r="AV106" s="408">
        <v>0</v>
      </c>
      <c r="AW106" s="408">
        <v>0</v>
      </c>
      <c r="AX106" s="408">
        <v>0</v>
      </c>
      <c r="AY106" s="408">
        <v>0</v>
      </c>
      <c r="AZ106" s="408">
        <v>0</v>
      </c>
      <c r="BA106" s="408"/>
      <c r="BB106" s="408">
        <v>0</v>
      </c>
      <c r="BC106" s="408">
        <v>0</v>
      </c>
      <c r="BD106" s="408">
        <v>0.73919888373729292</v>
      </c>
      <c r="BE106" s="408">
        <v>0</v>
      </c>
      <c r="BF106" s="408">
        <v>0</v>
      </c>
      <c r="BG106" s="408">
        <v>17.981687528323221</v>
      </c>
      <c r="BH106" s="408">
        <v>0</v>
      </c>
      <c r="BI106" s="408">
        <v>0.59</v>
      </c>
      <c r="BJ106" s="408">
        <v>0.21</v>
      </c>
      <c r="BK106" s="408">
        <v>162.79</v>
      </c>
      <c r="BL106" s="408">
        <v>4</v>
      </c>
      <c r="BM106" s="408"/>
      <c r="BN106" s="408"/>
      <c r="BO106" s="408"/>
      <c r="BP106" s="408"/>
      <c r="BQ106" s="408"/>
      <c r="BR106" s="408"/>
      <c r="BS106" s="408"/>
      <c r="BT106" s="408"/>
      <c r="BU106" s="408"/>
      <c r="BV106" s="408">
        <v>145.97093719115833</v>
      </c>
      <c r="BW106" s="408"/>
      <c r="BX106" s="408"/>
      <c r="BY106" s="408"/>
      <c r="BZ106" s="408"/>
      <c r="CA106" s="408"/>
      <c r="CB106" s="408"/>
      <c r="CC106" s="408"/>
      <c r="CD106" s="408"/>
      <c r="CE106" s="408"/>
      <c r="CF106" s="408"/>
      <c r="CG106" s="408"/>
      <c r="CH106" s="408"/>
      <c r="CI106" s="408">
        <v>330.21500000000003</v>
      </c>
      <c r="CJ106" s="408">
        <v>-149.67515999999995</v>
      </c>
      <c r="CK106" s="408"/>
      <c r="CL106" s="408"/>
      <c r="CM106" s="408"/>
      <c r="CN106" s="408"/>
      <c r="CO106" s="408">
        <v>-160.21791999999999</v>
      </c>
      <c r="CP106" s="408">
        <v>7.9310400000000048</v>
      </c>
      <c r="CQ106" s="408">
        <v>30</v>
      </c>
      <c r="CR106" s="408">
        <v>6.5934699245997876</v>
      </c>
      <c r="CS106" s="408">
        <v>0</v>
      </c>
      <c r="CT106" s="408">
        <v>0</v>
      </c>
      <c r="CU106" s="408">
        <v>0</v>
      </c>
      <c r="CV106" s="408">
        <v>0</v>
      </c>
      <c r="CW106" s="408">
        <v>0</v>
      </c>
      <c r="CX106" s="408">
        <v>0</v>
      </c>
      <c r="CY106" s="408">
        <v>0</v>
      </c>
      <c r="CZ106" s="408">
        <v>-0.2759456078125595</v>
      </c>
      <c r="DA106" s="408">
        <v>0</v>
      </c>
      <c r="DB106" s="408">
        <v>0</v>
      </c>
      <c r="DC106" s="408">
        <v>7.9274833650380145</v>
      </c>
      <c r="DD106" s="408">
        <v>0</v>
      </c>
      <c r="DE106" s="408">
        <v>0</v>
      </c>
      <c r="DF106" s="408">
        <v>4.6050958867237757E-2</v>
      </c>
      <c r="DG106" s="408">
        <v>1.1202316060647881</v>
      </c>
      <c r="DH106" s="408">
        <v>0</v>
      </c>
      <c r="DI106" s="408">
        <v>-1.8960753613859467</v>
      </c>
      <c r="DJ106" s="408"/>
      <c r="DK106" s="408">
        <v>0</v>
      </c>
      <c r="DL106" s="408">
        <v>0</v>
      </c>
      <c r="DM106" s="408">
        <v>0</v>
      </c>
      <c r="DN106" s="408">
        <v>0</v>
      </c>
      <c r="DO106" s="408">
        <v>-0.25867616510449309</v>
      </c>
      <c r="DP106" s="408">
        <v>-6.9598871067290569E-2</v>
      </c>
      <c r="DQ106" s="408">
        <v>0</v>
      </c>
      <c r="DR106" s="408">
        <v>0</v>
      </c>
      <c r="DS106" s="408"/>
      <c r="DT106" s="408"/>
      <c r="DU106" s="408"/>
      <c r="DV106" s="408">
        <v>236.5473905959083</v>
      </c>
      <c r="DW106" s="408">
        <v>0</v>
      </c>
      <c r="DX106" s="408">
        <v>0</v>
      </c>
      <c r="DY106" s="408">
        <v>-160.21791999999999</v>
      </c>
      <c r="DZ106" s="408">
        <v>7.9310400000000101</v>
      </c>
      <c r="EA106" s="408">
        <v>0</v>
      </c>
      <c r="EB106" s="408">
        <v>0</v>
      </c>
      <c r="EC106" s="408">
        <v>-158.88289016453979</v>
      </c>
      <c r="ED106" s="408">
        <v>0</v>
      </c>
      <c r="EE106" s="408">
        <v>0</v>
      </c>
      <c r="EF106" s="408">
        <v>0</v>
      </c>
      <c r="EG106" s="408">
        <v>0</v>
      </c>
      <c r="EH106" s="408">
        <v>0</v>
      </c>
      <c r="EI106" s="408">
        <v>0</v>
      </c>
      <c r="EJ106" s="408">
        <v>0</v>
      </c>
      <c r="EK106" s="408">
        <v>0</v>
      </c>
      <c r="EL106" s="408">
        <v>0</v>
      </c>
      <c r="EM106" s="408">
        <v>0</v>
      </c>
      <c r="EN106" s="408">
        <v>0</v>
      </c>
      <c r="EO106" s="408">
        <v>0</v>
      </c>
      <c r="EP106" s="408">
        <v>0</v>
      </c>
      <c r="EQ106" s="408">
        <v>0</v>
      </c>
      <c r="ER106" s="408">
        <v>0</v>
      </c>
      <c r="ES106" s="408">
        <v>0</v>
      </c>
      <c r="ET106" s="408">
        <v>0</v>
      </c>
      <c r="EU106" s="408">
        <v>0</v>
      </c>
      <c r="EV106" s="408">
        <v>257</v>
      </c>
      <c r="EW106" s="408">
        <v>0</v>
      </c>
      <c r="EX106" s="408">
        <v>0</v>
      </c>
      <c r="EY106" s="408">
        <v>0</v>
      </c>
      <c r="EZ106" s="408"/>
      <c r="FA106" s="408">
        <v>0</v>
      </c>
      <c r="FB106" s="408"/>
      <c r="FC106" s="408"/>
      <c r="FD106" s="408"/>
      <c r="FE106" s="408"/>
      <c r="FF106" s="408">
        <v>0</v>
      </c>
      <c r="FG106" s="408">
        <v>0</v>
      </c>
      <c r="FH106" s="408">
        <v>0</v>
      </c>
      <c r="FI106" s="408">
        <v>0</v>
      </c>
    </row>
    <row r="107" spans="1:165" s="861" customFormat="1">
      <c r="A107" s="408">
        <v>105</v>
      </c>
      <c r="B107" s="408" t="s">
        <v>1035</v>
      </c>
      <c r="C107" s="408" t="s">
        <v>2233</v>
      </c>
      <c r="D107" s="408" t="s">
        <v>1955</v>
      </c>
      <c r="E107" s="408" t="s">
        <v>968</v>
      </c>
      <c r="F107" s="408" t="s">
        <v>968</v>
      </c>
      <c r="G107" s="408" t="s">
        <v>1321</v>
      </c>
      <c r="H107" s="408" t="s">
        <v>1321</v>
      </c>
      <c r="I107" s="408" t="s">
        <v>1321</v>
      </c>
      <c r="J107" s="408" t="s">
        <v>2234</v>
      </c>
      <c r="K107" s="828">
        <v>44470</v>
      </c>
      <c r="L107" s="408">
        <v>0</v>
      </c>
      <c r="M107" s="408">
        <v>0</v>
      </c>
      <c r="N107" s="408">
        <v>597.73599999999999</v>
      </c>
      <c r="O107" s="408">
        <v>597.73599999999999</v>
      </c>
      <c r="P107" s="408">
        <v>597.73599999999999</v>
      </c>
      <c r="Q107" s="408">
        <v>597.73599999999999</v>
      </c>
      <c r="R107" s="408"/>
      <c r="S107" s="408">
        <v>710.91</v>
      </c>
      <c r="T107" s="408">
        <v>256.55</v>
      </c>
      <c r="U107" s="408"/>
      <c r="V107" s="408">
        <v>578285.67056</v>
      </c>
      <c r="W107" s="408">
        <v>578285.67056</v>
      </c>
      <c r="X107" s="408">
        <v>394762.78648000001</v>
      </c>
      <c r="Y107" s="408">
        <v>0</v>
      </c>
      <c r="Z107" s="408">
        <v>36745.630160093766</v>
      </c>
      <c r="AA107" s="408">
        <v>0</v>
      </c>
      <c r="AB107" s="408">
        <v>0</v>
      </c>
      <c r="AC107" s="408">
        <v>0</v>
      </c>
      <c r="AD107" s="408">
        <v>73571.014445908368</v>
      </c>
      <c r="AE107" s="408">
        <v>285066.31263152388</v>
      </c>
      <c r="AF107" s="408">
        <v>153350.67813002985</v>
      </c>
      <c r="AG107" s="408">
        <v>0</v>
      </c>
      <c r="AH107" s="408">
        <v>0</v>
      </c>
      <c r="AI107" s="408">
        <v>0</v>
      </c>
      <c r="AJ107" s="408">
        <v>0</v>
      </c>
      <c r="AK107" s="408">
        <v>0</v>
      </c>
      <c r="AL107" s="408">
        <v>5681.0406001109368</v>
      </c>
      <c r="AM107" s="408"/>
      <c r="AN107" s="408">
        <v>1312.5114860716258</v>
      </c>
      <c r="AO107" s="408">
        <v>0</v>
      </c>
      <c r="AP107" s="408">
        <v>0</v>
      </c>
      <c r="AQ107" s="408">
        <v>0</v>
      </c>
      <c r="AR107" s="408">
        <v>0</v>
      </c>
      <c r="AS107" s="408">
        <v>0</v>
      </c>
      <c r="AT107" s="408">
        <v>0</v>
      </c>
      <c r="AU107" s="408">
        <v>0</v>
      </c>
      <c r="AV107" s="408">
        <v>0</v>
      </c>
      <c r="AW107" s="408">
        <v>0</v>
      </c>
      <c r="AX107" s="408">
        <v>0</v>
      </c>
      <c r="AY107" s="408">
        <v>0</v>
      </c>
      <c r="AZ107" s="408">
        <v>0</v>
      </c>
      <c r="BA107" s="408"/>
      <c r="BB107" s="408">
        <v>0</v>
      </c>
      <c r="BC107" s="408">
        <v>0</v>
      </c>
      <c r="BD107" s="408">
        <v>890.8181128419244</v>
      </c>
      <c r="BE107" s="408">
        <v>0</v>
      </c>
      <c r="BF107" s="408">
        <v>0</v>
      </c>
      <c r="BG107" s="408">
        <v>21669.963662156872</v>
      </c>
      <c r="BH107" s="408">
        <v>0</v>
      </c>
      <c r="BI107" s="408">
        <v>1216.45</v>
      </c>
      <c r="BJ107" s="408">
        <v>6050.73</v>
      </c>
      <c r="BK107" s="408">
        <v>201402.23</v>
      </c>
      <c r="BL107" s="408">
        <v>4151</v>
      </c>
      <c r="BM107" s="408"/>
      <c r="BN107" s="408"/>
      <c r="BO107" s="408"/>
      <c r="BP107" s="408"/>
      <c r="BQ107" s="408"/>
      <c r="BR107" s="408"/>
      <c r="BS107" s="408"/>
      <c r="BT107" s="408"/>
      <c r="BU107" s="408"/>
      <c r="BV107" s="408">
        <v>175911.45990502863</v>
      </c>
      <c r="BW107" s="408"/>
      <c r="BX107" s="408"/>
      <c r="BY107" s="408"/>
      <c r="BZ107" s="408"/>
      <c r="CA107" s="408"/>
      <c r="CB107" s="408"/>
      <c r="CC107" s="408"/>
      <c r="CD107" s="408"/>
      <c r="CE107" s="408"/>
      <c r="CF107" s="408"/>
      <c r="CG107" s="408"/>
      <c r="CH107" s="408"/>
      <c r="CI107" s="408">
        <v>394765.42819999997</v>
      </c>
      <c r="CJ107" s="408">
        <v>-183520.27236000006</v>
      </c>
      <c r="CK107" s="408"/>
      <c r="CL107" s="408"/>
      <c r="CM107" s="408"/>
      <c r="CN107" s="408"/>
      <c r="CO107" s="408">
        <v>-193080.68271999998</v>
      </c>
      <c r="CP107" s="408">
        <v>9557.7986400000045</v>
      </c>
      <c r="CQ107" s="408">
        <v>31</v>
      </c>
      <c r="CR107" s="408">
        <v>7945.8756831664941</v>
      </c>
      <c r="CS107" s="408">
        <v>0</v>
      </c>
      <c r="CT107" s="408">
        <v>0</v>
      </c>
      <c r="CU107" s="408">
        <v>0</v>
      </c>
      <c r="CV107" s="408">
        <v>0</v>
      </c>
      <c r="CW107" s="408">
        <v>0</v>
      </c>
      <c r="CX107" s="408">
        <v>0</v>
      </c>
      <c r="CY107" s="408">
        <v>0</v>
      </c>
      <c r="CZ107" s="408">
        <v>-332.54561256340821</v>
      </c>
      <c r="DA107" s="408">
        <v>0</v>
      </c>
      <c r="DB107" s="408">
        <v>0</v>
      </c>
      <c r="DC107" s="408">
        <v>9553.5124933152401</v>
      </c>
      <c r="DD107" s="408">
        <v>0</v>
      </c>
      <c r="DE107" s="408">
        <v>0</v>
      </c>
      <c r="DF107" s="408">
        <v>55.496604736829113</v>
      </c>
      <c r="DG107" s="408">
        <v>1350.0055630700444</v>
      </c>
      <c r="DH107" s="408">
        <v>0</v>
      </c>
      <c r="DI107" s="408">
        <v>-2284.9848834947334</v>
      </c>
      <c r="DJ107" s="408"/>
      <c r="DK107" s="408">
        <v>0</v>
      </c>
      <c r="DL107" s="408">
        <v>0</v>
      </c>
      <c r="DM107" s="408">
        <v>0</v>
      </c>
      <c r="DN107" s="408">
        <v>0</v>
      </c>
      <c r="DO107" s="408">
        <v>-311.73398432439444</v>
      </c>
      <c r="DP107" s="408">
        <v>-83.87449757314107</v>
      </c>
      <c r="DQ107" s="408">
        <v>0</v>
      </c>
      <c r="DR107" s="408">
        <v>0</v>
      </c>
      <c r="DS107" s="408"/>
      <c r="DT107" s="408"/>
      <c r="DU107" s="408"/>
      <c r="DV107" s="408">
        <v>285066.31263152388</v>
      </c>
      <c r="DW107" s="408">
        <v>0</v>
      </c>
      <c r="DX107" s="408">
        <v>0</v>
      </c>
      <c r="DY107" s="408">
        <v>-193080.68271999998</v>
      </c>
      <c r="DZ107" s="408">
        <v>9557.7986400000227</v>
      </c>
      <c r="EA107" s="408">
        <v>0</v>
      </c>
      <c r="EB107" s="408">
        <v>0</v>
      </c>
      <c r="EC107" s="408">
        <v>-191471.82103909549</v>
      </c>
      <c r="ED107" s="408">
        <v>0</v>
      </c>
      <c r="EE107" s="408">
        <v>0</v>
      </c>
      <c r="EF107" s="408">
        <v>0</v>
      </c>
      <c r="EG107" s="408">
        <v>0</v>
      </c>
      <c r="EH107" s="408">
        <v>0</v>
      </c>
      <c r="EI107" s="408">
        <v>0</v>
      </c>
      <c r="EJ107" s="408">
        <v>0</v>
      </c>
      <c r="EK107" s="408">
        <v>0</v>
      </c>
      <c r="EL107" s="408">
        <v>0</v>
      </c>
      <c r="EM107" s="408">
        <v>0</v>
      </c>
      <c r="EN107" s="408">
        <v>0</v>
      </c>
      <c r="EO107" s="408">
        <v>0</v>
      </c>
      <c r="EP107" s="408">
        <v>0</v>
      </c>
      <c r="EQ107" s="408">
        <v>0</v>
      </c>
      <c r="ER107" s="408">
        <v>0</v>
      </c>
      <c r="ES107" s="408">
        <v>0</v>
      </c>
      <c r="ET107" s="408">
        <v>0</v>
      </c>
      <c r="EU107" s="408">
        <v>0</v>
      </c>
      <c r="EV107" s="408">
        <v>257</v>
      </c>
      <c r="EW107" s="408">
        <v>0</v>
      </c>
      <c r="EX107" s="408">
        <v>0</v>
      </c>
      <c r="EY107" s="408">
        <v>0</v>
      </c>
      <c r="EZ107" s="408"/>
      <c r="FA107" s="408">
        <v>0</v>
      </c>
      <c r="FB107" s="408"/>
      <c r="FC107" s="408"/>
      <c r="FD107" s="408"/>
      <c r="FE107" s="408"/>
      <c r="FF107" s="408">
        <v>0</v>
      </c>
      <c r="FG107" s="408">
        <v>0</v>
      </c>
      <c r="FH107" s="408">
        <v>0</v>
      </c>
      <c r="FI107" s="408">
        <v>0</v>
      </c>
    </row>
    <row r="108" spans="1:165" s="861" customFormat="1">
      <c r="A108" s="408">
        <v>106</v>
      </c>
      <c r="B108" s="408" t="s">
        <v>2235</v>
      </c>
      <c r="C108" s="408" t="s">
        <v>2233</v>
      </c>
      <c r="D108" s="408" t="s">
        <v>1955</v>
      </c>
      <c r="E108" s="408" t="s">
        <v>968</v>
      </c>
      <c r="F108" s="408" t="s">
        <v>968</v>
      </c>
      <c r="G108" s="408" t="s">
        <v>1321</v>
      </c>
      <c r="H108" s="408" t="s">
        <v>1321</v>
      </c>
      <c r="I108" s="408" t="s">
        <v>1321</v>
      </c>
      <c r="J108" s="408" t="s">
        <v>2234</v>
      </c>
      <c r="K108" s="828">
        <v>44470</v>
      </c>
      <c r="L108" s="408">
        <v>0</v>
      </c>
      <c r="M108" s="408">
        <v>0</v>
      </c>
      <c r="N108" s="408">
        <v>-2.383</v>
      </c>
      <c r="O108" s="408">
        <v>-2.383</v>
      </c>
      <c r="P108" s="408">
        <v>-2.383</v>
      </c>
      <c r="Q108" s="408">
        <v>-2.383</v>
      </c>
      <c r="R108" s="408"/>
      <c r="S108" s="408">
        <v>710.91</v>
      </c>
      <c r="T108" s="408">
        <v>256.55</v>
      </c>
      <c r="U108" s="408"/>
      <c r="V108" s="408">
        <v>-2305.4571799999999</v>
      </c>
      <c r="W108" s="408">
        <v>-2305.4571799999999</v>
      </c>
      <c r="X108" s="408">
        <v>-1573.8046899999999</v>
      </c>
      <c r="Y108" s="408">
        <v>0</v>
      </c>
      <c r="Z108" s="408">
        <v>-146.49416577134966</v>
      </c>
      <c r="AA108" s="408">
        <v>0</v>
      </c>
      <c r="AB108" s="408">
        <v>0</v>
      </c>
      <c r="AC108" s="408">
        <v>0</v>
      </c>
      <c r="AD108" s="408">
        <v>-293.30628810143548</v>
      </c>
      <c r="AE108" s="408">
        <v>-1136.4766769960675</v>
      </c>
      <c r="AF108" s="408">
        <v>-611.36465928747998</v>
      </c>
      <c r="AG108" s="408">
        <v>0</v>
      </c>
      <c r="AH108" s="408">
        <v>0</v>
      </c>
      <c r="AI108" s="408">
        <v>0</v>
      </c>
      <c r="AJ108" s="408">
        <v>0</v>
      </c>
      <c r="AK108" s="408">
        <v>0</v>
      </c>
      <c r="AL108" s="408">
        <v>-22.648660529170673</v>
      </c>
      <c r="AM108" s="408"/>
      <c r="AN108" s="408">
        <v>-5.2326024721761515</v>
      </c>
      <c r="AO108" s="408">
        <v>0</v>
      </c>
      <c r="AP108" s="408">
        <v>0</v>
      </c>
      <c r="AQ108" s="408">
        <v>0</v>
      </c>
      <c r="AR108" s="408">
        <v>0</v>
      </c>
      <c r="AS108" s="408">
        <v>0</v>
      </c>
      <c r="AT108" s="408">
        <v>0</v>
      </c>
      <c r="AU108" s="408">
        <v>0</v>
      </c>
      <c r="AV108" s="408">
        <v>0</v>
      </c>
      <c r="AW108" s="408">
        <v>0</v>
      </c>
      <c r="AX108" s="408">
        <v>0</v>
      </c>
      <c r="AY108" s="408">
        <v>0</v>
      </c>
      <c r="AZ108" s="408">
        <v>0</v>
      </c>
      <c r="BA108" s="408"/>
      <c r="BB108" s="408">
        <v>0</v>
      </c>
      <c r="BC108" s="408">
        <v>0</v>
      </c>
      <c r="BD108" s="408">
        <v>-3.5514333466652603</v>
      </c>
      <c r="BE108" s="408">
        <v>0</v>
      </c>
      <c r="BF108" s="408">
        <v>0</v>
      </c>
      <c r="BG108" s="408">
        <v>-86.391857620956117</v>
      </c>
      <c r="BH108" s="408">
        <v>0</v>
      </c>
      <c r="BI108" s="408">
        <v>-2.98</v>
      </c>
      <c r="BJ108" s="408">
        <v>-1.03</v>
      </c>
      <c r="BK108" s="408">
        <v>-822.32</v>
      </c>
      <c r="BL108" s="408">
        <v>0</v>
      </c>
      <c r="BM108" s="408"/>
      <c r="BN108" s="408"/>
      <c r="BO108" s="408"/>
      <c r="BP108" s="408"/>
      <c r="BQ108" s="408"/>
      <c r="BR108" s="408"/>
      <c r="BS108" s="408"/>
      <c r="BT108" s="408"/>
      <c r="BU108" s="408"/>
      <c r="BV108" s="408">
        <v>-701.30795025510133</v>
      </c>
      <c r="BW108" s="408"/>
      <c r="BX108" s="408"/>
      <c r="BY108" s="408"/>
      <c r="BZ108" s="408"/>
      <c r="CA108" s="408"/>
      <c r="CB108" s="408"/>
      <c r="CC108" s="408"/>
      <c r="CD108" s="408"/>
      <c r="CE108" s="408"/>
      <c r="CF108" s="408"/>
      <c r="CG108" s="408"/>
      <c r="CH108" s="408"/>
      <c r="CI108" s="408">
        <v>-1571.8234</v>
      </c>
      <c r="CJ108" s="408">
        <v>733.60377999999969</v>
      </c>
      <c r="CK108" s="408"/>
      <c r="CL108" s="408"/>
      <c r="CM108" s="408"/>
      <c r="CN108" s="408"/>
      <c r="CO108" s="408">
        <v>769.75666000000001</v>
      </c>
      <c r="CP108" s="408">
        <v>-38.104170000000025</v>
      </c>
      <c r="CQ108" s="408">
        <v>31</v>
      </c>
      <c r="CR108" s="408">
        <v>-31.677900867583276</v>
      </c>
      <c r="CS108" s="408">
        <v>0</v>
      </c>
      <c r="CT108" s="408">
        <v>0</v>
      </c>
      <c r="CU108" s="408">
        <v>0</v>
      </c>
      <c r="CV108" s="408">
        <v>0</v>
      </c>
      <c r="CW108" s="408">
        <v>0</v>
      </c>
      <c r="CX108" s="408">
        <v>0</v>
      </c>
      <c r="CY108" s="408">
        <v>0</v>
      </c>
      <c r="CZ108" s="408">
        <v>1.3257628697930386</v>
      </c>
      <c r="DA108" s="408">
        <v>0</v>
      </c>
      <c r="DB108" s="408">
        <v>0</v>
      </c>
      <c r="DC108" s="408">
        <v>-38.087082376785474</v>
      </c>
      <c r="DD108" s="408">
        <v>0</v>
      </c>
      <c r="DE108" s="408">
        <v>0</v>
      </c>
      <c r="DF108" s="408">
        <v>-0.22124886084803919</v>
      </c>
      <c r="DG108" s="408">
        <v>-5.3820804783314316</v>
      </c>
      <c r="DH108" s="408">
        <v>0</v>
      </c>
      <c r="DI108" s="408">
        <v>9.1095717463361154</v>
      </c>
      <c r="DJ108" s="408"/>
      <c r="DK108" s="408">
        <v>0</v>
      </c>
      <c r="DL108" s="408">
        <v>0</v>
      </c>
      <c r="DM108" s="408">
        <v>0</v>
      </c>
      <c r="DN108" s="408">
        <v>0</v>
      </c>
      <c r="DO108" s="408">
        <v>1.2427929464596943</v>
      </c>
      <c r="DP108" s="408">
        <v>0.33438328579305043</v>
      </c>
      <c r="DQ108" s="408">
        <v>0</v>
      </c>
      <c r="DR108" s="408">
        <v>0</v>
      </c>
      <c r="DS108" s="408"/>
      <c r="DT108" s="408"/>
      <c r="DU108" s="408"/>
      <c r="DV108" s="408">
        <v>-1136.4766769960675</v>
      </c>
      <c r="DW108" s="408">
        <v>0</v>
      </c>
      <c r="DX108" s="408">
        <v>0</v>
      </c>
      <c r="DY108" s="408">
        <v>769.75666000000001</v>
      </c>
      <c r="DZ108" s="408">
        <v>-38.104170000000067</v>
      </c>
      <c r="EA108" s="408">
        <v>0</v>
      </c>
      <c r="EB108" s="408">
        <v>0</v>
      </c>
      <c r="EC108" s="408">
        <v>763.34259528648863</v>
      </c>
      <c r="ED108" s="408">
        <v>0</v>
      </c>
      <c r="EE108" s="408">
        <v>0</v>
      </c>
      <c r="EF108" s="408">
        <v>0</v>
      </c>
      <c r="EG108" s="408">
        <v>0</v>
      </c>
      <c r="EH108" s="408">
        <v>0</v>
      </c>
      <c r="EI108" s="408">
        <v>0</v>
      </c>
      <c r="EJ108" s="408">
        <v>0</v>
      </c>
      <c r="EK108" s="408">
        <v>0</v>
      </c>
      <c r="EL108" s="408">
        <v>0</v>
      </c>
      <c r="EM108" s="408">
        <v>0</v>
      </c>
      <c r="EN108" s="408">
        <v>0</v>
      </c>
      <c r="EO108" s="408">
        <v>0</v>
      </c>
      <c r="EP108" s="408">
        <v>0</v>
      </c>
      <c r="EQ108" s="408">
        <v>0</v>
      </c>
      <c r="ER108" s="408">
        <v>0</v>
      </c>
      <c r="ES108" s="408">
        <v>0</v>
      </c>
      <c r="ET108" s="408">
        <v>0</v>
      </c>
      <c r="EU108" s="408">
        <v>0</v>
      </c>
      <c r="EV108" s="408">
        <v>257</v>
      </c>
      <c r="EW108" s="408">
        <v>0</v>
      </c>
      <c r="EX108" s="408">
        <v>0</v>
      </c>
      <c r="EY108" s="408">
        <v>0</v>
      </c>
      <c r="EZ108" s="408"/>
      <c r="FA108" s="408">
        <v>0</v>
      </c>
      <c r="FB108" s="408"/>
      <c r="FC108" s="408"/>
      <c r="FD108" s="408"/>
      <c r="FE108" s="408"/>
      <c r="FF108" s="408">
        <v>0</v>
      </c>
      <c r="FG108" s="408">
        <v>0</v>
      </c>
      <c r="FH108" s="408">
        <v>0</v>
      </c>
      <c r="FI108" s="408">
        <v>0</v>
      </c>
    </row>
    <row r="109" spans="1:165" s="861" customFormat="1">
      <c r="A109" s="408">
        <v>107</v>
      </c>
      <c r="B109" s="408" t="s">
        <v>2236</v>
      </c>
      <c r="C109" s="408" t="s">
        <v>2233</v>
      </c>
      <c r="D109" s="408" t="s">
        <v>1955</v>
      </c>
      <c r="E109" s="408" t="s">
        <v>968</v>
      </c>
      <c r="F109" s="408" t="s">
        <v>968</v>
      </c>
      <c r="G109" s="408" t="s">
        <v>1321</v>
      </c>
      <c r="H109" s="408" t="s">
        <v>1321</v>
      </c>
      <c r="I109" s="408" t="s">
        <v>1321</v>
      </c>
      <c r="J109" s="408" t="s">
        <v>2234</v>
      </c>
      <c r="K109" s="828">
        <v>44470</v>
      </c>
      <c r="L109" s="408">
        <v>0</v>
      </c>
      <c r="M109" s="408">
        <v>0</v>
      </c>
      <c r="N109" s="408">
        <v>5.931</v>
      </c>
      <c r="O109" s="408">
        <v>5.931</v>
      </c>
      <c r="P109" s="408">
        <v>5.931</v>
      </c>
      <c r="Q109" s="408">
        <v>5.931</v>
      </c>
      <c r="R109" s="408"/>
      <c r="S109" s="408">
        <v>710.91</v>
      </c>
      <c r="T109" s="408">
        <v>256.55</v>
      </c>
      <c r="U109" s="408"/>
      <c r="V109" s="408">
        <v>5738.0052599999999</v>
      </c>
      <c r="W109" s="408">
        <v>5738.0052599999999</v>
      </c>
      <c r="X109" s="408">
        <v>3917.0103300000001</v>
      </c>
      <c r="Y109" s="408">
        <v>0</v>
      </c>
      <c r="Z109" s="408">
        <v>364.60633537132804</v>
      </c>
      <c r="AA109" s="408">
        <v>0</v>
      </c>
      <c r="AB109" s="408">
        <v>0</v>
      </c>
      <c r="AC109" s="408">
        <v>0</v>
      </c>
      <c r="AD109" s="408">
        <v>730.00402632379928</v>
      </c>
      <c r="AE109" s="408">
        <v>2828.5535758555084</v>
      </c>
      <c r="AF109" s="408">
        <v>1521.6130063928006</v>
      </c>
      <c r="AG109" s="408">
        <v>0</v>
      </c>
      <c r="AH109" s="408">
        <v>0</v>
      </c>
      <c r="AI109" s="408">
        <v>0</v>
      </c>
      <c r="AJ109" s="408">
        <v>0</v>
      </c>
      <c r="AK109" s="408">
        <v>0</v>
      </c>
      <c r="AL109" s="408">
        <v>56.369788333408003</v>
      </c>
      <c r="AM109" s="408"/>
      <c r="AN109" s="408">
        <v>13.023317357312948</v>
      </c>
      <c r="AO109" s="408">
        <v>0</v>
      </c>
      <c r="AP109" s="408">
        <v>0</v>
      </c>
      <c r="AQ109" s="408">
        <v>0</v>
      </c>
      <c r="AR109" s="408">
        <v>0</v>
      </c>
      <c r="AS109" s="408">
        <v>0</v>
      </c>
      <c r="AT109" s="408">
        <v>0</v>
      </c>
      <c r="AU109" s="408">
        <v>0</v>
      </c>
      <c r="AV109" s="408">
        <v>0</v>
      </c>
      <c r="AW109" s="408">
        <v>0</v>
      </c>
      <c r="AX109" s="408">
        <v>0</v>
      </c>
      <c r="AY109" s="408">
        <v>0</v>
      </c>
      <c r="AZ109" s="408">
        <v>0</v>
      </c>
      <c r="BA109" s="408"/>
      <c r="BB109" s="408">
        <v>0</v>
      </c>
      <c r="BC109" s="408">
        <v>0</v>
      </c>
      <c r="BD109" s="408">
        <v>8.8390898779150895</v>
      </c>
      <c r="BE109" s="408">
        <v>0</v>
      </c>
      <c r="BF109" s="408">
        <v>0</v>
      </c>
      <c r="BG109" s="408">
        <v>215.01892889210689</v>
      </c>
      <c r="BH109" s="408">
        <v>0</v>
      </c>
      <c r="BI109" s="408">
        <v>11.95</v>
      </c>
      <c r="BJ109" s="408">
        <v>60.79</v>
      </c>
      <c r="BK109" s="408">
        <v>5109.92</v>
      </c>
      <c r="BL109" s="408">
        <v>79</v>
      </c>
      <c r="BM109" s="408"/>
      <c r="BN109" s="408"/>
      <c r="BO109" s="408"/>
      <c r="BP109" s="408"/>
      <c r="BQ109" s="408"/>
      <c r="BR109" s="408"/>
      <c r="BS109" s="408"/>
      <c r="BT109" s="408"/>
      <c r="BU109" s="408"/>
      <c r="BV109" s="408">
        <v>1745.4710251628226</v>
      </c>
      <c r="BW109" s="408"/>
      <c r="BX109" s="408"/>
      <c r="BY109" s="408"/>
      <c r="BZ109" s="408"/>
      <c r="CA109" s="408"/>
      <c r="CB109" s="408"/>
      <c r="CC109" s="408"/>
      <c r="CD109" s="408"/>
      <c r="CE109" s="408"/>
      <c r="CF109" s="408"/>
      <c r="CG109" s="408"/>
      <c r="CH109" s="408"/>
      <c r="CI109" s="408">
        <v>3916.3499000000002</v>
      </c>
      <c r="CJ109" s="408">
        <v>-1821.6853600000004</v>
      </c>
      <c r="CK109" s="408"/>
      <c r="CL109" s="408"/>
      <c r="CM109" s="408"/>
      <c r="CN109" s="408"/>
      <c r="CO109" s="408">
        <v>-1915.8316199999999</v>
      </c>
      <c r="CP109" s="408">
        <v>94.836690000000061</v>
      </c>
      <c r="CQ109" s="408">
        <v>31</v>
      </c>
      <c r="CR109" s="408">
        <v>78.842480086292653</v>
      </c>
      <c r="CS109" s="408">
        <v>0</v>
      </c>
      <c r="CT109" s="408">
        <v>0</v>
      </c>
      <c r="CU109" s="408">
        <v>0</v>
      </c>
      <c r="CV109" s="408">
        <v>0</v>
      </c>
      <c r="CW109" s="408">
        <v>0</v>
      </c>
      <c r="CX109" s="408">
        <v>0</v>
      </c>
      <c r="CY109" s="408">
        <v>0</v>
      </c>
      <c r="CZ109" s="408">
        <v>-3.2996641127747353</v>
      </c>
      <c r="DA109" s="408">
        <v>0</v>
      </c>
      <c r="DB109" s="408">
        <v>0</v>
      </c>
      <c r="DC109" s="408">
        <v>94.794160963791228</v>
      </c>
      <c r="DD109" s="408">
        <v>0</v>
      </c>
      <c r="DE109" s="408">
        <v>0</v>
      </c>
      <c r="DF109" s="408">
        <v>0.55066176822900736</v>
      </c>
      <c r="DG109" s="408">
        <v>13.395350112036823</v>
      </c>
      <c r="DH109" s="408">
        <v>0</v>
      </c>
      <c r="DI109" s="408">
        <v>-22.672626952379062</v>
      </c>
      <c r="DJ109" s="408"/>
      <c r="DK109" s="408">
        <v>0</v>
      </c>
      <c r="DL109" s="408">
        <v>0</v>
      </c>
      <c r="DM109" s="408">
        <v>0</v>
      </c>
      <c r="DN109" s="408">
        <v>0</v>
      </c>
      <c r="DO109" s="408">
        <v>-3.0931619661990979</v>
      </c>
      <c r="DP109" s="408">
        <v>-0.83223972641149047</v>
      </c>
      <c r="DQ109" s="408">
        <v>0</v>
      </c>
      <c r="DR109" s="408">
        <v>0</v>
      </c>
      <c r="DS109" s="408"/>
      <c r="DT109" s="408"/>
      <c r="DU109" s="408"/>
      <c r="DV109" s="408">
        <v>2828.5535758555084</v>
      </c>
      <c r="DW109" s="408">
        <v>0</v>
      </c>
      <c r="DX109" s="408">
        <v>0</v>
      </c>
      <c r="DY109" s="408">
        <v>-1915.8316199999995</v>
      </c>
      <c r="DZ109" s="408">
        <v>94.83669000000009</v>
      </c>
      <c r="EA109" s="408">
        <v>0</v>
      </c>
      <c r="EB109" s="408">
        <v>0</v>
      </c>
      <c r="EC109" s="408">
        <v>-1899.8677854150919</v>
      </c>
      <c r="ED109" s="408">
        <v>0</v>
      </c>
      <c r="EE109" s="408">
        <v>0</v>
      </c>
      <c r="EF109" s="408">
        <v>0</v>
      </c>
      <c r="EG109" s="408">
        <v>0</v>
      </c>
      <c r="EH109" s="408">
        <v>0</v>
      </c>
      <c r="EI109" s="408">
        <v>0</v>
      </c>
      <c r="EJ109" s="408">
        <v>0</v>
      </c>
      <c r="EK109" s="408">
        <v>0</v>
      </c>
      <c r="EL109" s="408">
        <v>0</v>
      </c>
      <c r="EM109" s="408">
        <v>0</v>
      </c>
      <c r="EN109" s="408">
        <v>0</v>
      </c>
      <c r="EO109" s="408">
        <v>0</v>
      </c>
      <c r="EP109" s="408">
        <v>0</v>
      </c>
      <c r="EQ109" s="408">
        <v>0</v>
      </c>
      <c r="ER109" s="408">
        <v>0</v>
      </c>
      <c r="ES109" s="408">
        <v>0</v>
      </c>
      <c r="ET109" s="408">
        <v>0</v>
      </c>
      <c r="EU109" s="408">
        <v>0</v>
      </c>
      <c r="EV109" s="408">
        <v>257</v>
      </c>
      <c r="EW109" s="408">
        <v>0</v>
      </c>
      <c r="EX109" s="408">
        <v>0</v>
      </c>
      <c r="EY109" s="408">
        <v>0</v>
      </c>
      <c r="EZ109" s="408"/>
      <c r="FA109" s="408">
        <v>0</v>
      </c>
      <c r="FB109" s="408"/>
      <c r="FC109" s="408"/>
      <c r="FD109" s="408"/>
      <c r="FE109" s="408"/>
      <c r="FF109" s="408">
        <v>0</v>
      </c>
      <c r="FG109" s="408">
        <v>0</v>
      </c>
      <c r="FH109" s="408">
        <v>0</v>
      </c>
      <c r="FI109" s="408">
        <v>0</v>
      </c>
    </row>
    <row r="110" spans="1:165" s="861" customFormat="1">
      <c r="A110" s="408">
        <v>108</v>
      </c>
      <c r="B110" s="408" t="s">
        <v>1035</v>
      </c>
      <c r="C110" s="408" t="s">
        <v>2233</v>
      </c>
      <c r="D110" s="408" t="s">
        <v>1955</v>
      </c>
      <c r="E110" s="408" t="s">
        <v>968</v>
      </c>
      <c r="F110" s="408" t="s">
        <v>2237</v>
      </c>
      <c r="G110" s="408" t="s">
        <v>1321</v>
      </c>
      <c r="H110" s="408" t="s">
        <v>1321</v>
      </c>
      <c r="I110" s="408" t="s">
        <v>1321</v>
      </c>
      <c r="J110" s="408" t="s">
        <v>2234</v>
      </c>
      <c r="K110" s="828">
        <v>44470</v>
      </c>
      <c r="L110" s="408">
        <v>0</v>
      </c>
      <c r="M110" s="408">
        <v>0</v>
      </c>
      <c r="N110" s="408">
        <v>3.48</v>
      </c>
      <c r="O110" s="408">
        <v>3.48</v>
      </c>
      <c r="P110" s="408">
        <v>3.48</v>
      </c>
      <c r="Q110" s="408">
        <v>3.48</v>
      </c>
      <c r="R110" s="408"/>
      <c r="S110" s="408">
        <v>639.92999999999995</v>
      </c>
      <c r="T110" s="408">
        <v>256.55</v>
      </c>
      <c r="U110" s="408"/>
      <c r="V110" s="408">
        <v>3119.7503999999999</v>
      </c>
      <c r="W110" s="408">
        <v>3119.7503999999999</v>
      </c>
      <c r="X110" s="408">
        <v>2066.424</v>
      </c>
      <c r="Y110" s="408">
        <v>0</v>
      </c>
      <c r="Z110" s="408">
        <v>0</v>
      </c>
      <c r="AA110" s="408">
        <v>0</v>
      </c>
      <c r="AB110" s="408">
        <v>0</v>
      </c>
      <c r="AC110" s="408">
        <v>0</v>
      </c>
      <c r="AD110" s="408">
        <v>428.32810851573453</v>
      </c>
      <c r="AE110" s="408">
        <v>1659.6470146648405</v>
      </c>
      <c r="AF110" s="408">
        <v>892.802775627541</v>
      </c>
      <c r="AG110" s="408">
        <v>0</v>
      </c>
      <c r="AH110" s="408">
        <v>0</v>
      </c>
      <c r="AI110" s="408">
        <v>0</v>
      </c>
      <c r="AJ110" s="408">
        <v>0</v>
      </c>
      <c r="AK110" s="408">
        <v>0</v>
      </c>
      <c r="AL110" s="408">
        <v>0</v>
      </c>
      <c r="AM110" s="408"/>
      <c r="AN110" s="408">
        <v>7.641400169187162</v>
      </c>
      <c r="AO110" s="408">
        <v>0</v>
      </c>
      <c r="AP110" s="408">
        <v>0</v>
      </c>
      <c r="AQ110" s="408">
        <v>0</v>
      </c>
      <c r="AR110" s="408">
        <v>0</v>
      </c>
      <c r="AS110" s="408">
        <v>0</v>
      </c>
      <c r="AT110" s="408">
        <v>0</v>
      </c>
      <c r="AU110" s="408">
        <v>0</v>
      </c>
      <c r="AV110" s="408">
        <v>0</v>
      </c>
      <c r="AW110" s="408">
        <v>0</v>
      </c>
      <c r="AX110" s="408">
        <v>0</v>
      </c>
      <c r="AY110" s="408">
        <v>0</v>
      </c>
      <c r="AZ110" s="408">
        <v>0</v>
      </c>
      <c r="BA110" s="408"/>
      <c r="BB110" s="408">
        <v>0</v>
      </c>
      <c r="BC110" s="408">
        <v>0</v>
      </c>
      <c r="BD110" s="408">
        <v>5.1863147488019745</v>
      </c>
      <c r="BE110" s="408">
        <v>0</v>
      </c>
      <c r="BF110" s="408">
        <v>0</v>
      </c>
      <c r="BG110" s="408">
        <v>126.16183991646129</v>
      </c>
      <c r="BH110" s="408">
        <v>0</v>
      </c>
      <c r="BI110" s="408">
        <v>1.41</v>
      </c>
      <c r="BJ110" s="408">
        <v>9.0500000000000007</v>
      </c>
      <c r="BK110" s="408">
        <v>298.55</v>
      </c>
      <c r="BL110" s="408">
        <v>5</v>
      </c>
      <c r="BM110" s="408"/>
      <c r="BN110" s="408"/>
      <c r="BO110" s="408"/>
      <c r="BP110" s="408"/>
      <c r="BQ110" s="408"/>
      <c r="BR110" s="408"/>
      <c r="BS110" s="408"/>
      <c r="BT110" s="408">
        <v>1343.1756</v>
      </c>
      <c r="BU110" s="408"/>
      <c r="BV110" s="408">
        <v>1024.1509302928041</v>
      </c>
      <c r="BW110" s="408"/>
      <c r="BX110" s="408"/>
      <c r="BY110" s="408"/>
      <c r="BZ110" s="408"/>
      <c r="CA110" s="408"/>
      <c r="CB110" s="408"/>
      <c r="CC110" s="408"/>
      <c r="CD110" s="408"/>
      <c r="CE110" s="408"/>
      <c r="CF110" s="408"/>
      <c r="CG110" s="408"/>
      <c r="CH110" s="408"/>
      <c r="CI110" s="408">
        <v>723.24839999999995</v>
      </c>
      <c r="CJ110" s="408">
        <v>-368.70119999999997</v>
      </c>
      <c r="CK110" s="408"/>
      <c r="CL110" s="408"/>
      <c r="CM110" s="408"/>
      <c r="CN110" s="408"/>
      <c r="CO110" s="408">
        <v>-1108.9715999999999</v>
      </c>
      <c r="CP110" s="408">
        <v>55.645200000000031</v>
      </c>
      <c r="CQ110" s="408">
        <v>31</v>
      </c>
      <c r="CR110" s="408">
        <v>61.378650503616882</v>
      </c>
      <c r="CS110" s="408">
        <v>0</v>
      </c>
      <c r="CT110" s="408">
        <v>0</v>
      </c>
      <c r="CU110" s="408">
        <v>0</v>
      </c>
      <c r="CV110" s="408">
        <v>0</v>
      </c>
      <c r="CW110" s="408">
        <v>0</v>
      </c>
      <c r="CX110" s="408">
        <v>0</v>
      </c>
      <c r="CY110" s="408">
        <v>0</v>
      </c>
      <c r="CZ110" s="408">
        <v>-1.9360699902977672</v>
      </c>
      <c r="DA110" s="408">
        <v>0</v>
      </c>
      <c r="DB110" s="408">
        <v>0</v>
      </c>
      <c r="DC110" s="408">
        <v>55.620246190186094</v>
      </c>
      <c r="DD110" s="408">
        <v>0</v>
      </c>
      <c r="DE110" s="408">
        <v>0</v>
      </c>
      <c r="DF110" s="408">
        <v>0.32309946947174861</v>
      </c>
      <c r="DG110" s="408">
        <v>7.8596894941642432</v>
      </c>
      <c r="DH110" s="408">
        <v>0</v>
      </c>
      <c r="DI110" s="408">
        <v>0</v>
      </c>
      <c r="DJ110" s="408"/>
      <c r="DK110" s="408">
        <v>0</v>
      </c>
      <c r="DL110" s="408">
        <v>0</v>
      </c>
      <c r="DM110" s="408">
        <v>0</v>
      </c>
      <c r="DN110" s="408">
        <v>0</v>
      </c>
      <c r="DO110" s="408">
        <v>0</v>
      </c>
      <c r="DP110" s="408">
        <v>-0.48831465990760226</v>
      </c>
      <c r="DQ110" s="408">
        <v>0</v>
      </c>
      <c r="DR110" s="408">
        <v>0</v>
      </c>
      <c r="DS110" s="408"/>
      <c r="DT110" s="408"/>
      <c r="DU110" s="408"/>
      <c r="DV110" s="408">
        <v>1659.6470146648405</v>
      </c>
      <c r="DW110" s="408">
        <v>0</v>
      </c>
      <c r="DX110" s="408">
        <v>0</v>
      </c>
      <c r="DY110" s="408">
        <v>-1108.9716000000001</v>
      </c>
      <c r="DZ110" s="408">
        <v>55.645200000000045</v>
      </c>
      <c r="EA110" s="408">
        <v>0</v>
      </c>
      <c r="EB110" s="408">
        <v>0</v>
      </c>
      <c r="EC110" s="408">
        <v>-1114.7428584124971</v>
      </c>
      <c r="ED110" s="408">
        <v>0</v>
      </c>
      <c r="EE110" s="408">
        <v>0</v>
      </c>
      <c r="EF110" s="408">
        <v>0</v>
      </c>
      <c r="EG110" s="408">
        <v>0</v>
      </c>
      <c r="EH110" s="408">
        <v>0</v>
      </c>
      <c r="EI110" s="408">
        <v>0</v>
      </c>
      <c r="EJ110" s="408">
        <v>0</v>
      </c>
      <c r="EK110" s="408">
        <v>0</v>
      </c>
      <c r="EL110" s="408">
        <v>0</v>
      </c>
      <c r="EM110" s="408">
        <v>0</v>
      </c>
      <c r="EN110" s="408">
        <v>0</v>
      </c>
      <c r="EO110" s="408">
        <v>0</v>
      </c>
      <c r="EP110" s="408">
        <v>0</v>
      </c>
      <c r="EQ110" s="408">
        <v>0</v>
      </c>
      <c r="ER110" s="408">
        <v>0</v>
      </c>
      <c r="ES110" s="408">
        <v>0</v>
      </c>
      <c r="ET110" s="408">
        <v>0</v>
      </c>
      <c r="EU110" s="408">
        <v>0</v>
      </c>
      <c r="EV110" s="408">
        <v>257</v>
      </c>
      <c r="EW110" s="408">
        <v>0</v>
      </c>
      <c r="EX110" s="408">
        <v>0</v>
      </c>
      <c r="EY110" s="408">
        <v>0</v>
      </c>
      <c r="EZ110" s="408"/>
      <c r="FA110" s="408">
        <v>0</v>
      </c>
      <c r="FB110" s="408"/>
      <c r="FC110" s="408"/>
      <c r="FD110" s="408"/>
      <c r="FE110" s="408"/>
      <c r="FF110" s="408">
        <v>0</v>
      </c>
      <c r="FG110" s="408">
        <v>0</v>
      </c>
      <c r="FH110" s="408">
        <v>0</v>
      </c>
      <c r="FI110" s="408">
        <v>0</v>
      </c>
    </row>
    <row r="111" spans="1:165" s="861" customFormat="1">
      <c r="A111" s="408">
        <v>109</v>
      </c>
      <c r="B111" s="408" t="s">
        <v>1035</v>
      </c>
      <c r="C111" s="408" t="s">
        <v>2233</v>
      </c>
      <c r="D111" s="408" t="s">
        <v>1955</v>
      </c>
      <c r="E111" s="408" t="s">
        <v>968</v>
      </c>
      <c r="F111" s="408" t="s">
        <v>2238</v>
      </c>
      <c r="G111" s="408" t="s">
        <v>1321</v>
      </c>
      <c r="H111" s="408" t="s">
        <v>1321</v>
      </c>
      <c r="I111" s="408" t="s">
        <v>1321</v>
      </c>
      <c r="J111" s="408" t="s">
        <v>2234</v>
      </c>
      <c r="K111" s="828">
        <v>44470</v>
      </c>
      <c r="L111" s="408">
        <v>0</v>
      </c>
      <c r="M111" s="408">
        <v>0</v>
      </c>
      <c r="N111" s="408">
        <v>7.0010000000000003</v>
      </c>
      <c r="O111" s="408">
        <v>7.0010000000000003</v>
      </c>
      <c r="P111" s="408">
        <v>7.0010000000000003</v>
      </c>
      <c r="Q111" s="408">
        <v>7.0010000000000003</v>
      </c>
      <c r="R111" s="408"/>
      <c r="S111" s="408">
        <v>639.92999999999995</v>
      </c>
      <c r="T111" s="408">
        <v>256.55</v>
      </c>
      <c r="U111" s="408"/>
      <c r="V111" s="408">
        <v>6276.25648</v>
      </c>
      <c r="W111" s="408">
        <v>6276.25648</v>
      </c>
      <c r="X111" s="408">
        <v>4157.1938</v>
      </c>
      <c r="Y111" s="408">
        <v>0</v>
      </c>
      <c r="Z111" s="408">
        <v>0</v>
      </c>
      <c r="AA111" s="408">
        <v>0</v>
      </c>
      <c r="AB111" s="408">
        <v>0</v>
      </c>
      <c r="AC111" s="408">
        <v>0</v>
      </c>
      <c r="AD111" s="408">
        <v>861.70261141340734</v>
      </c>
      <c r="AE111" s="408">
        <v>3338.8473418587787</v>
      </c>
      <c r="AF111" s="408">
        <v>1796.1242046460961</v>
      </c>
      <c r="AG111" s="408">
        <v>0</v>
      </c>
      <c r="AH111" s="408">
        <v>0</v>
      </c>
      <c r="AI111" s="408">
        <v>0</v>
      </c>
      <c r="AJ111" s="408">
        <v>0</v>
      </c>
      <c r="AK111" s="408">
        <v>0</v>
      </c>
      <c r="AL111" s="408">
        <v>0</v>
      </c>
      <c r="AM111" s="408"/>
      <c r="AN111" s="408">
        <v>15.37282832887337</v>
      </c>
      <c r="AO111" s="408">
        <v>0</v>
      </c>
      <c r="AP111" s="408">
        <v>0</v>
      </c>
      <c r="AQ111" s="408">
        <v>0</v>
      </c>
      <c r="AR111" s="408">
        <v>0</v>
      </c>
      <c r="AS111" s="408">
        <v>0</v>
      </c>
      <c r="AT111" s="408">
        <v>0</v>
      </c>
      <c r="AU111" s="408">
        <v>0</v>
      </c>
      <c r="AV111" s="408">
        <v>0</v>
      </c>
      <c r="AW111" s="408">
        <v>0</v>
      </c>
      <c r="AX111" s="408">
        <v>0</v>
      </c>
      <c r="AY111" s="408">
        <v>0</v>
      </c>
      <c r="AZ111" s="408">
        <v>0</v>
      </c>
      <c r="BA111" s="408"/>
      <c r="BB111" s="408">
        <v>0</v>
      </c>
      <c r="BC111" s="408">
        <v>0</v>
      </c>
      <c r="BD111" s="408">
        <v>10.433732631138685</v>
      </c>
      <c r="BE111" s="408">
        <v>0</v>
      </c>
      <c r="BF111" s="408">
        <v>0</v>
      </c>
      <c r="BG111" s="408">
        <v>253.81006932619127</v>
      </c>
      <c r="BH111" s="408">
        <v>0</v>
      </c>
      <c r="BI111" s="408">
        <v>6.71</v>
      </c>
      <c r="BJ111" s="408">
        <v>35.08</v>
      </c>
      <c r="BK111" s="408">
        <v>1182.81</v>
      </c>
      <c r="BL111" s="408">
        <v>34</v>
      </c>
      <c r="BM111" s="408"/>
      <c r="BN111" s="408"/>
      <c r="BO111" s="408"/>
      <c r="BP111" s="408"/>
      <c r="BQ111" s="408"/>
      <c r="BR111" s="408"/>
      <c r="BS111" s="408"/>
      <c r="BT111" s="408">
        <v>1662.87752</v>
      </c>
      <c r="BU111" s="408"/>
      <c r="BV111" s="408">
        <v>2060.3680066034258</v>
      </c>
      <c r="BW111" s="408"/>
      <c r="BX111" s="408"/>
      <c r="BY111" s="408"/>
      <c r="BZ111" s="408"/>
      <c r="CA111" s="408"/>
      <c r="CB111" s="408"/>
      <c r="CC111" s="408"/>
      <c r="CD111" s="408"/>
      <c r="CE111" s="408"/>
      <c r="CF111" s="408"/>
      <c r="CG111" s="408"/>
      <c r="CH111" s="408"/>
      <c r="CI111" s="408">
        <v>2493.96</v>
      </c>
      <c r="CJ111" s="408">
        <v>-1271.8378900000007</v>
      </c>
      <c r="CK111" s="408"/>
      <c r="CL111" s="408"/>
      <c r="CM111" s="408"/>
      <c r="CN111" s="408"/>
      <c r="CO111" s="408">
        <v>-2231.0086699999997</v>
      </c>
      <c r="CP111" s="408">
        <v>111.94599000000007</v>
      </c>
      <c r="CQ111" s="408">
        <v>31</v>
      </c>
      <c r="CR111" s="408">
        <v>123.48044028040886</v>
      </c>
      <c r="CS111" s="408">
        <v>0</v>
      </c>
      <c r="CT111" s="408">
        <v>0</v>
      </c>
      <c r="CU111" s="408">
        <v>0</v>
      </c>
      <c r="CV111" s="408">
        <v>0</v>
      </c>
      <c r="CW111" s="408">
        <v>0</v>
      </c>
      <c r="CX111" s="408">
        <v>0</v>
      </c>
      <c r="CY111" s="408">
        <v>0</v>
      </c>
      <c r="CZ111" s="408">
        <v>-3.8949500005961681</v>
      </c>
      <c r="DA111" s="408">
        <v>0</v>
      </c>
      <c r="DB111" s="408">
        <v>0</v>
      </c>
      <c r="DC111" s="408">
        <v>111.89578838433727</v>
      </c>
      <c r="DD111" s="408">
        <v>0</v>
      </c>
      <c r="DE111" s="408">
        <v>0</v>
      </c>
      <c r="DF111" s="408">
        <v>0.65000557062405662</v>
      </c>
      <c r="DG111" s="408">
        <v>15.811978778345946</v>
      </c>
      <c r="DH111" s="408">
        <v>0</v>
      </c>
      <c r="DI111" s="408">
        <v>0</v>
      </c>
      <c r="DJ111" s="408"/>
      <c r="DK111" s="408">
        <v>0</v>
      </c>
      <c r="DL111" s="408">
        <v>0</v>
      </c>
      <c r="DM111" s="408">
        <v>0</v>
      </c>
      <c r="DN111" s="408">
        <v>0</v>
      </c>
      <c r="DO111" s="408">
        <v>0</v>
      </c>
      <c r="DP111" s="408">
        <v>-0.98238245230262322</v>
      </c>
      <c r="DQ111" s="408">
        <v>0</v>
      </c>
      <c r="DR111" s="408">
        <v>0</v>
      </c>
      <c r="DS111" s="408"/>
      <c r="DT111" s="408"/>
      <c r="DU111" s="408"/>
      <c r="DV111" s="408">
        <v>3338.8473418587787</v>
      </c>
      <c r="DW111" s="408">
        <v>0</v>
      </c>
      <c r="DX111" s="408">
        <v>0</v>
      </c>
      <c r="DY111" s="408">
        <v>-2231.0086699999997</v>
      </c>
      <c r="DZ111" s="408">
        <v>111.94598999999994</v>
      </c>
      <c r="EA111" s="408">
        <v>0</v>
      </c>
      <c r="EB111" s="408">
        <v>0</v>
      </c>
      <c r="EC111" s="408">
        <v>-2242.6191815361763</v>
      </c>
      <c r="ED111" s="408">
        <v>0</v>
      </c>
      <c r="EE111" s="408">
        <v>0</v>
      </c>
      <c r="EF111" s="408">
        <v>0</v>
      </c>
      <c r="EG111" s="408">
        <v>0</v>
      </c>
      <c r="EH111" s="408">
        <v>0</v>
      </c>
      <c r="EI111" s="408">
        <v>0</v>
      </c>
      <c r="EJ111" s="408">
        <v>0</v>
      </c>
      <c r="EK111" s="408">
        <v>0</v>
      </c>
      <c r="EL111" s="408">
        <v>0</v>
      </c>
      <c r="EM111" s="408">
        <v>0</v>
      </c>
      <c r="EN111" s="408">
        <v>0</v>
      </c>
      <c r="EO111" s="408">
        <v>0</v>
      </c>
      <c r="EP111" s="408">
        <v>0</v>
      </c>
      <c r="EQ111" s="408">
        <v>0</v>
      </c>
      <c r="ER111" s="408">
        <v>0</v>
      </c>
      <c r="ES111" s="408">
        <v>0</v>
      </c>
      <c r="ET111" s="408">
        <v>0</v>
      </c>
      <c r="EU111" s="408">
        <v>0</v>
      </c>
      <c r="EV111" s="408">
        <v>257</v>
      </c>
      <c r="EW111" s="408">
        <v>0</v>
      </c>
      <c r="EX111" s="408">
        <v>0</v>
      </c>
      <c r="EY111" s="408">
        <v>0</v>
      </c>
      <c r="EZ111" s="408"/>
      <c r="FA111" s="408">
        <v>0</v>
      </c>
      <c r="FB111" s="408"/>
      <c r="FC111" s="408"/>
      <c r="FD111" s="408"/>
      <c r="FE111" s="408"/>
      <c r="FF111" s="408">
        <v>0</v>
      </c>
      <c r="FG111" s="408">
        <v>0</v>
      </c>
      <c r="FH111" s="408">
        <v>0</v>
      </c>
      <c r="FI111" s="408">
        <v>0</v>
      </c>
    </row>
    <row r="112" spans="1:165" s="861" customFormat="1">
      <c r="A112" s="408">
        <v>110</v>
      </c>
      <c r="B112" s="408" t="s">
        <v>1035</v>
      </c>
      <c r="C112" s="408" t="s">
        <v>2233</v>
      </c>
      <c r="D112" s="408" t="s">
        <v>1955</v>
      </c>
      <c r="E112" s="408" t="s">
        <v>968</v>
      </c>
      <c r="F112" s="408" t="s">
        <v>2239</v>
      </c>
      <c r="G112" s="408" t="s">
        <v>1321</v>
      </c>
      <c r="H112" s="408" t="s">
        <v>1321</v>
      </c>
      <c r="I112" s="408" t="s">
        <v>1321</v>
      </c>
      <c r="J112" s="408" t="s">
        <v>2234</v>
      </c>
      <c r="K112" s="828">
        <v>44470</v>
      </c>
      <c r="L112" s="408">
        <v>0</v>
      </c>
      <c r="M112" s="408">
        <v>0</v>
      </c>
      <c r="N112" s="408">
        <v>5.25</v>
      </c>
      <c r="O112" s="408">
        <v>5.25</v>
      </c>
      <c r="P112" s="408">
        <v>5.25</v>
      </c>
      <c r="Q112" s="408">
        <v>5.25</v>
      </c>
      <c r="R112" s="408"/>
      <c r="S112" s="408">
        <v>639.92999999999995</v>
      </c>
      <c r="T112" s="408">
        <v>256.55</v>
      </c>
      <c r="U112" s="408"/>
      <c r="V112" s="408">
        <v>4706.5199999999995</v>
      </c>
      <c r="W112" s="408">
        <v>4706.5199999999995</v>
      </c>
      <c r="X112" s="408">
        <v>3117.45</v>
      </c>
      <c r="Y112" s="408">
        <v>0</v>
      </c>
      <c r="Z112" s="408">
        <v>0</v>
      </c>
      <c r="AA112" s="408">
        <v>0</v>
      </c>
      <c r="AB112" s="408">
        <v>0</v>
      </c>
      <c r="AC112" s="408">
        <v>0</v>
      </c>
      <c r="AD112" s="408">
        <v>646.18464646770292</v>
      </c>
      <c r="AE112" s="408">
        <v>2503.7778238478199</v>
      </c>
      <c r="AF112" s="408">
        <v>1346.9007390932732</v>
      </c>
      <c r="AG112" s="408">
        <v>0</v>
      </c>
      <c r="AH112" s="408">
        <v>0</v>
      </c>
      <c r="AI112" s="408">
        <v>0</v>
      </c>
      <c r="AJ112" s="408">
        <v>0</v>
      </c>
      <c r="AK112" s="408">
        <v>0</v>
      </c>
      <c r="AL112" s="408">
        <v>0</v>
      </c>
      <c r="AM112" s="408"/>
      <c r="AN112" s="408">
        <v>11.527974393170288</v>
      </c>
      <c r="AO112" s="408">
        <v>0</v>
      </c>
      <c r="AP112" s="408">
        <v>0</v>
      </c>
      <c r="AQ112" s="408">
        <v>0</v>
      </c>
      <c r="AR112" s="408">
        <v>0</v>
      </c>
      <c r="AS112" s="408">
        <v>0</v>
      </c>
      <c r="AT112" s="408">
        <v>0</v>
      </c>
      <c r="AU112" s="408">
        <v>0</v>
      </c>
      <c r="AV112" s="408">
        <v>0</v>
      </c>
      <c r="AW112" s="408">
        <v>0</v>
      </c>
      <c r="AX112" s="408">
        <v>0</v>
      </c>
      <c r="AY112" s="408">
        <v>0</v>
      </c>
      <c r="AZ112" s="408">
        <v>0</v>
      </c>
      <c r="BA112" s="408"/>
      <c r="BB112" s="408">
        <v>0</v>
      </c>
      <c r="BC112" s="408">
        <v>0</v>
      </c>
      <c r="BD112" s="408">
        <v>7.8241817331064274</v>
      </c>
      <c r="BE112" s="408">
        <v>0</v>
      </c>
      <c r="BF112" s="408">
        <v>0</v>
      </c>
      <c r="BG112" s="408">
        <v>190.33036194293732</v>
      </c>
      <c r="BH112" s="408">
        <v>0</v>
      </c>
      <c r="BI112" s="408">
        <v>9.41</v>
      </c>
      <c r="BJ112" s="408">
        <v>46.51</v>
      </c>
      <c r="BK112" s="408">
        <v>1573.54</v>
      </c>
      <c r="BL112" s="408">
        <v>57</v>
      </c>
      <c r="BM112" s="408"/>
      <c r="BN112" s="408"/>
      <c r="BO112" s="408"/>
      <c r="BP112" s="408"/>
      <c r="BQ112" s="408"/>
      <c r="BR112" s="408"/>
      <c r="BS112" s="408"/>
      <c r="BT112" s="408">
        <v>311.79750000000007</v>
      </c>
      <c r="BU112" s="408"/>
      <c r="BV112" s="408">
        <v>1545.0552827693168</v>
      </c>
      <c r="BW112" s="408"/>
      <c r="BX112" s="408"/>
      <c r="BY112" s="408"/>
      <c r="BZ112" s="408"/>
      <c r="CA112" s="408"/>
      <c r="CB112" s="408"/>
      <c r="CC112" s="408"/>
      <c r="CD112" s="408"/>
      <c r="CE112" s="408"/>
      <c r="CF112" s="408"/>
      <c r="CG112" s="408"/>
      <c r="CH112" s="408"/>
      <c r="CI112" s="408">
        <v>2805.6525000000001</v>
      </c>
      <c r="CJ112" s="408">
        <v>-1430.2875000000013</v>
      </c>
      <c r="CK112" s="408"/>
      <c r="CL112" s="408"/>
      <c r="CM112" s="408"/>
      <c r="CN112" s="408"/>
      <c r="CO112" s="408">
        <v>-1673.0174999999997</v>
      </c>
      <c r="CP112" s="408">
        <v>83.947500000000048</v>
      </c>
      <c r="CQ112" s="408">
        <v>31</v>
      </c>
      <c r="CR112" s="408">
        <v>92.597102052870468</v>
      </c>
      <c r="CS112" s="408">
        <v>0</v>
      </c>
      <c r="CT112" s="408">
        <v>0</v>
      </c>
      <c r="CU112" s="408">
        <v>0</v>
      </c>
      <c r="CV112" s="408">
        <v>0</v>
      </c>
      <c r="CW112" s="408">
        <v>0</v>
      </c>
      <c r="CX112" s="408">
        <v>0</v>
      </c>
      <c r="CY112" s="408">
        <v>0</v>
      </c>
      <c r="CZ112" s="408">
        <v>-2.9207952439836617</v>
      </c>
      <c r="DA112" s="408">
        <v>0</v>
      </c>
      <c r="DB112" s="408">
        <v>0</v>
      </c>
      <c r="DC112" s="408">
        <v>83.909854166229024</v>
      </c>
      <c r="DD112" s="408">
        <v>0</v>
      </c>
      <c r="DE112" s="408">
        <v>0</v>
      </c>
      <c r="DF112" s="408">
        <v>0.48743454446168943</v>
      </c>
      <c r="DG112" s="408">
        <v>11.85729018516156</v>
      </c>
      <c r="DH112" s="408">
        <v>0</v>
      </c>
      <c r="DI112" s="408">
        <v>0</v>
      </c>
      <c r="DJ112" s="408"/>
      <c r="DK112" s="408">
        <v>0</v>
      </c>
      <c r="DL112" s="408">
        <v>0</v>
      </c>
      <c r="DM112" s="408">
        <v>0</v>
      </c>
      <c r="DN112" s="408">
        <v>0</v>
      </c>
      <c r="DO112" s="408">
        <v>0</v>
      </c>
      <c r="DP112" s="408">
        <v>-0.73668159899853869</v>
      </c>
      <c r="DQ112" s="408">
        <v>0</v>
      </c>
      <c r="DR112" s="408">
        <v>0</v>
      </c>
      <c r="DS112" s="408"/>
      <c r="DT112" s="408"/>
      <c r="DU112" s="408"/>
      <c r="DV112" s="408">
        <v>2503.7778238478199</v>
      </c>
      <c r="DW112" s="408">
        <v>0</v>
      </c>
      <c r="DX112" s="408">
        <v>0</v>
      </c>
      <c r="DY112" s="408">
        <v>-1673.0174999999997</v>
      </c>
      <c r="DZ112" s="408">
        <v>83.947499999999991</v>
      </c>
      <c r="EA112" s="408">
        <v>0</v>
      </c>
      <c r="EB112" s="408">
        <v>0</v>
      </c>
      <c r="EC112" s="408">
        <v>-1681.7241398464398</v>
      </c>
      <c r="ED112" s="408">
        <v>0</v>
      </c>
      <c r="EE112" s="408">
        <v>0</v>
      </c>
      <c r="EF112" s="408">
        <v>0</v>
      </c>
      <c r="EG112" s="408">
        <v>0</v>
      </c>
      <c r="EH112" s="408">
        <v>0</v>
      </c>
      <c r="EI112" s="408">
        <v>0</v>
      </c>
      <c r="EJ112" s="408">
        <v>0</v>
      </c>
      <c r="EK112" s="408">
        <v>0</v>
      </c>
      <c r="EL112" s="408">
        <v>0</v>
      </c>
      <c r="EM112" s="408">
        <v>0</v>
      </c>
      <c r="EN112" s="408">
        <v>0</v>
      </c>
      <c r="EO112" s="408">
        <v>0</v>
      </c>
      <c r="EP112" s="408">
        <v>0</v>
      </c>
      <c r="EQ112" s="408">
        <v>0</v>
      </c>
      <c r="ER112" s="408">
        <v>0</v>
      </c>
      <c r="ES112" s="408">
        <v>0</v>
      </c>
      <c r="ET112" s="408">
        <v>0</v>
      </c>
      <c r="EU112" s="408">
        <v>0</v>
      </c>
      <c r="EV112" s="408">
        <v>257</v>
      </c>
      <c r="EW112" s="408">
        <v>0</v>
      </c>
      <c r="EX112" s="408">
        <v>0</v>
      </c>
      <c r="EY112" s="408">
        <v>0</v>
      </c>
      <c r="EZ112" s="408"/>
      <c r="FA112" s="408">
        <v>0</v>
      </c>
      <c r="FB112" s="408"/>
      <c r="FC112" s="408"/>
      <c r="FD112" s="408"/>
      <c r="FE112" s="408"/>
      <c r="FF112" s="408">
        <v>0</v>
      </c>
      <c r="FG112" s="408">
        <v>0</v>
      </c>
      <c r="FH112" s="408">
        <v>0</v>
      </c>
      <c r="FI112" s="408">
        <v>0</v>
      </c>
    </row>
    <row r="113" spans="1:165" s="861" customFormat="1">
      <c r="A113" s="408">
        <v>111</v>
      </c>
      <c r="B113" s="408" t="s">
        <v>1035</v>
      </c>
      <c r="C113" s="408" t="s">
        <v>2233</v>
      </c>
      <c r="D113" s="408" t="s">
        <v>1955</v>
      </c>
      <c r="E113" s="408" t="s">
        <v>968</v>
      </c>
      <c r="F113" s="408" t="s">
        <v>2240</v>
      </c>
      <c r="G113" s="408" t="s">
        <v>1321</v>
      </c>
      <c r="H113" s="408" t="s">
        <v>1321</v>
      </c>
      <c r="I113" s="408" t="s">
        <v>1321</v>
      </c>
      <c r="J113" s="408" t="s">
        <v>2234</v>
      </c>
      <c r="K113" s="828">
        <v>44470</v>
      </c>
      <c r="L113" s="408">
        <v>0</v>
      </c>
      <c r="M113" s="408">
        <v>0</v>
      </c>
      <c r="N113" s="408">
        <v>1.5029999999999999</v>
      </c>
      <c r="O113" s="408">
        <v>1.5029999999999999</v>
      </c>
      <c r="P113" s="408">
        <v>1.5029999999999999</v>
      </c>
      <c r="Q113" s="408">
        <v>1.5029999999999999</v>
      </c>
      <c r="R113" s="408"/>
      <c r="S113" s="408">
        <v>639.92999999999995</v>
      </c>
      <c r="T113" s="408">
        <v>256.55</v>
      </c>
      <c r="U113" s="408"/>
      <c r="V113" s="408">
        <v>1347.4094399999999</v>
      </c>
      <c r="W113" s="408">
        <v>1347.4094399999999</v>
      </c>
      <c r="X113" s="408">
        <v>892.48139999999989</v>
      </c>
      <c r="Y113" s="408">
        <v>0</v>
      </c>
      <c r="Z113" s="408">
        <v>0</v>
      </c>
      <c r="AA113" s="408">
        <v>0</v>
      </c>
      <c r="AB113" s="408">
        <v>0</v>
      </c>
      <c r="AC113" s="408">
        <v>0</v>
      </c>
      <c r="AD113" s="408">
        <v>184.9934330744681</v>
      </c>
      <c r="AE113" s="408">
        <v>716.79582271300433</v>
      </c>
      <c r="AF113" s="408">
        <v>385.59844016327418</v>
      </c>
      <c r="AG113" s="408">
        <v>0</v>
      </c>
      <c r="AH113" s="408">
        <v>0</v>
      </c>
      <c r="AI113" s="408">
        <v>0</v>
      </c>
      <c r="AJ113" s="408">
        <v>0</v>
      </c>
      <c r="AK113" s="408">
        <v>0</v>
      </c>
      <c r="AL113" s="408">
        <v>0</v>
      </c>
      <c r="AM113" s="408"/>
      <c r="AN113" s="408">
        <v>3.3002943834161793</v>
      </c>
      <c r="AO113" s="408">
        <v>0</v>
      </c>
      <c r="AP113" s="408">
        <v>0</v>
      </c>
      <c r="AQ113" s="408">
        <v>0</v>
      </c>
      <c r="AR113" s="408">
        <v>0</v>
      </c>
      <c r="AS113" s="408">
        <v>0</v>
      </c>
      <c r="AT113" s="408">
        <v>0</v>
      </c>
      <c r="AU113" s="408">
        <v>0</v>
      </c>
      <c r="AV113" s="408">
        <v>0</v>
      </c>
      <c r="AW113" s="408">
        <v>0</v>
      </c>
      <c r="AX113" s="408">
        <v>0</v>
      </c>
      <c r="AY113" s="408">
        <v>0</v>
      </c>
      <c r="AZ113" s="408">
        <v>0</v>
      </c>
      <c r="BA113" s="408"/>
      <c r="BB113" s="408">
        <v>0</v>
      </c>
      <c r="BC113" s="408">
        <v>0</v>
      </c>
      <c r="BD113" s="408">
        <v>2.2399514561636114</v>
      </c>
      <c r="BE113" s="408">
        <v>0</v>
      </c>
      <c r="BF113" s="408">
        <v>0</v>
      </c>
      <c r="BG113" s="408">
        <v>54.488863619092335</v>
      </c>
      <c r="BH113" s="408">
        <v>0</v>
      </c>
      <c r="BI113" s="408">
        <v>3.84</v>
      </c>
      <c r="BJ113" s="408">
        <v>18.489999999999998</v>
      </c>
      <c r="BK113" s="408">
        <v>631.87</v>
      </c>
      <c r="BL113" s="408">
        <v>20</v>
      </c>
      <c r="BM113" s="408"/>
      <c r="BN113" s="408"/>
      <c r="BO113" s="408"/>
      <c r="BP113" s="408"/>
      <c r="BQ113" s="408"/>
      <c r="BR113" s="408"/>
      <c r="BS113" s="408"/>
      <c r="BT113" s="408"/>
      <c r="BU113" s="408"/>
      <c r="BV113" s="408">
        <v>442.32725523853014</v>
      </c>
      <c r="BW113" s="408"/>
      <c r="BX113" s="408"/>
      <c r="BY113" s="408"/>
      <c r="BZ113" s="408"/>
      <c r="CA113" s="408"/>
      <c r="CB113" s="408"/>
      <c r="CC113" s="408"/>
      <c r="CD113" s="408"/>
      <c r="CE113" s="408"/>
      <c r="CF113" s="408"/>
      <c r="CG113" s="408"/>
      <c r="CH113" s="408"/>
      <c r="CI113" s="408">
        <v>890.7</v>
      </c>
      <c r="CJ113" s="408">
        <v>-456.73943999999983</v>
      </c>
      <c r="CK113" s="408"/>
      <c r="CL113" s="408"/>
      <c r="CM113" s="408"/>
      <c r="CN113" s="408"/>
      <c r="CO113" s="408">
        <v>-478.96100999999993</v>
      </c>
      <c r="CP113" s="408">
        <v>24.032970000000013</v>
      </c>
      <c r="CQ113" s="408">
        <v>31</v>
      </c>
      <c r="CR113" s="408">
        <v>26.509227501992996</v>
      </c>
      <c r="CS113" s="408">
        <v>0</v>
      </c>
      <c r="CT113" s="408">
        <v>0</v>
      </c>
      <c r="CU113" s="408">
        <v>0</v>
      </c>
      <c r="CV113" s="408">
        <v>0</v>
      </c>
      <c r="CW113" s="408">
        <v>0</v>
      </c>
      <c r="CX113" s="408">
        <v>0</v>
      </c>
      <c r="CY113" s="408">
        <v>0</v>
      </c>
      <c r="CZ113" s="408">
        <v>-0.83618195270619822</v>
      </c>
      <c r="DA113" s="408">
        <v>0</v>
      </c>
      <c r="DB113" s="408">
        <v>0</v>
      </c>
      <c r="DC113" s="408">
        <v>24.022192535588943</v>
      </c>
      <c r="DD113" s="408">
        <v>0</v>
      </c>
      <c r="DE113" s="408">
        <v>0</v>
      </c>
      <c r="DF113" s="408">
        <v>0.13954554672874675</v>
      </c>
      <c r="DG113" s="408">
        <v>3.3945727901519689</v>
      </c>
      <c r="DH113" s="408">
        <v>0</v>
      </c>
      <c r="DI113" s="408">
        <v>0</v>
      </c>
      <c r="DJ113" s="408"/>
      <c r="DK113" s="408">
        <v>0</v>
      </c>
      <c r="DL113" s="408">
        <v>0</v>
      </c>
      <c r="DM113" s="408">
        <v>0</v>
      </c>
      <c r="DN113" s="408">
        <v>0</v>
      </c>
      <c r="DO113" s="408">
        <v>0</v>
      </c>
      <c r="DP113" s="408">
        <v>-0.21090141777043847</v>
      </c>
      <c r="DQ113" s="408">
        <v>0</v>
      </c>
      <c r="DR113" s="408">
        <v>0</v>
      </c>
      <c r="DS113" s="408"/>
      <c r="DT113" s="408"/>
      <c r="DU113" s="408"/>
      <c r="DV113" s="408">
        <v>716.79582271300433</v>
      </c>
      <c r="DW113" s="408">
        <v>0</v>
      </c>
      <c r="DX113" s="408">
        <v>0</v>
      </c>
      <c r="DY113" s="408">
        <v>-478.96100999999993</v>
      </c>
      <c r="DZ113" s="408">
        <v>24.032969999999978</v>
      </c>
      <c r="EA113" s="408">
        <v>0</v>
      </c>
      <c r="EB113" s="408">
        <v>0</v>
      </c>
      <c r="EC113" s="408">
        <v>-481.45359660746635</v>
      </c>
      <c r="ED113" s="408">
        <v>0</v>
      </c>
      <c r="EE113" s="408">
        <v>0</v>
      </c>
      <c r="EF113" s="408">
        <v>0</v>
      </c>
      <c r="EG113" s="408">
        <v>0</v>
      </c>
      <c r="EH113" s="408">
        <v>0</v>
      </c>
      <c r="EI113" s="408">
        <v>0</v>
      </c>
      <c r="EJ113" s="408">
        <v>0</v>
      </c>
      <c r="EK113" s="408">
        <v>0</v>
      </c>
      <c r="EL113" s="408">
        <v>0</v>
      </c>
      <c r="EM113" s="408">
        <v>0</v>
      </c>
      <c r="EN113" s="408">
        <v>0</v>
      </c>
      <c r="EO113" s="408">
        <v>0</v>
      </c>
      <c r="EP113" s="408">
        <v>0</v>
      </c>
      <c r="EQ113" s="408">
        <v>0</v>
      </c>
      <c r="ER113" s="408">
        <v>0</v>
      </c>
      <c r="ES113" s="408">
        <v>0</v>
      </c>
      <c r="ET113" s="408">
        <v>0</v>
      </c>
      <c r="EU113" s="408">
        <v>0</v>
      </c>
      <c r="EV113" s="408">
        <v>257</v>
      </c>
      <c r="EW113" s="408">
        <v>0</v>
      </c>
      <c r="EX113" s="408">
        <v>0</v>
      </c>
      <c r="EY113" s="408">
        <v>0</v>
      </c>
      <c r="EZ113" s="408"/>
      <c r="FA113" s="408">
        <v>0</v>
      </c>
      <c r="FB113" s="408"/>
      <c r="FC113" s="408"/>
      <c r="FD113" s="408"/>
      <c r="FE113" s="408"/>
      <c r="FF113" s="408">
        <v>0</v>
      </c>
      <c r="FG113" s="408">
        <v>0</v>
      </c>
      <c r="FH113" s="408">
        <v>0</v>
      </c>
      <c r="FI113" s="408">
        <v>0</v>
      </c>
    </row>
    <row r="114" spans="1:165" s="861" customFormat="1">
      <c r="A114" s="408">
        <v>112</v>
      </c>
      <c r="B114" s="408" t="s">
        <v>1035</v>
      </c>
      <c r="C114" s="408" t="s">
        <v>2233</v>
      </c>
      <c r="D114" s="408" t="s">
        <v>1958</v>
      </c>
      <c r="E114" s="408" t="s">
        <v>969</v>
      </c>
      <c r="F114" s="408" t="s">
        <v>1321</v>
      </c>
      <c r="G114" s="408" t="s">
        <v>1321</v>
      </c>
      <c r="H114" s="408" t="s">
        <v>1321</v>
      </c>
      <c r="I114" s="408" t="s">
        <v>1321</v>
      </c>
      <c r="J114" s="408" t="s">
        <v>2234</v>
      </c>
      <c r="K114" s="828">
        <v>44470</v>
      </c>
      <c r="L114" s="408">
        <v>0</v>
      </c>
      <c r="M114" s="408">
        <v>0</v>
      </c>
      <c r="N114" s="408">
        <v>55.161999999999999</v>
      </c>
      <c r="O114" s="408">
        <v>55.161999999999999</v>
      </c>
      <c r="P114" s="408">
        <v>55.161999999999999</v>
      </c>
      <c r="Q114" s="408">
        <v>55.161999999999999</v>
      </c>
      <c r="R114" s="408"/>
      <c r="S114" s="408">
        <v>710.91</v>
      </c>
      <c r="T114" s="408">
        <v>256.55</v>
      </c>
      <c r="U114" s="408"/>
      <c r="V114" s="408">
        <v>53367.02852</v>
      </c>
      <c r="W114" s="408">
        <v>53367.02852</v>
      </c>
      <c r="X114" s="408">
        <v>36430.639660000001</v>
      </c>
      <c r="Y114" s="408">
        <v>0</v>
      </c>
      <c r="Z114" s="408">
        <v>3391.0663752745231</v>
      </c>
      <c r="AA114" s="408">
        <v>0</v>
      </c>
      <c r="AB114" s="408">
        <v>0</v>
      </c>
      <c r="AC114" s="408">
        <v>0</v>
      </c>
      <c r="AD114" s="408">
        <v>6789.4928511336057</v>
      </c>
      <c r="AE114" s="408">
        <v>26307.312822684464</v>
      </c>
      <c r="AF114" s="408">
        <v>14151.950203783454</v>
      </c>
      <c r="AG114" s="408">
        <v>0</v>
      </c>
      <c r="AH114" s="408">
        <v>0</v>
      </c>
      <c r="AI114" s="408">
        <v>0</v>
      </c>
      <c r="AJ114" s="408">
        <v>0</v>
      </c>
      <c r="AK114" s="408">
        <v>0</v>
      </c>
      <c r="AL114" s="408">
        <v>524.27419727658946</v>
      </c>
      <c r="AM114" s="408"/>
      <c r="AN114" s="408">
        <v>121.12497590020179</v>
      </c>
      <c r="AO114" s="408">
        <v>0</v>
      </c>
      <c r="AP114" s="408">
        <v>0</v>
      </c>
      <c r="AQ114" s="408">
        <v>0</v>
      </c>
      <c r="AR114" s="408">
        <v>0</v>
      </c>
      <c r="AS114" s="408">
        <v>0</v>
      </c>
      <c r="AT114" s="408">
        <v>0</v>
      </c>
      <c r="AU114" s="408">
        <v>0</v>
      </c>
      <c r="AV114" s="408">
        <v>0</v>
      </c>
      <c r="AW114" s="408">
        <v>0</v>
      </c>
      <c r="AX114" s="408">
        <v>0</v>
      </c>
      <c r="AY114" s="408">
        <v>0</v>
      </c>
      <c r="AZ114" s="408">
        <v>0</v>
      </c>
      <c r="BA114" s="408"/>
      <c r="BB114" s="408">
        <v>0</v>
      </c>
      <c r="BC114" s="408">
        <v>0</v>
      </c>
      <c r="BD114" s="408">
        <v>82.20905004983176</v>
      </c>
      <c r="BE114" s="408">
        <v>0</v>
      </c>
      <c r="BF114" s="408">
        <v>0</v>
      </c>
      <c r="BG114" s="408">
        <v>1999.8101762850108</v>
      </c>
      <c r="BH114" s="408">
        <v>0</v>
      </c>
      <c r="BI114" s="408">
        <v>97.2</v>
      </c>
      <c r="BJ114" s="408">
        <v>483.37</v>
      </c>
      <c r="BK114" s="408">
        <v>9931.64</v>
      </c>
      <c r="BL114" s="408">
        <v>47</v>
      </c>
      <c r="BM114" s="408"/>
      <c r="BN114" s="408"/>
      <c r="BO114" s="408"/>
      <c r="BP114" s="408"/>
      <c r="BQ114" s="408"/>
      <c r="BR114" s="408"/>
      <c r="BS114" s="408"/>
      <c r="BT114" s="408"/>
      <c r="BU114" s="408"/>
      <c r="BV114" s="408">
        <v>16233.969430118297</v>
      </c>
      <c r="BW114" s="408"/>
      <c r="BX114" s="408"/>
      <c r="BY114" s="408"/>
      <c r="BZ114" s="408"/>
      <c r="CA114" s="408"/>
      <c r="CB114" s="408"/>
      <c r="CC114" s="408"/>
      <c r="CD114" s="408"/>
      <c r="CE114" s="408"/>
      <c r="CF114" s="408"/>
      <c r="CG114" s="408"/>
      <c r="CH114" s="408"/>
      <c r="CI114" s="408">
        <v>36429.318800000001</v>
      </c>
      <c r="CJ114" s="408">
        <v>-16937.739720000005</v>
      </c>
      <c r="CK114" s="408"/>
      <c r="CL114" s="408"/>
      <c r="CM114" s="408"/>
      <c r="CN114" s="408"/>
      <c r="CO114" s="408">
        <v>-17818.429239999998</v>
      </c>
      <c r="CP114" s="408">
        <v>882.04038000000048</v>
      </c>
      <c r="CQ114" s="408">
        <v>31</v>
      </c>
      <c r="CR114" s="408">
        <v>733.28424996123067</v>
      </c>
      <c r="CS114" s="408">
        <v>0</v>
      </c>
      <c r="CT114" s="408">
        <v>0</v>
      </c>
      <c r="CU114" s="408">
        <v>0</v>
      </c>
      <c r="CV114" s="408">
        <v>0</v>
      </c>
      <c r="CW114" s="408">
        <v>0</v>
      </c>
      <c r="CX114" s="408">
        <v>0</v>
      </c>
      <c r="CY114" s="408">
        <v>0</v>
      </c>
      <c r="CZ114" s="408">
        <v>-30.688934714024981</v>
      </c>
      <c r="DA114" s="408">
        <v>0</v>
      </c>
      <c r="DB114" s="408">
        <v>0</v>
      </c>
      <c r="DC114" s="408">
        <v>881.64483343190841</v>
      </c>
      <c r="DD114" s="408">
        <v>0</v>
      </c>
      <c r="DE114" s="408">
        <v>0</v>
      </c>
      <c r="DF114" s="408">
        <v>5.1214979698277574</v>
      </c>
      <c r="DG114" s="408">
        <v>124.58511260835871</v>
      </c>
      <c r="DH114" s="408">
        <v>0</v>
      </c>
      <c r="DI114" s="408">
        <v>-210.8695747676843</v>
      </c>
      <c r="DJ114" s="408"/>
      <c r="DK114" s="408">
        <v>0</v>
      </c>
      <c r="DL114" s="408">
        <v>0</v>
      </c>
      <c r="DM114" s="408">
        <v>0</v>
      </c>
      <c r="DN114" s="408">
        <v>0</v>
      </c>
      <c r="DO114" s="408">
        <v>-28.768335926399345</v>
      </c>
      <c r="DP114" s="408">
        <v>-7.7403486407537798</v>
      </c>
      <c r="DQ114" s="408">
        <v>0</v>
      </c>
      <c r="DR114" s="408">
        <v>0</v>
      </c>
      <c r="DS114" s="408"/>
      <c r="DT114" s="408"/>
      <c r="DU114" s="408"/>
      <c r="DV114" s="408">
        <v>26307.312822684464</v>
      </c>
      <c r="DW114" s="408">
        <v>0</v>
      </c>
      <c r="DX114" s="408">
        <v>0</v>
      </c>
      <c r="DY114" s="408">
        <v>-17818.429240000001</v>
      </c>
      <c r="DZ114" s="408">
        <v>882.04038000000037</v>
      </c>
      <c r="EA114" s="408">
        <v>0</v>
      </c>
      <c r="EB114" s="408">
        <v>0</v>
      </c>
      <c r="EC114" s="408">
        <v>-17669.955619468437</v>
      </c>
      <c r="ED114" s="408">
        <v>0</v>
      </c>
      <c r="EE114" s="408">
        <v>0</v>
      </c>
      <c r="EF114" s="408">
        <v>0</v>
      </c>
      <c r="EG114" s="408">
        <v>0</v>
      </c>
      <c r="EH114" s="408">
        <v>0</v>
      </c>
      <c r="EI114" s="408">
        <v>0</v>
      </c>
      <c r="EJ114" s="408">
        <v>0</v>
      </c>
      <c r="EK114" s="408">
        <v>0</v>
      </c>
      <c r="EL114" s="408">
        <v>0</v>
      </c>
      <c r="EM114" s="408">
        <v>0</v>
      </c>
      <c r="EN114" s="408">
        <v>0</v>
      </c>
      <c r="EO114" s="408">
        <v>0</v>
      </c>
      <c r="EP114" s="408">
        <v>0</v>
      </c>
      <c r="EQ114" s="408">
        <v>0</v>
      </c>
      <c r="ER114" s="408">
        <v>0</v>
      </c>
      <c r="ES114" s="408">
        <v>0</v>
      </c>
      <c r="ET114" s="408">
        <v>0</v>
      </c>
      <c r="EU114" s="408">
        <v>0</v>
      </c>
      <c r="EV114" s="408">
        <v>257</v>
      </c>
      <c r="EW114" s="408">
        <v>0</v>
      </c>
      <c r="EX114" s="408">
        <v>0</v>
      </c>
      <c r="EY114" s="408">
        <v>0</v>
      </c>
      <c r="EZ114" s="408"/>
      <c r="FA114" s="408">
        <v>0</v>
      </c>
      <c r="FB114" s="408"/>
      <c r="FC114" s="408"/>
      <c r="FD114" s="408"/>
      <c r="FE114" s="408"/>
      <c r="FF114" s="408">
        <v>0</v>
      </c>
      <c r="FG114" s="408">
        <v>0</v>
      </c>
      <c r="FH114" s="408">
        <v>0</v>
      </c>
      <c r="FI114" s="408">
        <v>0</v>
      </c>
    </row>
    <row r="115" spans="1:165" s="861" customFormat="1">
      <c r="A115" s="408">
        <v>113</v>
      </c>
      <c r="B115" s="408" t="s">
        <v>2236</v>
      </c>
      <c r="C115" s="408" t="s">
        <v>2233</v>
      </c>
      <c r="D115" s="408" t="s">
        <v>1958</v>
      </c>
      <c r="E115" s="408" t="s">
        <v>969</v>
      </c>
      <c r="F115" s="408" t="s">
        <v>1321</v>
      </c>
      <c r="G115" s="408" t="s">
        <v>1321</v>
      </c>
      <c r="H115" s="408" t="s">
        <v>1321</v>
      </c>
      <c r="I115" s="408" t="s">
        <v>1321</v>
      </c>
      <c r="J115" s="408" t="s">
        <v>2234</v>
      </c>
      <c r="K115" s="828">
        <v>44470</v>
      </c>
      <c r="L115" s="408">
        <v>0</v>
      </c>
      <c r="M115" s="408">
        <v>0</v>
      </c>
      <c r="N115" s="408">
        <v>4.9880000000000004</v>
      </c>
      <c r="O115" s="408">
        <v>4.9880000000000004</v>
      </c>
      <c r="P115" s="408">
        <v>4.9880000000000004</v>
      </c>
      <c r="Q115" s="408">
        <v>4.9880000000000004</v>
      </c>
      <c r="R115" s="408"/>
      <c r="S115" s="408">
        <v>710.91</v>
      </c>
      <c r="T115" s="408">
        <v>256.55</v>
      </c>
      <c r="U115" s="408"/>
      <c r="V115" s="408">
        <v>4825.6904800000002</v>
      </c>
      <c r="W115" s="408">
        <v>4825.6904800000002</v>
      </c>
      <c r="X115" s="408">
        <v>3294.2248400000003</v>
      </c>
      <c r="Y115" s="408">
        <v>0</v>
      </c>
      <c r="Z115" s="408">
        <v>306.63571081304747</v>
      </c>
      <c r="AA115" s="408">
        <v>0</v>
      </c>
      <c r="AB115" s="408">
        <v>0</v>
      </c>
      <c r="AC115" s="408">
        <v>0</v>
      </c>
      <c r="AD115" s="408">
        <v>613.93695553921953</v>
      </c>
      <c r="AE115" s="408">
        <v>2378.8273876862718</v>
      </c>
      <c r="AF115" s="408">
        <v>1279.6839783994756</v>
      </c>
      <c r="AG115" s="408">
        <v>0</v>
      </c>
      <c r="AH115" s="408">
        <v>0</v>
      </c>
      <c r="AI115" s="408">
        <v>0</v>
      </c>
      <c r="AJ115" s="408">
        <v>0</v>
      </c>
      <c r="AK115" s="408">
        <v>0</v>
      </c>
      <c r="AL115" s="408">
        <v>47.40726761204504</v>
      </c>
      <c r="AM115" s="408"/>
      <c r="AN115" s="408">
        <v>10.952673575834933</v>
      </c>
      <c r="AO115" s="408">
        <v>0</v>
      </c>
      <c r="AP115" s="408">
        <v>0</v>
      </c>
      <c r="AQ115" s="408">
        <v>0</v>
      </c>
      <c r="AR115" s="408">
        <v>0</v>
      </c>
      <c r="AS115" s="408">
        <v>0</v>
      </c>
      <c r="AT115" s="408">
        <v>0</v>
      </c>
      <c r="AU115" s="408">
        <v>0</v>
      </c>
      <c r="AV115" s="408">
        <v>0</v>
      </c>
      <c r="AW115" s="408">
        <v>0</v>
      </c>
      <c r="AX115" s="408">
        <v>0</v>
      </c>
      <c r="AY115" s="408">
        <v>0</v>
      </c>
      <c r="AZ115" s="408">
        <v>0</v>
      </c>
      <c r="BA115" s="408"/>
      <c r="BB115" s="408">
        <v>0</v>
      </c>
      <c r="BC115" s="408">
        <v>0</v>
      </c>
      <c r="BD115" s="408">
        <v>7.4337178066161638</v>
      </c>
      <c r="BE115" s="408">
        <v>0</v>
      </c>
      <c r="BF115" s="408">
        <v>0</v>
      </c>
      <c r="BG115" s="408">
        <v>180.83197054692786</v>
      </c>
      <c r="BH115" s="408">
        <v>0</v>
      </c>
      <c r="BI115" s="408">
        <v>10.89</v>
      </c>
      <c r="BJ115" s="408">
        <v>54.1</v>
      </c>
      <c r="BK115" s="408">
        <v>1466.49</v>
      </c>
      <c r="BL115" s="408">
        <v>3</v>
      </c>
      <c r="BM115" s="408"/>
      <c r="BN115" s="408"/>
      <c r="BO115" s="408"/>
      <c r="BP115" s="408"/>
      <c r="BQ115" s="408"/>
      <c r="BR115" s="408"/>
      <c r="BS115" s="408"/>
      <c r="BT115" s="408"/>
      <c r="BU115" s="408"/>
      <c r="BV115" s="408">
        <v>1467.9496667530195</v>
      </c>
      <c r="BW115" s="408"/>
      <c r="BX115" s="408"/>
      <c r="BY115" s="408"/>
      <c r="BZ115" s="408"/>
      <c r="CA115" s="408"/>
      <c r="CB115" s="408"/>
      <c r="CC115" s="408"/>
      <c r="CD115" s="408"/>
      <c r="CE115" s="408"/>
      <c r="CF115" s="408"/>
      <c r="CG115" s="408"/>
      <c r="CH115" s="408"/>
      <c r="CI115" s="408">
        <v>3295.5457000000006</v>
      </c>
      <c r="CJ115" s="408">
        <v>-1530.1747800000003</v>
      </c>
      <c r="CK115" s="408"/>
      <c r="CL115" s="408"/>
      <c r="CM115" s="408"/>
      <c r="CN115" s="408"/>
      <c r="CO115" s="408">
        <v>-1611.2237600000001</v>
      </c>
      <c r="CP115" s="408">
        <v>79.758120000000048</v>
      </c>
      <c r="CQ115" s="408">
        <v>31</v>
      </c>
      <c r="CR115" s="408">
        <v>66.30691125787007</v>
      </c>
      <c r="CS115" s="408">
        <v>0</v>
      </c>
      <c r="CT115" s="408">
        <v>0</v>
      </c>
      <c r="CU115" s="408">
        <v>0</v>
      </c>
      <c r="CV115" s="408">
        <v>0</v>
      </c>
      <c r="CW115" s="408">
        <v>0</v>
      </c>
      <c r="CX115" s="408">
        <v>0</v>
      </c>
      <c r="CY115" s="408">
        <v>0</v>
      </c>
      <c r="CZ115" s="408">
        <v>-2.7750336527601576</v>
      </c>
      <c r="DA115" s="408">
        <v>0</v>
      </c>
      <c r="DB115" s="408">
        <v>0</v>
      </c>
      <c r="DC115" s="408">
        <v>79.72235287260014</v>
      </c>
      <c r="DD115" s="408">
        <v>0</v>
      </c>
      <c r="DE115" s="408">
        <v>0</v>
      </c>
      <c r="DF115" s="408">
        <v>0.46310923957617423</v>
      </c>
      <c r="DG115" s="408">
        <v>11.265554941635429</v>
      </c>
      <c r="DH115" s="408">
        <v>0</v>
      </c>
      <c r="DI115" s="408">
        <v>-19.067790126195746</v>
      </c>
      <c r="DJ115" s="408"/>
      <c r="DK115" s="408">
        <v>0</v>
      </c>
      <c r="DL115" s="408">
        <v>0</v>
      </c>
      <c r="DM115" s="408">
        <v>0</v>
      </c>
      <c r="DN115" s="408">
        <v>0</v>
      </c>
      <c r="DO115" s="408">
        <v>-2.6013643377847089</v>
      </c>
      <c r="DP115" s="408">
        <v>-0.69991767920089565</v>
      </c>
      <c r="DQ115" s="408">
        <v>0</v>
      </c>
      <c r="DR115" s="408">
        <v>0</v>
      </c>
      <c r="DS115" s="408"/>
      <c r="DT115" s="408"/>
      <c r="DU115" s="408"/>
      <c r="DV115" s="408">
        <v>2378.8273876862718</v>
      </c>
      <c r="DW115" s="408">
        <v>0</v>
      </c>
      <c r="DX115" s="408">
        <v>0</v>
      </c>
      <c r="DY115" s="408">
        <v>-1611.2237599999999</v>
      </c>
      <c r="DZ115" s="408">
        <v>79.758119999999963</v>
      </c>
      <c r="EA115" s="408">
        <v>0</v>
      </c>
      <c r="EB115" s="408">
        <v>0</v>
      </c>
      <c r="EC115" s="408">
        <v>-1597.7980970579129</v>
      </c>
      <c r="ED115" s="408">
        <v>0</v>
      </c>
      <c r="EE115" s="408">
        <v>0</v>
      </c>
      <c r="EF115" s="408">
        <v>0</v>
      </c>
      <c r="EG115" s="408">
        <v>0</v>
      </c>
      <c r="EH115" s="408">
        <v>0</v>
      </c>
      <c r="EI115" s="408">
        <v>0</v>
      </c>
      <c r="EJ115" s="408">
        <v>0</v>
      </c>
      <c r="EK115" s="408">
        <v>0</v>
      </c>
      <c r="EL115" s="408">
        <v>0</v>
      </c>
      <c r="EM115" s="408">
        <v>0</v>
      </c>
      <c r="EN115" s="408">
        <v>0</v>
      </c>
      <c r="EO115" s="408">
        <v>0</v>
      </c>
      <c r="EP115" s="408">
        <v>0</v>
      </c>
      <c r="EQ115" s="408">
        <v>0</v>
      </c>
      <c r="ER115" s="408">
        <v>0</v>
      </c>
      <c r="ES115" s="408">
        <v>0</v>
      </c>
      <c r="ET115" s="408">
        <v>0</v>
      </c>
      <c r="EU115" s="408">
        <v>0</v>
      </c>
      <c r="EV115" s="408">
        <v>257</v>
      </c>
      <c r="EW115" s="408">
        <v>0</v>
      </c>
      <c r="EX115" s="408">
        <v>0</v>
      </c>
      <c r="EY115" s="408">
        <v>0</v>
      </c>
      <c r="EZ115" s="408"/>
      <c r="FA115" s="408">
        <v>0</v>
      </c>
      <c r="FB115" s="408"/>
      <c r="FC115" s="408"/>
      <c r="FD115" s="408"/>
      <c r="FE115" s="408"/>
      <c r="FF115" s="408">
        <v>0</v>
      </c>
      <c r="FG115" s="408">
        <v>0</v>
      </c>
      <c r="FH115" s="408">
        <v>0</v>
      </c>
      <c r="FI115" s="408">
        <v>0</v>
      </c>
    </row>
    <row r="116" spans="1:165" s="861" customFormat="1">
      <c r="A116" s="408">
        <v>114</v>
      </c>
      <c r="B116" s="408" t="s">
        <v>1035</v>
      </c>
      <c r="C116" s="408" t="s">
        <v>2241</v>
      </c>
      <c r="D116" s="408" t="s">
        <v>596</v>
      </c>
      <c r="E116" s="408" t="s">
        <v>969</v>
      </c>
      <c r="F116" s="408" t="s">
        <v>1321</v>
      </c>
      <c r="G116" s="408" t="s">
        <v>1321</v>
      </c>
      <c r="H116" s="408" t="s">
        <v>1321</v>
      </c>
      <c r="I116" s="408" t="s">
        <v>972</v>
      </c>
      <c r="J116" s="408" t="s">
        <v>2234</v>
      </c>
      <c r="K116" s="828">
        <v>44470</v>
      </c>
      <c r="L116" s="408">
        <v>0</v>
      </c>
      <c r="M116" s="408">
        <v>0</v>
      </c>
      <c r="N116" s="408">
        <v>7.9080000000000004</v>
      </c>
      <c r="O116" s="408">
        <v>7.9080000000000004</v>
      </c>
      <c r="P116" s="408">
        <v>7.9080000000000004</v>
      </c>
      <c r="Q116" s="408">
        <v>7.9080000000000004</v>
      </c>
      <c r="R116" s="408"/>
      <c r="S116" s="408">
        <v>3130.62</v>
      </c>
      <c r="T116" s="408">
        <v>256.55</v>
      </c>
      <c r="U116" s="408"/>
      <c r="V116" s="408">
        <v>26785.74036</v>
      </c>
      <c r="W116" s="408">
        <v>26785.74036</v>
      </c>
      <c r="X116" s="408">
        <v>14097.038039999999</v>
      </c>
      <c r="Y116" s="408">
        <v>0</v>
      </c>
      <c r="Z116" s="408">
        <v>422.94334903074053</v>
      </c>
      <c r="AA116" s="408">
        <v>0</v>
      </c>
      <c r="AB116" s="408">
        <v>0</v>
      </c>
      <c r="AC116" s="408">
        <v>0</v>
      </c>
      <c r="AD116" s="408">
        <v>5094.4427879136501</v>
      </c>
      <c r="AE116" s="408">
        <v>19012.007627151012</v>
      </c>
      <c r="AF116" s="408">
        <v>2028.8173418570675</v>
      </c>
      <c r="AG116" s="408">
        <v>0</v>
      </c>
      <c r="AH116" s="408">
        <v>0</v>
      </c>
      <c r="AI116" s="408">
        <v>0</v>
      </c>
      <c r="AJ116" s="408">
        <v>0</v>
      </c>
      <c r="AK116" s="408">
        <v>0</v>
      </c>
      <c r="AL116" s="408">
        <v>75.159717777877333</v>
      </c>
      <c r="AM116" s="408"/>
      <c r="AN116" s="408">
        <v>10.668326898994884</v>
      </c>
      <c r="AO116" s="408">
        <v>0</v>
      </c>
      <c r="AP116" s="408">
        <v>0</v>
      </c>
      <c r="AQ116" s="408">
        <v>0</v>
      </c>
      <c r="AR116" s="408">
        <v>0</v>
      </c>
      <c r="AS116" s="408">
        <v>0</v>
      </c>
      <c r="AT116" s="408">
        <v>0</v>
      </c>
      <c r="AU116" s="408">
        <v>0</v>
      </c>
      <c r="AV116" s="408">
        <v>0</v>
      </c>
      <c r="AW116" s="408">
        <v>0</v>
      </c>
      <c r="AX116" s="408">
        <v>0</v>
      </c>
      <c r="AY116" s="408">
        <v>0</v>
      </c>
      <c r="AZ116" s="408">
        <v>0</v>
      </c>
      <c r="BA116" s="408"/>
      <c r="BB116" s="408">
        <v>0</v>
      </c>
      <c r="BC116" s="408">
        <v>0</v>
      </c>
      <c r="BD116" s="408">
        <v>9.7428554176669468</v>
      </c>
      <c r="BE116" s="408">
        <v>0</v>
      </c>
      <c r="BF116" s="408">
        <v>0</v>
      </c>
      <c r="BG116" s="408">
        <v>131.97889106658363</v>
      </c>
      <c r="BH116" s="408">
        <v>0</v>
      </c>
      <c r="BI116" s="408">
        <v>0</v>
      </c>
      <c r="BJ116" s="408">
        <v>0</v>
      </c>
      <c r="BK116" s="408">
        <v>0</v>
      </c>
      <c r="BL116" s="408">
        <v>0</v>
      </c>
      <c r="BM116" s="408"/>
      <c r="BN116" s="408"/>
      <c r="BO116" s="408"/>
      <c r="BP116" s="408"/>
      <c r="BQ116" s="408"/>
      <c r="BR116" s="408"/>
      <c r="BS116" s="408"/>
      <c r="BT116" s="408"/>
      <c r="BU116" s="408"/>
      <c r="BV116" s="408">
        <v>2170.5390883413183</v>
      </c>
      <c r="BW116" s="408"/>
      <c r="BX116" s="408"/>
      <c r="BY116" s="408"/>
      <c r="BZ116" s="408"/>
      <c r="CA116" s="408"/>
      <c r="CB116" s="408"/>
      <c r="CC116" s="408"/>
      <c r="CD116" s="408"/>
      <c r="CE116" s="408"/>
      <c r="CF116" s="408"/>
      <c r="CG116" s="408"/>
      <c r="CH116" s="408"/>
      <c r="CI116" s="408">
        <v>14100.603299999999</v>
      </c>
      <c r="CJ116" s="408">
        <v>-12685.167059999996</v>
      </c>
      <c r="CK116" s="408"/>
      <c r="CL116" s="408"/>
      <c r="CM116" s="408"/>
      <c r="CN116" s="408"/>
      <c r="CO116" s="408">
        <v>-12815.151240000001</v>
      </c>
      <c r="CP116" s="408">
        <v>126.44892000000007</v>
      </c>
      <c r="CQ116" s="408">
        <v>31</v>
      </c>
      <c r="CR116" s="408">
        <v>81.087850594375595</v>
      </c>
      <c r="CS116" s="408">
        <v>0</v>
      </c>
      <c r="CT116" s="408">
        <v>0</v>
      </c>
      <c r="CU116" s="408">
        <v>0</v>
      </c>
      <c r="CV116" s="408">
        <v>0</v>
      </c>
      <c r="CW116" s="408">
        <v>0</v>
      </c>
      <c r="CX116" s="408">
        <v>0</v>
      </c>
      <c r="CY116" s="408">
        <v>0</v>
      </c>
      <c r="CZ116" s="408">
        <v>-23.027201817663808</v>
      </c>
      <c r="DA116" s="408">
        <v>0</v>
      </c>
      <c r="DB116" s="408">
        <v>0</v>
      </c>
      <c r="DC116" s="408">
        <v>126.39221461838838</v>
      </c>
      <c r="DD116" s="408">
        <v>0</v>
      </c>
      <c r="DE116" s="408">
        <v>0</v>
      </c>
      <c r="DF116" s="408">
        <v>0.60696497784199899</v>
      </c>
      <c r="DG116" s="408">
        <v>8.2220828758865423</v>
      </c>
      <c r="DH116" s="408">
        <v>0</v>
      </c>
      <c r="DI116" s="408">
        <v>-26.300247264759889</v>
      </c>
      <c r="DJ116" s="408"/>
      <c r="DK116" s="408">
        <v>0</v>
      </c>
      <c r="DL116" s="408">
        <v>0</v>
      </c>
      <c r="DM116" s="408">
        <v>0</v>
      </c>
      <c r="DN116" s="408">
        <v>0</v>
      </c>
      <c r="DO116" s="408">
        <v>-4.1242159549321258</v>
      </c>
      <c r="DP116" s="408">
        <v>-0.68174684038568323</v>
      </c>
      <c r="DQ116" s="408">
        <v>0</v>
      </c>
      <c r="DR116" s="408">
        <v>0</v>
      </c>
      <c r="DS116" s="408"/>
      <c r="DT116" s="408"/>
      <c r="DU116" s="408"/>
      <c r="DV116" s="408">
        <v>19012.007627151012</v>
      </c>
      <c r="DW116" s="408">
        <v>0</v>
      </c>
      <c r="DX116" s="408">
        <v>0</v>
      </c>
      <c r="DY116" s="408">
        <v>-12815.151240000001</v>
      </c>
      <c r="DZ116" s="408">
        <v>126.44892000000004</v>
      </c>
      <c r="EA116" s="408">
        <v>0</v>
      </c>
      <c r="EB116" s="408">
        <v>0</v>
      </c>
      <c r="EC116" s="408">
        <v>-12769.88392060612</v>
      </c>
      <c r="ED116" s="408">
        <v>0</v>
      </c>
      <c r="EE116" s="408">
        <v>0</v>
      </c>
      <c r="EF116" s="408">
        <v>0</v>
      </c>
      <c r="EG116" s="408">
        <v>0</v>
      </c>
      <c r="EH116" s="408">
        <v>0</v>
      </c>
      <c r="EI116" s="408">
        <v>0</v>
      </c>
      <c r="EJ116" s="408">
        <v>0</v>
      </c>
      <c r="EK116" s="408">
        <v>0</v>
      </c>
      <c r="EL116" s="408">
        <v>0</v>
      </c>
      <c r="EM116" s="408">
        <v>0</v>
      </c>
      <c r="EN116" s="408">
        <v>0</v>
      </c>
      <c r="EO116" s="408">
        <v>0</v>
      </c>
      <c r="EP116" s="408">
        <v>0</v>
      </c>
      <c r="EQ116" s="408">
        <v>0</v>
      </c>
      <c r="ER116" s="408">
        <v>0</v>
      </c>
      <c r="ES116" s="408">
        <v>0</v>
      </c>
      <c r="ET116" s="408">
        <v>0</v>
      </c>
      <c r="EU116" s="408">
        <v>0</v>
      </c>
      <c r="EV116" s="408">
        <v>257</v>
      </c>
      <c r="EW116" s="408">
        <v>0</v>
      </c>
      <c r="EX116" s="408">
        <v>0</v>
      </c>
      <c r="EY116" s="408">
        <v>0</v>
      </c>
      <c r="EZ116" s="408"/>
      <c r="FA116" s="408">
        <v>0</v>
      </c>
      <c r="FB116" s="408"/>
      <c r="FC116" s="408"/>
      <c r="FD116" s="408"/>
      <c r="FE116" s="408"/>
      <c r="FF116" s="408">
        <v>0</v>
      </c>
      <c r="FG116" s="408">
        <v>0</v>
      </c>
      <c r="FH116" s="408">
        <v>0</v>
      </c>
      <c r="FI116" s="408">
        <v>0</v>
      </c>
    </row>
    <row r="117" spans="1:165" s="861" customFormat="1">
      <c r="A117" s="408">
        <v>115</v>
      </c>
      <c r="B117" s="408" t="s">
        <v>2236</v>
      </c>
      <c r="C117" s="408" t="s">
        <v>2241</v>
      </c>
      <c r="D117" s="408" t="s">
        <v>596</v>
      </c>
      <c r="E117" s="408" t="s">
        <v>969</v>
      </c>
      <c r="F117" s="408" t="s">
        <v>1321</v>
      </c>
      <c r="G117" s="408" t="s">
        <v>1321</v>
      </c>
      <c r="H117" s="408" t="s">
        <v>1321</v>
      </c>
      <c r="I117" s="408" t="s">
        <v>972</v>
      </c>
      <c r="J117" s="408" t="s">
        <v>2234</v>
      </c>
      <c r="K117" s="828">
        <v>44470</v>
      </c>
      <c r="L117" s="408">
        <v>0</v>
      </c>
      <c r="M117" s="408">
        <v>0</v>
      </c>
      <c r="N117" s="408">
        <v>0.219</v>
      </c>
      <c r="O117" s="408">
        <v>0.219</v>
      </c>
      <c r="P117" s="408">
        <v>0.219</v>
      </c>
      <c r="Q117" s="408">
        <v>0.219</v>
      </c>
      <c r="R117" s="408"/>
      <c r="S117" s="408">
        <v>3130.62</v>
      </c>
      <c r="T117" s="408">
        <v>256.55</v>
      </c>
      <c r="U117" s="408"/>
      <c r="V117" s="408">
        <v>741.79022999999995</v>
      </c>
      <c r="W117" s="408">
        <v>741.79022999999995</v>
      </c>
      <c r="X117" s="408">
        <v>390.39596999999998</v>
      </c>
      <c r="Y117" s="408">
        <v>0</v>
      </c>
      <c r="Z117" s="408">
        <v>11.712771046754195</v>
      </c>
      <c r="AA117" s="408">
        <v>0</v>
      </c>
      <c r="AB117" s="408">
        <v>0</v>
      </c>
      <c r="AC117" s="408">
        <v>0</v>
      </c>
      <c r="AD117" s="408">
        <v>141.08282379275283</v>
      </c>
      <c r="AE117" s="408">
        <v>526.5085572010712</v>
      </c>
      <c r="AF117" s="408">
        <v>56.18500225931939</v>
      </c>
      <c r="AG117" s="408">
        <v>0</v>
      </c>
      <c r="AH117" s="408">
        <v>0</v>
      </c>
      <c r="AI117" s="408">
        <v>0</v>
      </c>
      <c r="AJ117" s="408">
        <v>0</v>
      </c>
      <c r="AK117" s="408">
        <v>0</v>
      </c>
      <c r="AL117" s="408">
        <v>2.0814337624374222</v>
      </c>
      <c r="AM117" s="408"/>
      <c r="AN117" s="408">
        <v>0.29544304386442582</v>
      </c>
      <c r="AO117" s="408">
        <v>0</v>
      </c>
      <c r="AP117" s="408">
        <v>0</v>
      </c>
      <c r="AQ117" s="408">
        <v>0</v>
      </c>
      <c r="AR117" s="408">
        <v>0</v>
      </c>
      <c r="AS117" s="408">
        <v>0</v>
      </c>
      <c r="AT117" s="408">
        <v>0</v>
      </c>
      <c r="AU117" s="408">
        <v>0</v>
      </c>
      <c r="AV117" s="408">
        <v>0</v>
      </c>
      <c r="AW117" s="408">
        <v>0</v>
      </c>
      <c r="AX117" s="408">
        <v>0</v>
      </c>
      <c r="AY117" s="408">
        <v>0</v>
      </c>
      <c r="AZ117" s="408">
        <v>0</v>
      </c>
      <c r="BA117" s="408"/>
      <c r="BB117" s="408">
        <v>0</v>
      </c>
      <c r="BC117" s="408">
        <v>0</v>
      </c>
      <c r="BD117" s="408">
        <v>0.26981352256816654</v>
      </c>
      <c r="BE117" s="408">
        <v>0</v>
      </c>
      <c r="BF117" s="408">
        <v>0</v>
      </c>
      <c r="BG117" s="408">
        <v>3.6549541152733704</v>
      </c>
      <c r="BH117" s="408">
        <v>0</v>
      </c>
      <c r="BI117" s="408">
        <v>0</v>
      </c>
      <c r="BJ117" s="408">
        <v>0</v>
      </c>
      <c r="BK117" s="408">
        <v>0</v>
      </c>
      <c r="BL117" s="408">
        <v>0</v>
      </c>
      <c r="BM117" s="408"/>
      <c r="BN117" s="408"/>
      <c r="BO117" s="408"/>
      <c r="BP117" s="408"/>
      <c r="BQ117" s="408"/>
      <c r="BR117" s="408"/>
      <c r="BS117" s="408"/>
      <c r="BT117" s="408"/>
      <c r="BU117" s="408"/>
      <c r="BV117" s="408">
        <v>60.109769897160923</v>
      </c>
      <c r="BW117" s="408"/>
      <c r="BX117" s="408"/>
      <c r="BY117" s="408"/>
      <c r="BZ117" s="408"/>
      <c r="CA117" s="408"/>
      <c r="CB117" s="408"/>
      <c r="CC117" s="408"/>
      <c r="CD117" s="408"/>
      <c r="CE117" s="408"/>
      <c r="CF117" s="408"/>
      <c r="CG117" s="408"/>
      <c r="CH117" s="408"/>
      <c r="CI117" s="408">
        <v>392.17859999999996</v>
      </c>
      <c r="CJ117" s="408">
        <v>-349.64162999999996</v>
      </c>
      <c r="CK117" s="408"/>
      <c r="CL117" s="408"/>
      <c r="CM117" s="408"/>
      <c r="CN117" s="408"/>
      <c r="CO117" s="408">
        <v>-354.89607000000001</v>
      </c>
      <c r="CP117" s="408">
        <v>3.5018100000000021</v>
      </c>
      <c r="CQ117" s="408">
        <v>31</v>
      </c>
      <c r="CR117" s="408">
        <v>2.2456043601628437</v>
      </c>
      <c r="CS117" s="408">
        <v>0</v>
      </c>
      <c r="CT117" s="408">
        <v>0</v>
      </c>
      <c r="CU117" s="408">
        <v>0</v>
      </c>
      <c r="CV117" s="408">
        <v>0</v>
      </c>
      <c r="CW117" s="408">
        <v>0</v>
      </c>
      <c r="CX117" s="408">
        <v>0</v>
      </c>
      <c r="CY117" s="408">
        <v>0</v>
      </c>
      <c r="CZ117" s="408">
        <v>-0.63770323698386733</v>
      </c>
      <c r="DA117" s="408">
        <v>0</v>
      </c>
      <c r="DB117" s="408">
        <v>0</v>
      </c>
      <c r="DC117" s="408">
        <v>3.500239630934125</v>
      </c>
      <c r="DD117" s="408">
        <v>0</v>
      </c>
      <c r="DE117" s="408">
        <v>0</v>
      </c>
      <c r="DF117" s="408">
        <v>1.6808969416717001E-2</v>
      </c>
      <c r="DG117" s="408">
        <v>0.22769804625937695</v>
      </c>
      <c r="DH117" s="408">
        <v>0</v>
      </c>
      <c r="DI117" s="408">
        <v>-0.72834523912271365</v>
      </c>
      <c r="DJ117" s="408"/>
      <c r="DK117" s="408">
        <v>0</v>
      </c>
      <c r="DL117" s="408">
        <v>0</v>
      </c>
      <c r="DM117" s="408">
        <v>0</v>
      </c>
      <c r="DN117" s="408">
        <v>0</v>
      </c>
      <c r="DO117" s="408">
        <v>-0.11421387128605653</v>
      </c>
      <c r="DP117" s="408">
        <v>-1.8879939054686989E-2</v>
      </c>
      <c r="DQ117" s="408">
        <v>0</v>
      </c>
      <c r="DR117" s="408">
        <v>0</v>
      </c>
      <c r="DS117" s="408"/>
      <c r="DT117" s="408"/>
      <c r="DU117" s="408"/>
      <c r="DV117" s="408">
        <v>526.5085572010712</v>
      </c>
      <c r="DW117" s="408">
        <v>0</v>
      </c>
      <c r="DX117" s="408">
        <v>0</v>
      </c>
      <c r="DY117" s="408">
        <v>-354.89607000000001</v>
      </c>
      <c r="DZ117" s="408">
        <v>3.501809999999999</v>
      </c>
      <c r="EA117" s="408">
        <v>0</v>
      </c>
      <c r="EB117" s="408">
        <v>0</v>
      </c>
      <c r="EC117" s="408">
        <v>-353.64246062376577</v>
      </c>
      <c r="ED117" s="408">
        <v>0</v>
      </c>
      <c r="EE117" s="408">
        <v>0</v>
      </c>
      <c r="EF117" s="408">
        <v>0</v>
      </c>
      <c r="EG117" s="408">
        <v>0</v>
      </c>
      <c r="EH117" s="408">
        <v>0</v>
      </c>
      <c r="EI117" s="408">
        <v>0</v>
      </c>
      <c r="EJ117" s="408">
        <v>0</v>
      </c>
      <c r="EK117" s="408">
        <v>0</v>
      </c>
      <c r="EL117" s="408">
        <v>0</v>
      </c>
      <c r="EM117" s="408">
        <v>0</v>
      </c>
      <c r="EN117" s="408">
        <v>0</v>
      </c>
      <c r="EO117" s="408">
        <v>0</v>
      </c>
      <c r="EP117" s="408">
        <v>0</v>
      </c>
      <c r="EQ117" s="408">
        <v>0</v>
      </c>
      <c r="ER117" s="408">
        <v>0</v>
      </c>
      <c r="ES117" s="408">
        <v>0</v>
      </c>
      <c r="ET117" s="408">
        <v>0</v>
      </c>
      <c r="EU117" s="408">
        <v>0</v>
      </c>
      <c r="EV117" s="408">
        <v>257</v>
      </c>
      <c r="EW117" s="408">
        <v>0</v>
      </c>
      <c r="EX117" s="408">
        <v>0</v>
      </c>
      <c r="EY117" s="408">
        <v>0</v>
      </c>
      <c r="EZ117" s="408"/>
      <c r="FA117" s="408">
        <v>0</v>
      </c>
      <c r="FB117" s="408"/>
      <c r="FC117" s="408"/>
      <c r="FD117" s="408"/>
      <c r="FE117" s="408"/>
      <c r="FF117" s="408">
        <v>0</v>
      </c>
      <c r="FG117" s="408">
        <v>0</v>
      </c>
      <c r="FH117" s="408">
        <v>0</v>
      </c>
      <c r="FI117" s="408">
        <v>0</v>
      </c>
    </row>
    <row r="118" spans="1:165" s="861" customFormat="1">
      <c r="A118" s="408">
        <v>116</v>
      </c>
      <c r="B118" s="408" t="s">
        <v>1035</v>
      </c>
      <c r="C118" s="408" t="s">
        <v>2241</v>
      </c>
      <c r="D118" s="408" t="s">
        <v>596</v>
      </c>
      <c r="E118" s="408" t="s">
        <v>969</v>
      </c>
      <c r="F118" s="408" t="s">
        <v>1321</v>
      </c>
      <c r="G118" s="408" t="s">
        <v>1321</v>
      </c>
      <c r="H118" s="408" t="s">
        <v>1321</v>
      </c>
      <c r="I118" s="408" t="s">
        <v>2242</v>
      </c>
      <c r="J118" s="408" t="s">
        <v>2234</v>
      </c>
      <c r="K118" s="828">
        <v>44470</v>
      </c>
      <c r="L118" s="408">
        <v>0</v>
      </c>
      <c r="M118" s="408">
        <v>0</v>
      </c>
      <c r="N118" s="408">
        <v>321.46899999999999</v>
      </c>
      <c r="O118" s="408">
        <v>321.46899999999999</v>
      </c>
      <c r="P118" s="408">
        <v>321.46899999999999</v>
      </c>
      <c r="Q118" s="408">
        <v>321.46899999999999</v>
      </c>
      <c r="R118" s="408"/>
      <c r="S118" s="408">
        <v>82.26</v>
      </c>
      <c r="T118" s="408">
        <v>256.55</v>
      </c>
      <c r="U118" s="408"/>
      <c r="V118" s="408">
        <v>108916.91189</v>
      </c>
      <c r="W118" s="408">
        <v>108916.91189</v>
      </c>
      <c r="X118" s="408">
        <v>113150.65862</v>
      </c>
      <c r="Y118" s="408">
        <v>0</v>
      </c>
      <c r="Z118" s="408">
        <v>17193.117788260384</v>
      </c>
      <c r="AA118" s="408">
        <v>0</v>
      </c>
      <c r="AB118" s="408">
        <v>0</v>
      </c>
      <c r="AC118" s="408">
        <v>0</v>
      </c>
      <c r="AD118" s="408">
        <v>0</v>
      </c>
      <c r="AE118" s="408">
        <v>0</v>
      </c>
      <c r="AF118" s="408">
        <v>82473.682608681032</v>
      </c>
      <c r="AG118" s="408">
        <v>0</v>
      </c>
      <c r="AH118" s="408">
        <v>0</v>
      </c>
      <c r="AI118" s="408">
        <v>0</v>
      </c>
      <c r="AJ118" s="408">
        <v>0</v>
      </c>
      <c r="AK118" s="408">
        <v>0</v>
      </c>
      <c r="AL118" s="408">
        <v>3055.3261651917614</v>
      </c>
      <c r="AM118" s="408"/>
      <c r="AN118" s="408">
        <v>433.67936012809639</v>
      </c>
      <c r="AO118" s="408">
        <v>0</v>
      </c>
      <c r="AP118" s="408">
        <v>0</v>
      </c>
      <c r="AQ118" s="408">
        <v>0</v>
      </c>
      <c r="AR118" s="408">
        <v>0</v>
      </c>
      <c r="AS118" s="408">
        <v>0</v>
      </c>
      <c r="AT118" s="408">
        <v>0</v>
      </c>
      <c r="AU118" s="408">
        <v>0</v>
      </c>
      <c r="AV118" s="408">
        <v>0</v>
      </c>
      <c r="AW118" s="408">
        <v>0</v>
      </c>
      <c r="AX118" s="408">
        <v>0</v>
      </c>
      <c r="AY118" s="408">
        <v>0</v>
      </c>
      <c r="AZ118" s="408">
        <v>0</v>
      </c>
      <c r="BA118" s="408"/>
      <c r="BB118" s="408">
        <v>0</v>
      </c>
      <c r="BC118" s="408">
        <v>0</v>
      </c>
      <c r="BD118" s="408">
        <v>396.05791455007278</v>
      </c>
      <c r="BE118" s="408">
        <v>0</v>
      </c>
      <c r="BF118" s="408">
        <v>0</v>
      </c>
      <c r="BG118" s="408">
        <v>5365.0887875927629</v>
      </c>
      <c r="BH118" s="408">
        <v>0</v>
      </c>
      <c r="BI118" s="408">
        <v>0</v>
      </c>
      <c r="BJ118" s="408">
        <v>0</v>
      </c>
      <c r="BK118" s="408">
        <v>0</v>
      </c>
      <c r="BL118" s="408">
        <v>0</v>
      </c>
      <c r="BM118" s="408"/>
      <c r="BN118" s="408"/>
      <c r="BO118" s="408"/>
      <c r="BP118" s="408"/>
      <c r="BQ118" s="408"/>
      <c r="BR118" s="408"/>
      <c r="BS118" s="408"/>
      <c r="BT118" s="408"/>
      <c r="BU118" s="408"/>
      <c r="BV118" s="408">
        <v>88234.829310823858</v>
      </c>
      <c r="BW118" s="408"/>
      <c r="BX118" s="408"/>
      <c r="BY118" s="408"/>
      <c r="BZ118" s="408"/>
      <c r="CA118" s="408"/>
      <c r="CB118" s="408"/>
      <c r="CC118" s="408"/>
      <c r="CD118" s="408"/>
      <c r="CE118" s="408"/>
      <c r="CF118" s="408"/>
      <c r="CG118" s="408"/>
      <c r="CH118" s="408"/>
      <c r="CI118" s="408">
        <v>113151.01060000001</v>
      </c>
      <c r="CJ118" s="408">
        <v>4234.0687100000068</v>
      </c>
      <c r="CK118" s="408"/>
      <c r="CL118" s="408"/>
      <c r="CM118" s="408"/>
      <c r="CN118" s="408"/>
      <c r="CO118" s="408">
        <v>-906.54258000000232</v>
      </c>
      <c r="CP118" s="408">
        <v>5140.2893100000028</v>
      </c>
      <c r="CQ118" s="408">
        <v>31</v>
      </c>
      <c r="CR118" s="408">
        <v>4232.3927394848288</v>
      </c>
      <c r="CS118" s="408">
        <v>0</v>
      </c>
      <c r="CT118" s="408">
        <v>0</v>
      </c>
      <c r="CU118" s="408">
        <v>0</v>
      </c>
      <c r="CV118" s="408">
        <v>0</v>
      </c>
      <c r="CW118" s="408">
        <v>0</v>
      </c>
      <c r="CX118" s="408">
        <v>0</v>
      </c>
      <c r="CY118" s="408">
        <v>0</v>
      </c>
      <c r="CZ118" s="408">
        <v>0</v>
      </c>
      <c r="DA118" s="408">
        <v>0</v>
      </c>
      <c r="DB118" s="408">
        <v>0</v>
      </c>
      <c r="DC118" s="408">
        <v>5137.9841731358902</v>
      </c>
      <c r="DD118" s="408">
        <v>0</v>
      </c>
      <c r="DE118" s="408">
        <v>0</v>
      </c>
      <c r="DF118" s="408">
        <v>24.67380177818535</v>
      </c>
      <c r="DG118" s="408">
        <v>334.23681841532289</v>
      </c>
      <c r="DH118" s="408">
        <v>0</v>
      </c>
      <c r="DI118" s="408">
        <v>-1069.1343181531483</v>
      </c>
      <c r="DJ118" s="408"/>
      <c r="DK118" s="408">
        <v>0</v>
      </c>
      <c r="DL118" s="408">
        <v>0</v>
      </c>
      <c r="DM118" s="408">
        <v>0</v>
      </c>
      <c r="DN118" s="408">
        <v>0</v>
      </c>
      <c r="DO118" s="408">
        <v>-167.6539679838238</v>
      </c>
      <c r="DP118" s="408">
        <v>-27.71376770763095</v>
      </c>
      <c r="DQ118" s="408">
        <v>0</v>
      </c>
      <c r="DR118" s="408">
        <v>0</v>
      </c>
      <c r="DS118" s="408"/>
      <c r="DT118" s="408"/>
      <c r="DU118" s="408"/>
      <c r="DV118" s="408">
        <v>0</v>
      </c>
      <c r="DW118" s="408">
        <v>0</v>
      </c>
      <c r="DX118" s="408">
        <v>0</v>
      </c>
      <c r="DY118" s="408">
        <v>-906.54258000000482</v>
      </c>
      <c r="DZ118" s="408">
        <v>5140.2893100000074</v>
      </c>
      <c r="EA118" s="408">
        <v>0</v>
      </c>
      <c r="EB118" s="408">
        <v>0</v>
      </c>
      <c r="EC118" s="408">
        <v>0</v>
      </c>
      <c r="ED118" s="408">
        <v>0</v>
      </c>
      <c r="EE118" s="408">
        <v>0</v>
      </c>
      <c r="EF118" s="408">
        <v>0</v>
      </c>
      <c r="EG118" s="408">
        <v>0</v>
      </c>
      <c r="EH118" s="408">
        <v>0</v>
      </c>
      <c r="EI118" s="408">
        <v>0</v>
      </c>
      <c r="EJ118" s="408">
        <v>0</v>
      </c>
      <c r="EK118" s="408">
        <v>0</v>
      </c>
      <c r="EL118" s="408">
        <v>0</v>
      </c>
      <c r="EM118" s="408">
        <v>0</v>
      </c>
      <c r="EN118" s="408">
        <v>0</v>
      </c>
      <c r="EO118" s="408">
        <v>0</v>
      </c>
      <c r="EP118" s="408">
        <v>0</v>
      </c>
      <c r="EQ118" s="408">
        <v>0</v>
      </c>
      <c r="ER118" s="408">
        <v>0</v>
      </c>
      <c r="ES118" s="408">
        <v>0</v>
      </c>
      <c r="ET118" s="408">
        <v>0</v>
      </c>
      <c r="EU118" s="408">
        <v>0</v>
      </c>
      <c r="EV118" s="408">
        <v>257</v>
      </c>
      <c r="EW118" s="408">
        <v>0</v>
      </c>
      <c r="EX118" s="408">
        <v>0</v>
      </c>
      <c r="EY118" s="408">
        <v>0</v>
      </c>
      <c r="EZ118" s="408"/>
      <c r="FA118" s="408">
        <v>0</v>
      </c>
      <c r="FB118" s="408"/>
      <c r="FC118" s="408"/>
      <c r="FD118" s="408"/>
      <c r="FE118" s="408"/>
      <c r="FF118" s="408">
        <v>0</v>
      </c>
      <c r="FG118" s="408">
        <v>0</v>
      </c>
      <c r="FH118" s="408">
        <v>0</v>
      </c>
      <c r="FI118" s="408">
        <v>0</v>
      </c>
    </row>
    <row r="119" spans="1:165" s="861" customFormat="1">
      <c r="A119" s="408">
        <v>117</v>
      </c>
      <c r="B119" s="408" t="s">
        <v>2236</v>
      </c>
      <c r="C119" s="408" t="s">
        <v>2241</v>
      </c>
      <c r="D119" s="408" t="s">
        <v>596</v>
      </c>
      <c r="E119" s="408" t="s">
        <v>969</v>
      </c>
      <c r="F119" s="408" t="s">
        <v>1321</v>
      </c>
      <c r="G119" s="408" t="s">
        <v>1321</v>
      </c>
      <c r="H119" s="408" t="s">
        <v>1321</v>
      </c>
      <c r="I119" s="408" t="s">
        <v>2242</v>
      </c>
      <c r="J119" s="408" t="s">
        <v>2234</v>
      </c>
      <c r="K119" s="828">
        <v>44470</v>
      </c>
      <c r="L119" s="408">
        <v>0</v>
      </c>
      <c r="M119" s="408">
        <v>0</v>
      </c>
      <c r="N119" s="408">
        <v>16.922000000000001</v>
      </c>
      <c r="O119" s="408">
        <v>16.922000000000001</v>
      </c>
      <c r="P119" s="408">
        <v>16.922000000000001</v>
      </c>
      <c r="Q119" s="408">
        <v>16.922000000000001</v>
      </c>
      <c r="R119" s="408"/>
      <c r="S119" s="408">
        <v>82.26</v>
      </c>
      <c r="T119" s="408">
        <v>256.55</v>
      </c>
      <c r="U119" s="408"/>
      <c r="V119" s="408">
        <v>5733.3428199999998</v>
      </c>
      <c r="W119" s="408">
        <v>5733.3428199999998</v>
      </c>
      <c r="X119" s="408">
        <v>5956.2055600000003</v>
      </c>
      <c r="Y119" s="408">
        <v>0</v>
      </c>
      <c r="Z119" s="408">
        <v>905.03886599623058</v>
      </c>
      <c r="AA119" s="408">
        <v>0</v>
      </c>
      <c r="AB119" s="408">
        <v>0</v>
      </c>
      <c r="AC119" s="408">
        <v>0</v>
      </c>
      <c r="AD119" s="408">
        <v>0</v>
      </c>
      <c r="AE119" s="408">
        <v>0</v>
      </c>
      <c r="AF119" s="408">
        <v>4341.3817727497844</v>
      </c>
      <c r="AG119" s="408">
        <v>0</v>
      </c>
      <c r="AH119" s="408">
        <v>0</v>
      </c>
      <c r="AI119" s="408">
        <v>0</v>
      </c>
      <c r="AJ119" s="408">
        <v>0</v>
      </c>
      <c r="AK119" s="408">
        <v>0</v>
      </c>
      <c r="AL119" s="408">
        <v>160.83115126925142</v>
      </c>
      <c r="AM119" s="408"/>
      <c r="AN119" s="408">
        <v>22.828708622254862</v>
      </c>
      <c r="AO119" s="408">
        <v>0</v>
      </c>
      <c r="AP119" s="408">
        <v>0</v>
      </c>
      <c r="AQ119" s="408">
        <v>0</v>
      </c>
      <c r="AR119" s="408">
        <v>0</v>
      </c>
      <c r="AS119" s="408">
        <v>0</v>
      </c>
      <c r="AT119" s="408">
        <v>0</v>
      </c>
      <c r="AU119" s="408">
        <v>0</v>
      </c>
      <c r="AV119" s="408">
        <v>0</v>
      </c>
      <c r="AW119" s="408">
        <v>0</v>
      </c>
      <c r="AX119" s="408">
        <v>0</v>
      </c>
      <c r="AY119" s="408">
        <v>0</v>
      </c>
      <c r="AZ119" s="408">
        <v>0</v>
      </c>
      <c r="BA119" s="408"/>
      <c r="BB119" s="408">
        <v>0</v>
      </c>
      <c r="BC119" s="408">
        <v>0</v>
      </c>
      <c r="BD119" s="408">
        <v>20.848330725563994</v>
      </c>
      <c r="BE119" s="408">
        <v>0</v>
      </c>
      <c r="BF119" s="408">
        <v>0</v>
      </c>
      <c r="BG119" s="408">
        <v>282.41613487970767</v>
      </c>
      <c r="BH119" s="408">
        <v>0</v>
      </c>
      <c r="BI119" s="408">
        <v>0</v>
      </c>
      <c r="BJ119" s="408">
        <v>0</v>
      </c>
      <c r="BK119" s="408">
        <v>0</v>
      </c>
      <c r="BL119" s="408">
        <v>0</v>
      </c>
      <c r="BM119" s="408"/>
      <c r="BN119" s="408"/>
      <c r="BO119" s="408"/>
      <c r="BP119" s="408"/>
      <c r="BQ119" s="408"/>
      <c r="BR119" s="408"/>
      <c r="BS119" s="408"/>
      <c r="BT119" s="408"/>
      <c r="BU119" s="408"/>
      <c r="BV119" s="408">
        <v>4644.6462383550561</v>
      </c>
      <c r="BW119" s="408"/>
      <c r="BX119" s="408"/>
      <c r="BY119" s="408"/>
      <c r="BZ119" s="408"/>
      <c r="CA119" s="408"/>
      <c r="CB119" s="408"/>
      <c r="CC119" s="408"/>
      <c r="CD119" s="408"/>
      <c r="CE119" s="408"/>
      <c r="CF119" s="408"/>
      <c r="CG119" s="408"/>
      <c r="CH119" s="408"/>
      <c r="CI119" s="408">
        <v>5955.5016000000014</v>
      </c>
      <c r="CJ119" s="408">
        <v>222.12878000000092</v>
      </c>
      <c r="CK119" s="408"/>
      <c r="CL119" s="408"/>
      <c r="CM119" s="408"/>
      <c r="CN119" s="408"/>
      <c r="CO119" s="408">
        <v>-47.720040000000125</v>
      </c>
      <c r="CP119" s="408">
        <v>270.58278000000018</v>
      </c>
      <c r="CQ119" s="408">
        <v>31</v>
      </c>
      <c r="CR119" s="408">
        <v>222.79146647907419</v>
      </c>
      <c r="CS119" s="408">
        <v>0</v>
      </c>
      <c r="CT119" s="408">
        <v>0</v>
      </c>
      <c r="CU119" s="408">
        <v>0</v>
      </c>
      <c r="CV119" s="408">
        <v>0</v>
      </c>
      <c r="CW119" s="408">
        <v>0</v>
      </c>
      <c r="CX119" s="408">
        <v>0</v>
      </c>
      <c r="CY119" s="408">
        <v>0</v>
      </c>
      <c r="CZ119" s="408">
        <v>0</v>
      </c>
      <c r="DA119" s="408">
        <v>0</v>
      </c>
      <c r="DB119" s="408">
        <v>0</v>
      </c>
      <c r="DC119" s="408">
        <v>270.46143851446232</v>
      </c>
      <c r="DD119" s="408">
        <v>0</v>
      </c>
      <c r="DE119" s="408">
        <v>0</v>
      </c>
      <c r="DF119" s="408">
        <v>1.2988190889026718</v>
      </c>
      <c r="DG119" s="408">
        <v>17.594092871238217</v>
      </c>
      <c r="DH119" s="408">
        <v>0</v>
      </c>
      <c r="DI119" s="408">
        <v>-56.278804275956986</v>
      </c>
      <c r="DJ119" s="408"/>
      <c r="DK119" s="408">
        <v>0</v>
      </c>
      <c r="DL119" s="408">
        <v>0</v>
      </c>
      <c r="DM119" s="408">
        <v>0</v>
      </c>
      <c r="DN119" s="408">
        <v>0</v>
      </c>
      <c r="DO119" s="408">
        <v>-8.8252380360851532</v>
      </c>
      <c r="DP119" s="408">
        <v>-1.4588416834859075</v>
      </c>
      <c r="DQ119" s="408">
        <v>0</v>
      </c>
      <c r="DR119" s="408">
        <v>0</v>
      </c>
      <c r="DS119" s="408"/>
      <c r="DT119" s="408"/>
      <c r="DU119" s="408"/>
      <c r="DV119" s="408">
        <v>0</v>
      </c>
      <c r="DW119" s="408">
        <v>0</v>
      </c>
      <c r="DX119" s="408">
        <v>0</v>
      </c>
      <c r="DY119" s="408">
        <v>-47.720040000000154</v>
      </c>
      <c r="DZ119" s="408">
        <v>270.58278000000064</v>
      </c>
      <c r="EA119" s="408">
        <v>0</v>
      </c>
      <c r="EB119" s="408">
        <v>0</v>
      </c>
      <c r="EC119" s="408">
        <v>0</v>
      </c>
      <c r="ED119" s="408">
        <v>0</v>
      </c>
      <c r="EE119" s="408">
        <v>0</v>
      </c>
      <c r="EF119" s="408">
        <v>0</v>
      </c>
      <c r="EG119" s="408">
        <v>0</v>
      </c>
      <c r="EH119" s="408">
        <v>0</v>
      </c>
      <c r="EI119" s="408">
        <v>0</v>
      </c>
      <c r="EJ119" s="408">
        <v>0</v>
      </c>
      <c r="EK119" s="408">
        <v>0</v>
      </c>
      <c r="EL119" s="408">
        <v>0</v>
      </c>
      <c r="EM119" s="408">
        <v>0</v>
      </c>
      <c r="EN119" s="408">
        <v>0</v>
      </c>
      <c r="EO119" s="408">
        <v>0</v>
      </c>
      <c r="EP119" s="408">
        <v>0</v>
      </c>
      <c r="EQ119" s="408">
        <v>0</v>
      </c>
      <c r="ER119" s="408">
        <v>0</v>
      </c>
      <c r="ES119" s="408">
        <v>0</v>
      </c>
      <c r="ET119" s="408">
        <v>0</v>
      </c>
      <c r="EU119" s="408">
        <v>0</v>
      </c>
      <c r="EV119" s="408">
        <v>257</v>
      </c>
      <c r="EW119" s="408">
        <v>0</v>
      </c>
      <c r="EX119" s="408">
        <v>0</v>
      </c>
      <c r="EY119" s="408">
        <v>0</v>
      </c>
      <c r="EZ119" s="408"/>
      <c r="FA119" s="408">
        <v>0</v>
      </c>
      <c r="FB119" s="408"/>
      <c r="FC119" s="408"/>
      <c r="FD119" s="408"/>
      <c r="FE119" s="408"/>
      <c r="FF119" s="408">
        <v>0</v>
      </c>
      <c r="FG119" s="408">
        <v>0</v>
      </c>
      <c r="FH119" s="408">
        <v>0</v>
      </c>
      <c r="FI119" s="408">
        <v>0</v>
      </c>
    </row>
    <row r="120" spans="1:165" s="861" customFormat="1">
      <c r="A120" s="408">
        <v>118</v>
      </c>
      <c r="B120" s="408" t="s">
        <v>1035</v>
      </c>
      <c r="C120" s="408" t="s">
        <v>2241</v>
      </c>
      <c r="D120" s="408" t="s">
        <v>596</v>
      </c>
      <c r="E120" s="408" t="s">
        <v>969</v>
      </c>
      <c r="F120" s="408" t="s">
        <v>1321</v>
      </c>
      <c r="G120" s="408" t="s">
        <v>1321</v>
      </c>
      <c r="H120" s="408" t="s">
        <v>1321</v>
      </c>
      <c r="I120" s="408" t="s">
        <v>1321</v>
      </c>
      <c r="J120" s="408" t="s">
        <v>2234</v>
      </c>
      <c r="K120" s="828">
        <v>44470</v>
      </c>
      <c r="L120" s="408">
        <v>1904</v>
      </c>
      <c r="M120" s="408">
        <v>1904</v>
      </c>
      <c r="N120" s="408">
        <v>0</v>
      </c>
      <c r="O120" s="408">
        <v>0</v>
      </c>
      <c r="P120" s="408">
        <v>0</v>
      </c>
      <c r="Q120" s="408">
        <v>0</v>
      </c>
      <c r="R120" s="408">
        <v>47.39</v>
      </c>
      <c r="S120" s="408"/>
      <c r="T120" s="408"/>
      <c r="U120" s="408">
        <v>90230.56</v>
      </c>
      <c r="V120" s="408"/>
      <c r="W120" s="408">
        <v>90230.56</v>
      </c>
      <c r="X120" s="408">
        <v>61346.879999999997</v>
      </c>
      <c r="Y120" s="408">
        <v>0</v>
      </c>
      <c r="Z120" s="408">
        <v>0</v>
      </c>
      <c r="AA120" s="408">
        <v>0</v>
      </c>
      <c r="AB120" s="408">
        <v>0</v>
      </c>
      <c r="AC120" s="408">
        <v>0</v>
      </c>
      <c r="AD120" s="408">
        <v>47543.070741702693</v>
      </c>
      <c r="AE120" s="408">
        <v>42687.427235868963</v>
      </c>
      <c r="AF120" s="408"/>
      <c r="AG120" s="408"/>
      <c r="AH120" s="408"/>
      <c r="AI120" s="408">
        <v>0</v>
      </c>
      <c r="AJ120" s="408">
        <v>0</v>
      </c>
      <c r="AK120" s="408">
        <v>0</v>
      </c>
      <c r="AL120" s="408">
        <v>0</v>
      </c>
      <c r="AM120" s="408"/>
      <c r="AN120" s="408">
        <v>0</v>
      </c>
      <c r="AO120" s="408">
        <v>0</v>
      </c>
      <c r="AP120" s="408">
        <v>0</v>
      </c>
      <c r="AQ120" s="408">
        <v>0</v>
      </c>
      <c r="AR120" s="408">
        <v>0</v>
      </c>
      <c r="AS120" s="408"/>
      <c r="AT120" s="408"/>
      <c r="AU120" s="408">
        <v>0</v>
      </c>
      <c r="AV120" s="408">
        <v>0</v>
      </c>
      <c r="AW120" s="408">
        <v>0</v>
      </c>
      <c r="AX120" s="408"/>
      <c r="AY120" s="408"/>
      <c r="AZ120" s="408">
        <v>0</v>
      </c>
      <c r="BA120" s="408"/>
      <c r="BB120" s="408">
        <v>0</v>
      </c>
      <c r="BC120" s="408">
        <v>0</v>
      </c>
      <c r="BD120" s="408">
        <v>0</v>
      </c>
      <c r="BE120" s="408">
        <v>0</v>
      </c>
      <c r="BF120" s="408"/>
      <c r="BG120" s="408">
        <v>0</v>
      </c>
      <c r="BH120" s="408">
        <v>0</v>
      </c>
      <c r="BI120" s="408">
        <v>492.43</v>
      </c>
      <c r="BJ120" s="408">
        <v>2253.27</v>
      </c>
      <c r="BK120" s="408">
        <v>51378.31</v>
      </c>
      <c r="BL120" s="408">
        <v>12</v>
      </c>
      <c r="BM120" s="408"/>
      <c r="BN120" s="408"/>
      <c r="BO120" s="408"/>
      <c r="BP120" s="408"/>
      <c r="BQ120" s="408"/>
      <c r="BR120" s="408"/>
      <c r="BS120" s="408"/>
      <c r="BT120" s="408"/>
      <c r="BU120" s="408"/>
      <c r="BV120" s="408">
        <v>0</v>
      </c>
      <c r="BW120" s="408"/>
      <c r="BX120" s="408"/>
      <c r="BY120" s="408"/>
      <c r="BZ120" s="408"/>
      <c r="CA120" s="408"/>
      <c r="CB120" s="408"/>
      <c r="CC120" s="408"/>
      <c r="CD120" s="408"/>
      <c r="CE120" s="408"/>
      <c r="CF120" s="408"/>
      <c r="CG120" s="408"/>
      <c r="CH120" s="408"/>
      <c r="CI120" s="408">
        <v>61346.879999999997</v>
      </c>
      <c r="CJ120" s="408">
        <v>-28883.709999999985</v>
      </c>
      <c r="CK120" s="408"/>
      <c r="CL120" s="408"/>
      <c r="CM120" s="408"/>
      <c r="CN120" s="408"/>
      <c r="CO120" s="408">
        <v>-28883.680000000004</v>
      </c>
      <c r="CP120" s="408">
        <v>0</v>
      </c>
      <c r="CQ120" s="408">
        <v>31</v>
      </c>
      <c r="CR120" s="408">
        <v>-214.89766998623963</v>
      </c>
      <c r="CS120" s="408">
        <v>0</v>
      </c>
      <c r="CT120" s="408">
        <v>0</v>
      </c>
      <c r="CU120" s="408">
        <v>0</v>
      </c>
      <c r="CV120" s="408">
        <v>0</v>
      </c>
      <c r="CW120" s="408"/>
      <c r="CX120" s="408"/>
      <c r="CY120" s="408"/>
      <c r="CZ120" s="408">
        <v>-214.89766998623963</v>
      </c>
      <c r="DA120" s="408">
        <v>0</v>
      </c>
      <c r="DB120" s="408">
        <v>0</v>
      </c>
      <c r="DC120" s="408"/>
      <c r="DD120" s="408"/>
      <c r="DE120" s="408">
        <v>0</v>
      </c>
      <c r="DF120" s="408">
        <v>0</v>
      </c>
      <c r="DG120" s="408">
        <v>0</v>
      </c>
      <c r="DH120" s="408">
        <v>0</v>
      </c>
      <c r="DI120" s="408">
        <v>0</v>
      </c>
      <c r="DJ120" s="408"/>
      <c r="DK120" s="408">
        <v>0</v>
      </c>
      <c r="DL120" s="408">
        <v>0</v>
      </c>
      <c r="DM120" s="408"/>
      <c r="DN120" s="408">
        <v>0</v>
      </c>
      <c r="DO120" s="408">
        <v>0</v>
      </c>
      <c r="DP120" s="408">
        <v>0</v>
      </c>
      <c r="DQ120" s="408">
        <v>0</v>
      </c>
      <c r="DR120" s="408">
        <v>0</v>
      </c>
      <c r="DS120" s="408"/>
      <c r="DT120" s="408"/>
      <c r="DU120" s="408">
        <v>42687.427235868963</v>
      </c>
      <c r="DV120" s="408"/>
      <c r="DW120" s="408">
        <v>0</v>
      </c>
      <c r="DX120" s="408">
        <v>0</v>
      </c>
      <c r="DY120" s="408">
        <v>-28883.68</v>
      </c>
      <c r="DZ120" s="408"/>
      <c r="EA120" s="408">
        <v>0</v>
      </c>
      <c r="EB120" s="408"/>
      <c r="EC120" s="408">
        <v>-28672.063538039591</v>
      </c>
      <c r="ED120" s="408"/>
      <c r="EE120" s="408">
        <v>0</v>
      </c>
      <c r="EF120" s="408">
        <v>0</v>
      </c>
      <c r="EG120" s="408"/>
      <c r="EH120" s="408">
        <v>0</v>
      </c>
      <c r="EI120" s="408">
        <v>0</v>
      </c>
      <c r="EJ120" s="408">
        <v>0</v>
      </c>
      <c r="EK120" s="408">
        <v>0</v>
      </c>
      <c r="EL120" s="408">
        <v>0</v>
      </c>
      <c r="EM120" s="408"/>
      <c r="EN120" s="408"/>
      <c r="EO120" s="408">
        <v>0</v>
      </c>
      <c r="EP120" s="408">
        <v>0</v>
      </c>
      <c r="EQ120" s="408"/>
      <c r="ER120" s="408">
        <v>0</v>
      </c>
      <c r="ES120" s="408"/>
      <c r="ET120" s="408">
        <v>0</v>
      </c>
      <c r="EU120" s="408"/>
      <c r="EV120" s="408">
        <v>257</v>
      </c>
      <c r="EW120" s="408"/>
      <c r="EX120" s="408"/>
      <c r="EY120" s="408"/>
      <c r="EZ120" s="408"/>
      <c r="FA120" s="408">
        <v>0</v>
      </c>
      <c r="FB120" s="408"/>
      <c r="FC120" s="408"/>
      <c r="FD120" s="408"/>
      <c r="FE120" s="408"/>
      <c r="FF120" s="408">
        <v>0</v>
      </c>
      <c r="FG120" s="408">
        <v>0</v>
      </c>
      <c r="FH120" s="408">
        <v>0</v>
      </c>
      <c r="FI120" s="408">
        <v>0</v>
      </c>
    </row>
    <row r="121" spans="1:165" s="861" customFormat="1">
      <c r="A121" s="408">
        <v>119</v>
      </c>
      <c r="B121" s="408" t="s">
        <v>2236</v>
      </c>
      <c r="C121" s="408" t="s">
        <v>2241</v>
      </c>
      <c r="D121" s="408" t="s">
        <v>596</v>
      </c>
      <c r="E121" s="408" t="s">
        <v>969</v>
      </c>
      <c r="F121" s="408" t="s">
        <v>1321</v>
      </c>
      <c r="G121" s="408" t="s">
        <v>1321</v>
      </c>
      <c r="H121" s="408" t="s">
        <v>1321</v>
      </c>
      <c r="I121" s="408" t="s">
        <v>1321</v>
      </c>
      <c r="J121" s="408" t="s">
        <v>2234</v>
      </c>
      <c r="K121" s="828">
        <v>44470</v>
      </c>
      <c r="L121" s="408">
        <v>686</v>
      </c>
      <c r="M121" s="408">
        <v>686</v>
      </c>
      <c r="N121" s="408">
        <v>0</v>
      </c>
      <c r="O121" s="408">
        <v>0</v>
      </c>
      <c r="P121" s="408">
        <v>0</v>
      </c>
      <c r="Q121" s="408">
        <v>0</v>
      </c>
      <c r="R121" s="408">
        <v>47.39</v>
      </c>
      <c r="S121" s="408"/>
      <c r="T121" s="408"/>
      <c r="U121" s="408">
        <v>32509.54</v>
      </c>
      <c r="V121" s="408"/>
      <c r="W121" s="408">
        <v>32509.54</v>
      </c>
      <c r="X121" s="408">
        <v>22102.92</v>
      </c>
      <c r="Y121" s="408">
        <v>0</v>
      </c>
      <c r="Z121" s="408">
        <v>0</v>
      </c>
      <c r="AA121" s="408">
        <v>0</v>
      </c>
      <c r="AB121" s="408">
        <v>0</v>
      </c>
      <c r="AC121" s="408">
        <v>0</v>
      </c>
      <c r="AD121" s="408">
        <v>17129.488723113471</v>
      </c>
      <c r="AE121" s="408">
        <v>15380.028930570435</v>
      </c>
      <c r="AF121" s="408"/>
      <c r="AG121" s="408"/>
      <c r="AH121" s="408"/>
      <c r="AI121" s="408">
        <v>0</v>
      </c>
      <c r="AJ121" s="408">
        <v>0</v>
      </c>
      <c r="AK121" s="408">
        <v>0</v>
      </c>
      <c r="AL121" s="408">
        <v>0</v>
      </c>
      <c r="AM121" s="408"/>
      <c r="AN121" s="408">
        <v>0</v>
      </c>
      <c r="AO121" s="408">
        <v>0</v>
      </c>
      <c r="AP121" s="408">
        <v>0</v>
      </c>
      <c r="AQ121" s="408">
        <v>0</v>
      </c>
      <c r="AR121" s="408">
        <v>0</v>
      </c>
      <c r="AS121" s="408"/>
      <c r="AT121" s="408"/>
      <c r="AU121" s="408">
        <v>0</v>
      </c>
      <c r="AV121" s="408">
        <v>0</v>
      </c>
      <c r="AW121" s="408">
        <v>0</v>
      </c>
      <c r="AX121" s="408"/>
      <c r="AY121" s="408"/>
      <c r="AZ121" s="408">
        <v>0</v>
      </c>
      <c r="BA121" s="408"/>
      <c r="BB121" s="408">
        <v>0</v>
      </c>
      <c r="BC121" s="408">
        <v>0</v>
      </c>
      <c r="BD121" s="408">
        <v>0</v>
      </c>
      <c r="BE121" s="408">
        <v>0</v>
      </c>
      <c r="BF121" s="408"/>
      <c r="BG121" s="408">
        <v>0</v>
      </c>
      <c r="BH121" s="408">
        <v>0</v>
      </c>
      <c r="BI121" s="408">
        <v>70.52</v>
      </c>
      <c r="BJ121" s="408">
        <v>349.97</v>
      </c>
      <c r="BK121" s="408">
        <v>6658.54</v>
      </c>
      <c r="BL121" s="408">
        <v>4</v>
      </c>
      <c r="BM121" s="408"/>
      <c r="BN121" s="408"/>
      <c r="BO121" s="408"/>
      <c r="BP121" s="408"/>
      <c r="BQ121" s="408"/>
      <c r="BR121" s="408"/>
      <c r="BS121" s="408"/>
      <c r="BT121" s="408"/>
      <c r="BU121" s="408"/>
      <c r="BV121" s="408">
        <v>0</v>
      </c>
      <c r="BW121" s="408"/>
      <c r="BX121" s="408"/>
      <c r="BY121" s="408"/>
      <c r="BZ121" s="408"/>
      <c r="CA121" s="408"/>
      <c r="CB121" s="408"/>
      <c r="CC121" s="408"/>
      <c r="CD121" s="408"/>
      <c r="CE121" s="408"/>
      <c r="CF121" s="408"/>
      <c r="CG121" s="408"/>
      <c r="CH121" s="408"/>
      <c r="CI121" s="408">
        <v>22102.92</v>
      </c>
      <c r="CJ121" s="408">
        <v>-10406.649999999998</v>
      </c>
      <c r="CK121" s="408"/>
      <c r="CL121" s="408"/>
      <c r="CM121" s="408"/>
      <c r="CN121" s="408"/>
      <c r="CO121" s="408">
        <v>-10406.620000000001</v>
      </c>
      <c r="CP121" s="408">
        <v>0</v>
      </c>
      <c r="CQ121" s="408">
        <v>31</v>
      </c>
      <c r="CR121" s="408">
        <v>-77.426366392101045</v>
      </c>
      <c r="CS121" s="408">
        <v>0</v>
      </c>
      <c r="CT121" s="408">
        <v>0</v>
      </c>
      <c r="CU121" s="408">
        <v>0</v>
      </c>
      <c r="CV121" s="408">
        <v>0</v>
      </c>
      <c r="CW121" s="408"/>
      <c r="CX121" s="408"/>
      <c r="CY121" s="408"/>
      <c r="CZ121" s="408">
        <v>-77.426366392101045</v>
      </c>
      <c r="DA121" s="408">
        <v>0</v>
      </c>
      <c r="DB121" s="408">
        <v>0</v>
      </c>
      <c r="DC121" s="408"/>
      <c r="DD121" s="408"/>
      <c r="DE121" s="408">
        <v>0</v>
      </c>
      <c r="DF121" s="408">
        <v>0</v>
      </c>
      <c r="DG121" s="408">
        <v>0</v>
      </c>
      <c r="DH121" s="408">
        <v>0</v>
      </c>
      <c r="DI121" s="408">
        <v>0</v>
      </c>
      <c r="DJ121" s="408"/>
      <c r="DK121" s="408">
        <v>0</v>
      </c>
      <c r="DL121" s="408">
        <v>0</v>
      </c>
      <c r="DM121" s="408"/>
      <c r="DN121" s="408">
        <v>0</v>
      </c>
      <c r="DO121" s="408">
        <v>0</v>
      </c>
      <c r="DP121" s="408">
        <v>0</v>
      </c>
      <c r="DQ121" s="408">
        <v>0</v>
      </c>
      <c r="DR121" s="408">
        <v>0</v>
      </c>
      <c r="DS121" s="408"/>
      <c r="DT121" s="408"/>
      <c r="DU121" s="408">
        <v>15380.028930570435</v>
      </c>
      <c r="DV121" s="408"/>
      <c r="DW121" s="408">
        <v>0</v>
      </c>
      <c r="DX121" s="408">
        <v>0</v>
      </c>
      <c r="DY121" s="408">
        <v>-10406.620000000003</v>
      </c>
      <c r="DZ121" s="408"/>
      <c r="EA121" s="408">
        <v>0</v>
      </c>
      <c r="EB121" s="408"/>
      <c r="EC121" s="408">
        <v>-10330.375833558381</v>
      </c>
      <c r="ED121" s="408"/>
      <c r="EE121" s="408">
        <v>0</v>
      </c>
      <c r="EF121" s="408">
        <v>0</v>
      </c>
      <c r="EG121" s="408"/>
      <c r="EH121" s="408">
        <v>0</v>
      </c>
      <c r="EI121" s="408">
        <v>0</v>
      </c>
      <c r="EJ121" s="408">
        <v>0</v>
      </c>
      <c r="EK121" s="408">
        <v>0</v>
      </c>
      <c r="EL121" s="408">
        <v>0</v>
      </c>
      <c r="EM121" s="408"/>
      <c r="EN121" s="408"/>
      <c r="EO121" s="408">
        <v>0</v>
      </c>
      <c r="EP121" s="408">
        <v>0</v>
      </c>
      <c r="EQ121" s="408"/>
      <c r="ER121" s="408">
        <v>0</v>
      </c>
      <c r="ES121" s="408"/>
      <c r="ET121" s="408">
        <v>0</v>
      </c>
      <c r="EU121" s="408"/>
      <c r="EV121" s="408">
        <v>257</v>
      </c>
      <c r="EW121" s="408"/>
      <c r="EX121" s="408"/>
      <c r="EY121" s="408"/>
      <c r="EZ121" s="408"/>
      <c r="FA121" s="408">
        <v>0</v>
      </c>
      <c r="FB121" s="408"/>
      <c r="FC121" s="408"/>
      <c r="FD121" s="408"/>
      <c r="FE121" s="408"/>
      <c r="FF121" s="408">
        <v>0</v>
      </c>
      <c r="FG121" s="408">
        <v>0</v>
      </c>
      <c r="FH121" s="408">
        <v>0</v>
      </c>
      <c r="FI121" s="408">
        <v>0</v>
      </c>
    </row>
    <row r="122" spans="1:165" s="861" customFormat="1">
      <c r="A122" s="408">
        <v>120</v>
      </c>
      <c r="B122" s="408" t="s">
        <v>1035</v>
      </c>
      <c r="C122" s="408" t="s">
        <v>2233</v>
      </c>
      <c r="D122" s="408" t="s">
        <v>1958</v>
      </c>
      <c r="E122" s="408" t="s">
        <v>997</v>
      </c>
      <c r="F122" s="408" t="s">
        <v>1321</v>
      </c>
      <c r="G122" s="408" t="s">
        <v>1321</v>
      </c>
      <c r="H122" s="408" t="s">
        <v>1321</v>
      </c>
      <c r="I122" s="408" t="s">
        <v>1321</v>
      </c>
      <c r="J122" s="408" t="s">
        <v>2234</v>
      </c>
      <c r="K122" s="828">
        <v>44470</v>
      </c>
      <c r="L122" s="408">
        <v>0</v>
      </c>
      <c r="M122" s="408">
        <v>0</v>
      </c>
      <c r="N122" s="408">
        <v>302.65300000000002</v>
      </c>
      <c r="O122" s="408">
        <v>302.65300000000002</v>
      </c>
      <c r="P122" s="408">
        <v>302.65300000000002</v>
      </c>
      <c r="Q122" s="408">
        <v>302.65300000000002</v>
      </c>
      <c r="R122" s="408"/>
      <c r="S122" s="408">
        <v>710.91</v>
      </c>
      <c r="T122" s="408">
        <v>256.55</v>
      </c>
      <c r="U122" s="408"/>
      <c r="V122" s="408">
        <v>292804.67138000001</v>
      </c>
      <c r="W122" s="408">
        <v>292804.67138000001</v>
      </c>
      <c r="X122" s="408">
        <v>199881.12079000002</v>
      </c>
      <c r="Y122" s="408">
        <v>0</v>
      </c>
      <c r="Z122" s="408">
        <v>18605.496749138183</v>
      </c>
      <c r="AA122" s="408">
        <v>0</v>
      </c>
      <c r="AB122" s="408">
        <v>0</v>
      </c>
      <c r="AC122" s="408">
        <v>0</v>
      </c>
      <c r="AD122" s="408">
        <v>37251.375582359949</v>
      </c>
      <c r="AE122" s="408">
        <v>144338.26089924082</v>
      </c>
      <c r="AF122" s="408">
        <v>77646.390359770739</v>
      </c>
      <c r="AG122" s="408">
        <v>0</v>
      </c>
      <c r="AH122" s="408">
        <v>0</v>
      </c>
      <c r="AI122" s="408">
        <v>0</v>
      </c>
      <c r="AJ122" s="408">
        <v>0</v>
      </c>
      <c r="AK122" s="408">
        <v>0</v>
      </c>
      <c r="AL122" s="408">
        <v>2876.4939383697406</v>
      </c>
      <c r="AM122" s="408"/>
      <c r="AN122" s="408">
        <v>664.56686362212713</v>
      </c>
      <c r="AO122" s="408">
        <v>0</v>
      </c>
      <c r="AP122" s="408">
        <v>0</v>
      </c>
      <c r="AQ122" s="408">
        <v>0</v>
      </c>
      <c r="AR122" s="408">
        <v>0</v>
      </c>
      <c r="AS122" s="408">
        <v>0</v>
      </c>
      <c r="AT122" s="408">
        <v>0</v>
      </c>
      <c r="AU122" s="408">
        <v>0</v>
      </c>
      <c r="AV122" s="408">
        <v>0</v>
      </c>
      <c r="AW122" s="408">
        <v>0</v>
      </c>
      <c r="AX122" s="408">
        <v>0</v>
      </c>
      <c r="AY122" s="408">
        <v>0</v>
      </c>
      <c r="AZ122" s="408">
        <v>0</v>
      </c>
      <c r="BA122" s="408"/>
      <c r="BB122" s="408">
        <v>0</v>
      </c>
      <c r="BC122" s="408">
        <v>0</v>
      </c>
      <c r="BD122" s="408">
        <v>451.04991887044946</v>
      </c>
      <c r="BE122" s="408">
        <v>0</v>
      </c>
      <c r="BF122" s="408">
        <v>0</v>
      </c>
      <c r="BG122" s="408">
        <v>10972.200958688725</v>
      </c>
      <c r="BH122" s="408">
        <v>0</v>
      </c>
      <c r="BI122" s="408">
        <v>623.09</v>
      </c>
      <c r="BJ122" s="408">
        <v>3107.03</v>
      </c>
      <c r="BK122" s="408">
        <v>105660.56</v>
      </c>
      <c r="BL122" s="408">
        <v>882</v>
      </c>
      <c r="BM122" s="408"/>
      <c r="BN122" s="408"/>
      <c r="BO122" s="408"/>
      <c r="BP122" s="408"/>
      <c r="BQ122" s="408"/>
      <c r="BR122" s="408"/>
      <c r="BS122" s="408"/>
      <c r="BT122" s="408"/>
      <c r="BU122" s="408"/>
      <c r="BV122" s="408">
        <v>89069.641237329924</v>
      </c>
      <c r="BW122" s="408"/>
      <c r="BX122" s="408"/>
      <c r="BY122" s="408"/>
      <c r="BZ122" s="408"/>
      <c r="CA122" s="408"/>
      <c r="CB122" s="408"/>
      <c r="CC122" s="408"/>
      <c r="CD122" s="408"/>
      <c r="CE122" s="408"/>
      <c r="CF122" s="408"/>
      <c r="CG122" s="408"/>
      <c r="CH122" s="408"/>
      <c r="CI122" s="408">
        <v>199879.13949999999</v>
      </c>
      <c r="CJ122" s="408">
        <v>-92925.561880000052</v>
      </c>
      <c r="CK122" s="408"/>
      <c r="CL122" s="408"/>
      <c r="CM122" s="408"/>
      <c r="CN122" s="408"/>
      <c r="CO122" s="408">
        <v>-97762.97206</v>
      </c>
      <c r="CP122" s="408">
        <v>4839.421470000003</v>
      </c>
      <c r="CQ122" s="408">
        <v>31</v>
      </c>
      <c r="CR122" s="408">
        <v>4023.2529296166613</v>
      </c>
      <c r="CS122" s="408">
        <v>0</v>
      </c>
      <c r="CT122" s="408">
        <v>0</v>
      </c>
      <c r="CU122" s="408">
        <v>0</v>
      </c>
      <c r="CV122" s="408">
        <v>0</v>
      </c>
      <c r="CW122" s="408">
        <v>0</v>
      </c>
      <c r="CX122" s="408">
        <v>0</v>
      </c>
      <c r="CY122" s="408">
        <v>0</v>
      </c>
      <c r="CZ122" s="408">
        <v>-168.37856056712917</v>
      </c>
      <c r="DA122" s="408">
        <v>0</v>
      </c>
      <c r="DB122" s="408">
        <v>0</v>
      </c>
      <c r="DC122" s="408">
        <v>4837.2512558041344</v>
      </c>
      <c r="DD122" s="408">
        <v>0</v>
      </c>
      <c r="DE122" s="408">
        <v>0</v>
      </c>
      <c r="DF122" s="408">
        <v>28.099719463802671</v>
      </c>
      <c r="DG122" s="408">
        <v>683.55132312565729</v>
      </c>
      <c r="DH122" s="408">
        <v>0</v>
      </c>
      <c r="DI122" s="408">
        <v>-1156.9614845756878</v>
      </c>
      <c r="DJ122" s="408"/>
      <c r="DK122" s="408">
        <v>0</v>
      </c>
      <c r="DL122" s="408">
        <v>0</v>
      </c>
      <c r="DM122" s="408">
        <v>0</v>
      </c>
      <c r="DN122" s="408">
        <v>0</v>
      </c>
      <c r="DO122" s="408">
        <v>-157.84096249469803</v>
      </c>
      <c r="DP122" s="408">
        <v>-42.468361139372291</v>
      </c>
      <c r="DQ122" s="408">
        <v>0</v>
      </c>
      <c r="DR122" s="408">
        <v>0</v>
      </c>
      <c r="DS122" s="408"/>
      <c r="DT122" s="408"/>
      <c r="DU122" s="408"/>
      <c r="DV122" s="408">
        <v>144338.26089924082</v>
      </c>
      <c r="DW122" s="408">
        <v>0</v>
      </c>
      <c r="DX122" s="408">
        <v>0</v>
      </c>
      <c r="DY122" s="408">
        <v>-97762.97206</v>
      </c>
      <c r="DZ122" s="408">
        <v>4839.4214700000011</v>
      </c>
      <c r="EA122" s="408">
        <v>0</v>
      </c>
      <c r="EB122" s="408">
        <v>0</v>
      </c>
      <c r="EC122" s="408">
        <v>-96948.353542275145</v>
      </c>
      <c r="ED122" s="408">
        <v>0</v>
      </c>
      <c r="EE122" s="408">
        <v>0</v>
      </c>
      <c r="EF122" s="408">
        <v>0</v>
      </c>
      <c r="EG122" s="408">
        <v>0</v>
      </c>
      <c r="EH122" s="408">
        <v>0</v>
      </c>
      <c r="EI122" s="408">
        <v>0</v>
      </c>
      <c r="EJ122" s="408">
        <v>0</v>
      </c>
      <c r="EK122" s="408">
        <v>0</v>
      </c>
      <c r="EL122" s="408">
        <v>0</v>
      </c>
      <c r="EM122" s="408">
        <v>0</v>
      </c>
      <c r="EN122" s="408">
        <v>0</v>
      </c>
      <c r="EO122" s="408">
        <v>0</v>
      </c>
      <c r="EP122" s="408">
        <v>0</v>
      </c>
      <c r="EQ122" s="408">
        <v>0</v>
      </c>
      <c r="ER122" s="408">
        <v>0</v>
      </c>
      <c r="ES122" s="408">
        <v>0</v>
      </c>
      <c r="ET122" s="408">
        <v>0</v>
      </c>
      <c r="EU122" s="408">
        <v>0</v>
      </c>
      <c r="EV122" s="408">
        <v>257</v>
      </c>
      <c r="EW122" s="408">
        <v>0</v>
      </c>
      <c r="EX122" s="408">
        <v>0</v>
      </c>
      <c r="EY122" s="408">
        <v>0</v>
      </c>
      <c r="EZ122" s="408"/>
      <c r="FA122" s="408">
        <v>0</v>
      </c>
      <c r="FB122" s="408"/>
      <c r="FC122" s="408"/>
      <c r="FD122" s="408"/>
      <c r="FE122" s="408"/>
      <c r="FF122" s="408">
        <v>0</v>
      </c>
      <c r="FG122" s="408">
        <v>0</v>
      </c>
      <c r="FH122" s="408">
        <v>0</v>
      </c>
      <c r="FI122" s="408">
        <v>0</v>
      </c>
    </row>
    <row r="123" spans="1:165" s="861" customFormat="1">
      <c r="A123" s="408">
        <v>121</v>
      </c>
      <c r="B123" s="408" t="s">
        <v>2236</v>
      </c>
      <c r="C123" s="408" t="s">
        <v>2233</v>
      </c>
      <c r="D123" s="408" t="s">
        <v>1958</v>
      </c>
      <c r="E123" s="408" t="s">
        <v>997</v>
      </c>
      <c r="F123" s="408" t="s">
        <v>1321</v>
      </c>
      <c r="G123" s="408" t="s">
        <v>1321</v>
      </c>
      <c r="H123" s="408" t="s">
        <v>1321</v>
      </c>
      <c r="I123" s="408" t="s">
        <v>1321</v>
      </c>
      <c r="J123" s="408" t="s">
        <v>2234</v>
      </c>
      <c r="K123" s="828">
        <v>44470</v>
      </c>
      <c r="L123" s="408">
        <v>0</v>
      </c>
      <c r="M123" s="408">
        <v>0</v>
      </c>
      <c r="N123" s="408">
        <v>11.837999999999999</v>
      </c>
      <c r="O123" s="408">
        <v>11.837999999999999</v>
      </c>
      <c r="P123" s="408">
        <v>11.837999999999999</v>
      </c>
      <c r="Q123" s="408">
        <v>11.837999999999999</v>
      </c>
      <c r="R123" s="408"/>
      <c r="S123" s="408">
        <v>710.91</v>
      </c>
      <c r="T123" s="408">
        <v>256.55</v>
      </c>
      <c r="U123" s="408"/>
      <c r="V123" s="408">
        <v>11452.791479999998</v>
      </c>
      <c r="W123" s="408">
        <v>11452.791479999998</v>
      </c>
      <c r="X123" s="408">
        <v>7818.1703399999997</v>
      </c>
      <c r="Y123" s="408">
        <v>0</v>
      </c>
      <c r="Z123" s="408">
        <v>727.73727838910486</v>
      </c>
      <c r="AA123" s="408">
        <v>0</v>
      </c>
      <c r="AB123" s="408">
        <v>0</v>
      </c>
      <c r="AC123" s="408">
        <v>0</v>
      </c>
      <c r="AD123" s="408">
        <v>1457.0540656923176</v>
      </c>
      <c r="AE123" s="408">
        <v>5645.6613102305691</v>
      </c>
      <c r="AF123" s="408">
        <v>3037.0687522640314</v>
      </c>
      <c r="AG123" s="408">
        <v>0</v>
      </c>
      <c r="AH123" s="408">
        <v>0</v>
      </c>
      <c r="AI123" s="408">
        <v>0</v>
      </c>
      <c r="AJ123" s="408">
        <v>0</v>
      </c>
      <c r="AK123" s="408">
        <v>0</v>
      </c>
      <c r="AL123" s="408">
        <v>112.51147433668586</v>
      </c>
      <c r="AM123" s="408"/>
      <c r="AN123" s="408">
        <v>25.993935403114257</v>
      </c>
      <c r="AO123" s="408">
        <v>0</v>
      </c>
      <c r="AP123" s="408">
        <v>0</v>
      </c>
      <c r="AQ123" s="408">
        <v>0</v>
      </c>
      <c r="AR123" s="408">
        <v>0</v>
      </c>
      <c r="AS123" s="408">
        <v>0</v>
      </c>
      <c r="AT123" s="408">
        <v>0</v>
      </c>
      <c r="AU123" s="408">
        <v>0</v>
      </c>
      <c r="AV123" s="408">
        <v>0</v>
      </c>
      <c r="AW123" s="408">
        <v>0</v>
      </c>
      <c r="AX123" s="408">
        <v>0</v>
      </c>
      <c r="AY123" s="408">
        <v>0</v>
      </c>
      <c r="AZ123" s="408">
        <v>0</v>
      </c>
      <c r="BA123" s="408"/>
      <c r="BB123" s="408">
        <v>0</v>
      </c>
      <c r="BC123" s="408">
        <v>0</v>
      </c>
      <c r="BD123" s="408">
        <v>17.642412067907404</v>
      </c>
      <c r="BE123" s="408">
        <v>0</v>
      </c>
      <c r="BF123" s="408">
        <v>0</v>
      </c>
      <c r="BG123" s="408">
        <v>429.16777612961744</v>
      </c>
      <c r="BH123" s="408">
        <v>0</v>
      </c>
      <c r="BI123" s="408">
        <v>24.58</v>
      </c>
      <c r="BJ123" s="408">
        <v>122.98</v>
      </c>
      <c r="BK123" s="408">
        <v>9037.43</v>
      </c>
      <c r="BL123" s="408">
        <v>35</v>
      </c>
      <c r="BM123" s="408"/>
      <c r="BN123" s="408"/>
      <c r="BO123" s="408"/>
      <c r="BP123" s="408"/>
      <c r="BQ123" s="408"/>
      <c r="BR123" s="408"/>
      <c r="BS123" s="408"/>
      <c r="BT123" s="408"/>
      <c r="BU123" s="408"/>
      <c r="BV123" s="408">
        <v>3483.8789404615563</v>
      </c>
      <c r="BW123" s="408"/>
      <c r="BX123" s="408"/>
      <c r="BY123" s="408"/>
      <c r="BZ123" s="408"/>
      <c r="CA123" s="408"/>
      <c r="CB123" s="408"/>
      <c r="CC123" s="408"/>
      <c r="CD123" s="408"/>
      <c r="CE123" s="408"/>
      <c r="CF123" s="408"/>
      <c r="CG123" s="408"/>
      <c r="CH123" s="408"/>
      <c r="CI123" s="408">
        <v>7819.4912000000004</v>
      </c>
      <c r="CJ123" s="408">
        <v>-3633.3302799999983</v>
      </c>
      <c r="CK123" s="408"/>
      <c r="CL123" s="408"/>
      <c r="CM123" s="408"/>
      <c r="CN123" s="408"/>
      <c r="CO123" s="408">
        <v>-3823.9107599999993</v>
      </c>
      <c r="CP123" s="408">
        <v>189.2896200000001</v>
      </c>
      <c r="CQ123" s="408">
        <v>31</v>
      </c>
      <c r="CR123" s="408">
        <v>157.36592130526697</v>
      </c>
      <c r="CS123" s="408">
        <v>0</v>
      </c>
      <c r="CT123" s="408">
        <v>0</v>
      </c>
      <c r="CU123" s="408">
        <v>0</v>
      </c>
      <c r="CV123" s="408">
        <v>0</v>
      </c>
      <c r="CW123" s="408">
        <v>0</v>
      </c>
      <c r="CX123" s="408">
        <v>0</v>
      </c>
      <c r="CY123" s="408">
        <v>0</v>
      </c>
      <c r="CZ123" s="408">
        <v>-6.5859760187199754</v>
      </c>
      <c r="DA123" s="408">
        <v>0</v>
      </c>
      <c r="DB123" s="408">
        <v>0</v>
      </c>
      <c r="DC123" s="408">
        <v>189.20473402282278</v>
      </c>
      <c r="DD123" s="408">
        <v>0</v>
      </c>
      <c r="DE123" s="408">
        <v>0</v>
      </c>
      <c r="DF123" s="408">
        <v>1.0990952642547605</v>
      </c>
      <c r="DG123" s="408">
        <v>26.736495468941484</v>
      </c>
      <c r="DH123" s="408">
        <v>0</v>
      </c>
      <c r="DI123" s="408">
        <v>-45.253508322755579</v>
      </c>
      <c r="DJ123" s="408"/>
      <c r="DK123" s="408">
        <v>0</v>
      </c>
      <c r="DL123" s="408">
        <v>0</v>
      </c>
      <c r="DM123" s="408">
        <v>0</v>
      </c>
      <c r="DN123" s="408">
        <v>0</v>
      </c>
      <c r="DO123" s="408">
        <v>-6.1738073437641106</v>
      </c>
      <c r="DP123" s="408">
        <v>-1.6611117655132723</v>
      </c>
      <c r="DQ123" s="408">
        <v>0</v>
      </c>
      <c r="DR123" s="408">
        <v>0</v>
      </c>
      <c r="DS123" s="408"/>
      <c r="DT123" s="408"/>
      <c r="DU123" s="408"/>
      <c r="DV123" s="408">
        <v>5645.6613102305691</v>
      </c>
      <c r="DW123" s="408">
        <v>0</v>
      </c>
      <c r="DX123" s="408">
        <v>0</v>
      </c>
      <c r="DY123" s="408">
        <v>-3823.9107599999988</v>
      </c>
      <c r="DZ123" s="408">
        <v>189.28962000000001</v>
      </c>
      <c r="EA123" s="408">
        <v>0</v>
      </c>
      <c r="EB123" s="408">
        <v>0</v>
      </c>
      <c r="EC123" s="408">
        <v>-3792.0476890480286</v>
      </c>
      <c r="ED123" s="408">
        <v>0</v>
      </c>
      <c r="EE123" s="408">
        <v>0</v>
      </c>
      <c r="EF123" s="408">
        <v>0</v>
      </c>
      <c r="EG123" s="408">
        <v>0</v>
      </c>
      <c r="EH123" s="408">
        <v>0</v>
      </c>
      <c r="EI123" s="408">
        <v>0</v>
      </c>
      <c r="EJ123" s="408">
        <v>0</v>
      </c>
      <c r="EK123" s="408">
        <v>0</v>
      </c>
      <c r="EL123" s="408">
        <v>0</v>
      </c>
      <c r="EM123" s="408">
        <v>0</v>
      </c>
      <c r="EN123" s="408">
        <v>0</v>
      </c>
      <c r="EO123" s="408">
        <v>0</v>
      </c>
      <c r="EP123" s="408">
        <v>0</v>
      </c>
      <c r="EQ123" s="408">
        <v>0</v>
      </c>
      <c r="ER123" s="408">
        <v>0</v>
      </c>
      <c r="ES123" s="408">
        <v>0</v>
      </c>
      <c r="ET123" s="408">
        <v>0</v>
      </c>
      <c r="EU123" s="408">
        <v>0</v>
      </c>
      <c r="EV123" s="408">
        <v>257</v>
      </c>
      <c r="EW123" s="408">
        <v>0</v>
      </c>
      <c r="EX123" s="408">
        <v>0</v>
      </c>
      <c r="EY123" s="408">
        <v>0</v>
      </c>
      <c r="EZ123" s="408"/>
      <c r="FA123" s="408">
        <v>0</v>
      </c>
      <c r="FB123" s="408"/>
      <c r="FC123" s="408"/>
      <c r="FD123" s="408"/>
      <c r="FE123" s="408"/>
      <c r="FF123" s="408">
        <v>0</v>
      </c>
      <c r="FG123" s="408">
        <v>0</v>
      </c>
      <c r="FH123" s="408">
        <v>0</v>
      </c>
      <c r="FI123" s="408">
        <v>0</v>
      </c>
    </row>
    <row r="124" spans="1:165" s="861" customFormat="1">
      <c r="A124" s="408">
        <v>122</v>
      </c>
      <c r="B124" s="408" t="s">
        <v>1035</v>
      </c>
      <c r="C124" s="408" t="s">
        <v>2241</v>
      </c>
      <c r="D124" s="408" t="s">
        <v>596</v>
      </c>
      <c r="E124" s="408" t="s">
        <v>997</v>
      </c>
      <c r="F124" s="408" t="s">
        <v>1321</v>
      </c>
      <c r="G124" s="408" t="s">
        <v>1321</v>
      </c>
      <c r="H124" s="408" t="s">
        <v>1321</v>
      </c>
      <c r="I124" s="408" t="s">
        <v>972</v>
      </c>
      <c r="J124" s="408" t="s">
        <v>2234</v>
      </c>
      <c r="K124" s="828">
        <v>44470</v>
      </c>
      <c r="L124" s="408">
        <v>0</v>
      </c>
      <c r="M124" s="408">
        <v>0</v>
      </c>
      <c r="N124" s="408">
        <v>13.175000000000001</v>
      </c>
      <c r="O124" s="408">
        <v>13.175000000000001</v>
      </c>
      <c r="P124" s="408">
        <v>13.175000000000001</v>
      </c>
      <c r="Q124" s="408">
        <v>13.175000000000001</v>
      </c>
      <c r="R124" s="408"/>
      <c r="S124" s="408">
        <v>3130.62</v>
      </c>
      <c r="T124" s="408">
        <v>256.55</v>
      </c>
      <c r="U124" s="408"/>
      <c r="V124" s="408">
        <v>44625.964749999999</v>
      </c>
      <c r="W124" s="408">
        <v>44625.964749999999</v>
      </c>
      <c r="X124" s="408">
        <v>23486.150250000002</v>
      </c>
      <c r="Y124" s="408">
        <v>0</v>
      </c>
      <c r="Z124" s="408">
        <v>704.63816685381971</v>
      </c>
      <c r="AA124" s="408">
        <v>0</v>
      </c>
      <c r="AB124" s="408">
        <v>0</v>
      </c>
      <c r="AC124" s="408">
        <v>0</v>
      </c>
      <c r="AD124" s="408">
        <v>8487.5169108197188</v>
      </c>
      <c r="AE124" s="408">
        <v>31674.658635269927</v>
      </c>
      <c r="AF124" s="408">
        <v>3380.0794738197856</v>
      </c>
      <c r="AG124" s="408">
        <v>0</v>
      </c>
      <c r="AH124" s="408">
        <v>0</v>
      </c>
      <c r="AI124" s="408">
        <v>0</v>
      </c>
      <c r="AJ124" s="408">
        <v>0</v>
      </c>
      <c r="AK124" s="408">
        <v>0</v>
      </c>
      <c r="AL124" s="408">
        <v>125.21867497768513</v>
      </c>
      <c r="AM124" s="408"/>
      <c r="AN124" s="408">
        <v>17.773799556684068</v>
      </c>
      <c r="AO124" s="408">
        <v>0</v>
      </c>
      <c r="AP124" s="408">
        <v>0</v>
      </c>
      <c r="AQ124" s="408">
        <v>0</v>
      </c>
      <c r="AR124" s="408">
        <v>0</v>
      </c>
      <c r="AS124" s="408">
        <v>0</v>
      </c>
      <c r="AT124" s="408">
        <v>0</v>
      </c>
      <c r="AU124" s="408">
        <v>0</v>
      </c>
      <c r="AV124" s="408">
        <v>0</v>
      </c>
      <c r="AW124" s="408">
        <v>0</v>
      </c>
      <c r="AX124" s="408">
        <v>0</v>
      </c>
      <c r="AY124" s="408">
        <v>0</v>
      </c>
      <c r="AZ124" s="408">
        <v>0</v>
      </c>
      <c r="BA124" s="408"/>
      <c r="BB124" s="408">
        <v>0</v>
      </c>
      <c r="BC124" s="408">
        <v>0</v>
      </c>
      <c r="BD124" s="408">
        <v>16.231932236692213</v>
      </c>
      <c r="BE124" s="408">
        <v>0</v>
      </c>
      <c r="BF124" s="408">
        <v>0</v>
      </c>
      <c r="BG124" s="408">
        <v>219.88137200331809</v>
      </c>
      <c r="BH124" s="408">
        <v>0</v>
      </c>
      <c r="BI124" s="408">
        <v>0</v>
      </c>
      <c r="BJ124" s="408">
        <v>0</v>
      </c>
      <c r="BK124" s="408">
        <v>0</v>
      </c>
      <c r="BL124" s="408">
        <v>0</v>
      </c>
      <c r="BM124" s="408"/>
      <c r="BN124" s="408"/>
      <c r="BO124" s="408"/>
      <c r="BP124" s="408"/>
      <c r="BQ124" s="408"/>
      <c r="BR124" s="408"/>
      <c r="BS124" s="408"/>
      <c r="BT124" s="408"/>
      <c r="BU124" s="408"/>
      <c r="BV124" s="408">
        <v>3616.1927780597957</v>
      </c>
      <c r="BW124" s="408"/>
      <c r="BX124" s="408"/>
      <c r="BY124" s="408"/>
      <c r="BZ124" s="408"/>
      <c r="CA124" s="408"/>
      <c r="CB124" s="408"/>
      <c r="CC124" s="408"/>
      <c r="CD124" s="408"/>
      <c r="CE124" s="408"/>
      <c r="CF124" s="408"/>
      <c r="CG124" s="408"/>
      <c r="CH124" s="408"/>
      <c r="CI124" s="408">
        <v>23495.063399999999</v>
      </c>
      <c r="CJ124" s="408">
        <v>-21130.931350000006</v>
      </c>
      <c r="CK124" s="408"/>
      <c r="CL124" s="408"/>
      <c r="CM124" s="408"/>
      <c r="CN124" s="408"/>
      <c r="CO124" s="408">
        <v>-21350.482749999999</v>
      </c>
      <c r="CP124" s="408">
        <v>210.66825000000014</v>
      </c>
      <c r="CQ124" s="408">
        <v>31</v>
      </c>
      <c r="CR124" s="408">
        <v>135.09514815135481</v>
      </c>
      <c r="CS124" s="408">
        <v>0</v>
      </c>
      <c r="CT124" s="408">
        <v>0</v>
      </c>
      <c r="CU124" s="408">
        <v>0</v>
      </c>
      <c r="CV124" s="408">
        <v>0</v>
      </c>
      <c r="CW124" s="408">
        <v>0</v>
      </c>
      <c r="CX124" s="408">
        <v>0</v>
      </c>
      <c r="CY124" s="408">
        <v>0</v>
      </c>
      <c r="CZ124" s="408">
        <v>-38.364110261471069</v>
      </c>
      <c r="DA124" s="408">
        <v>0</v>
      </c>
      <c r="DB124" s="408">
        <v>0</v>
      </c>
      <c r="DC124" s="408">
        <v>210.57377688382212</v>
      </c>
      <c r="DD124" s="408">
        <v>0</v>
      </c>
      <c r="DE124" s="408">
        <v>0</v>
      </c>
      <c r="DF124" s="408">
        <v>1.0112245299782927</v>
      </c>
      <c r="DG124" s="408">
        <v>13.698272874279837</v>
      </c>
      <c r="DH124" s="408">
        <v>0</v>
      </c>
      <c r="DI124" s="408">
        <v>-43.817116554528525</v>
      </c>
      <c r="DJ124" s="408"/>
      <c r="DK124" s="408">
        <v>0</v>
      </c>
      <c r="DL124" s="408">
        <v>0</v>
      </c>
      <c r="DM124" s="408">
        <v>0</v>
      </c>
      <c r="DN124" s="408">
        <v>0</v>
      </c>
      <c r="DO124" s="408">
        <v>-6.8710856355881162</v>
      </c>
      <c r="DP124" s="408">
        <v>-1.1358136851392757</v>
      </c>
      <c r="DQ124" s="408">
        <v>0</v>
      </c>
      <c r="DR124" s="408">
        <v>0</v>
      </c>
      <c r="DS124" s="408"/>
      <c r="DT124" s="408"/>
      <c r="DU124" s="408"/>
      <c r="DV124" s="408">
        <v>31674.658635269927</v>
      </c>
      <c r="DW124" s="408">
        <v>0</v>
      </c>
      <c r="DX124" s="408">
        <v>0</v>
      </c>
      <c r="DY124" s="408">
        <v>-21350.482749999999</v>
      </c>
      <c r="DZ124" s="408">
        <v>210.66825000000017</v>
      </c>
      <c r="EA124" s="408">
        <v>0</v>
      </c>
      <c r="EB124" s="408">
        <v>0</v>
      </c>
      <c r="EC124" s="408">
        <v>-21275.065838895502</v>
      </c>
      <c r="ED124" s="408">
        <v>0</v>
      </c>
      <c r="EE124" s="408">
        <v>0</v>
      </c>
      <c r="EF124" s="408">
        <v>0</v>
      </c>
      <c r="EG124" s="408">
        <v>0</v>
      </c>
      <c r="EH124" s="408">
        <v>0</v>
      </c>
      <c r="EI124" s="408">
        <v>0</v>
      </c>
      <c r="EJ124" s="408">
        <v>0</v>
      </c>
      <c r="EK124" s="408">
        <v>0</v>
      </c>
      <c r="EL124" s="408">
        <v>0</v>
      </c>
      <c r="EM124" s="408">
        <v>0</v>
      </c>
      <c r="EN124" s="408">
        <v>0</v>
      </c>
      <c r="EO124" s="408">
        <v>0</v>
      </c>
      <c r="EP124" s="408">
        <v>0</v>
      </c>
      <c r="EQ124" s="408">
        <v>0</v>
      </c>
      <c r="ER124" s="408">
        <v>0</v>
      </c>
      <c r="ES124" s="408">
        <v>0</v>
      </c>
      <c r="ET124" s="408">
        <v>0</v>
      </c>
      <c r="EU124" s="408">
        <v>0</v>
      </c>
      <c r="EV124" s="408">
        <v>257</v>
      </c>
      <c r="EW124" s="408">
        <v>0</v>
      </c>
      <c r="EX124" s="408">
        <v>0</v>
      </c>
      <c r="EY124" s="408">
        <v>0</v>
      </c>
      <c r="EZ124" s="408"/>
      <c r="FA124" s="408">
        <v>0</v>
      </c>
      <c r="FB124" s="408"/>
      <c r="FC124" s="408"/>
      <c r="FD124" s="408"/>
      <c r="FE124" s="408"/>
      <c r="FF124" s="408">
        <v>0</v>
      </c>
      <c r="FG124" s="408">
        <v>0</v>
      </c>
      <c r="FH124" s="408">
        <v>0</v>
      </c>
      <c r="FI124" s="408">
        <v>0</v>
      </c>
    </row>
    <row r="125" spans="1:165" s="861" customFormat="1">
      <c r="A125" s="408">
        <v>123</v>
      </c>
      <c r="B125" s="408" t="s">
        <v>1035</v>
      </c>
      <c r="C125" s="408" t="s">
        <v>2241</v>
      </c>
      <c r="D125" s="408" t="s">
        <v>596</v>
      </c>
      <c r="E125" s="408" t="s">
        <v>997</v>
      </c>
      <c r="F125" s="408" t="s">
        <v>1321</v>
      </c>
      <c r="G125" s="408" t="s">
        <v>1321</v>
      </c>
      <c r="H125" s="408" t="s">
        <v>1321</v>
      </c>
      <c r="I125" s="408" t="s">
        <v>2242</v>
      </c>
      <c r="J125" s="408" t="s">
        <v>2234</v>
      </c>
      <c r="K125" s="828">
        <v>44470</v>
      </c>
      <c r="L125" s="408">
        <v>0</v>
      </c>
      <c r="M125" s="408">
        <v>0</v>
      </c>
      <c r="N125" s="408">
        <v>106.608</v>
      </c>
      <c r="O125" s="408">
        <v>106.608</v>
      </c>
      <c r="P125" s="408">
        <v>106.608</v>
      </c>
      <c r="Q125" s="408">
        <v>106.608</v>
      </c>
      <c r="R125" s="408"/>
      <c r="S125" s="408">
        <v>82.26</v>
      </c>
      <c r="T125" s="408">
        <v>256.55</v>
      </c>
      <c r="U125" s="408"/>
      <c r="V125" s="408">
        <v>36119.856480000002</v>
      </c>
      <c r="W125" s="408">
        <v>36119.856480000002</v>
      </c>
      <c r="X125" s="408">
        <v>37523.883840000002</v>
      </c>
      <c r="Y125" s="408">
        <v>0</v>
      </c>
      <c r="Z125" s="408">
        <v>5701.7127659925627</v>
      </c>
      <c r="AA125" s="408">
        <v>0</v>
      </c>
      <c r="AB125" s="408">
        <v>0</v>
      </c>
      <c r="AC125" s="408">
        <v>0</v>
      </c>
      <c r="AD125" s="408">
        <v>0</v>
      </c>
      <c r="AE125" s="408">
        <v>0</v>
      </c>
      <c r="AF125" s="408">
        <v>27350.551236810603</v>
      </c>
      <c r="AG125" s="408">
        <v>0</v>
      </c>
      <c r="AH125" s="408">
        <v>0</v>
      </c>
      <c r="AI125" s="408">
        <v>0</v>
      </c>
      <c r="AJ125" s="408">
        <v>0</v>
      </c>
      <c r="AK125" s="408">
        <v>0</v>
      </c>
      <c r="AL125" s="408">
        <v>1013.2305504380307</v>
      </c>
      <c r="AM125" s="408"/>
      <c r="AN125" s="408">
        <v>143.82005488720873</v>
      </c>
      <c r="AO125" s="408">
        <v>0</v>
      </c>
      <c r="AP125" s="408">
        <v>0</v>
      </c>
      <c r="AQ125" s="408">
        <v>0</v>
      </c>
      <c r="AR125" s="408">
        <v>0</v>
      </c>
      <c r="AS125" s="408">
        <v>0</v>
      </c>
      <c r="AT125" s="408">
        <v>0</v>
      </c>
      <c r="AU125" s="408">
        <v>0</v>
      </c>
      <c r="AV125" s="408">
        <v>0</v>
      </c>
      <c r="AW125" s="408">
        <v>0</v>
      </c>
      <c r="AX125" s="408">
        <v>0</v>
      </c>
      <c r="AY125" s="408">
        <v>0</v>
      </c>
      <c r="AZ125" s="408">
        <v>0</v>
      </c>
      <c r="BA125" s="408"/>
      <c r="BB125" s="408">
        <v>0</v>
      </c>
      <c r="BC125" s="408">
        <v>0</v>
      </c>
      <c r="BD125" s="408">
        <v>131.34374435592284</v>
      </c>
      <c r="BE125" s="408">
        <v>0</v>
      </c>
      <c r="BF125" s="408">
        <v>0</v>
      </c>
      <c r="BG125" s="408">
        <v>1779.2116361692397</v>
      </c>
      <c r="BH125" s="408">
        <v>0</v>
      </c>
      <c r="BI125" s="408">
        <v>0</v>
      </c>
      <c r="BJ125" s="408">
        <v>0</v>
      </c>
      <c r="BK125" s="408">
        <v>0</v>
      </c>
      <c r="BL125" s="408">
        <v>0</v>
      </c>
      <c r="BM125" s="408"/>
      <c r="BN125" s="408"/>
      <c r="BO125" s="408"/>
      <c r="BP125" s="408"/>
      <c r="BQ125" s="408"/>
      <c r="BR125" s="408"/>
      <c r="BS125" s="408"/>
      <c r="BT125" s="408"/>
      <c r="BU125" s="408"/>
      <c r="BV125" s="408">
        <v>29261.106617335765</v>
      </c>
      <c r="BW125" s="408"/>
      <c r="BX125" s="408"/>
      <c r="BY125" s="408"/>
      <c r="BZ125" s="408"/>
      <c r="CA125" s="408"/>
      <c r="CB125" s="408"/>
      <c r="CC125" s="408"/>
      <c r="CD125" s="408"/>
      <c r="CE125" s="408"/>
      <c r="CF125" s="408"/>
      <c r="CG125" s="408"/>
      <c r="CH125" s="408"/>
      <c r="CI125" s="408">
        <v>37524.587800000001</v>
      </c>
      <c r="CJ125" s="408">
        <v>1404.7013199999928</v>
      </c>
      <c r="CK125" s="408"/>
      <c r="CL125" s="408"/>
      <c r="CM125" s="408"/>
      <c r="CN125" s="408"/>
      <c r="CO125" s="408">
        <v>-300.63456000000082</v>
      </c>
      <c r="CP125" s="408">
        <v>1704.6619200000011</v>
      </c>
      <c r="CQ125" s="408">
        <v>31</v>
      </c>
      <c r="CR125" s="408">
        <v>1403.5783393453021</v>
      </c>
      <c r="CS125" s="408">
        <v>0</v>
      </c>
      <c r="CT125" s="408">
        <v>0</v>
      </c>
      <c r="CU125" s="408">
        <v>0</v>
      </c>
      <c r="CV125" s="408">
        <v>0</v>
      </c>
      <c r="CW125" s="408">
        <v>0</v>
      </c>
      <c r="CX125" s="408">
        <v>0</v>
      </c>
      <c r="CY125" s="408">
        <v>0</v>
      </c>
      <c r="CZ125" s="408">
        <v>0</v>
      </c>
      <c r="DA125" s="408">
        <v>0</v>
      </c>
      <c r="DB125" s="408">
        <v>0</v>
      </c>
      <c r="DC125" s="408">
        <v>1703.8974729434922</v>
      </c>
      <c r="DD125" s="408">
        <v>0</v>
      </c>
      <c r="DE125" s="408">
        <v>0</v>
      </c>
      <c r="DF125" s="408">
        <v>8.1825142081158333</v>
      </c>
      <c r="DG125" s="408">
        <v>110.84216125853709</v>
      </c>
      <c r="DH125" s="408">
        <v>0</v>
      </c>
      <c r="DI125" s="408">
        <v>-354.55447147211999</v>
      </c>
      <c r="DJ125" s="408"/>
      <c r="DK125" s="408">
        <v>0</v>
      </c>
      <c r="DL125" s="408">
        <v>0</v>
      </c>
      <c r="DM125" s="408">
        <v>0</v>
      </c>
      <c r="DN125" s="408">
        <v>0</v>
      </c>
      <c r="DO125" s="408">
        <v>-55.598686712620633</v>
      </c>
      <c r="DP125" s="408">
        <v>-9.190650880100776</v>
      </c>
      <c r="DQ125" s="408">
        <v>0</v>
      </c>
      <c r="DR125" s="408">
        <v>0</v>
      </c>
      <c r="DS125" s="408"/>
      <c r="DT125" s="408"/>
      <c r="DU125" s="408"/>
      <c r="DV125" s="408">
        <v>0</v>
      </c>
      <c r="DW125" s="408">
        <v>0</v>
      </c>
      <c r="DX125" s="408">
        <v>0</v>
      </c>
      <c r="DY125" s="408">
        <v>-300.63456000000042</v>
      </c>
      <c r="DZ125" s="408">
        <v>1704.6619199999986</v>
      </c>
      <c r="EA125" s="408">
        <v>0</v>
      </c>
      <c r="EB125" s="408">
        <v>0</v>
      </c>
      <c r="EC125" s="408">
        <v>0</v>
      </c>
      <c r="ED125" s="408">
        <v>0</v>
      </c>
      <c r="EE125" s="408">
        <v>0</v>
      </c>
      <c r="EF125" s="408">
        <v>0</v>
      </c>
      <c r="EG125" s="408">
        <v>0</v>
      </c>
      <c r="EH125" s="408">
        <v>0</v>
      </c>
      <c r="EI125" s="408">
        <v>0</v>
      </c>
      <c r="EJ125" s="408">
        <v>0</v>
      </c>
      <c r="EK125" s="408">
        <v>0</v>
      </c>
      <c r="EL125" s="408">
        <v>0</v>
      </c>
      <c r="EM125" s="408">
        <v>0</v>
      </c>
      <c r="EN125" s="408">
        <v>0</v>
      </c>
      <c r="EO125" s="408">
        <v>0</v>
      </c>
      <c r="EP125" s="408">
        <v>0</v>
      </c>
      <c r="EQ125" s="408">
        <v>0</v>
      </c>
      <c r="ER125" s="408">
        <v>0</v>
      </c>
      <c r="ES125" s="408">
        <v>0</v>
      </c>
      <c r="ET125" s="408">
        <v>0</v>
      </c>
      <c r="EU125" s="408">
        <v>0</v>
      </c>
      <c r="EV125" s="408">
        <v>257</v>
      </c>
      <c r="EW125" s="408">
        <v>0</v>
      </c>
      <c r="EX125" s="408">
        <v>0</v>
      </c>
      <c r="EY125" s="408">
        <v>0</v>
      </c>
      <c r="EZ125" s="408"/>
      <c r="FA125" s="408">
        <v>0</v>
      </c>
      <c r="FB125" s="408"/>
      <c r="FC125" s="408"/>
      <c r="FD125" s="408"/>
      <c r="FE125" s="408"/>
      <c r="FF125" s="408">
        <v>0</v>
      </c>
      <c r="FG125" s="408">
        <v>0</v>
      </c>
      <c r="FH125" s="408">
        <v>0</v>
      </c>
      <c r="FI125" s="408">
        <v>0</v>
      </c>
    </row>
    <row r="126" spans="1:165" s="861" customFormat="1">
      <c r="A126" s="408">
        <v>124</v>
      </c>
      <c r="B126" s="408" t="s">
        <v>1035</v>
      </c>
      <c r="C126" s="408" t="s">
        <v>2241</v>
      </c>
      <c r="D126" s="408" t="s">
        <v>596</v>
      </c>
      <c r="E126" s="408" t="s">
        <v>997</v>
      </c>
      <c r="F126" s="408" t="s">
        <v>1321</v>
      </c>
      <c r="G126" s="408" t="s">
        <v>1321</v>
      </c>
      <c r="H126" s="408" t="s">
        <v>1321</v>
      </c>
      <c r="I126" s="408" t="s">
        <v>1321</v>
      </c>
      <c r="J126" s="408" t="s">
        <v>2234</v>
      </c>
      <c r="K126" s="828">
        <v>44470</v>
      </c>
      <c r="L126" s="408">
        <v>765</v>
      </c>
      <c r="M126" s="408">
        <v>765</v>
      </c>
      <c r="N126" s="408">
        <v>0</v>
      </c>
      <c r="O126" s="408">
        <v>0</v>
      </c>
      <c r="P126" s="408">
        <v>0</v>
      </c>
      <c r="Q126" s="408">
        <v>0</v>
      </c>
      <c r="R126" s="408">
        <v>47.39</v>
      </c>
      <c r="S126" s="408"/>
      <c r="T126" s="408"/>
      <c r="U126" s="408">
        <v>36253.35</v>
      </c>
      <c r="V126" s="408"/>
      <c r="W126" s="408">
        <v>36253.35</v>
      </c>
      <c r="X126" s="408">
        <v>24648.3</v>
      </c>
      <c r="Y126" s="408">
        <v>0</v>
      </c>
      <c r="Z126" s="408">
        <v>0</v>
      </c>
      <c r="AA126" s="408">
        <v>0</v>
      </c>
      <c r="AB126" s="408">
        <v>0</v>
      </c>
      <c r="AC126" s="408">
        <v>0</v>
      </c>
      <c r="AD126" s="408">
        <v>19102.126637291261</v>
      </c>
      <c r="AE126" s="408">
        <v>17151.198442983066</v>
      </c>
      <c r="AF126" s="408"/>
      <c r="AG126" s="408"/>
      <c r="AH126" s="408"/>
      <c r="AI126" s="408">
        <v>0</v>
      </c>
      <c r="AJ126" s="408">
        <v>0</v>
      </c>
      <c r="AK126" s="408">
        <v>0</v>
      </c>
      <c r="AL126" s="408">
        <v>0</v>
      </c>
      <c r="AM126" s="408"/>
      <c r="AN126" s="408">
        <v>0</v>
      </c>
      <c r="AO126" s="408">
        <v>0</v>
      </c>
      <c r="AP126" s="408">
        <v>0</v>
      </c>
      <c r="AQ126" s="408">
        <v>0</v>
      </c>
      <c r="AR126" s="408">
        <v>0</v>
      </c>
      <c r="AS126" s="408"/>
      <c r="AT126" s="408"/>
      <c r="AU126" s="408">
        <v>0</v>
      </c>
      <c r="AV126" s="408">
        <v>0</v>
      </c>
      <c r="AW126" s="408">
        <v>0</v>
      </c>
      <c r="AX126" s="408"/>
      <c r="AY126" s="408"/>
      <c r="AZ126" s="408">
        <v>0</v>
      </c>
      <c r="BA126" s="408"/>
      <c r="BB126" s="408">
        <v>0</v>
      </c>
      <c r="BC126" s="408">
        <v>0</v>
      </c>
      <c r="BD126" s="408">
        <v>0</v>
      </c>
      <c r="BE126" s="408">
        <v>0</v>
      </c>
      <c r="BF126" s="408"/>
      <c r="BG126" s="408">
        <v>0</v>
      </c>
      <c r="BH126" s="408">
        <v>0</v>
      </c>
      <c r="BI126" s="408">
        <v>280.95</v>
      </c>
      <c r="BJ126" s="408">
        <v>1394.31</v>
      </c>
      <c r="BK126" s="408">
        <v>46639.82</v>
      </c>
      <c r="BL126" s="408">
        <v>11</v>
      </c>
      <c r="BM126" s="408"/>
      <c r="BN126" s="408"/>
      <c r="BO126" s="408"/>
      <c r="BP126" s="408"/>
      <c r="BQ126" s="408"/>
      <c r="BR126" s="408"/>
      <c r="BS126" s="408"/>
      <c r="BT126" s="408"/>
      <c r="BU126" s="408"/>
      <c r="BV126" s="408">
        <v>0</v>
      </c>
      <c r="BW126" s="408"/>
      <c r="BX126" s="408"/>
      <c r="BY126" s="408"/>
      <c r="BZ126" s="408"/>
      <c r="CA126" s="408"/>
      <c r="CB126" s="408"/>
      <c r="CC126" s="408"/>
      <c r="CD126" s="408"/>
      <c r="CE126" s="408"/>
      <c r="CF126" s="408"/>
      <c r="CG126" s="408"/>
      <c r="CH126" s="408"/>
      <c r="CI126" s="408">
        <v>24648.3</v>
      </c>
      <c r="CJ126" s="408">
        <v>-11605.080000000005</v>
      </c>
      <c r="CK126" s="408"/>
      <c r="CL126" s="408"/>
      <c r="CM126" s="408"/>
      <c r="CN126" s="408"/>
      <c r="CO126" s="408">
        <v>-11605.050000000001</v>
      </c>
      <c r="CP126" s="408">
        <v>0</v>
      </c>
      <c r="CQ126" s="408">
        <v>31</v>
      </c>
      <c r="CR126" s="408">
        <v>-86.342813833754917</v>
      </c>
      <c r="CS126" s="408">
        <v>0</v>
      </c>
      <c r="CT126" s="408">
        <v>0</v>
      </c>
      <c r="CU126" s="408">
        <v>0</v>
      </c>
      <c r="CV126" s="408">
        <v>0</v>
      </c>
      <c r="CW126" s="408"/>
      <c r="CX126" s="408"/>
      <c r="CY126" s="408"/>
      <c r="CZ126" s="408">
        <v>-86.342813833754917</v>
      </c>
      <c r="DA126" s="408">
        <v>0</v>
      </c>
      <c r="DB126" s="408">
        <v>0</v>
      </c>
      <c r="DC126" s="408"/>
      <c r="DD126" s="408"/>
      <c r="DE126" s="408">
        <v>0</v>
      </c>
      <c r="DF126" s="408">
        <v>0</v>
      </c>
      <c r="DG126" s="408">
        <v>0</v>
      </c>
      <c r="DH126" s="408">
        <v>0</v>
      </c>
      <c r="DI126" s="408">
        <v>0</v>
      </c>
      <c r="DJ126" s="408"/>
      <c r="DK126" s="408">
        <v>0</v>
      </c>
      <c r="DL126" s="408">
        <v>0</v>
      </c>
      <c r="DM126" s="408"/>
      <c r="DN126" s="408">
        <v>0</v>
      </c>
      <c r="DO126" s="408">
        <v>0</v>
      </c>
      <c r="DP126" s="408">
        <v>0</v>
      </c>
      <c r="DQ126" s="408">
        <v>0</v>
      </c>
      <c r="DR126" s="408">
        <v>0</v>
      </c>
      <c r="DS126" s="408"/>
      <c r="DT126" s="408"/>
      <c r="DU126" s="408">
        <v>17151.198442983066</v>
      </c>
      <c r="DV126" s="408"/>
      <c r="DW126" s="408">
        <v>0</v>
      </c>
      <c r="DX126" s="408">
        <v>0</v>
      </c>
      <c r="DY126" s="408">
        <v>-11605.05</v>
      </c>
      <c r="DZ126" s="408"/>
      <c r="EA126" s="408">
        <v>0</v>
      </c>
      <c r="EB126" s="408"/>
      <c r="EC126" s="408">
        <v>-11520.025528676622</v>
      </c>
      <c r="ED126" s="408"/>
      <c r="EE126" s="408">
        <v>0</v>
      </c>
      <c r="EF126" s="408">
        <v>0</v>
      </c>
      <c r="EG126" s="408"/>
      <c r="EH126" s="408">
        <v>0</v>
      </c>
      <c r="EI126" s="408">
        <v>0</v>
      </c>
      <c r="EJ126" s="408">
        <v>0</v>
      </c>
      <c r="EK126" s="408">
        <v>0</v>
      </c>
      <c r="EL126" s="408">
        <v>0</v>
      </c>
      <c r="EM126" s="408"/>
      <c r="EN126" s="408"/>
      <c r="EO126" s="408">
        <v>0</v>
      </c>
      <c r="EP126" s="408">
        <v>0</v>
      </c>
      <c r="EQ126" s="408"/>
      <c r="ER126" s="408">
        <v>0</v>
      </c>
      <c r="ES126" s="408"/>
      <c r="ET126" s="408">
        <v>0</v>
      </c>
      <c r="EU126" s="408"/>
      <c r="EV126" s="408">
        <v>257</v>
      </c>
      <c r="EW126" s="408"/>
      <c r="EX126" s="408"/>
      <c r="EY126" s="408"/>
      <c r="EZ126" s="408"/>
      <c r="FA126" s="408">
        <v>0</v>
      </c>
      <c r="FB126" s="408"/>
      <c r="FC126" s="408"/>
      <c r="FD126" s="408"/>
      <c r="FE126" s="408"/>
      <c r="FF126" s="408">
        <v>0</v>
      </c>
      <c r="FG126" s="408">
        <v>0</v>
      </c>
      <c r="FH126" s="408">
        <v>0</v>
      </c>
      <c r="FI126" s="408">
        <v>0</v>
      </c>
    </row>
    <row r="127" spans="1:165" s="861" customFormat="1">
      <c r="A127" s="408">
        <v>125</v>
      </c>
      <c r="B127" s="408" t="s">
        <v>2236</v>
      </c>
      <c r="C127" s="408" t="s">
        <v>2241</v>
      </c>
      <c r="D127" s="408" t="s">
        <v>596</v>
      </c>
      <c r="E127" s="408" t="s">
        <v>997</v>
      </c>
      <c r="F127" s="408" t="s">
        <v>1321</v>
      </c>
      <c r="G127" s="408" t="s">
        <v>1321</v>
      </c>
      <c r="H127" s="408" t="s">
        <v>1321</v>
      </c>
      <c r="I127" s="408" t="s">
        <v>1321</v>
      </c>
      <c r="J127" s="408" t="s">
        <v>2234</v>
      </c>
      <c r="K127" s="828">
        <v>44470</v>
      </c>
      <c r="L127" s="408">
        <v>60</v>
      </c>
      <c r="M127" s="408">
        <v>60</v>
      </c>
      <c r="N127" s="408">
        <v>0</v>
      </c>
      <c r="O127" s="408">
        <v>0</v>
      </c>
      <c r="P127" s="408">
        <v>0</v>
      </c>
      <c r="Q127" s="408">
        <v>0</v>
      </c>
      <c r="R127" s="408">
        <v>47.39</v>
      </c>
      <c r="S127" s="408"/>
      <c r="T127" s="408"/>
      <c r="U127" s="408">
        <v>2843.4</v>
      </c>
      <c r="V127" s="408"/>
      <c r="W127" s="408">
        <v>2843.4</v>
      </c>
      <c r="X127" s="408">
        <v>1933.1999999999998</v>
      </c>
      <c r="Y127" s="408">
        <v>0</v>
      </c>
      <c r="Z127" s="408">
        <v>0</v>
      </c>
      <c r="AA127" s="408">
        <v>0</v>
      </c>
      <c r="AB127" s="408">
        <v>0</v>
      </c>
      <c r="AC127" s="408">
        <v>0</v>
      </c>
      <c r="AD127" s="408">
        <v>1498.206010767942</v>
      </c>
      <c r="AE127" s="408">
        <v>1345.1920347437699</v>
      </c>
      <c r="AF127" s="408"/>
      <c r="AG127" s="408"/>
      <c r="AH127" s="408"/>
      <c r="AI127" s="408">
        <v>0</v>
      </c>
      <c r="AJ127" s="408">
        <v>0</v>
      </c>
      <c r="AK127" s="408">
        <v>0</v>
      </c>
      <c r="AL127" s="408">
        <v>0</v>
      </c>
      <c r="AM127" s="408"/>
      <c r="AN127" s="408">
        <v>0</v>
      </c>
      <c r="AO127" s="408">
        <v>0</v>
      </c>
      <c r="AP127" s="408">
        <v>0</v>
      </c>
      <c r="AQ127" s="408">
        <v>0</v>
      </c>
      <c r="AR127" s="408">
        <v>0</v>
      </c>
      <c r="AS127" s="408"/>
      <c r="AT127" s="408"/>
      <c r="AU127" s="408">
        <v>0</v>
      </c>
      <c r="AV127" s="408">
        <v>0</v>
      </c>
      <c r="AW127" s="408">
        <v>0</v>
      </c>
      <c r="AX127" s="408"/>
      <c r="AY127" s="408"/>
      <c r="AZ127" s="408">
        <v>0</v>
      </c>
      <c r="BA127" s="408"/>
      <c r="BB127" s="408">
        <v>0</v>
      </c>
      <c r="BC127" s="408">
        <v>0</v>
      </c>
      <c r="BD127" s="408">
        <v>0</v>
      </c>
      <c r="BE127" s="408">
        <v>0</v>
      </c>
      <c r="BF127" s="408"/>
      <c r="BG127" s="408">
        <v>0</v>
      </c>
      <c r="BH127" s="408">
        <v>0</v>
      </c>
      <c r="BI127" s="408">
        <v>4.66</v>
      </c>
      <c r="BJ127" s="408">
        <v>23.14</v>
      </c>
      <c r="BK127" s="408">
        <v>822.78</v>
      </c>
      <c r="BL127" s="408">
        <v>1</v>
      </c>
      <c r="BM127" s="408"/>
      <c r="BN127" s="408"/>
      <c r="BO127" s="408"/>
      <c r="BP127" s="408"/>
      <c r="BQ127" s="408"/>
      <c r="BR127" s="408"/>
      <c r="BS127" s="408"/>
      <c r="BT127" s="408"/>
      <c r="BU127" s="408"/>
      <c r="BV127" s="408">
        <v>0</v>
      </c>
      <c r="BW127" s="408"/>
      <c r="BX127" s="408"/>
      <c r="BY127" s="408"/>
      <c r="BZ127" s="408"/>
      <c r="CA127" s="408"/>
      <c r="CB127" s="408"/>
      <c r="CC127" s="408"/>
      <c r="CD127" s="408"/>
      <c r="CE127" s="408"/>
      <c r="CF127" s="408"/>
      <c r="CG127" s="408"/>
      <c r="CH127" s="408"/>
      <c r="CI127" s="408">
        <v>1933.1999999999998</v>
      </c>
      <c r="CJ127" s="408">
        <v>-910.23000000000093</v>
      </c>
      <c r="CK127" s="408"/>
      <c r="CL127" s="408"/>
      <c r="CM127" s="408"/>
      <c r="CN127" s="408"/>
      <c r="CO127" s="408">
        <v>-910.2</v>
      </c>
      <c r="CP127" s="408">
        <v>0</v>
      </c>
      <c r="CQ127" s="408">
        <v>31</v>
      </c>
      <c r="CR127" s="408">
        <v>-6.7719853987259739</v>
      </c>
      <c r="CS127" s="408">
        <v>0</v>
      </c>
      <c r="CT127" s="408">
        <v>0</v>
      </c>
      <c r="CU127" s="408">
        <v>0</v>
      </c>
      <c r="CV127" s="408">
        <v>0</v>
      </c>
      <c r="CW127" s="408"/>
      <c r="CX127" s="408"/>
      <c r="CY127" s="408"/>
      <c r="CZ127" s="408">
        <v>-6.7719853987259739</v>
      </c>
      <c r="DA127" s="408">
        <v>0</v>
      </c>
      <c r="DB127" s="408">
        <v>0</v>
      </c>
      <c r="DC127" s="408"/>
      <c r="DD127" s="408"/>
      <c r="DE127" s="408">
        <v>0</v>
      </c>
      <c r="DF127" s="408">
        <v>0</v>
      </c>
      <c r="DG127" s="408">
        <v>0</v>
      </c>
      <c r="DH127" s="408">
        <v>0</v>
      </c>
      <c r="DI127" s="408">
        <v>0</v>
      </c>
      <c r="DJ127" s="408"/>
      <c r="DK127" s="408">
        <v>0</v>
      </c>
      <c r="DL127" s="408">
        <v>0</v>
      </c>
      <c r="DM127" s="408"/>
      <c r="DN127" s="408">
        <v>0</v>
      </c>
      <c r="DO127" s="408">
        <v>0</v>
      </c>
      <c r="DP127" s="408">
        <v>0</v>
      </c>
      <c r="DQ127" s="408">
        <v>0</v>
      </c>
      <c r="DR127" s="408">
        <v>0</v>
      </c>
      <c r="DS127" s="408"/>
      <c r="DT127" s="408"/>
      <c r="DU127" s="408">
        <v>1345.1920347437699</v>
      </c>
      <c r="DV127" s="408"/>
      <c r="DW127" s="408">
        <v>0</v>
      </c>
      <c r="DX127" s="408">
        <v>0</v>
      </c>
      <c r="DY127" s="408">
        <v>-910.20000000000027</v>
      </c>
      <c r="DZ127" s="408"/>
      <c r="EA127" s="408">
        <v>0</v>
      </c>
      <c r="EB127" s="408"/>
      <c r="EC127" s="408">
        <v>-903.53141401385267</v>
      </c>
      <c r="ED127" s="408"/>
      <c r="EE127" s="408">
        <v>0</v>
      </c>
      <c r="EF127" s="408">
        <v>0</v>
      </c>
      <c r="EG127" s="408"/>
      <c r="EH127" s="408">
        <v>0</v>
      </c>
      <c r="EI127" s="408">
        <v>0</v>
      </c>
      <c r="EJ127" s="408">
        <v>0</v>
      </c>
      <c r="EK127" s="408">
        <v>0</v>
      </c>
      <c r="EL127" s="408">
        <v>0</v>
      </c>
      <c r="EM127" s="408"/>
      <c r="EN127" s="408"/>
      <c r="EO127" s="408">
        <v>0</v>
      </c>
      <c r="EP127" s="408">
        <v>0</v>
      </c>
      <c r="EQ127" s="408"/>
      <c r="ER127" s="408">
        <v>0</v>
      </c>
      <c r="ES127" s="408"/>
      <c r="ET127" s="408">
        <v>0</v>
      </c>
      <c r="EU127" s="408"/>
      <c r="EV127" s="408">
        <v>257</v>
      </c>
      <c r="EW127" s="408"/>
      <c r="EX127" s="408"/>
      <c r="EY127" s="408"/>
      <c r="EZ127" s="408"/>
      <c r="FA127" s="408">
        <v>0</v>
      </c>
      <c r="FB127" s="408"/>
      <c r="FC127" s="408"/>
      <c r="FD127" s="408"/>
      <c r="FE127" s="408"/>
      <c r="FF127" s="408">
        <v>0</v>
      </c>
      <c r="FG127" s="408">
        <v>0</v>
      </c>
      <c r="FH127" s="408">
        <v>0</v>
      </c>
      <c r="FI127" s="408">
        <v>0</v>
      </c>
    </row>
    <row r="128" spans="1:165" s="861" customFormat="1">
      <c r="A128" s="408">
        <v>126</v>
      </c>
      <c r="B128" s="408" t="s">
        <v>1035</v>
      </c>
      <c r="C128" s="408" t="s">
        <v>2233</v>
      </c>
      <c r="D128" s="408" t="s">
        <v>2243</v>
      </c>
      <c r="E128" s="408" t="s">
        <v>973</v>
      </c>
      <c r="F128" s="408" t="s">
        <v>1321</v>
      </c>
      <c r="G128" s="408" t="s">
        <v>1321</v>
      </c>
      <c r="H128" s="408" t="s">
        <v>1321</v>
      </c>
      <c r="I128" s="408" t="s">
        <v>1321</v>
      </c>
      <c r="J128" s="408" t="s">
        <v>2234</v>
      </c>
      <c r="K128" s="828">
        <v>44470</v>
      </c>
      <c r="L128" s="408">
        <v>0</v>
      </c>
      <c r="M128" s="408">
        <v>0</v>
      </c>
      <c r="N128" s="408">
        <v>2755.259</v>
      </c>
      <c r="O128" s="408">
        <v>2755.259</v>
      </c>
      <c r="P128" s="408">
        <v>2755.259</v>
      </c>
      <c r="Q128" s="408">
        <v>2755.259</v>
      </c>
      <c r="R128" s="408"/>
      <c r="S128" s="408">
        <v>710.91</v>
      </c>
      <c r="T128" s="408">
        <v>256.55</v>
      </c>
      <c r="U128" s="408"/>
      <c r="V128" s="408">
        <v>2665602.8721400001</v>
      </c>
      <c r="W128" s="408">
        <v>2665602.8721400001</v>
      </c>
      <c r="X128" s="408">
        <v>1819655.7013699999</v>
      </c>
      <c r="Y128" s="408">
        <v>0</v>
      </c>
      <c r="Z128" s="408">
        <v>169378.66919387455</v>
      </c>
      <c r="AA128" s="408">
        <v>0</v>
      </c>
      <c r="AB128" s="408">
        <v>0</v>
      </c>
      <c r="AC128" s="408">
        <v>0</v>
      </c>
      <c r="AD128" s="408">
        <v>339124.96435084892</v>
      </c>
      <c r="AE128" s="408">
        <v>1314010.7396489752</v>
      </c>
      <c r="AF128" s="408">
        <v>706868.64447493188</v>
      </c>
      <c r="AG128" s="408">
        <v>0</v>
      </c>
      <c r="AH128" s="408">
        <v>0</v>
      </c>
      <c r="AI128" s="408">
        <v>0</v>
      </c>
      <c r="AJ128" s="408">
        <v>0</v>
      </c>
      <c r="AK128" s="408">
        <v>0</v>
      </c>
      <c r="AL128" s="408">
        <v>26186.70825050032</v>
      </c>
      <c r="AM128" s="408"/>
      <c r="AN128" s="408">
        <v>6050.0105140098995</v>
      </c>
      <c r="AO128" s="408">
        <v>0</v>
      </c>
      <c r="AP128" s="408">
        <v>0</v>
      </c>
      <c r="AQ128" s="408">
        <v>0</v>
      </c>
      <c r="AR128" s="408">
        <v>0</v>
      </c>
      <c r="AS128" s="408">
        <v>0</v>
      </c>
      <c r="AT128" s="408">
        <v>0</v>
      </c>
      <c r="AU128" s="408">
        <v>0</v>
      </c>
      <c r="AV128" s="408">
        <v>0</v>
      </c>
      <c r="AW128" s="408">
        <v>0</v>
      </c>
      <c r="AX128" s="408">
        <v>0</v>
      </c>
      <c r="AY128" s="408">
        <v>0</v>
      </c>
      <c r="AZ128" s="408">
        <v>0</v>
      </c>
      <c r="BA128" s="408"/>
      <c r="BB128" s="408">
        <v>0</v>
      </c>
      <c r="BC128" s="408">
        <v>0</v>
      </c>
      <c r="BD128" s="408">
        <v>4106.2185024337296</v>
      </c>
      <c r="BE128" s="408">
        <v>0</v>
      </c>
      <c r="BF128" s="408">
        <v>0</v>
      </c>
      <c r="BG128" s="408">
        <v>99887.512898387708</v>
      </c>
      <c r="BH128" s="408">
        <v>0</v>
      </c>
      <c r="BI128" s="408">
        <v>3968.94</v>
      </c>
      <c r="BJ128" s="408">
        <v>19962.25</v>
      </c>
      <c r="BK128" s="408">
        <v>246148.37</v>
      </c>
      <c r="BL128" s="408">
        <v>10202</v>
      </c>
      <c r="BM128" s="408"/>
      <c r="BN128" s="408"/>
      <c r="BO128" s="408"/>
      <c r="BP128" s="408"/>
      <c r="BQ128" s="408"/>
      <c r="BR128" s="408">
        <v>218354.27574999991</v>
      </c>
      <c r="BS128" s="408"/>
      <c r="BT128" s="408"/>
      <c r="BU128" s="408"/>
      <c r="BV128" s="408">
        <v>810862.37587575335</v>
      </c>
      <c r="BW128" s="408"/>
      <c r="BX128" s="408"/>
      <c r="BY128" s="408"/>
      <c r="BZ128" s="408"/>
      <c r="CA128" s="408"/>
      <c r="CB128" s="408"/>
      <c r="CC128" s="408"/>
      <c r="CD128" s="408"/>
      <c r="CE128" s="408"/>
      <c r="CF128" s="408"/>
      <c r="CG128" s="408"/>
      <c r="CH128" s="408"/>
      <c r="CI128" s="408">
        <v>1601302.0068000001</v>
      </c>
      <c r="CJ128" s="408">
        <v>-744442.87802999979</v>
      </c>
      <c r="CK128" s="408"/>
      <c r="CL128" s="408"/>
      <c r="CM128" s="408"/>
      <c r="CN128" s="408"/>
      <c r="CO128" s="408">
        <v>-890003.76217999996</v>
      </c>
      <c r="CP128" s="408">
        <v>44056.591410000023</v>
      </c>
      <c r="CQ128" s="408">
        <v>31</v>
      </c>
      <c r="CR128" s="408">
        <v>36626.446272142697</v>
      </c>
      <c r="CS128" s="408">
        <v>0</v>
      </c>
      <c r="CT128" s="408">
        <v>0</v>
      </c>
      <c r="CU128" s="408">
        <v>0</v>
      </c>
      <c r="CV128" s="408">
        <v>0</v>
      </c>
      <c r="CW128" s="408">
        <v>0</v>
      </c>
      <c r="CX128" s="408">
        <v>0</v>
      </c>
      <c r="CY128" s="408">
        <v>0</v>
      </c>
      <c r="CZ128" s="408">
        <v>-1532.8661682177917</v>
      </c>
      <c r="DA128" s="408">
        <v>0</v>
      </c>
      <c r="DB128" s="408">
        <v>0</v>
      </c>
      <c r="DC128" s="408">
        <v>44036.834453369607</v>
      </c>
      <c r="DD128" s="408">
        <v>0</v>
      </c>
      <c r="DE128" s="408">
        <v>0</v>
      </c>
      <c r="DF128" s="408">
        <v>255.81112676932844</v>
      </c>
      <c r="DG128" s="408">
        <v>6222.8391425291629</v>
      </c>
      <c r="DH128" s="408">
        <v>0</v>
      </c>
      <c r="DI128" s="408">
        <v>-10532.618355114653</v>
      </c>
      <c r="DJ128" s="408"/>
      <c r="DK128" s="408">
        <v>0</v>
      </c>
      <c r="DL128" s="408">
        <v>0</v>
      </c>
      <c r="DM128" s="408">
        <v>0</v>
      </c>
      <c r="DN128" s="408">
        <v>0</v>
      </c>
      <c r="DO128" s="408">
        <v>-1436.9351451404073</v>
      </c>
      <c r="DP128" s="408">
        <v>-386.61878205240191</v>
      </c>
      <c r="DQ128" s="408">
        <v>0</v>
      </c>
      <c r="DR128" s="408">
        <v>0</v>
      </c>
      <c r="DS128" s="408"/>
      <c r="DT128" s="408"/>
      <c r="DU128" s="408"/>
      <c r="DV128" s="408">
        <v>1314010.7396489752</v>
      </c>
      <c r="DW128" s="408">
        <v>0</v>
      </c>
      <c r="DX128" s="408">
        <v>0</v>
      </c>
      <c r="DY128" s="408">
        <v>-890003.76218000008</v>
      </c>
      <c r="DZ128" s="408">
        <v>44056.591409999994</v>
      </c>
      <c r="EA128" s="408">
        <v>0</v>
      </c>
      <c r="EB128" s="408">
        <v>0</v>
      </c>
      <c r="EC128" s="408">
        <v>-882587.72796745924</v>
      </c>
      <c r="ED128" s="408">
        <v>0</v>
      </c>
      <c r="EE128" s="408">
        <v>0</v>
      </c>
      <c r="EF128" s="408">
        <v>0</v>
      </c>
      <c r="EG128" s="408">
        <v>0</v>
      </c>
      <c r="EH128" s="408">
        <v>0</v>
      </c>
      <c r="EI128" s="408">
        <v>0</v>
      </c>
      <c r="EJ128" s="408">
        <v>0</v>
      </c>
      <c r="EK128" s="408">
        <v>0</v>
      </c>
      <c r="EL128" s="408">
        <v>0</v>
      </c>
      <c r="EM128" s="408">
        <v>0</v>
      </c>
      <c r="EN128" s="408">
        <v>0</v>
      </c>
      <c r="EO128" s="408">
        <v>0</v>
      </c>
      <c r="EP128" s="408">
        <v>0</v>
      </c>
      <c r="EQ128" s="408">
        <v>0</v>
      </c>
      <c r="ER128" s="408">
        <v>0</v>
      </c>
      <c r="ES128" s="408">
        <v>0</v>
      </c>
      <c r="ET128" s="408">
        <v>0</v>
      </c>
      <c r="EU128" s="408">
        <v>0</v>
      </c>
      <c r="EV128" s="408">
        <v>257</v>
      </c>
      <c r="EW128" s="408">
        <v>0</v>
      </c>
      <c r="EX128" s="408">
        <v>0</v>
      </c>
      <c r="EY128" s="408">
        <v>0</v>
      </c>
      <c r="EZ128" s="408"/>
      <c r="FA128" s="408">
        <v>0</v>
      </c>
      <c r="FB128" s="408"/>
      <c r="FC128" s="408"/>
      <c r="FD128" s="408"/>
      <c r="FE128" s="408"/>
      <c r="FF128" s="408">
        <v>0</v>
      </c>
      <c r="FG128" s="408">
        <v>0</v>
      </c>
      <c r="FH128" s="408">
        <v>0</v>
      </c>
      <c r="FI128" s="408">
        <v>0</v>
      </c>
    </row>
    <row r="129" spans="1:165" s="861" customFormat="1">
      <c r="A129" s="408">
        <v>127</v>
      </c>
      <c r="B129" s="408" t="s">
        <v>2235</v>
      </c>
      <c r="C129" s="408" t="s">
        <v>2233</v>
      </c>
      <c r="D129" s="408" t="s">
        <v>2243</v>
      </c>
      <c r="E129" s="408" t="s">
        <v>973</v>
      </c>
      <c r="F129" s="408" t="s">
        <v>1321</v>
      </c>
      <c r="G129" s="408" t="s">
        <v>1321</v>
      </c>
      <c r="H129" s="408" t="s">
        <v>1321</v>
      </c>
      <c r="I129" s="408" t="s">
        <v>1321</v>
      </c>
      <c r="J129" s="408" t="s">
        <v>2234</v>
      </c>
      <c r="K129" s="828">
        <v>44470</v>
      </c>
      <c r="L129" s="408">
        <v>0</v>
      </c>
      <c r="M129" s="408">
        <v>0</v>
      </c>
      <c r="N129" s="408">
        <v>-10.776</v>
      </c>
      <c r="O129" s="408">
        <v>-10.776</v>
      </c>
      <c r="P129" s="408">
        <v>-10.776</v>
      </c>
      <c r="Q129" s="408">
        <v>-10.776</v>
      </c>
      <c r="R129" s="408"/>
      <c r="S129" s="408">
        <v>710.91</v>
      </c>
      <c r="T129" s="408">
        <v>256.55</v>
      </c>
      <c r="U129" s="408"/>
      <c r="V129" s="408">
        <v>-10425.348959999999</v>
      </c>
      <c r="W129" s="408">
        <v>-10425.348959999999</v>
      </c>
      <c r="X129" s="408">
        <v>-7116.7936799999989</v>
      </c>
      <c r="Y129" s="408">
        <v>0</v>
      </c>
      <c r="Z129" s="408">
        <v>-662.45116674446649</v>
      </c>
      <c r="AA129" s="408">
        <v>0</v>
      </c>
      <c r="AB129" s="408">
        <v>0</v>
      </c>
      <c r="AC129" s="408">
        <v>0</v>
      </c>
      <c r="AD129" s="408">
        <v>-1326.3401429211367</v>
      </c>
      <c r="AE129" s="408">
        <v>-5139.1828247207823</v>
      </c>
      <c r="AF129" s="408">
        <v>-2764.6099741845924</v>
      </c>
      <c r="AG129" s="408">
        <v>0</v>
      </c>
      <c r="AH129" s="408">
        <v>0</v>
      </c>
      <c r="AI129" s="408">
        <v>0</v>
      </c>
      <c r="AJ129" s="408">
        <v>0</v>
      </c>
      <c r="AK129" s="408">
        <v>0</v>
      </c>
      <c r="AL129" s="408">
        <v>-102.41794622842768</v>
      </c>
      <c r="AM129" s="408"/>
      <c r="AN129" s="408">
        <v>-23.661990868724384</v>
      </c>
      <c r="AO129" s="408">
        <v>0</v>
      </c>
      <c r="AP129" s="408">
        <v>0</v>
      </c>
      <c r="AQ129" s="408">
        <v>0</v>
      </c>
      <c r="AR129" s="408">
        <v>0</v>
      </c>
      <c r="AS129" s="408">
        <v>0</v>
      </c>
      <c r="AT129" s="408">
        <v>0</v>
      </c>
      <c r="AU129" s="408">
        <v>0</v>
      </c>
      <c r="AV129" s="408">
        <v>0</v>
      </c>
      <c r="AW129" s="408">
        <v>0</v>
      </c>
      <c r="AX129" s="408">
        <v>0</v>
      </c>
      <c r="AY129" s="408">
        <v>0</v>
      </c>
      <c r="AZ129" s="408">
        <v>0</v>
      </c>
      <c r="BA129" s="408"/>
      <c r="BB129" s="408">
        <v>0</v>
      </c>
      <c r="BC129" s="408">
        <v>0</v>
      </c>
      <c r="BD129" s="408">
        <v>-16.059691877324735</v>
      </c>
      <c r="BE129" s="408">
        <v>0</v>
      </c>
      <c r="BF129" s="408">
        <v>0</v>
      </c>
      <c r="BG129" s="408">
        <v>-390.6666629137319</v>
      </c>
      <c r="BH129" s="408">
        <v>0</v>
      </c>
      <c r="BI129" s="408">
        <v>-9.6</v>
      </c>
      <c r="BJ129" s="408">
        <v>-3.34</v>
      </c>
      <c r="BK129" s="408">
        <v>-1185.31</v>
      </c>
      <c r="BL129" s="408">
        <v>0</v>
      </c>
      <c r="BM129" s="408"/>
      <c r="BN129" s="408"/>
      <c r="BO129" s="408"/>
      <c r="BP129" s="408"/>
      <c r="BQ129" s="408"/>
      <c r="BR129" s="408">
        <v>-853.99799999999971</v>
      </c>
      <c r="BS129" s="408"/>
      <c r="BT129" s="408"/>
      <c r="BU129" s="408"/>
      <c r="BV129" s="408">
        <v>-3171.3363289756489</v>
      </c>
      <c r="BW129" s="408"/>
      <c r="BX129" s="408"/>
      <c r="BY129" s="408"/>
      <c r="BZ129" s="408"/>
      <c r="CA129" s="408"/>
      <c r="CB129" s="408"/>
      <c r="CC129" s="408"/>
      <c r="CD129" s="408"/>
      <c r="CE129" s="408"/>
      <c r="CF129" s="408"/>
      <c r="CG129" s="408"/>
      <c r="CH129" s="408"/>
      <c r="CI129" s="408">
        <v>-6265.1203999999998</v>
      </c>
      <c r="CJ129" s="408">
        <v>2909.2127199999995</v>
      </c>
      <c r="CK129" s="408"/>
      <c r="CL129" s="408"/>
      <c r="CM129" s="408"/>
      <c r="CN129" s="408"/>
      <c r="CO129" s="408">
        <v>3480.8635199999999</v>
      </c>
      <c r="CP129" s="408">
        <v>-172.3082400000001</v>
      </c>
      <c r="CQ129" s="408">
        <v>31</v>
      </c>
      <c r="CR129" s="408">
        <v>-143.24845142638605</v>
      </c>
      <c r="CS129" s="408">
        <v>0</v>
      </c>
      <c r="CT129" s="408">
        <v>0</v>
      </c>
      <c r="CU129" s="408">
        <v>0</v>
      </c>
      <c r="CV129" s="408">
        <v>0</v>
      </c>
      <c r="CW129" s="408">
        <v>0</v>
      </c>
      <c r="CX129" s="408">
        <v>0</v>
      </c>
      <c r="CY129" s="408">
        <v>0</v>
      </c>
      <c r="CZ129" s="408">
        <v>5.9951408665085637</v>
      </c>
      <c r="DA129" s="408">
        <v>0</v>
      </c>
      <c r="DB129" s="408">
        <v>0</v>
      </c>
      <c r="DC129" s="408">
        <v>-172.23096923719686</v>
      </c>
      <c r="DD129" s="408">
        <v>0</v>
      </c>
      <c r="DE129" s="408">
        <v>0</v>
      </c>
      <c r="DF129" s="408">
        <v>-1.0004942192607942</v>
      </c>
      <c r="DG129" s="408">
        <v>-24.337935054343063</v>
      </c>
      <c r="DH129" s="408">
        <v>0</v>
      </c>
      <c r="DI129" s="408">
        <v>41.193766319142924</v>
      </c>
      <c r="DJ129" s="408"/>
      <c r="DK129" s="408">
        <v>0</v>
      </c>
      <c r="DL129" s="408">
        <v>0</v>
      </c>
      <c r="DM129" s="408">
        <v>0</v>
      </c>
      <c r="DN129" s="408">
        <v>0</v>
      </c>
      <c r="DO129" s="408">
        <v>5.6199482967056866</v>
      </c>
      <c r="DP129" s="408">
        <v>1.5120916020587138</v>
      </c>
      <c r="DQ129" s="408">
        <v>0</v>
      </c>
      <c r="DR129" s="408">
        <v>0</v>
      </c>
      <c r="DS129" s="408"/>
      <c r="DT129" s="408"/>
      <c r="DU129" s="408"/>
      <c r="DV129" s="408">
        <v>-5139.1828247207823</v>
      </c>
      <c r="DW129" s="408">
        <v>0</v>
      </c>
      <c r="DX129" s="408">
        <v>0</v>
      </c>
      <c r="DY129" s="408">
        <v>3480.8635199999999</v>
      </c>
      <c r="DZ129" s="408">
        <v>-172.30823999999984</v>
      </c>
      <c r="EA129" s="408">
        <v>0</v>
      </c>
      <c r="EB129" s="408">
        <v>0</v>
      </c>
      <c r="EC129" s="408">
        <v>3451.8589201876639</v>
      </c>
      <c r="ED129" s="408">
        <v>0</v>
      </c>
      <c r="EE129" s="408">
        <v>0</v>
      </c>
      <c r="EF129" s="408">
        <v>0</v>
      </c>
      <c r="EG129" s="408">
        <v>0</v>
      </c>
      <c r="EH129" s="408">
        <v>0</v>
      </c>
      <c r="EI129" s="408">
        <v>0</v>
      </c>
      <c r="EJ129" s="408">
        <v>0</v>
      </c>
      <c r="EK129" s="408">
        <v>0</v>
      </c>
      <c r="EL129" s="408">
        <v>0</v>
      </c>
      <c r="EM129" s="408">
        <v>0</v>
      </c>
      <c r="EN129" s="408">
        <v>0</v>
      </c>
      <c r="EO129" s="408">
        <v>0</v>
      </c>
      <c r="EP129" s="408">
        <v>0</v>
      </c>
      <c r="EQ129" s="408">
        <v>0</v>
      </c>
      <c r="ER129" s="408">
        <v>0</v>
      </c>
      <c r="ES129" s="408">
        <v>0</v>
      </c>
      <c r="ET129" s="408">
        <v>0</v>
      </c>
      <c r="EU129" s="408">
        <v>0</v>
      </c>
      <c r="EV129" s="408">
        <v>257</v>
      </c>
      <c r="EW129" s="408">
        <v>0</v>
      </c>
      <c r="EX129" s="408">
        <v>0</v>
      </c>
      <c r="EY129" s="408">
        <v>0</v>
      </c>
      <c r="EZ129" s="408"/>
      <c r="FA129" s="408">
        <v>0</v>
      </c>
      <c r="FB129" s="408"/>
      <c r="FC129" s="408"/>
      <c r="FD129" s="408"/>
      <c r="FE129" s="408"/>
      <c r="FF129" s="408">
        <v>0</v>
      </c>
      <c r="FG129" s="408">
        <v>0</v>
      </c>
      <c r="FH129" s="408">
        <v>0</v>
      </c>
      <c r="FI129" s="408">
        <v>0</v>
      </c>
    </row>
    <row r="130" spans="1:165" s="861" customFormat="1">
      <c r="A130" s="408">
        <v>128</v>
      </c>
      <c r="B130" s="408" t="s">
        <v>2236</v>
      </c>
      <c r="C130" s="408" t="s">
        <v>2233</v>
      </c>
      <c r="D130" s="408" t="s">
        <v>2243</v>
      </c>
      <c r="E130" s="408" t="s">
        <v>973</v>
      </c>
      <c r="F130" s="408" t="s">
        <v>1321</v>
      </c>
      <c r="G130" s="408" t="s">
        <v>1321</v>
      </c>
      <c r="H130" s="408" t="s">
        <v>1321</v>
      </c>
      <c r="I130" s="408" t="s">
        <v>1321</v>
      </c>
      <c r="J130" s="408" t="s">
        <v>2234</v>
      </c>
      <c r="K130" s="828">
        <v>44470</v>
      </c>
      <c r="L130" s="408">
        <v>0</v>
      </c>
      <c r="M130" s="408">
        <v>0</v>
      </c>
      <c r="N130" s="408">
        <v>107.623</v>
      </c>
      <c r="O130" s="408">
        <v>107.623</v>
      </c>
      <c r="P130" s="408">
        <v>107.623</v>
      </c>
      <c r="Q130" s="408">
        <v>107.623</v>
      </c>
      <c r="R130" s="408"/>
      <c r="S130" s="408">
        <v>710.91</v>
      </c>
      <c r="T130" s="408">
        <v>256.55</v>
      </c>
      <c r="U130" s="408"/>
      <c r="V130" s="408">
        <v>104120.94758000001</v>
      </c>
      <c r="W130" s="408">
        <v>104120.94758000001</v>
      </c>
      <c r="X130" s="408">
        <v>71077.457890000005</v>
      </c>
      <c r="Y130" s="408">
        <v>0</v>
      </c>
      <c r="Z130" s="408">
        <v>6616.0896360931447</v>
      </c>
      <c r="AA130" s="408">
        <v>0</v>
      </c>
      <c r="AB130" s="408">
        <v>0</v>
      </c>
      <c r="AC130" s="408">
        <v>0</v>
      </c>
      <c r="AD130" s="408">
        <v>13246.539087008305</v>
      </c>
      <c r="AE130" s="408">
        <v>51326.491568756937</v>
      </c>
      <c r="AF130" s="408">
        <v>27610.952046368635</v>
      </c>
      <c r="AG130" s="408">
        <v>0</v>
      </c>
      <c r="AH130" s="408">
        <v>0</v>
      </c>
      <c r="AI130" s="408">
        <v>0</v>
      </c>
      <c r="AJ130" s="408">
        <v>0</v>
      </c>
      <c r="AK130" s="408">
        <v>0</v>
      </c>
      <c r="AL130" s="408">
        <v>1022.8773781497841</v>
      </c>
      <c r="AM130" s="408"/>
      <c r="AN130" s="408">
        <v>236.31908345069826</v>
      </c>
      <c r="AO130" s="408">
        <v>0</v>
      </c>
      <c r="AP130" s="408">
        <v>0</v>
      </c>
      <c r="AQ130" s="408">
        <v>0</v>
      </c>
      <c r="AR130" s="408">
        <v>0</v>
      </c>
      <c r="AS130" s="408">
        <v>0</v>
      </c>
      <c r="AT130" s="408">
        <v>0</v>
      </c>
      <c r="AU130" s="408">
        <v>0</v>
      </c>
      <c r="AV130" s="408">
        <v>0</v>
      </c>
      <c r="AW130" s="408">
        <v>0</v>
      </c>
      <c r="AX130" s="408">
        <v>0</v>
      </c>
      <c r="AY130" s="408">
        <v>0</v>
      </c>
      <c r="AZ130" s="408">
        <v>0</v>
      </c>
      <c r="BA130" s="408"/>
      <c r="BB130" s="408">
        <v>0</v>
      </c>
      <c r="BC130" s="408">
        <v>0</v>
      </c>
      <c r="BD130" s="408">
        <v>160.39274488802153</v>
      </c>
      <c r="BE130" s="408">
        <v>0</v>
      </c>
      <c r="BF130" s="408">
        <v>0</v>
      </c>
      <c r="BG130" s="408">
        <v>3901.699913025665</v>
      </c>
      <c r="BH130" s="408">
        <v>0</v>
      </c>
      <c r="BI130" s="408">
        <v>144.83000000000001</v>
      </c>
      <c r="BJ130" s="408">
        <v>723.45</v>
      </c>
      <c r="BK130" s="408">
        <v>2870.88</v>
      </c>
      <c r="BL130" s="408">
        <v>146</v>
      </c>
      <c r="BM130" s="408"/>
      <c r="BN130" s="408"/>
      <c r="BO130" s="408"/>
      <c r="BP130" s="408"/>
      <c r="BQ130" s="408"/>
      <c r="BR130" s="408">
        <v>8529.1227499999968</v>
      </c>
      <c r="BS130" s="408"/>
      <c r="BT130" s="408"/>
      <c r="BU130" s="408"/>
      <c r="BV130" s="408">
        <v>31673.044704282322</v>
      </c>
      <c r="BW130" s="408"/>
      <c r="BX130" s="408"/>
      <c r="BY130" s="408"/>
      <c r="BZ130" s="408"/>
      <c r="CA130" s="408"/>
      <c r="CB130" s="408"/>
      <c r="CC130" s="408"/>
      <c r="CD130" s="408"/>
      <c r="CE130" s="408"/>
      <c r="CF130" s="408"/>
      <c r="CG130" s="408"/>
      <c r="CH130" s="408"/>
      <c r="CI130" s="408">
        <v>62546.591600000014</v>
      </c>
      <c r="CJ130" s="408">
        <v>-29080.43190999997</v>
      </c>
      <c r="CK130" s="408"/>
      <c r="CL130" s="408"/>
      <c r="CM130" s="408"/>
      <c r="CN130" s="408"/>
      <c r="CO130" s="408">
        <v>-34764.381459999997</v>
      </c>
      <c r="CP130" s="408">
        <v>1720.8917700000011</v>
      </c>
      <c r="CQ130" s="408">
        <v>31</v>
      </c>
      <c r="CR130" s="408">
        <v>1430.6633340628978</v>
      </c>
      <c r="CS130" s="408">
        <v>0</v>
      </c>
      <c r="CT130" s="408">
        <v>0</v>
      </c>
      <c r="CU130" s="408">
        <v>0</v>
      </c>
      <c r="CV130" s="408">
        <v>0</v>
      </c>
      <c r="CW130" s="408">
        <v>0</v>
      </c>
      <c r="CX130" s="408">
        <v>0</v>
      </c>
      <c r="CY130" s="408">
        <v>0</v>
      </c>
      <c r="CZ130" s="408">
        <v>-59.875189817763385</v>
      </c>
      <c r="DA130" s="408">
        <v>0</v>
      </c>
      <c r="DB130" s="408">
        <v>0</v>
      </c>
      <c r="DC130" s="408">
        <v>1720.1200447489646</v>
      </c>
      <c r="DD130" s="408">
        <v>0</v>
      </c>
      <c r="DE130" s="408">
        <v>0</v>
      </c>
      <c r="DF130" s="408">
        <v>9.9922224721143778</v>
      </c>
      <c r="DG130" s="408">
        <v>243.06993173288492</v>
      </c>
      <c r="DH130" s="408">
        <v>0</v>
      </c>
      <c r="DI130" s="408">
        <v>-411.41394882749864</v>
      </c>
      <c r="DJ130" s="408"/>
      <c r="DK130" s="408">
        <v>0</v>
      </c>
      <c r="DL130" s="408">
        <v>0</v>
      </c>
      <c r="DM130" s="408">
        <v>0</v>
      </c>
      <c r="DN130" s="408">
        <v>0</v>
      </c>
      <c r="DO130" s="408">
        <v>-56.128034106937434</v>
      </c>
      <c r="DP130" s="408">
        <v>-15.101692138860869</v>
      </c>
      <c r="DQ130" s="408">
        <v>0</v>
      </c>
      <c r="DR130" s="408">
        <v>0</v>
      </c>
      <c r="DS130" s="408"/>
      <c r="DT130" s="408"/>
      <c r="DU130" s="408"/>
      <c r="DV130" s="408">
        <v>51326.491568756937</v>
      </c>
      <c r="DW130" s="408">
        <v>0</v>
      </c>
      <c r="DX130" s="408">
        <v>0</v>
      </c>
      <c r="DY130" s="408">
        <v>-34764.381459999997</v>
      </c>
      <c r="DZ130" s="408">
        <v>1720.891770000002</v>
      </c>
      <c r="EA130" s="408">
        <v>0</v>
      </c>
      <c r="EB130" s="408">
        <v>0</v>
      </c>
      <c r="EC130" s="408">
        <v>-34474.704210036834</v>
      </c>
      <c r="ED130" s="408">
        <v>0</v>
      </c>
      <c r="EE130" s="408">
        <v>0</v>
      </c>
      <c r="EF130" s="408">
        <v>0</v>
      </c>
      <c r="EG130" s="408">
        <v>0</v>
      </c>
      <c r="EH130" s="408">
        <v>0</v>
      </c>
      <c r="EI130" s="408">
        <v>0</v>
      </c>
      <c r="EJ130" s="408">
        <v>0</v>
      </c>
      <c r="EK130" s="408">
        <v>0</v>
      </c>
      <c r="EL130" s="408">
        <v>0</v>
      </c>
      <c r="EM130" s="408">
        <v>0</v>
      </c>
      <c r="EN130" s="408">
        <v>0</v>
      </c>
      <c r="EO130" s="408">
        <v>0</v>
      </c>
      <c r="EP130" s="408">
        <v>0</v>
      </c>
      <c r="EQ130" s="408">
        <v>0</v>
      </c>
      <c r="ER130" s="408">
        <v>0</v>
      </c>
      <c r="ES130" s="408">
        <v>0</v>
      </c>
      <c r="ET130" s="408">
        <v>0</v>
      </c>
      <c r="EU130" s="408">
        <v>0</v>
      </c>
      <c r="EV130" s="408">
        <v>257</v>
      </c>
      <c r="EW130" s="408">
        <v>0</v>
      </c>
      <c r="EX130" s="408">
        <v>0</v>
      </c>
      <c r="EY130" s="408">
        <v>0</v>
      </c>
      <c r="EZ130" s="408"/>
      <c r="FA130" s="408">
        <v>0</v>
      </c>
      <c r="FB130" s="408"/>
      <c r="FC130" s="408"/>
      <c r="FD130" s="408"/>
      <c r="FE130" s="408"/>
      <c r="FF130" s="408">
        <v>0</v>
      </c>
      <c r="FG130" s="408">
        <v>0</v>
      </c>
      <c r="FH130" s="408">
        <v>0</v>
      </c>
      <c r="FI130" s="408">
        <v>0</v>
      </c>
    </row>
    <row r="131" spans="1:165" s="861" customFormat="1">
      <c r="A131" s="408">
        <v>129</v>
      </c>
      <c r="B131" s="408" t="s">
        <v>2236</v>
      </c>
      <c r="C131" s="408" t="s">
        <v>2233</v>
      </c>
      <c r="D131" s="408" t="s">
        <v>2243</v>
      </c>
      <c r="E131" s="408" t="s">
        <v>973</v>
      </c>
      <c r="F131" s="408" t="s">
        <v>1321</v>
      </c>
      <c r="G131" s="408" t="s">
        <v>1321</v>
      </c>
      <c r="H131" s="408" t="s">
        <v>1321</v>
      </c>
      <c r="I131" s="408" t="s">
        <v>1321</v>
      </c>
      <c r="J131" s="408" t="s">
        <v>2234</v>
      </c>
      <c r="K131" s="828">
        <v>44470</v>
      </c>
      <c r="L131" s="408">
        <v>0</v>
      </c>
      <c r="M131" s="408">
        <v>0</v>
      </c>
      <c r="N131" s="408">
        <v>-0.999</v>
      </c>
      <c r="O131" s="408">
        <v>-0.999</v>
      </c>
      <c r="P131" s="408">
        <v>-0.999</v>
      </c>
      <c r="Q131" s="408">
        <v>-0.999</v>
      </c>
      <c r="R131" s="408"/>
      <c r="S131" s="408">
        <v>710.91</v>
      </c>
      <c r="T131" s="408">
        <v>256.55</v>
      </c>
      <c r="U131" s="408"/>
      <c r="V131" s="408">
        <v>-966.49253999999996</v>
      </c>
      <c r="W131" s="408">
        <v>-966.49253999999996</v>
      </c>
      <c r="X131" s="408">
        <v>-659.76956999999993</v>
      </c>
      <c r="Y131" s="408">
        <v>0</v>
      </c>
      <c r="Z131" s="408">
        <v>-61.413206716566634</v>
      </c>
      <c r="AA131" s="408">
        <v>0</v>
      </c>
      <c r="AB131" s="408">
        <v>0</v>
      </c>
      <c r="AC131" s="408">
        <v>0</v>
      </c>
      <c r="AD131" s="408">
        <v>-122.95970701356862</v>
      </c>
      <c r="AE131" s="408">
        <v>-476.4331516236137</v>
      </c>
      <c r="AF131" s="408">
        <v>-256.29596921031998</v>
      </c>
      <c r="AG131" s="408">
        <v>0</v>
      </c>
      <c r="AH131" s="408">
        <v>0</v>
      </c>
      <c r="AI131" s="408">
        <v>0</v>
      </c>
      <c r="AJ131" s="408">
        <v>0</v>
      </c>
      <c r="AK131" s="408">
        <v>0</v>
      </c>
      <c r="AL131" s="408">
        <v>-9.4947594916665974</v>
      </c>
      <c r="AM131" s="408"/>
      <c r="AN131" s="408">
        <v>-2.193608841671832</v>
      </c>
      <c r="AO131" s="408">
        <v>0</v>
      </c>
      <c r="AP131" s="408">
        <v>0</v>
      </c>
      <c r="AQ131" s="408">
        <v>0</v>
      </c>
      <c r="AR131" s="408">
        <v>0</v>
      </c>
      <c r="AS131" s="408">
        <v>0</v>
      </c>
      <c r="AT131" s="408">
        <v>0</v>
      </c>
      <c r="AU131" s="408">
        <v>0</v>
      </c>
      <c r="AV131" s="408">
        <v>0</v>
      </c>
      <c r="AW131" s="408">
        <v>0</v>
      </c>
      <c r="AX131" s="408">
        <v>0</v>
      </c>
      <c r="AY131" s="408">
        <v>0</v>
      </c>
      <c r="AZ131" s="408">
        <v>0</v>
      </c>
      <c r="BA131" s="408"/>
      <c r="BB131" s="408">
        <v>0</v>
      </c>
      <c r="BC131" s="408">
        <v>0</v>
      </c>
      <c r="BD131" s="408">
        <v>-1.4888300097853944</v>
      </c>
      <c r="BE131" s="408">
        <v>0</v>
      </c>
      <c r="BF131" s="408">
        <v>0</v>
      </c>
      <c r="BG131" s="408">
        <v>-36.217148872570355</v>
      </c>
      <c r="BH131" s="408">
        <v>0</v>
      </c>
      <c r="BI131" s="408">
        <v>-0.77</v>
      </c>
      <c r="BJ131" s="408">
        <v>-0.27</v>
      </c>
      <c r="BK131" s="408">
        <v>4.3</v>
      </c>
      <c r="BL131" s="408">
        <v>2</v>
      </c>
      <c r="BM131" s="408"/>
      <c r="BN131" s="408"/>
      <c r="BO131" s="408"/>
      <c r="BP131" s="408"/>
      <c r="BQ131" s="408"/>
      <c r="BR131" s="408">
        <v>-79.17074999999997</v>
      </c>
      <c r="BS131" s="408"/>
      <c r="BT131" s="408"/>
      <c r="BU131" s="408"/>
      <c r="BV131" s="408">
        <v>-294.00194809267572</v>
      </c>
      <c r="BW131" s="408"/>
      <c r="BX131" s="408"/>
      <c r="BY131" s="408"/>
      <c r="BZ131" s="408"/>
      <c r="CA131" s="408"/>
      <c r="CB131" s="408"/>
      <c r="CC131" s="408"/>
      <c r="CD131" s="408"/>
      <c r="CE131" s="408"/>
      <c r="CF131" s="408"/>
      <c r="CG131" s="408"/>
      <c r="CH131" s="408"/>
      <c r="CI131" s="408">
        <v>-581.18000000000006</v>
      </c>
      <c r="CJ131" s="408">
        <v>269.30862999999999</v>
      </c>
      <c r="CK131" s="408"/>
      <c r="CL131" s="408"/>
      <c r="CM131" s="408"/>
      <c r="CN131" s="408"/>
      <c r="CO131" s="408">
        <v>322.69698</v>
      </c>
      <c r="CP131" s="408">
        <v>-15.974010000000009</v>
      </c>
      <c r="CQ131" s="408">
        <v>31</v>
      </c>
      <c r="CR131" s="408">
        <v>-13.279992852167652</v>
      </c>
      <c r="CS131" s="408">
        <v>0</v>
      </c>
      <c r="CT131" s="408">
        <v>0</v>
      </c>
      <c r="CU131" s="408">
        <v>0</v>
      </c>
      <c r="CV131" s="408">
        <v>0</v>
      </c>
      <c r="CW131" s="408">
        <v>0</v>
      </c>
      <c r="CX131" s="408">
        <v>0</v>
      </c>
      <c r="CY131" s="408">
        <v>0</v>
      </c>
      <c r="CZ131" s="408">
        <v>0.55578560928375964</v>
      </c>
      <c r="DA131" s="408">
        <v>0</v>
      </c>
      <c r="DB131" s="408">
        <v>0</v>
      </c>
      <c r="DC131" s="408">
        <v>-15.966846535630964</v>
      </c>
      <c r="DD131" s="408">
        <v>0</v>
      </c>
      <c r="DE131" s="408">
        <v>0</v>
      </c>
      <c r="DF131" s="408">
        <v>-9.2751830460424456E-2</v>
      </c>
      <c r="DG131" s="408">
        <v>-2.2562729323764614</v>
      </c>
      <c r="DH131" s="408">
        <v>0</v>
      </c>
      <c r="DI131" s="408">
        <v>3.8189098508559596</v>
      </c>
      <c r="DJ131" s="408"/>
      <c r="DK131" s="408">
        <v>0</v>
      </c>
      <c r="DL131" s="408">
        <v>0</v>
      </c>
      <c r="DM131" s="408">
        <v>0</v>
      </c>
      <c r="DN131" s="408">
        <v>0</v>
      </c>
      <c r="DO131" s="408">
        <v>0.5210030018939289</v>
      </c>
      <c r="DP131" s="408">
        <v>0.14017998426657918</v>
      </c>
      <c r="DQ131" s="408">
        <v>0</v>
      </c>
      <c r="DR131" s="408">
        <v>0</v>
      </c>
      <c r="DS131" s="408"/>
      <c r="DT131" s="408"/>
      <c r="DU131" s="408"/>
      <c r="DV131" s="408">
        <v>-476.4331516236137</v>
      </c>
      <c r="DW131" s="408">
        <v>0</v>
      </c>
      <c r="DX131" s="408">
        <v>0</v>
      </c>
      <c r="DY131" s="408">
        <v>322.69698</v>
      </c>
      <c r="DZ131" s="408">
        <v>-15.974010000000021</v>
      </c>
      <c r="EA131" s="408">
        <v>0</v>
      </c>
      <c r="EB131" s="408">
        <v>0</v>
      </c>
      <c r="EC131" s="408">
        <v>320.00807918220823</v>
      </c>
      <c r="ED131" s="408">
        <v>0</v>
      </c>
      <c r="EE131" s="408">
        <v>0</v>
      </c>
      <c r="EF131" s="408">
        <v>0</v>
      </c>
      <c r="EG131" s="408">
        <v>0</v>
      </c>
      <c r="EH131" s="408">
        <v>0</v>
      </c>
      <c r="EI131" s="408">
        <v>0</v>
      </c>
      <c r="EJ131" s="408">
        <v>0</v>
      </c>
      <c r="EK131" s="408">
        <v>0</v>
      </c>
      <c r="EL131" s="408">
        <v>0</v>
      </c>
      <c r="EM131" s="408">
        <v>0</v>
      </c>
      <c r="EN131" s="408">
        <v>0</v>
      </c>
      <c r="EO131" s="408">
        <v>0</v>
      </c>
      <c r="EP131" s="408">
        <v>0</v>
      </c>
      <c r="EQ131" s="408">
        <v>0</v>
      </c>
      <c r="ER131" s="408">
        <v>0</v>
      </c>
      <c r="ES131" s="408">
        <v>0</v>
      </c>
      <c r="ET131" s="408">
        <v>0</v>
      </c>
      <c r="EU131" s="408">
        <v>0</v>
      </c>
      <c r="EV131" s="408">
        <v>257</v>
      </c>
      <c r="EW131" s="408">
        <v>0</v>
      </c>
      <c r="EX131" s="408">
        <v>0</v>
      </c>
      <c r="EY131" s="408">
        <v>0</v>
      </c>
      <c r="EZ131" s="408"/>
      <c r="FA131" s="408">
        <v>0</v>
      </c>
      <c r="FB131" s="408"/>
      <c r="FC131" s="408"/>
      <c r="FD131" s="408"/>
      <c r="FE131" s="408"/>
      <c r="FF131" s="408">
        <v>0</v>
      </c>
      <c r="FG131" s="408">
        <v>0</v>
      </c>
      <c r="FH131" s="408">
        <v>0</v>
      </c>
      <c r="FI131" s="408">
        <v>0</v>
      </c>
    </row>
    <row r="132" spans="1:165" s="861" customFormat="1">
      <c r="A132" s="408">
        <v>130</v>
      </c>
      <c r="B132" s="408" t="s">
        <v>1035</v>
      </c>
      <c r="C132" s="408" t="s">
        <v>2241</v>
      </c>
      <c r="D132" s="408" t="s">
        <v>596</v>
      </c>
      <c r="E132" s="408" t="s">
        <v>973</v>
      </c>
      <c r="F132" s="408" t="s">
        <v>1321</v>
      </c>
      <c r="G132" s="408" t="s">
        <v>1321</v>
      </c>
      <c r="H132" s="408" t="s">
        <v>1321</v>
      </c>
      <c r="I132" s="408" t="s">
        <v>972</v>
      </c>
      <c r="J132" s="408" t="s">
        <v>2234</v>
      </c>
      <c r="K132" s="828">
        <v>44470</v>
      </c>
      <c r="L132" s="408">
        <v>0</v>
      </c>
      <c r="M132" s="408">
        <v>0</v>
      </c>
      <c r="N132" s="408">
        <v>15.499000000000001</v>
      </c>
      <c r="O132" s="408">
        <v>14.87904</v>
      </c>
      <c r="P132" s="408">
        <v>15.499000000000001</v>
      </c>
      <c r="Q132" s="408">
        <v>14.87904</v>
      </c>
      <c r="R132" s="408"/>
      <c r="S132" s="408">
        <v>3130.62</v>
      </c>
      <c r="T132" s="408">
        <v>256.55</v>
      </c>
      <c r="U132" s="408"/>
      <c r="V132" s="408">
        <v>52497.74783</v>
      </c>
      <c r="W132" s="408">
        <v>52497.74783</v>
      </c>
      <c r="X132" s="408">
        <v>27628.982370000002</v>
      </c>
      <c r="Y132" s="408">
        <v>0</v>
      </c>
      <c r="Z132" s="408">
        <v>828.93259567873645</v>
      </c>
      <c r="AA132" s="408">
        <v>0</v>
      </c>
      <c r="AB132" s="408">
        <v>0</v>
      </c>
      <c r="AC132" s="408">
        <v>0</v>
      </c>
      <c r="AD132" s="408">
        <v>9984.6697989218083</v>
      </c>
      <c r="AE132" s="408">
        <v>37261.900128125126</v>
      </c>
      <c r="AF132" s="408">
        <v>3976.3075343250744</v>
      </c>
      <c r="AG132" s="408">
        <v>0</v>
      </c>
      <c r="AH132" s="408">
        <v>0</v>
      </c>
      <c r="AI132" s="408">
        <v>0</v>
      </c>
      <c r="AJ132" s="408">
        <v>0</v>
      </c>
      <c r="AK132" s="408">
        <v>0</v>
      </c>
      <c r="AL132" s="408">
        <v>147.30658394528589</v>
      </c>
      <c r="AM132" s="408"/>
      <c r="AN132" s="408">
        <v>20.909003364633499</v>
      </c>
      <c r="AO132" s="408">
        <v>0</v>
      </c>
      <c r="AP132" s="408">
        <v>0</v>
      </c>
      <c r="AQ132" s="408">
        <v>0</v>
      </c>
      <c r="AR132" s="408">
        <v>0</v>
      </c>
      <c r="AS132" s="408">
        <v>0</v>
      </c>
      <c r="AT132" s="408">
        <v>0</v>
      </c>
      <c r="AU132" s="408">
        <v>0</v>
      </c>
      <c r="AV132" s="408">
        <v>0</v>
      </c>
      <c r="AW132" s="408">
        <v>0</v>
      </c>
      <c r="AX132" s="408">
        <v>0</v>
      </c>
      <c r="AY132" s="408">
        <v>0</v>
      </c>
      <c r="AZ132" s="408">
        <v>0</v>
      </c>
      <c r="BA132" s="408"/>
      <c r="BB132" s="408">
        <v>0</v>
      </c>
      <c r="BC132" s="408">
        <v>0</v>
      </c>
      <c r="BD132" s="408">
        <v>19.095158841479513</v>
      </c>
      <c r="BE132" s="408">
        <v>0</v>
      </c>
      <c r="BF132" s="408">
        <v>0</v>
      </c>
      <c r="BG132" s="408">
        <v>258.66727777452957</v>
      </c>
      <c r="BH132" s="408">
        <v>0</v>
      </c>
      <c r="BI132" s="408">
        <v>0</v>
      </c>
      <c r="BJ132" s="408">
        <v>0</v>
      </c>
      <c r="BK132" s="408">
        <v>0</v>
      </c>
      <c r="BL132" s="408">
        <v>0</v>
      </c>
      <c r="BM132" s="408"/>
      <c r="BN132" s="408"/>
      <c r="BO132" s="408"/>
      <c r="BP132" s="408"/>
      <c r="BQ132" s="408"/>
      <c r="BR132" s="408">
        <v>1105.1592948000014</v>
      </c>
      <c r="BS132" s="408"/>
      <c r="BT132" s="408"/>
      <c r="BU132" s="408"/>
      <c r="BV132" s="408">
        <v>4254.0699709410837</v>
      </c>
      <c r="BW132" s="408"/>
      <c r="BX132" s="408"/>
      <c r="BY132" s="408"/>
      <c r="BZ132" s="408"/>
      <c r="CA132" s="408"/>
      <c r="CB132" s="408"/>
      <c r="CC132" s="408"/>
      <c r="CD132" s="408"/>
      <c r="CE132" s="408"/>
      <c r="CF132" s="408"/>
      <c r="CG132" s="408"/>
      <c r="CH132" s="408"/>
      <c r="CI132" s="408">
        <v>26525.5344</v>
      </c>
      <c r="CJ132" s="408">
        <v>-23872.333516800001</v>
      </c>
      <c r="CK132" s="408"/>
      <c r="CL132" s="408"/>
      <c r="CM132" s="408"/>
      <c r="CN132" s="408"/>
      <c r="CO132" s="408">
        <v>-25116.59447</v>
      </c>
      <c r="CP132" s="408">
        <v>247.82901000000015</v>
      </c>
      <c r="CQ132" s="408">
        <v>31</v>
      </c>
      <c r="CR132" s="408">
        <v>158.92521451216635</v>
      </c>
      <c r="CS132" s="408">
        <v>0</v>
      </c>
      <c r="CT132" s="408">
        <v>0</v>
      </c>
      <c r="CU132" s="408">
        <v>0</v>
      </c>
      <c r="CV132" s="408">
        <v>0</v>
      </c>
      <c r="CW132" s="408">
        <v>0</v>
      </c>
      <c r="CX132" s="408">
        <v>0</v>
      </c>
      <c r="CY132" s="408">
        <v>0</v>
      </c>
      <c r="CZ132" s="408">
        <v>-45.131335479511108</v>
      </c>
      <c r="DA132" s="408">
        <v>0</v>
      </c>
      <c r="DB132" s="408">
        <v>0</v>
      </c>
      <c r="DC132" s="408">
        <v>247.71787232807264</v>
      </c>
      <c r="DD132" s="408">
        <v>0</v>
      </c>
      <c r="DE132" s="408">
        <v>0</v>
      </c>
      <c r="DF132" s="408">
        <v>1.1895991643365136</v>
      </c>
      <c r="DG132" s="408">
        <v>16.114575429105344</v>
      </c>
      <c r="DH132" s="408">
        <v>0</v>
      </c>
      <c r="DI132" s="408">
        <v>-51.546223110333131</v>
      </c>
      <c r="DJ132" s="408"/>
      <c r="DK132" s="408">
        <v>0</v>
      </c>
      <c r="DL132" s="408">
        <v>0</v>
      </c>
      <c r="DM132" s="408">
        <v>0</v>
      </c>
      <c r="DN132" s="408">
        <v>0</v>
      </c>
      <c r="DO132" s="408">
        <v>-8.0831086349890029</v>
      </c>
      <c r="DP132" s="408">
        <v>-1.336165184514126</v>
      </c>
      <c r="DQ132" s="408">
        <v>0</v>
      </c>
      <c r="DR132" s="408">
        <v>0</v>
      </c>
      <c r="DS132" s="408"/>
      <c r="DT132" s="408"/>
      <c r="DU132" s="408"/>
      <c r="DV132" s="408">
        <v>37261.900128125126</v>
      </c>
      <c r="DW132" s="408">
        <v>0</v>
      </c>
      <c r="DX132" s="408">
        <v>0</v>
      </c>
      <c r="DY132" s="408">
        <v>-25116.594469999996</v>
      </c>
      <c r="DZ132" s="408">
        <v>247.82901000000038</v>
      </c>
      <c r="EA132" s="408">
        <v>0</v>
      </c>
      <c r="EB132" s="408">
        <v>0</v>
      </c>
      <c r="EC132" s="408">
        <v>-25027.874416473722</v>
      </c>
      <c r="ED132" s="408">
        <v>0</v>
      </c>
      <c r="EE132" s="408">
        <v>0</v>
      </c>
      <c r="EF132" s="408">
        <v>0</v>
      </c>
      <c r="EG132" s="408">
        <v>0</v>
      </c>
      <c r="EH132" s="408">
        <v>0</v>
      </c>
      <c r="EI132" s="408">
        <v>0</v>
      </c>
      <c r="EJ132" s="408">
        <v>0</v>
      </c>
      <c r="EK132" s="408">
        <v>0</v>
      </c>
      <c r="EL132" s="408">
        <v>0</v>
      </c>
      <c r="EM132" s="408">
        <v>0</v>
      </c>
      <c r="EN132" s="408">
        <v>0</v>
      </c>
      <c r="EO132" s="408">
        <v>0</v>
      </c>
      <c r="EP132" s="408">
        <v>0</v>
      </c>
      <c r="EQ132" s="408">
        <v>0</v>
      </c>
      <c r="ER132" s="408">
        <v>0</v>
      </c>
      <c r="ES132" s="408">
        <v>0</v>
      </c>
      <c r="ET132" s="408">
        <v>0</v>
      </c>
      <c r="EU132" s="408">
        <v>0</v>
      </c>
      <c r="EV132" s="408">
        <v>257</v>
      </c>
      <c r="EW132" s="408">
        <v>0</v>
      </c>
      <c r="EX132" s="408">
        <v>0</v>
      </c>
      <c r="EY132" s="408">
        <v>0</v>
      </c>
      <c r="EZ132" s="408"/>
      <c r="FA132" s="408">
        <v>0</v>
      </c>
      <c r="FB132" s="408"/>
      <c r="FC132" s="408"/>
      <c r="FD132" s="408"/>
      <c r="FE132" s="408"/>
      <c r="FF132" s="408">
        <v>0</v>
      </c>
      <c r="FG132" s="408">
        <v>0</v>
      </c>
      <c r="FH132" s="408">
        <v>0</v>
      </c>
      <c r="FI132" s="408">
        <v>0</v>
      </c>
    </row>
    <row r="133" spans="1:165">
      <c r="A133" s="408">
        <v>131</v>
      </c>
      <c r="B133" s="408" t="s">
        <v>1035</v>
      </c>
      <c r="C133" s="408" t="s">
        <v>2241</v>
      </c>
      <c r="D133" s="408" t="s">
        <v>596</v>
      </c>
      <c r="E133" s="408" t="s">
        <v>973</v>
      </c>
      <c r="F133" s="408" t="s">
        <v>1321</v>
      </c>
      <c r="G133" s="408" t="s">
        <v>1321</v>
      </c>
      <c r="H133" s="408" t="s">
        <v>1321</v>
      </c>
      <c r="I133" s="408" t="s">
        <v>2242</v>
      </c>
      <c r="J133" s="408" t="s">
        <v>2234</v>
      </c>
      <c r="K133" s="828">
        <v>44470</v>
      </c>
      <c r="L133" s="408">
        <v>0</v>
      </c>
      <c r="M133" s="408">
        <v>0</v>
      </c>
      <c r="N133" s="408">
        <v>182.27</v>
      </c>
      <c r="O133" s="408">
        <v>174.97919999999999</v>
      </c>
      <c r="P133" s="408">
        <v>182.27</v>
      </c>
      <c r="Q133" s="408">
        <v>174.97919999999999</v>
      </c>
      <c r="R133" s="408"/>
      <c r="S133" s="408">
        <v>82.26</v>
      </c>
      <c r="T133" s="408">
        <v>256.55</v>
      </c>
      <c r="U133" s="408"/>
      <c r="V133" s="408">
        <v>61754.898700000005</v>
      </c>
      <c r="W133" s="408">
        <v>61754.898700000005</v>
      </c>
      <c r="X133" s="408">
        <v>64155.394600000007</v>
      </c>
      <c r="Y133" s="408">
        <v>0</v>
      </c>
      <c r="Z133" s="408">
        <v>9748.3414552140966</v>
      </c>
      <c r="AA133" s="408">
        <v>0</v>
      </c>
      <c r="AB133" s="408">
        <v>0</v>
      </c>
      <c r="AC133" s="408">
        <v>0</v>
      </c>
      <c r="AD133" s="408">
        <v>0</v>
      </c>
      <c r="AE133" s="408">
        <v>0</v>
      </c>
      <c r="AF133" s="408">
        <v>46761.828136101125</v>
      </c>
      <c r="AG133" s="408">
        <v>0</v>
      </c>
      <c r="AH133" s="408">
        <v>0</v>
      </c>
      <c r="AI133" s="408">
        <v>0</v>
      </c>
      <c r="AJ133" s="408">
        <v>0</v>
      </c>
      <c r="AK133" s="408">
        <v>0</v>
      </c>
      <c r="AL133" s="408">
        <v>1732.3421547007717</v>
      </c>
      <c r="AM133" s="408"/>
      <c r="AN133" s="408">
        <v>245.89225390488085</v>
      </c>
      <c r="AO133" s="408">
        <v>0</v>
      </c>
      <c r="AP133" s="408">
        <v>0</v>
      </c>
      <c r="AQ133" s="408">
        <v>0</v>
      </c>
      <c r="AR133" s="408">
        <v>0</v>
      </c>
      <c r="AS133" s="408">
        <v>0</v>
      </c>
      <c r="AT133" s="408">
        <v>0</v>
      </c>
      <c r="AU133" s="408">
        <v>0</v>
      </c>
      <c r="AV133" s="408">
        <v>0</v>
      </c>
      <c r="AW133" s="408">
        <v>0</v>
      </c>
      <c r="AX133" s="408">
        <v>0</v>
      </c>
      <c r="AY133" s="408">
        <v>0</v>
      </c>
      <c r="AZ133" s="408">
        <v>0</v>
      </c>
      <c r="BA133" s="408"/>
      <c r="BB133" s="408">
        <v>0</v>
      </c>
      <c r="BC133" s="408">
        <v>0</v>
      </c>
      <c r="BD133" s="408">
        <v>224.56123634018138</v>
      </c>
      <c r="BE133" s="408">
        <v>0</v>
      </c>
      <c r="BF133" s="408">
        <v>0</v>
      </c>
      <c r="BG133" s="408">
        <v>3041.9565597756955</v>
      </c>
      <c r="BH133" s="408">
        <v>0</v>
      </c>
      <c r="BI133" s="408">
        <v>0</v>
      </c>
      <c r="BJ133" s="408">
        <v>0</v>
      </c>
      <c r="BK133" s="408">
        <v>0</v>
      </c>
      <c r="BL133" s="408">
        <v>0</v>
      </c>
      <c r="BM133" s="408"/>
      <c r="BN133" s="408"/>
      <c r="BO133" s="408"/>
      <c r="BP133" s="408"/>
      <c r="BQ133" s="408"/>
      <c r="BR133" s="408">
        <v>2566.2157840000068</v>
      </c>
      <c r="BS133" s="408"/>
      <c r="BT133" s="408"/>
      <c r="BU133" s="408"/>
      <c r="BV133" s="408">
        <v>50028.345932217002</v>
      </c>
      <c r="BW133" s="408"/>
      <c r="BX133" s="408"/>
      <c r="BY133" s="408"/>
      <c r="BZ133" s="408"/>
      <c r="CA133" s="408"/>
      <c r="CB133" s="408"/>
      <c r="CC133" s="408"/>
      <c r="CD133" s="408"/>
      <c r="CE133" s="408"/>
      <c r="CF133" s="408"/>
      <c r="CG133" s="408"/>
      <c r="CH133" s="408"/>
      <c r="CI133" s="408">
        <v>61589.460399999996</v>
      </c>
      <c r="CJ133" s="408">
        <v>2304.7276479999928</v>
      </c>
      <c r="CK133" s="408"/>
      <c r="CL133" s="408"/>
      <c r="CM133" s="408"/>
      <c r="CN133" s="408"/>
      <c r="CO133" s="408">
        <v>-514.00140000000135</v>
      </c>
      <c r="CP133" s="408">
        <v>2914.4973000000018</v>
      </c>
      <c r="CQ133" s="408">
        <v>31</v>
      </c>
      <c r="CR133" s="408">
        <v>2399.7281996892198</v>
      </c>
      <c r="CS133" s="408">
        <v>0</v>
      </c>
      <c r="CT133" s="408">
        <v>0</v>
      </c>
      <c r="CU133" s="408">
        <v>0</v>
      </c>
      <c r="CV133" s="408">
        <v>0</v>
      </c>
      <c r="CW133" s="408">
        <v>0</v>
      </c>
      <c r="CX133" s="408">
        <v>0</v>
      </c>
      <c r="CY133" s="408">
        <v>0</v>
      </c>
      <c r="CZ133" s="408">
        <v>0</v>
      </c>
      <c r="DA133" s="408">
        <v>0</v>
      </c>
      <c r="DB133" s="408">
        <v>0</v>
      </c>
      <c r="DC133" s="408">
        <v>2913.1903083578218</v>
      </c>
      <c r="DD133" s="408">
        <v>0</v>
      </c>
      <c r="DE133" s="408">
        <v>0</v>
      </c>
      <c r="DF133" s="408">
        <v>13.98982125837901</v>
      </c>
      <c r="DG133" s="408">
        <v>189.50923694838593</v>
      </c>
      <c r="DH133" s="408">
        <v>0</v>
      </c>
      <c r="DI133" s="408">
        <v>-606.18943714564921</v>
      </c>
      <c r="DJ133" s="408"/>
      <c r="DK133" s="408">
        <v>0</v>
      </c>
      <c r="DL133" s="408">
        <v>0</v>
      </c>
      <c r="DM133" s="408">
        <v>0</v>
      </c>
      <c r="DN133" s="408">
        <v>0</v>
      </c>
      <c r="DO133" s="408">
        <v>-95.058275430637423</v>
      </c>
      <c r="DP133" s="408">
        <v>-15.713454299076716</v>
      </c>
      <c r="DQ133" s="408">
        <v>0</v>
      </c>
      <c r="DR133" s="408">
        <v>0</v>
      </c>
      <c r="DS133" s="408"/>
      <c r="DT133" s="408"/>
      <c r="DU133" s="408"/>
      <c r="DV133" s="408">
        <v>0</v>
      </c>
      <c r="DW133" s="408">
        <v>0</v>
      </c>
      <c r="DX133" s="408">
        <v>0</v>
      </c>
      <c r="DY133" s="408">
        <v>-514.00140000000101</v>
      </c>
      <c r="DZ133" s="408">
        <v>2914.4973000000027</v>
      </c>
      <c r="EA133" s="408">
        <v>0</v>
      </c>
      <c r="EB133" s="408">
        <v>0</v>
      </c>
      <c r="EC133" s="408">
        <v>0</v>
      </c>
      <c r="ED133" s="408">
        <v>0</v>
      </c>
      <c r="EE133" s="408">
        <v>0</v>
      </c>
      <c r="EF133" s="408">
        <v>0</v>
      </c>
      <c r="EG133" s="408">
        <v>0</v>
      </c>
      <c r="EH133" s="408">
        <v>0</v>
      </c>
      <c r="EI133" s="408">
        <v>0</v>
      </c>
      <c r="EJ133" s="408">
        <v>0</v>
      </c>
      <c r="EK133" s="408">
        <v>0</v>
      </c>
      <c r="EL133" s="408">
        <v>0</v>
      </c>
      <c r="EM133" s="408">
        <v>0</v>
      </c>
      <c r="EN133" s="408">
        <v>0</v>
      </c>
      <c r="EO133" s="408">
        <v>0</v>
      </c>
      <c r="EP133" s="408">
        <v>0</v>
      </c>
      <c r="EQ133" s="408">
        <v>0</v>
      </c>
      <c r="ER133" s="408">
        <v>0</v>
      </c>
      <c r="ES133" s="408">
        <v>0</v>
      </c>
      <c r="ET133" s="408">
        <v>0</v>
      </c>
      <c r="EU133" s="408">
        <v>0</v>
      </c>
      <c r="EV133" s="408">
        <v>257</v>
      </c>
      <c r="EW133" s="408">
        <v>0</v>
      </c>
      <c r="EX133" s="408">
        <v>0</v>
      </c>
      <c r="EY133" s="408">
        <v>0</v>
      </c>
      <c r="EZ133" s="408"/>
      <c r="FA133" s="408">
        <v>0</v>
      </c>
      <c r="FB133" s="408"/>
      <c r="FC133" s="408"/>
      <c r="FD133" s="408"/>
      <c r="FE133" s="408"/>
      <c r="FF133" s="408">
        <v>0</v>
      </c>
      <c r="FG133" s="408">
        <v>0</v>
      </c>
      <c r="FH133" s="408">
        <v>0</v>
      </c>
      <c r="FI133" s="408">
        <v>0</v>
      </c>
    </row>
    <row r="134" spans="1:165">
      <c r="A134" s="408">
        <v>132</v>
      </c>
      <c r="B134" s="408" t="s">
        <v>1035</v>
      </c>
      <c r="C134" s="408" t="s">
        <v>2241</v>
      </c>
      <c r="D134" s="408" t="s">
        <v>596</v>
      </c>
      <c r="E134" s="408" t="s">
        <v>973</v>
      </c>
      <c r="F134" s="408" t="s">
        <v>1321</v>
      </c>
      <c r="G134" s="408" t="s">
        <v>1321</v>
      </c>
      <c r="H134" s="408" t="s">
        <v>1321</v>
      </c>
      <c r="I134" s="408" t="s">
        <v>1321</v>
      </c>
      <c r="J134" s="408" t="s">
        <v>2234</v>
      </c>
      <c r="K134" s="828">
        <v>44470</v>
      </c>
      <c r="L134" s="408">
        <v>896</v>
      </c>
      <c r="M134" s="408">
        <v>860.16</v>
      </c>
      <c r="N134" s="408">
        <v>0</v>
      </c>
      <c r="O134" s="408">
        <v>0</v>
      </c>
      <c r="P134" s="408">
        <v>0</v>
      </c>
      <c r="Q134" s="408">
        <v>0</v>
      </c>
      <c r="R134" s="408">
        <v>47.39</v>
      </c>
      <c r="S134" s="408"/>
      <c r="T134" s="408"/>
      <c r="U134" s="408">
        <v>42461.440000000002</v>
      </c>
      <c r="V134" s="408"/>
      <c r="W134" s="408">
        <v>42461.440000000002</v>
      </c>
      <c r="X134" s="408">
        <v>28869.119999999999</v>
      </c>
      <c r="Y134" s="408">
        <v>0</v>
      </c>
      <c r="Z134" s="408">
        <v>0</v>
      </c>
      <c r="AA134" s="408">
        <v>0</v>
      </c>
      <c r="AB134" s="408">
        <v>0</v>
      </c>
      <c r="AC134" s="408">
        <v>0</v>
      </c>
      <c r="AD134" s="408">
        <v>22373.209760801266</v>
      </c>
      <c r="AE134" s="408">
        <v>20088.20105217363</v>
      </c>
      <c r="AF134" s="408"/>
      <c r="AG134" s="408"/>
      <c r="AH134" s="408"/>
      <c r="AI134" s="408">
        <v>0</v>
      </c>
      <c r="AJ134" s="408">
        <v>0</v>
      </c>
      <c r="AK134" s="408">
        <v>0</v>
      </c>
      <c r="AL134" s="408">
        <v>0</v>
      </c>
      <c r="AM134" s="408"/>
      <c r="AN134" s="408">
        <v>0</v>
      </c>
      <c r="AO134" s="408">
        <v>0</v>
      </c>
      <c r="AP134" s="408">
        <v>0</v>
      </c>
      <c r="AQ134" s="408">
        <v>0</v>
      </c>
      <c r="AR134" s="408">
        <v>0</v>
      </c>
      <c r="AS134" s="408"/>
      <c r="AT134" s="408"/>
      <c r="AU134" s="408">
        <v>0</v>
      </c>
      <c r="AV134" s="408">
        <v>0</v>
      </c>
      <c r="AW134" s="408">
        <v>0</v>
      </c>
      <c r="AX134" s="408"/>
      <c r="AY134" s="408"/>
      <c r="AZ134" s="408">
        <v>0</v>
      </c>
      <c r="BA134" s="408"/>
      <c r="BB134" s="408">
        <v>0</v>
      </c>
      <c r="BC134" s="408">
        <v>0</v>
      </c>
      <c r="BD134" s="408">
        <v>0</v>
      </c>
      <c r="BE134" s="408">
        <v>0</v>
      </c>
      <c r="BF134" s="408"/>
      <c r="BG134" s="408">
        <v>0</v>
      </c>
      <c r="BH134" s="408">
        <v>0</v>
      </c>
      <c r="BI134" s="408">
        <v>283.60000000000002</v>
      </c>
      <c r="BJ134" s="408">
        <v>1407.31</v>
      </c>
      <c r="BK134" s="408">
        <v>7895.45</v>
      </c>
      <c r="BL134" s="408">
        <v>7</v>
      </c>
      <c r="BM134" s="408"/>
      <c r="BN134" s="408"/>
      <c r="BO134" s="408"/>
      <c r="BP134" s="408"/>
      <c r="BQ134" s="408"/>
      <c r="BR134" s="408">
        <v>1154.7648000000011</v>
      </c>
      <c r="BS134" s="408"/>
      <c r="BT134" s="408"/>
      <c r="BU134" s="408"/>
      <c r="BV134" s="408">
        <v>0</v>
      </c>
      <c r="BW134" s="408"/>
      <c r="BX134" s="408"/>
      <c r="BY134" s="408"/>
      <c r="BZ134" s="408"/>
      <c r="CA134" s="408"/>
      <c r="CB134" s="408"/>
      <c r="CC134" s="408"/>
      <c r="CD134" s="408"/>
      <c r="CE134" s="408"/>
      <c r="CF134" s="408"/>
      <c r="CG134" s="408"/>
      <c r="CH134" s="408"/>
      <c r="CI134" s="408">
        <v>27714.355199999998</v>
      </c>
      <c r="CJ134" s="408">
        <v>-13048.657200000009</v>
      </c>
      <c r="CK134" s="408"/>
      <c r="CL134" s="408"/>
      <c r="CM134" s="408"/>
      <c r="CN134" s="408"/>
      <c r="CO134" s="408">
        <v>-13592.320000000002</v>
      </c>
      <c r="CP134" s="408">
        <v>0</v>
      </c>
      <c r="CQ134" s="408">
        <v>31</v>
      </c>
      <c r="CR134" s="408">
        <v>-101.12831528763854</v>
      </c>
      <c r="CS134" s="408">
        <v>0</v>
      </c>
      <c r="CT134" s="408">
        <v>0</v>
      </c>
      <c r="CU134" s="408">
        <v>0</v>
      </c>
      <c r="CV134" s="408">
        <v>0</v>
      </c>
      <c r="CW134" s="408"/>
      <c r="CX134" s="408"/>
      <c r="CY134" s="408"/>
      <c r="CZ134" s="408">
        <v>-101.12831528763854</v>
      </c>
      <c r="DA134" s="408">
        <v>0</v>
      </c>
      <c r="DB134" s="408">
        <v>0</v>
      </c>
      <c r="DC134" s="408"/>
      <c r="DD134" s="408"/>
      <c r="DE134" s="408">
        <v>0</v>
      </c>
      <c r="DF134" s="408">
        <v>0</v>
      </c>
      <c r="DG134" s="408">
        <v>0</v>
      </c>
      <c r="DH134" s="408">
        <v>0</v>
      </c>
      <c r="DI134" s="408">
        <v>0</v>
      </c>
      <c r="DJ134" s="408"/>
      <c r="DK134" s="408">
        <v>0</v>
      </c>
      <c r="DL134" s="408">
        <v>0</v>
      </c>
      <c r="DM134" s="408"/>
      <c r="DN134" s="408">
        <v>0</v>
      </c>
      <c r="DO134" s="408">
        <v>0</v>
      </c>
      <c r="DP134" s="408">
        <v>0</v>
      </c>
      <c r="DQ134" s="408">
        <v>0</v>
      </c>
      <c r="DR134" s="408">
        <v>0</v>
      </c>
      <c r="DS134" s="408"/>
      <c r="DT134" s="408"/>
      <c r="DU134" s="408">
        <v>20088.20105217363</v>
      </c>
      <c r="DV134" s="408"/>
      <c r="DW134" s="408">
        <v>0</v>
      </c>
      <c r="DX134" s="408">
        <v>0</v>
      </c>
      <c r="DY134" s="408">
        <v>-13592.320000000003</v>
      </c>
      <c r="DZ134" s="408"/>
      <c r="EA134" s="408">
        <v>0</v>
      </c>
      <c r="EB134" s="408"/>
      <c r="EC134" s="408">
        <v>-13492.735782606866</v>
      </c>
      <c r="ED134" s="408"/>
      <c r="EE134" s="408">
        <v>0</v>
      </c>
      <c r="EF134" s="408">
        <v>0</v>
      </c>
      <c r="EG134" s="408"/>
      <c r="EH134" s="408">
        <v>0</v>
      </c>
      <c r="EI134" s="408">
        <v>0</v>
      </c>
      <c r="EJ134" s="408">
        <v>0</v>
      </c>
      <c r="EK134" s="408">
        <v>0</v>
      </c>
      <c r="EL134" s="408">
        <v>0</v>
      </c>
      <c r="EM134" s="408"/>
      <c r="EN134" s="408"/>
      <c r="EO134" s="408">
        <v>0</v>
      </c>
      <c r="EP134" s="408">
        <v>0</v>
      </c>
      <c r="EQ134" s="408"/>
      <c r="ER134" s="408">
        <v>0</v>
      </c>
      <c r="ES134" s="408"/>
      <c r="ET134" s="408">
        <v>0</v>
      </c>
      <c r="EU134" s="408"/>
      <c r="EV134" s="408">
        <v>257</v>
      </c>
      <c r="EW134" s="408"/>
      <c r="EX134" s="408"/>
      <c r="EY134" s="408"/>
      <c r="EZ134" s="408"/>
      <c r="FA134" s="408">
        <v>0</v>
      </c>
      <c r="FB134" s="408"/>
      <c r="FC134" s="408"/>
      <c r="FD134" s="408"/>
      <c r="FE134" s="408"/>
      <c r="FF134" s="408">
        <v>0</v>
      </c>
      <c r="FG134" s="408">
        <v>0</v>
      </c>
      <c r="FH134" s="408">
        <v>0</v>
      </c>
      <c r="FI134" s="408">
        <v>0</v>
      </c>
    </row>
    <row r="135" spans="1:165">
      <c r="A135" s="408">
        <v>133</v>
      </c>
      <c r="B135" s="408" t="s">
        <v>1035</v>
      </c>
      <c r="C135" s="408" t="s">
        <v>2233</v>
      </c>
      <c r="D135" s="408" t="s">
        <v>1958</v>
      </c>
      <c r="E135" s="408" t="s">
        <v>2244</v>
      </c>
      <c r="F135" s="408" t="s">
        <v>1321</v>
      </c>
      <c r="G135" s="408" t="s">
        <v>1321</v>
      </c>
      <c r="H135" s="408" t="s">
        <v>1321</v>
      </c>
      <c r="I135" s="408" t="s">
        <v>1321</v>
      </c>
      <c r="J135" s="408" t="s">
        <v>2234</v>
      </c>
      <c r="K135" s="828">
        <v>44470</v>
      </c>
      <c r="L135" s="408">
        <v>0</v>
      </c>
      <c r="M135" s="408">
        <v>0</v>
      </c>
      <c r="N135" s="408">
        <v>142.12799999999999</v>
      </c>
      <c r="O135" s="408">
        <v>142.12799999999999</v>
      </c>
      <c r="P135" s="408">
        <v>142.12799999999999</v>
      </c>
      <c r="Q135" s="408">
        <v>142.12799999999999</v>
      </c>
      <c r="R135" s="408"/>
      <c r="S135" s="408">
        <v>710.91</v>
      </c>
      <c r="T135" s="408">
        <v>256.55</v>
      </c>
      <c r="U135" s="408"/>
      <c r="V135" s="408">
        <v>137503.15487999999</v>
      </c>
      <c r="W135" s="408">
        <v>137503.15487999999</v>
      </c>
      <c r="X135" s="408">
        <v>93865.595039999986</v>
      </c>
      <c r="Y135" s="408">
        <v>0</v>
      </c>
      <c r="Z135" s="408">
        <v>8737.2735177299128</v>
      </c>
      <c r="AA135" s="408">
        <v>0</v>
      </c>
      <c r="AB135" s="408">
        <v>0</v>
      </c>
      <c r="AC135" s="408">
        <v>0</v>
      </c>
      <c r="AD135" s="408">
        <v>17493.510749173653</v>
      </c>
      <c r="AE135" s="408">
        <v>67782.27324720817</v>
      </c>
      <c r="AF135" s="408">
        <v>36463.296808733088</v>
      </c>
      <c r="AG135" s="408">
        <v>0</v>
      </c>
      <c r="AH135" s="408">
        <v>0</v>
      </c>
      <c r="AI135" s="408">
        <v>0</v>
      </c>
      <c r="AJ135" s="408">
        <v>0</v>
      </c>
      <c r="AK135" s="408">
        <v>0</v>
      </c>
      <c r="AL135" s="408">
        <v>1350.8219990306206</v>
      </c>
      <c r="AM135" s="408"/>
      <c r="AN135" s="408">
        <v>312.08532277190596</v>
      </c>
      <c r="AO135" s="408">
        <v>0</v>
      </c>
      <c r="AP135" s="408">
        <v>0</v>
      </c>
      <c r="AQ135" s="408">
        <v>0</v>
      </c>
      <c r="AR135" s="408">
        <v>0</v>
      </c>
      <c r="AS135" s="408">
        <v>0</v>
      </c>
      <c r="AT135" s="408">
        <v>0</v>
      </c>
      <c r="AU135" s="408">
        <v>0</v>
      </c>
      <c r="AV135" s="408">
        <v>0</v>
      </c>
      <c r="AW135" s="408">
        <v>0</v>
      </c>
      <c r="AX135" s="408">
        <v>0</v>
      </c>
      <c r="AY135" s="408">
        <v>0</v>
      </c>
      <c r="AZ135" s="408">
        <v>0</v>
      </c>
      <c r="BA135" s="408"/>
      <c r="BB135" s="408">
        <v>0</v>
      </c>
      <c r="BC135" s="408">
        <v>0</v>
      </c>
      <c r="BD135" s="408">
        <v>211.81624787865718</v>
      </c>
      <c r="BE135" s="408">
        <v>0</v>
      </c>
      <c r="BF135" s="408">
        <v>0</v>
      </c>
      <c r="BG135" s="408">
        <v>5152.623558519198</v>
      </c>
      <c r="BH135" s="408">
        <v>0</v>
      </c>
      <c r="BI135" s="408">
        <v>284.5</v>
      </c>
      <c r="BJ135" s="408">
        <v>1415.06</v>
      </c>
      <c r="BK135" s="408">
        <v>44498.53</v>
      </c>
      <c r="BL135" s="408">
        <v>268</v>
      </c>
      <c r="BM135" s="408"/>
      <c r="BN135" s="408"/>
      <c r="BO135" s="408"/>
      <c r="BP135" s="408"/>
      <c r="BQ135" s="408"/>
      <c r="BR135" s="408"/>
      <c r="BS135" s="408"/>
      <c r="BT135" s="408"/>
      <c r="BU135" s="408"/>
      <c r="BV135" s="408">
        <v>41827.73661513094</v>
      </c>
      <c r="BW135" s="408"/>
      <c r="BX135" s="408"/>
      <c r="BY135" s="408"/>
      <c r="BZ135" s="408"/>
      <c r="CA135" s="408"/>
      <c r="CB135" s="408"/>
      <c r="CC135" s="408"/>
      <c r="CD135" s="408"/>
      <c r="CE135" s="408"/>
      <c r="CF135" s="408"/>
      <c r="CG135" s="408"/>
      <c r="CH135" s="408"/>
      <c r="CI135" s="408">
        <v>93866.915899999993</v>
      </c>
      <c r="CJ135" s="408">
        <v>-43636.268979999993</v>
      </c>
      <c r="CK135" s="408"/>
      <c r="CL135" s="408"/>
      <c r="CM135" s="408"/>
      <c r="CN135" s="408"/>
      <c r="CO135" s="408">
        <v>-45910.186559999995</v>
      </c>
      <c r="CP135" s="408">
        <v>2272.6267200000011</v>
      </c>
      <c r="CQ135" s="408">
        <v>31</v>
      </c>
      <c r="CR135" s="408">
        <v>1889.3481722651486</v>
      </c>
      <c r="CS135" s="408">
        <v>0</v>
      </c>
      <c r="CT135" s="408">
        <v>0</v>
      </c>
      <c r="CU135" s="408">
        <v>0</v>
      </c>
      <c r="CV135" s="408">
        <v>0</v>
      </c>
      <c r="CW135" s="408">
        <v>0</v>
      </c>
      <c r="CX135" s="408">
        <v>0</v>
      </c>
      <c r="CY135" s="408">
        <v>0</v>
      </c>
      <c r="CZ135" s="408">
        <v>-79.071768845125916</v>
      </c>
      <c r="DA135" s="408">
        <v>0</v>
      </c>
      <c r="DB135" s="408">
        <v>0</v>
      </c>
      <c r="DC135" s="408">
        <v>2271.6075719881483</v>
      </c>
      <c r="DD135" s="408">
        <v>0</v>
      </c>
      <c r="DE135" s="408">
        <v>0</v>
      </c>
      <c r="DF135" s="408">
        <v>13.19582798766686</v>
      </c>
      <c r="DG135" s="408">
        <v>321.00055989269367</v>
      </c>
      <c r="DH135" s="408">
        <v>0</v>
      </c>
      <c r="DI135" s="408">
        <v>-543.31733661907674</v>
      </c>
      <c r="DJ135" s="408"/>
      <c r="DK135" s="408">
        <v>0</v>
      </c>
      <c r="DL135" s="408">
        <v>0</v>
      </c>
      <c r="DM135" s="408">
        <v>0</v>
      </c>
      <c r="DN135" s="408">
        <v>0</v>
      </c>
      <c r="DO135" s="408">
        <v>-74.12323789107154</v>
      </c>
      <c r="DP135" s="408">
        <v>-19.943444248088383</v>
      </c>
      <c r="DQ135" s="408">
        <v>0</v>
      </c>
      <c r="DR135" s="408">
        <v>0</v>
      </c>
      <c r="DS135" s="408"/>
      <c r="DT135" s="408"/>
      <c r="DU135" s="408"/>
      <c r="DV135" s="408">
        <v>67782.27324720817</v>
      </c>
      <c r="DW135" s="408">
        <v>0</v>
      </c>
      <c r="DX135" s="408">
        <v>0</v>
      </c>
      <c r="DY135" s="408">
        <v>-45910.186559999995</v>
      </c>
      <c r="DZ135" s="408">
        <v>2272.6267200000002</v>
      </c>
      <c r="EA135" s="408">
        <v>0</v>
      </c>
      <c r="EB135" s="408">
        <v>0</v>
      </c>
      <c r="EC135" s="408">
        <v>-45527.635913922808</v>
      </c>
      <c r="ED135" s="408">
        <v>0</v>
      </c>
      <c r="EE135" s="408">
        <v>0</v>
      </c>
      <c r="EF135" s="408">
        <v>0</v>
      </c>
      <c r="EG135" s="408">
        <v>0</v>
      </c>
      <c r="EH135" s="408">
        <v>0</v>
      </c>
      <c r="EI135" s="408">
        <v>0</v>
      </c>
      <c r="EJ135" s="408">
        <v>0</v>
      </c>
      <c r="EK135" s="408">
        <v>0</v>
      </c>
      <c r="EL135" s="408">
        <v>0</v>
      </c>
      <c r="EM135" s="408">
        <v>0</v>
      </c>
      <c r="EN135" s="408">
        <v>0</v>
      </c>
      <c r="EO135" s="408">
        <v>0</v>
      </c>
      <c r="EP135" s="408">
        <v>0</v>
      </c>
      <c r="EQ135" s="408">
        <v>0</v>
      </c>
      <c r="ER135" s="408">
        <v>0</v>
      </c>
      <c r="ES135" s="408">
        <v>0</v>
      </c>
      <c r="ET135" s="408">
        <v>0</v>
      </c>
      <c r="EU135" s="408">
        <v>0</v>
      </c>
      <c r="EV135" s="408">
        <v>257</v>
      </c>
      <c r="EW135" s="408">
        <v>0</v>
      </c>
      <c r="EX135" s="408">
        <v>0</v>
      </c>
      <c r="EY135" s="408">
        <v>0</v>
      </c>
      <c r="EZ135" s="408"/>
      <c r="FA135" s="408">
        <v>0</v>
      </c>
      <c r="FB135" s="408"/>
      <c r="FC135" s="408"/>
      <c r="FD135" s="408"/>
      <c r="FE135" s="408"/>
      <c r="FF135" s="408">
        <v>0</v>
      </c>
      <c r="FG135" s="408">
        <v>0</v>
      </c>
      <c r="FH135" s="408">
        <v>0</v>
      </c>
      <c r="FI135" s="408">
        <v>0</v>
      </c>
    </row>
    <row r="136" spans="1:165">
      <c r="A136" s="408">
        <v>134</v>
      </c>
      <c r="B136" s="408" t="s">
        <v>1035</v>
      </c>
      <c r="C136" s="408" t="s">
        <v>2233</v>
      </c>
      <c r="D136" s="408" t="s">
        <v>2245</v>
      </c>
      <c r="E136" s="408" t="s">
        <v>2246</v>
      </c>
      <c r="F136" s="408" t="s">
        <v>2247</v>
      </c>
      <c r="G136" s="408" t="s">
        <v>1321</v>
      </c>
      <c r="H136" s="408" t="s">
        <v>1321</v>
      </c>
      <c r="I136" s="408" t="s">
        <v>1321</v>
      </c>
      <c r="J136" s="408" t="s">
        <v>2234</v>
      </c>
      <c r="K136" s="828">
        <v>44470</v>
      </c>
      <c r="L136" s="408">
        <v>0</v>
      </c>
      <c r="M136" s="408">
        <v>0</v>
      </c>
      <c r="N136" s="408">
        <v>199.96799999999999</v>
      </c>
      <c r="O136" s="408">
        <v>199.96799999999999</v>
      </c>
      <c r="P136" s="408">
        <v>199.96799999999999</v>
      </c>
      <c r="Q136" s="408">
        <v>199.96799999999999</v>
      </c>
      <c r="R136" s="408"/>
      <c r="S136" s="408">
        <v>391</v>
      </c>
      <c r="T136" s="408">
        <v>141.1</v>
      </c>
      <c r="U136" s="408"/>
      <c r="V136" s="408">
        <v>106402.97279999999</v>
      </c>
      <c r="W136" s="408">
        <v>106402.97279999999</v>
      </c>
      <c r="X136" s="408">
        <v>72634.376640000002</v>
      </c>
      <c r="Y136" s="408">
        <v>0</v>
      </c>
      <c r="Z136" s="408">
        <v>6761.1329993835161</v>
      </c>
      <c r="AA136" s="408">
        <v>0</v>
      </c>
      <c r="AB136" s="408">
        <v>0</v>
      </c>
      <c r="AC136" s="408">
        <v>0</v>
      </c>
      <c r="AD136" s="408">
        <v>13536.940621270378</v>
      </c>
      <c r="AE136" s="408">
        <v>52451.713168297138</v>
      </c>
      <c r="AF136" s="408">
        <v>28216.262066143317</v>
      </c>
      <c r="AG136" s="408">
        <v>0</v>
      </c>
      <c r="AH136" s="408">
        <v>0</v>
      </c>
      <c r="AI136" s="408">
        <v>0</v>
      </c>
      <c r="AJ136" s="408">
        <v>0</v>
      </c>
      <c r="AK136" s="408">
        <v>0</v>
      </c>
      <c r="AL136" s="408">
        <v>1045.3017380543265</v>
      </c>
      <c r="AM136" s="408"/>
      <c r="AN136" s="408">
        <v>241.4998649332228</v>
      </c>
      <c r="AO136" s="408">
        <v>0</v>
      </c>
      <c r="AP136" s="408">
        <v>0</v>
      </c>
      <c r="AQ136" s="408">
        <v>0</v>
      </c>
      <c r="AR136" s="408">
        <v>0</v>
      </c>
      <c r="AS136" s="408">
        <v>0</v>
      </c>
      <c r="AT136" s="408">
        <v>0</v>
      </c>
      <c r="AU136" s="408">
        <v>0</v>
      </c>
      <c r="AV136" s="408">
        <v>0</v>
      </c>
      <c r="AW136" s="408">
        <v>0</v>
      </c>
      <c r="AX136" s="408">
        <v>0</v>
      </c>
      <c r="AY136" s="408">
        <v>0</v>
      </c>
      <c r="AZ136" s="408">
        <v>0</v>
      </c>
      <c r="BA136" s="408"/>
      <c r="BB136" s="408">
        <v>0</v>
      </c>
      <c r="BC136" s="408">
        <v>0</v>
      </c>
      <c r="BD136" s="408">
        <v>163.90900667489615</v>
      </c>
      <c r="BE136" s="408">
        <v>0</v>
      </c>
      <c r="BF136" s="408">
        <v>0</v>
      </c>
      <c r="BG136" s="408">
        <v>3987.2361903529427</v>
      </c>
      <c r="BH136" s="408">
        <v>0</v>
      </c>
      <c r="BI136" s="408">
        <v>227.47</v>
      </c>
      <c r="BJ136" s="408">
        <v>1129.4000000000001</v>
      </c>
      <c r="BK136" s="408">
        <v>25596.5</v>
      </c>
      <c r="BL136" s="408">
        <v>26</v>
      </c>
      <c r="BM136" s="408"/>
      <c r="BN136" s="408"/>
      <c r="BO136" s="408"/>
      <c r="BP136" s="408"/>
      <c r="BQ136" s="408"/>
      <c r="BR136" s="408"/>
      <c r="BS136" s="408"/>
      <c r="BT136" s="408"/>
      <c r="BU136" s="408"/>
      <c r="BV136" s="408">
        <v>32367.407263171157</v>
      </c>
      <c r="BW136" s="408"/>
      <c r="BX136" s="408"/>
      <c r="BY136" s="408"/>
      <c r="BZ136" s="408"/>
      <c r="CA136" s="408"/>
      <c r="CB136" s="408"/>
      <c r="CC136" s="408"/>
      <c r="CD136" s="408"/>
      <c r="CE136" s="408"/>
      <c r="CF136" s="408"/>
      <c r="CG136" s="408"/>
      <c r="CH136" s="408"/>
      <c r="CI136" s="408">
        <v>72635.103100000008</v>
      </c>
      <c r="CJ136" s="408">
        <v>-33767.899699999965</v>
      </c>
      <c r="CK136" s="408"/>
      <c r="CL136" s="408"/>
      <c r="CM136" s="408"/>
      <c r="CN136" s="408"/>
      <c r="CO136" s="408">
        <v>-35526.314879999998</v>
      </c>
      <c r="CP136" s="408">
        <v>1757.7187199999983</v>
      </c>
      <c r="CQ136" s="408">
        <v>31</v>
      </c>
      <c r="CR136" s="408">
        <v>1462.0275133776304</v>
      </c>
      <c r="CS136" s="408">
        <v>0</v>
      </c>
      <c r="CT136" s="408">
        <v>0</v>
      </c>
      <c r="CU136" s="408">
        <v>0</v>
      </c>
      <c r="CV136" s="408">
        <v>0</v>
      </c>
      <c r="CW136" s="408">
        <v>0</v>
      </c>
      <c r="CX136" s="408">
        <v>0</v>
      </c>
      <c r="CY136" s="408">
        <v>0</v>
      </c>
      <c r="CZ136" s="408">
        <v>-61.187823017517076</v>
      </c>
      <c r="DA136" s="408">
        <v>0</v>
      </c>
      <c r="DB136" s="408">
        <v>0</v>
      </c>
      <c r="DC136" s="408">
        <v>1757.8299323527717</v>
      </c>
      <c r="DD136" s="408">
        <v>0</v>
      </c>
      <c r="DE136" s="408">
        <v>0</v>
      </c>
      <c r="DF136" s="408">
        <v>10.211280198629026</v>
      </c>
      <c r="DG136" s="408">
        <v>248.39871086865605</v>
      </c>
      <c r="DH136" s="408">
        <v>0</v>
      </c>
      <c r="DI136" s="408">
        <v>-420.43330408487236</v>
      </c>
      <c r="DJ136" s="408"/>
      <c r="DK136" s="408">
        <v>0</v>
      </c>
      <c r="DL136" s="408">
        <v>0</v>
      </c>
      <c r="DM136" s="408">
        <v>0</v>
      </c>
      <c r="DN136" s="408">
        <v>0</v>
      </c>
      <c r="DO136" s="408">
        <v>-57.358519074572996</v>
      </c>
      <c r="DP136" s="408">
        <v>-15.432763865467564</v>
      </c>
      <c r="DQ136" s="408">
        <v>0</v>
      </c>
      <c r="DR136" s="408">
        <v>0</v>
      </c>
      <c r="DS136" s="408"/>
      <c r="DT136" s="408"/>
      <c r="DU136" s="408"/>
      <c r="DV136" s="408">
        <v>52451.713168297138</v>
      </c>
      <c r="DW136" s="408">
        <v>0</v>
      </c>
      <c r="DX136" s="408">
        <v>0</v>
      </c>
      <c r="DY136" s="408">
        <v>-35526.314879999998</v>
      </c>
      <c r="DZ136" s="408">
        <v>1757.7187199999971</v>
      </c>
      <c r="EA136" s="408">
        <v>0</v>
      </c>
      <c r="EB136" s="408">
        <v>0</v>
      </c>
      <c r="EC136" s="408">
        <v>-35230.487054904122</v>
      </c>
      <c r="ED136" s="408">
        <v>0</v>
      </c>
      <c r="EE136" s="408">
        <v>0</v>
      </c>
      <c r="EF136" s="408">
        <v>0</v>
      </c>
      <c r="EG136" s="408">
        <v>0</v>
      </c>
      <c r="EH136" s="408">
        <v>0</v>
      </c>
      <c r="EI136" s="408">
        <v>0</v>
      </c>
      <c r="EJ136" s="408">
        <v>0</v>
      </c>
      <c r="EK136" s="408">
        <v>0</v>
      </c>
      <c r="EL136" s="408">
        <v>0</v>
      </c>
      <c r="EM136" s="408">
        <v>0</v>
      </c>
      <c r="EN136" s="408">
        <v>0</v>
      </c>
      <c r="EO136" s="408">
        <v>0</v>
      </c>
      <c r="EP136" s="408">
        <v>0</v>
      </c>
      <c r="EQ136" s="408">
        <v>0</v>
      </c>
      <c r="ER136" s="408">
        <v>0</v>
      </c>
      <c r="ES136" s="408">
        <v>0</v>
      </c>
      <c r="ET136" s="408">
        <v>0</v>
      </c>
      <c r="EU136" s="408">
        <v>0</v>
      </c>
      <c r="EV136" s="408">
        <v>257</v>
      </c>
      <c r="EW136" s="408">
        <v>0</v>
      </c>
      <c r="EX136" s="408">
        <v>0</v>
      </c>
      <c r="EY136" s="408">
        <v>0</v>
      </c>
      <c r="EZ136" s="408"/>
      <c r="FA136" s="408">
        <v>0</v>
      </c>
      <c r="FB136" s="408"/>
      <c r="FC136" s="408"/>
      <c r="FD136" s="408"/>
      <c r="FE136" s="408"/>
      <c r="FF136" s="408">
        <v>0</v>
      </c>
      <c r="FG136" s="408">
        <v>0</v>
      </c>
      <c r="FH136" s="408">
        <v>0</v>
      </c>
      <c r="FI136" s="408">
        <v>0</v>
      </c>
    </row>
    <row r="137" spans="1:165">
      <c r="A137" s="408">
        <v>135</v>
      </c>
      <c r="B137" s="408" t="s">
        <v>1035</v>
      </c>
      <c r="C137" s="408" t="s">
        <v>2233</v>
      </c>
      <c r="D137" s="408" t="s">
        <v>1958</v>
      </c>
      <c r="E137" s="408" t="s">
        <v>1000</v>
      </c>
      <c r="F137" s="408" t="s">
        <v>2248</v>
      </c>
      <c r="G137" s="408" t="s">
        <v>1321</v>
      </c>
      <c r="H137" s="408" t="s">
        <v>1321</v>
      </c>
      <c r="I137" s="408" t="s">
        <v>1321</v>
      </c>
      <c r="J137" s="408" t="s">
        <v>2234</v>
      </c>
      <c r="K137" s="828">
        <v>44470</v>
      </c>
      <c r="L137" s="408">
        <v>0</v>
      </c>
      <c r="M137" s="408">
        <v>0</v>
      </c>
      <c r="N137" s="408">
        <v>37.006</v>
      </c>
      <c r="O137" s="408">
        <v>34.785640000000001</v>
      </c>
      <c r="P137" s="408">
        <v>37.006</v>
      </c>
      <c r="Q137" s="408">
        <v>34.785640000000001</v>
      </c>
      <c r="R137" s="408"/>
      <c r="S137" s="408">
        <v>710.91</v>
      </c>
      <c r="T137" s="408">
        <v>256.55</v>
      </c>
      <c r="U137" s="408"/>
      <c r="V137" s="408">
        <v>35801.824760000003</v>
      </c>
      <c r="W137" s="408">
        <v>35801.824760000003</v>
      </c>
      <c r="X137" s="408">
        <v>24439.872580000003</v>
      </c>
      <c r="Y137" s="408">
        <v>0</v>
      </c>
      <c r="Z137" s="408">
        <v>2274.932059813078</v>
      </c>
      <c r="AA137" s="408">
        <v>0</v>
      </c>
      <c r="AB137" s="408">
        <v>0</v>
      </c>
      <c r="AC137" s="408">
        <v>0</v>
      </c>
      <c r="AD137" s="408">
        <v>4554.801719463584</v>
      </c>
      <c r="AE137" s="408">
        <v>17648.533742726177</v>
      </c>
      <c r="AF137" s="408">
        <v>9493.9826192163164</v>
      </c>
      <c r="AG137" s="408">
        <v>0</v>
      </c>
      <c r="AH137" s="408">
        <v>0</v>
      </c>
      <c r="AI137" s="408">
        <v>0</v>
      </c>
      <c r="AJ137" s="408">
        <v>0</v>
      </c>
      <c r="AK137" s="408">
        <v>0</v>
      </c>
      <c r="AL137" s="408">
        <v>351.71478453314728</v>
      </c>
      <c r="AM137" s="408"/>
      <c r="AN137" s="408">
        <v>81.257946741649462</v>
      </c>
      <c r="AO137" s="408">
        <v>0</v>
      </c>
      <c r="AP137" s="408">
        <v>0</v>
      </c>
      <c r="AQ137" s="408">
        <v>0</v>
      </c>
      <c r="AR137" s="408">
        <v>0</v>
      </c>
      <c r="AS137" s="408">
        <v>0</v>
      </c>
      <c r="AT137" s="408">
        <v>0</v>
      </c>
      <c r="AU137" s="408">
        <v>0</v>
      </c>
      <c r="AV137" s="408">
        <v>0</v>
      </c>
      <c r="AW137" s="408">
        <v>0</v>
      </c>
      <c r="AX137" s="408">
        <v>0</v>
      </c>
      <c r="AY137" s="408">
        <v>0</v>
      </c>
      <c r="AZ137" s="408">
        <v>0</v>
      </c>
      <c r="BA137" s="408"/>
      <c r="BB137" s="408">
        <v>0</v>
      </c>
      <c r="BC137" s="408">
        <v>0</v>
      </c>
      <c r="BD137" s="408">
        <v>55.150794136254561</v>
      </c>
      <c r="BE137" s="408">
        <v>0</v>
      </c>
      <c r="BF137" s="408">
        <v>0</v>
      </c>
      <c r="BG137" s="408">
        <v>1341.5934045829215</v>
      </c>
      <c r="BH137" s="408">
        <v>0</v>
      </c>
      <c r="BI137" s="408">
        <v>73.91</v>
      </c>
      <c r="BJ137" s="408">
        <v>367.01</v>
      </c>
      <c r="BK137" s="408">
        <v>12921.87</v>
      </c>
      <c r="BL137" s="408">
        <v>10</v>
      </c>
      <c r="BM137" s="408"/>
      <c r="BN137" s="408"/>
      <c r="BO137" s="408"/>
      <c r="BP137" s="408"/>
      <c r="BQ137" s="408">
        <v>1466.3923547999998</v>
      </c>
      <c r="BR137" s="408"/>
      <c r="BS137" s="408"/>
      <c r="BT137" s="408"/>
      <c r="BU137" s="408"/>
      <c r="BV137" s="408">
        <v>10890.726817935492</v>
      </c>
      <c r="BW137" s="408"/>
      <c r="BX137" s="408"/>
      <c r="BY137" s="408"/>
      <c r="BZ137" s="408"/>
      <c r="CA137" s="408"/>
      <c r="CB137" s="408"/>
      <c r="CC137" s="408"/>
      <c r="CD137" s="408"/>
      <c r="CE137" s="408"/>
      <c r="CF137" s="408"/>
      <c r="CG137" s="408"/>
      <c r="CH137" s="408"/>
      <c r="CI137" s="408">
        <v>22976.359700000001</v>
      </c>
      <c r="CJ137" s="408">
        <v>-10677.385574399996</v>
      </c>
      <c r="CK137" s="408"/>
      <c r="CL137" s="408"/>
      <c r="CM137" s="408"/>
      <c r="CN137" s="408"/>
      <c r="CO137" s="408">
        <v>-11953.678119999999</v>
      </c>
      <c r="CP137" s="408">
        <v>591.72594000000038</v>
      </c>
      <c r="CQ137" s="408">
        <v>31</v>
      </c>
      <c r="CR137" s="408">
        <v>491.93134683415337</v>
      </c>
      <c r="CS137" s="408">
        <v>0</v>
      </c>
      <c r="CT137" s="408">
        <v>0</v>
      </c>
      <c r="CU137" s="408">
        <v>0</v>
      </c>
      <c r="CV137" s="408">
        <v>0</v>
      </c>
      <c r="CW137" s="408">
        <v>0</v>
      </c>
      <c r="CX137" s="408">
        <v>0</v>
      </c>
      <c r="CY137" s="408">
        <v>0</v>
      </c>
      <c r="CZ137" s="408">
        <v>-20.587990247402558</v>
      </c>
      <c r="DA137" s="408">
        <v>0</v>
      </c>
      <c r="DB137" s="408">
        <v>0</v>
      </c>
      <c r="DC137" s="408">
        <v>591.4605834810427</v>
      </c>
      <c r="DD137" s="408">
        <v>0</v>
      </c>
      <c r="DE137" s="408">
        <v>0</v>
      </c>
      <c r="DF137" s="408">
        <v>3.4358100480665357</v>
      </c>
      <c r="DG137" s="408">
        <v>83.579215350874165</v>
      </c>
      <c r="DH137" s="408">
        <v>0</v>
      </c>
      <c r="DI137" s="408">
        <v>-141.46404198275832</v>
      </c>
      <c r="DJ137" s="408"/>
      <c r="DK137" s="408">
        <v>0</v>
      </c>
      <c r="DL137" s="408">
        <v>0</v>
      </c>
      <c r="DM137" s="408">
        <v>0</v>
      </c>
      <c r="DN137" s="408">
        <v>0</v>
      </c>
      <c r="DO137" s="408">
        <v>-19.299536624711493</v>
      </c>
      <c r="DP137" s="408">
        <v>-5.1926931909599858</v>
      </c>
      <c r="DQ137" s="408">
        <v>0</v>
      </c>
      <c r="DR137" s="408">
        <v>0</v>
      </c>
      <c r="DS137" s="408"/>
      <c r="DT137" s="408"/>
      <c r="DU137" s="408"/>
      <c r="DV137" s="408">
        <v>17648.533742726177</v>
      </c>
      <c r="DW137" s="408">
        <v>0</v>
      </c>
      <c r="DX137" s="408">
        <v>0</v>
      </c>
      <c r="DY137" s="408">
        <v>-11953.67812</v>
      </c>
      <c r="DZ137" s="408">
        <v>591.72594000000026</v>
      </c>
      <c r="EA137" s="408">
        <v>0</v>
      </c>
      <c r="EB137" s="408">
        <v>0</v>
      </c>
      <c r="EC137" s="408">
        <v>-11854.073051268068</v>
      </c>
      <c r="ED137" s="408">
        <v>0</v>
      </c>
      <c r="EE137" s="408">
        <v>0</v>
      </c>
      <c r="EF137" s="408">
        <v>0</v>
      </c>
      <c r="EG137" s="408">
        <v>0</v>
      </c>
      <c r="EH137" s="408">
        <v>0</v>
      </c>
      <c r="EI137" s="408">
        <v>0</v>
      </c>
      <c r="EJ137" s="408">
        <v>0</v>
      </c>
      <c r="EK137" s="408">
        <v>0</v>
      </c>
      <c r="EL137" s="408">
        <v>0</v>
      </c>
      <c r="EM137" s="408">
        <v>0</v>
      </c>
      <c r="EN137" s="408">
        <v>0</v>
      </c>
      <c r="EO137" s="408">
        <v>0</v>
      </c>
      <c r="EP137" s="408">
        <v>0</v>
      </c>
      <c r="EQ137" s="408">
        <v>0</v>
      </c>
      <c r="ER137" s="408">
        <v>0</v>
      </c>
      <c r="ES137" s="408">
        <v>0</v>
      </c>
      <c r="ET137" s="408">
        <v>0</v>
      </c>
      <c r="EU137" s="408">
        <v>0</v>
      </c>
      <c r="EV137" s="408">
        <v>257</v>
      </c>
      <c r="EW137" s="408">
        <v>0</v>
      </c>
      <c r="EX137" s="408">
        <v>0</v>
      </c>
      <c r="EY137" s="408">
        <v>0</v>
      </c>
      <c r="EZ137" s="408"/>
      <c r="FA137" s="408">
        <v>0</v>
      </c>
      <c r="FB137" s="408"/>
      <c r="FC137" s="408"/>
      <c r="FD137" s="408"/>
      <c r="FE137" s="408"/>
      <c r="FF137" s="408">
        <v>0</v>
      </c>
      <c r="FG137" s="408">
        <v>0</v>
      </c>
      <c r="FH137" s="408">
        <v>0</v>
      </c>
      <c r="FI137" s="408">
        <v>0</v>
      </c>
    </row>
    <row r="138" spans="1:165">
      <c r="A138" s="408">
        <v>136</v>
      </c>
      <c r="B138" s="408" t="s">
        <v>1035</v>
      </c>
      <c r="C138" s="408" t="s">
        <v>2241</v>
      </c>
      <c r="D138" s="408" t="s">
        <v>596</v>
      </c>
      <c r="E138" s="408" t="s">
        <v>1000</v>
      </c>
      <c r="F138" s="408" t="s">
        <v>2248</v>
      </c>
      <c r="G138" s="408" t="s">
        <v>1321</v>
      </c>
      <c r="H138" s="408" t="s">
        <v>1321</v>
      </c>
      <c r="I138" s="408" t="s">
        <v>972</v>
      </c>
      <c r="J138" s="408" t="s">
        <v>2234</v>
      </c>
      <c r="K138" s="828">
        <v>44470</v>
      </c>
      <c r="L138" s="408">
        <v>0</v>
      </c>
      <c r="M138" s="408">
        <v>0</v>
      </c>
      <c r="N138" s="408">
        <v>1.8</v>
      </c>
      <c r="O138" s="408">
        <v>1.6919999999999999</v>
      </c>
      <c r="P138" s="408">
        <v>1.8</v>
      </c>
      <c r="Q138" s="408">
        <v>1.6919999999999999</v>
      </c>
      <c r="R138" s="408"/>
      <c r="S138" s="408">
        <v>3130.62</v>
      </c>
      <c r="T138" s="408">
        <v>256.55</v>
      </c>
      <c r="U138" s="408"/>
      <c r="V138" s="408">
        <v>6096.9059999999999</v>
      </c>
      <c r="W138" s="408">
        <v>6096.9059999999999</v>
      </c>
      <c r="X138" s="408">
        <v>3208.7339999999999</v>
      </c>
      <c r="Y138" s="408">
        <v>0</v>
      </c>
      <c r="Z138" s="408">
        <v>96.269351069212561</v>
      </c>
      <c r="AA138" s="408">
        <v>0</v>
      </c>
      <c r="AB138" s="408">
        <v>0</v>
      </c>
      <c r="AC138" s="408">
        <v>0</v>
      </c>
      <c r="AD138" s="408">
        <v>1159.5848530911192</v>
      </c>
      <c r="AE138" s="408">
        <v>4327.4675934334618</v>
      </c>
      <c r="AF138" s="408">
        <v>461.79453911769366</v>
      </c>
      <c r="AG138" s="408">
        <v>0</v>
      </c>
      <c r="AH138" s="408">
        <v>0</v>
      </c>
      <c r="AI138" s="408">
        <v>0</v>
      </c>
      <c r="AJ138" s="408">
        <v>0</v>
      </c>
      <c r="AK138" s="408">
        <v>0</v>
      </c>
      <c r="AL138" s="408">
        <v>17.107674759759636</v>
      </c>
      <c r="AM138" s="408"/>
      <c r="AN138" s="408">
        <v>2.428298990666514</v>
      </c>
      <c r="AO138" s="408">
        <v>0</v>
      </c>
      <c r="AP138" s="408">
        <v>0</v>
      </c>
      <c r="AQ138" s="408">
        <v>0</v>
      </c>
      <c r="AR138" s="408">
        <v>0</v>
      </c>
      <c r="AS138" s="408">
        <v>0</v>
      </c>
      <c r="AT138" s="408">
        <v>0</v>
      </c>
      <c r="AU138" s="408">
        <v>0</v>
      </c>
      <c r="AV138" s="408">
        <v>0</v>
      </c>
      <c r="AW138" s="408">
        <v>0</v>
      </c>
      <c r="AX138" s="408">
        <v>0</v>
      </c>
      <c r="AY138" s="408">
        <v>0</v>
      </c>
      <c r="AZ138" s="408">
        <v>0</v>
      </c>
      <c r="BA138" s="408"/>
      <c r="BB138" s="408">
        <v>0</v>
      </c>
      <c r="BC138" s="408">
        <v>0</v>
      </c>
      <c r="BD138" s="408">
        <v>2.2176453909712319</v>
      </c>
      <c r="BE138" s="408">
        <v>0</v>
      </c>
      <c r="BF138" s="408">
        <v>0</v>
      </c>
      <c r="BG138" s="408">
        <v>30.040718755671541</v>
      </c>
      <c r="BH138" s="408">
        <v>0</v>
      </c>
      <c r="BI138" s="408">
        <v>0</v>
      </c>
      <c r="BJ138" s="408">
        <v>0</v>
      </c>
      <c r="BK138" s="408">
        <v>0</v>
      </c>
      <c r="BL138" s="408">
        <v>0</v>
      </c>
      <c r="BM138" s="408"/>
      <c r="BN138" s="408"/>
      <c r="BO138" s="408"/>
      <c r="BP138" s="408"/>
      <c r="BQ138" s="408">
        <v>192.52404000000018</v>
      </c>
      <c r="BR138" s="408"/>
      <c r="BS138" s="408"/>
      <c r="BT138" s="408"/>
      <c r="BU138" s="408"/>
      <c r="BV138" s="408">
        <v>494.05290326433646</v>
      </c>
      <c r="BW138" s="408"/>
      <c r="BX138" s="408"/>
      <c r="BY138" s="408"/>
      <c r="BZ138" s="408"/>
      <c r="CA138" s="408"/>
      <c r="CB138" s="408"/>
      <c r="CC138" s="408"/>
      <c r="CD138" s="408"/>
      <c r="CE138" s="408"/>
      <c r="CF138" s="408"/>
      <c r="CG138" s="408"/>
      <c r="CH138" s="408"/>
      <c r="CI138" s="408">
        <v>3012.6446999999998</v>
      </c>
      <c r="CJ138" s="408">
        <v>-2718.4769400000005</v>
      </c>
      <c r="CK138" s="408"/>
      <c r="CL138" s="408"/>
      <c r="CM138" s="408"/>
      <c r="CN138" s="408"/>
      <c r="CO138" s="408">
        <v>-2916.9540000000002</v>
      </c>
      <c r="CP138" s="408">
        <v>28.782000000000018</v>
      </c>
      <c r="CQ138" s="408">
        <v>31</v>
      </c>
      <c r="CR138" s="408">
        <v>18.457022138325328</v>
      </c>
      <c r="CS138" s="408">
        <v>0</v>
      </c>
      <c r="CT138" s="408">
        <v>0</v>
      </c>
      <c r="CU138" s="408">
        <v>0</v>
      </c>
      <c r="CV138" s="408">
        <v>0</v>
      </c>
      <c r="CW138" s="408">
        <v>0</v>
      </c>
      <c r="CX138" s="408">
        <v>0</v>
      </c>
      <c r="CY138" s="408">
        <v>0</v>
      </c>
      <c r="CZ138" s="408">
        <v>-5.2413964683605627</v>
      </c>
      <c r="DA138" s="408">
        <v>0</v>
      </c>
      <c r="DB138" s="408">
        <v>0</v>
      </c>
      <c r="DC138" s="408">
        <v>28.769092856992813</v>
      </c>
      <c r="DD138" s="408">
        <v>0</v>
      </c>
      <c r="DE138" s="408">
        <v>0</v>
      </c>
      <c r="DF138" s="408">
        <v>0.13815591301411212</v>
      </c>
      <c r="DG138" s="408">
        <v>1.8714907911729561</v>
      </c>
      <c r="DH138" s="408">
        <v>0</v>
      </c>
      <c r="DI138" s="408">
        <v>-5.9863992256661334</v>
      </c>
      <c r="DJ138" s="408"/>
      <c r="DK138" s="408">
        <v>0</v>
      </c>
      <c r="DL138" s="408">
        <v>0</v>
      </c>
      <c r="DM138" s="408">
        <v>0</v>
      </c>
      <c r="DN138" s="408">
        <v>0</v>
      </c>
      <c r="DO138" s="408">
        <v>-0.93874414755662983</v>
      </c>
      <c r="DP138" s="408">
        <v>-0.15517758127140002</v>
      </c>
      <c r="DQ138" s="408">
        <v>0</v>
      </c>
      <c r="DR138" s="408">
        <v>0</v>
      </c>
      <c r="DS138" s="408"/>
      <c r="DT138" s="408"/>
      <c r="DU138" s="408"/>
      <c r="DV138" s="408">
        <v>4327.4675934334618</v>
      </c>
      <c r="DW138" s="408">
        <v>0</v>
      </c>
      <c r="DX138" s="408">
        <v>0</v>
      </c>
      <c r="DY138" s="408">
        <v>-2916.9540000000002</v>
      </c>
      <c r="DZ138" s="408">
        <v>28.782000000000039</v>
      </c>
      <c r="EA138" s="408">
        <v>0</v>
      </c>
      <c r="EB138" s="408">
        <v>0</v>
      </c>
      <c r="EC138" s="408">
        <v>-2906.6503612912256</v>
      </c>
      <c r="ED138" s="408">
        <v>0</v>
      </c>
      <c r="EE138" s="408">
        <v>0</v>
      </c>
      <c r="EF138" s="408">
        <v>0</v>
      </c>
      <c r="EG138" s="408">
        <v>0</v>
      </c>
      <c r="EH138" s="408">
        <v>0</v>
      </c>
      <c r="EI138" s="408">
        <v>0</v>
      </c>
      <c r="EJ138" s="408">
        <v>0</v>
      </c>
      <c r="EK138" s="408">
        <v>0</v>
      </c>
      <c r="EL138" s="408">
        <v>0</v>
      </c>
      <c r="EM138" s="408">
        <v>0</v>
      </c>
      <c r="EN138" s="408">
        <v>0</v>
      </c>
      <c r="EO138" s="408">
        <v>0</v>
      </c>
      <c r="EP138" s="408">
        <v>0</v>
      </c>
      <c r="EQ138" s="408">
        <v>0</v>
      </c>
      <c r="ER138" s="408">
        <v>0</v>
      </c>
      <c r="ES138" s="408">
        <v>0</v>
      </c>
      <c r="ET138" s="408">
        <v>0</v>
      </c>
      <c r="EU138" s="408">
        <v>0</v>
      </c>
      <c r="EV138" s="408">
        <v>257</v>
      </c>
      <c r="EW138" s="408">
        <v>0</v>
      </c>
      <c r="EX138" s="408">
        <v>0</v>
      </c>
      <c r="EY138" s="408">
        <v>0</v>
      </c>
      <c r="EZ138" s="408"/>
      <c r="FA138" s="408">
        <v>0</v>
      </c>
      <c r="FB138" s="408"/>
      <c r="FC138" s="408"/>
      <c r="FD138" s="408"/>
      <c r="FE138" s="408"/>
      <c r="FF138" s="408">
        <v>0</v>
      </c>
      <c r="FG138" s="408">
        <v>0</v>
      </c>
      <c r="FH138" s="408">
        <v>0</v>
      </c>
      <c r="FI138" s="408">
        <v>0</v>
      </c>
    </row>
    <row r="139" spans="1:165">
      <c r="A139" s="408">
        <v>137</v>
      </c>
      <c r="B139" s="408" t="s">
        <v>1035</v>
      </c>
      <c r="C139" s="408" t="s">
        <v>2241</v>
      </c>
      <c r="D139" s="408" t="s">
        <v>596</v>
      </c>
      <c r="E139" s="408" t="s">
        <v>1000</v>
      </c>
      <c r="F139" s="408" t="s">
        <v>2248</v>
      </c>
      <c r="G139" s="408" t="s">
        <v>1321</v>
      </c>
      <c r="H139" s="408" t="s">
        <v>1321</v>
      </c>
      <c r="I139" s="408" t="s">
        <v>2242</v>
      </c>
      <c r="J139" s="408" t="s">
        <v>2234</v>
      </c>
      <c r="K139" s="828">
        <v>44470</v>
      </c>
      <c r="L139" s="408">
        <v>0</v>
      </c>
      <c r="M139" s="408">
        <v>0</v>
      </c>
      <c r="N139" s="408">
        <v>18.571999999999999</v>
      </c>
      <c r="O139" s="408">
        <v>17.45768</v>
      </c>
      <c r="P139" s="408">
        <v>18.571999999999999</v>
      </c>
      <c r="Q139" s="408">
        <v>17.45768</v>
      </c>
      <c r="R139" s="408"/>
      <c r="S139" s="408">
        <v>82.26</v>
      </c>
      <c r="T139" s="408">
        <v>256.55</v>
      </c>
      <c r="U139" s="408"/>
      <c r="V139" s="408">
        <v>6292.37932</v>
      </c>
      <c r="W139" s="408">
        <v>6292.37932</v>
      </c>
      <c r="X139" s="408">
        <v>6536.9725600000002</v>
      </c>
      <c r="Y139" s="408">
        <v>0</v>
      </c>
      <c r="Z139" s="408">
        <v>993.28577114300867</v>
      </c>
      <c r="AA139" s="408">
        <v>0</v>
      </c>
      <c r="AB139" s="408">
        <v>0</v>
      </c>
      <c r="AC139" s="408">
        <v>0</v>
      </c>
      <c r="AD139" s="408">
        <v>0</v>
      </c>
      <c r="AE139" s="408">
        <v>0</v>
      </c>
      <c r="AF139" s="408">
        <v>4764.6934336076702</v>
      </c>
      <c r="AG139" s="408">
        <v>0</v>
      </c>
      <c r="AH139" s="408">
        <v>0</v>
      </c>
      <c r="AI139" s="408">
        <v>0</v>
      </c>
      <c r="AJ139" s="408">
        <v>0</v>
      </c>
      <c r="AK139" s="408">
        <v>0</v>
      </c>
      <c r="AL139" s="408">
        <v>176.51318646569774</v>
      </c>
      <c r="AM139" s="408"/>
      <c r="AN139" s="408">
        <v>25.054649363699163</v>
      </c>
      <c r="AO139" s="408">
        <v>0</v>
      </c>
      <c r="AP139" s="408">
        <v>0</v>
      </c>
      <c r="AQ139" s="408">
        <v>0</v>
      </c>
      <c r="AR139" s="408">
        <v>0</v>
      </c>
      <c r="AS139" s="408">
        <v>0</v>
      </c>
      <c r="AT139" s="408">
        <v>0</v>
      </c>
      <c r="AU139" s="408">
        <v>0</v>
      </c>
      <c r="AV139" s="408">
        <v>0</v>
      </c>
      <c r="AW139" s="408">
        <v>0</v>
      </c>
      <c r="AX139" s="408">
        <v>0</v>
      </c>
      <c r="AY139" s="408">
        <v>0</v>
      </c>
      <c r="AZ139" s="408">
        <v>0</v>
      </c>
      <c r="BA139" s="408"/>
      <c r="BB139" s="408">
        <v>0</v>
      </c>
      <c r="BC139" s="408">
        <v>0</v>
      </c>
      <c r="BD139" s="408">
        <v>22.881172333954289</v>
      </c>
      <c r="BE139" s="408">
        <v>0</v>
      </c>
      <c r="BF139" s="408">
        <v>0</v>
      </c>
      <c r="BG139" s="408">
        <v>309.95346040573992</v>
      </c>
      <c r="BH139" s="408">
        <v>0</v>
      </c>
      <c r="BI139" s="408">
        <v>0</v>
      </c>
      <c r="BJ139" s="408">
        <v>0</v>
      </c>
      <c r="BK139" s="408">
        <v>0</v>
      </c>
      <c r="BL139" s="408">
        <v>0</v>
      </c>
      <c r="BM139" s="408"/>
      <c r="BN139" s="408"/>
      <c r="BO139" s="408"/>
      <c r="BP139" s="408"/>
      <c r="BQ139" s="408">
        <v>392.21835359999977</v>
      </c>
      <c r="BR139" s="408"/>
      <c r="BS139" s="408"/>
      <c r="BT139" s="408"/>
      <c r="BU139" s="408"/>
      <c r="BV139" s="408">
        <v>5097.5280663473641</v>
      </c>
      <c r="BW139" s="408"/>
      <c r="BX139" s="408"/>
      <c r="BY139" s="408"/>
      <c r="BZ139" s="408"/>
      <c r="CA139" s="408"/>
      <c r="CB139" s="408"/>
      <c r="CC139" s="408"/>
      <c r="CD139" s="408"/>
      <c r="CE139" s="408"/>
      <c r="CF139" s="408"/>
      <c r="CG139" s="408"/>
      <c r="CH139" s="408"/>
      <c r="CI139" s="408">
        <v>6145.5708000000004</v>
      </c>
      <c r="CJ139" s="408">
        <v>230.7042392000003</v>
      </c>
      <c r="CK139" s="408"/>
      <c r="CL139" s="408"/>
      <c r="CM139" s="408"/>
      <c r="CN139" s="408"/>
      <c r="CO139" s="408">
        <v>-52.373040000000138</v>
      </c>
      <c r="CP139" s="408">
        <v>296.96628000000015</v>
      </c>
      <c r="CQ139" s="408">
        <v>31</v>
      </c>
      <c r="CR139" s="408">
        <v>244.51501686853771</v>
      </c>
      <c r="CS139" s="408">
        <v>0</v>
      </c>
      <c r="CT139" s="408">
        <v>0</v>
      </c>
      <c r="CU139" s="408">
        <v>0</v>
      </c>
      <c r="CV139" s="408">
        <v>0</v>
      </c>
      <c r="CW139" s="408">
        <v>0</v>
      </c>
      <c r="CX139" s="408">
        <v>0</v>
      </c>
      <c r="CY139" s="408">
        <v>0</v>
      </c>
      <c r="CZ139" s="408">
        <v>0</v>
      </c>
      <c r="DA139" s="408">
        <v>0</v>
      </c>
      <c r="DB139" s="408">
        <v>0</v>
      </c>
      <c r="DC139" s="408">
        <v>296.8331069667056</v>
      </c>
      <c r="DD139" s="408">
        <v>0</v>
      </c>
      <c r="DE139" s="408">
        <v>0</v>
      </c>
      <c r="DF139" s="408">
        <v>1.4254620091656065</v>
      </c>
      <c r="DG139" s="408">
        <v>19.309626096480088</v>
      </c>
      <c r="DH139" s="408">
        <v>0</v>
      </c>
      <c r="DI139" s="408">
        <v>-61.766336899484259</v>
      </c>
      <c r="DJ139" s="408"/>
      <c r="DK139" s="408">
        <v>0</v>
      </c>
      <c r="DL139" s="408">
        <v>0</v>
      </c>
      <c r="DM139" s="408">
        <v>0</v>
      </c>
      <c r="DN139" s="408">
        <v>0</v>
      </c>
      <c r="DO139" s="408">
        <v>-9.6857535046787291</v>
      </c>
      <c r="DP139" s="408">
        <v>-1.6010877996513564</v>
      </c>
      <c r="DQ139" s="408">
        <v>0</v>
      </c>
      <c r="DR139" s="408">
        <v>0</v>
      </c>
      <c r="DS139" s="408"/>
      <c r="DT139" s="408"/>
      <c r="DU139" s="408"/>
      <c r="DV139" s="408">
        <v>0</v>
      </c>
      <c r="DW139" s="408">
        <v>0</v>
      </c>
      <c r="DX139" s="408">
        <v>0</v>
      </c>
      <c r="DY139" s="408">
        <v>-52.373040000000174</v>
      </c>
      <c r="DZ139" s="408">
        <v>296.96628000000055</v>
      </c>
      <c r="EA139" s="408">
        <v>0</v>
      </c>
      <c r="EB139" s="408">
        <v>0</v>
      </c>
      <c r="EC139" s="408">
        <v>0</v>
      </c>
      <c r="ED139" s="408">
        <v>0</v>
      </c>
      <c r="EE139" s="408">
        <v>0</v>
      </c>
      <c r="EF139" s="408">
        <v>0</v>
      </c>
      <c r="EG139" s="408">
        <v>0</v>
      </c>
      <c r="EH139" s="408">
        <v>0</v>
      </c>
      <c r="EI139" s="408">
        <v>0</v>
      </c>
      <c r="EJ139" s="408">
        <v>0</v>
      </c>
      <c r="EK139" s="408">
        <v>0</v>
      </c>
      <c r="EL139" s="408">
        <v>0</v>
      </c>
      <c r="EM139" s="408">
        <v>0</v>
      </c>
      <c r="EN139" s="408">
        <v>0</v>
      </c>
      <c r="EO139" s="408">
        <v>0</v>
      </c>
      <c r="EP139" s="408">
        <v>0</v>
      </c>
      <c r="EQ139" s="408">
        <v>0</v>
      </c>
      <c r="ER139" s="408">
        <v>0</v>
      </c>
      <c r="ES139" s="408">
        <v>0</v>
      </c>
      <c r="ET139" s="408">
        <v>0</v>
      </c>
      <c r="EU139" s="408">
        <v>0</v>
      </c>
      <c r="EV139" s="408">
        <v>257</v>
      </c>
      <c r="EW139" s="408">
        <v>0</v>
      </c>
      <c r="EX139" s="408">
        <v>0</v>
      </c>
      <c r="EY139" s="408">
        <v>0</v>
      </c>
      <c r="EZ139" s="408"/>
      <c r="FA139" s="408">
        <v>0</v>
      </c>
      <c r="FB139" s="408"/>
      <c r="FC139" s="408"/>
      <c r="FD139" s="408"/>
      <c r="FE139" s="408"/>
      <c r="FF139" s="408">
        <v>0</v>
      </c>
      <c r="FG139" s="408">
        <v>0</v>
      </c>
      <c r="FH139" s="408">
        <v>0</v>
      </c>
      <c r="FI139" s="408">
        <v>0</v>
      </c>
    </row>
    <row r="140" spans="1:165">
      <c r="A140" s="408">
        <v>138</v>
      </c>
      <c r="B140" s="408" t="s">
        <v>1035</v>
      </c>
      <c r="C140" s="408" t="s">
        <v>2241</v>
      </c>
      <c r="D140" s="408" t="s">
        <v>596</v>
      </c>
      <c r="E140" s="408" t="s">
        <v>1000</v>
      </c>
      <c r="F140" s="408" t="s">
        <v>2248</v>
      </c>
      <c r="G140" s="408" t="s">
        <v>1321</v>
      </c>
      <c r="H140" s="408" t="s">
        <v>1321</v>
      </c>
      <c r="I140" s="408" t="s">
        <v>1321</v>
      </c>
      <c r="J140" s="408" t="s">
        <v>2234</v>
      </c>
      <c r="K140" s="828">
        <v>44470</v>
      </c>
      <c r="L140" s="408">
        <v>84</v>
      </c>
      <c r="M140" s="408">
        <v>78.959999999999994</v>
      </c>
      <c r="N140" s="408">
        <v>0</v>
      </c>
      <c r="O140" s="408">
        <v>0</v>
      </c>
      <c r="P140" s="408">
        <v>0</v>
      </c>
      <c r="Q140" s="408">
        <v>0</v>
      </c>
      <c r="R140" s="408">
        <v>47.39</v>
      </c>
      <c r="S140" s="408"/>
      <c r="T140" s="408"/>
      <c r="U140" s="408">
        <v>3980.76</v>
      </c>
      <c r="V140" s="408"/>
      <c r="W140" s="408">
        <v>3980.76</v>
      </c>
      <c r="X140" s="408">
        <v>2706.48</v>
      </c>
      <c r="Y140" s="408">
        <v>0</v>
      </c>
      <c r="Z140" s="408">
        <v>0</v>
      </c>
      <c r="AA140" s="408">
        <v>0</v>
      </c>
      <c r="AB140" s="408">
        <v>0</v>
      </c>
      <c r="AC140" s="408">
        <v>0</v>
      </c>
      <c r="AD140" s="408">
        <v>2097.4884150751186</v>
      </c>
      <c r="AE140" s="408">
        <v>1883.2688486412778</v>
      </c>
      <c r="AF140" s="408"/>
      <c r="AG140" s="408"/>
      <c r="AH140" s="408"/>
      <c r="AI140" s="408">
        <v>0</v>
      </c>
      <c r="AJ140" s="408">
        <v>0</v>
      </c>
      <c r="AK140" s="408">
        <v>0</v>
      </c>
      <c r="AL140" s="408">
        <v>0</v>
      </c>
      <c r="AM140" s="408"/>
      <c r="AN140" s="408">
        <v>0</v>
      </c>
      <c r="AO140" s="408">
        <v>0</v>
      </c>
      <c r="AP140" s="408">
        <v>0</v>
      </c>
      <c r="AQ140" s="408">
        <v>0</v>
      </c>
      <c r="AR140" s="408">
        <v>0</v>
      </c>
      <c r="AS140" s="408"/>
      <c r="AT140" s="408"/>
      <c r="AU140" s="408">
        <v>0</v>
      </c>
      <c r="AV140" s="408">
        <v>0</v>
      </c>
      <c r="AW140" s="408">
        <v>0</v>
      </c>
      <c r="AX140" s="408"/>
      <c r="AY140" s="408"/>
      <c r="AZ140" s="408">
        <v>0</v>
      </c>
      <c r="BA140" s="408"/>
      <c r="BB140" s="408">
        <v>0</v>
      </c>
      <c r="BC140" s="408">
        <v>0</v>
      </c>
      <c r="BD140" s="408">
        <v>0</v>
      </c>
      <c r="BE140" s="408">
        <v>0</v>
      </c>
      <c r="BF140" s="408"/>
      <c r="BG140" s="408">
        <v>0</v>
      </c>
      <c r="BH140" s="408">
        <v>0</v>
      </c>
      <c r="BI140" s="408">
        <v>39.03</v>
      </c>
      <c r="BJ140" s="408">
        <v>193.71</v>
      </c>
      <c r="BK140" s="408">
        <v>6817.77</v>
      </c>
      <c r="BL140" s="408">
        <v>1</v>
      </c>
      <c r="BM140" s="408"/>
      <c r="BN140" s="408"/>
      <c r="BO140" s="408"/>
      <c r="BP140" s="408"/>
      <c r="BQ140" s="408">
        <v>162.3888000000002</v>
      </c>
      <c r="BR140" s="408"/>
      <c r="BS140" s="408"/>
      <c r="BT140" s="408"/>
      <c r="BU140" s="408"/>
      <c r="BV140" s="408">
        <v>0</v>
      </c>
      <c r="BW140" s="408"/>
      <c r="BX140" s="408"/>
      <c r="BY140" s="408"/>
      <c r="BZ140" s="408"/>
      <c r="CA140" s="408"/>
      <c r="CB140" s="408"/>
      <c r="CC140" s="408"/>
      <c r="CD140" s="408"/>
      <c r="CE140" s="408"/>
      <c r="CF140" s="408"/>
      <c r="CG140" s="408"/>
      <c r="CH140" s="408"/>
      <c r="CI140" s="408">
        <v>2544.0911999999998</v>
      </c>
      <c r="CJ140" s="408">
        <v>-1197.8532000000005</v>
      </c>
      <c r="CK140" s="408"/>
      <c r="CL140" s="408"/>
      <c r="CM140" s="408"/>
      <c r="CN140" s="408"/>
      <c r="CO140" s="408">
        <v>-1274.2800000000002</v>
      </c>
      <c r="CP140" s="408">
        <v>0</v>
      </c>
      <c r="CQ140" s="408">
        <v>31</v>
      </c>
      <c r="CR140" s="408">
        <v>-9.4807795582159997</v>
      </c>
      <c r="CS140" s="408">
        <v>0</v>
      </c>
      <c r="CT140" s="408">
        <v>0</v>
      </c>
      <c r="CU140" s="408">
        <v>0</v>
      </c>
      <c r="CV140" s="408">
        <v>0</v>
      </c>
      <c r="CW140" s="408"/>
      <c r="CX140" s="408"/>
      <c r="CY140" s="408"/>
      <c r="CZ140" s="408">
        <v>-9.4807795582159997</v>
      </c>
      <c r="DA140" s="408">
        <v>0</v>
      </c>
      <c r="DB140" s="408">
        <v>0</v>
      </c>
      <c r="DC140" s="408"/>
      <c r="DD140" s="408"/>
      <c r="DE140" s="408">
        <v>0</v>
      </c>
      <c r="DF140" s="408">
        <v>0</v>
      </c>
      <c r="DG140" s="408">
        <v>0</v>
      </c>
      <c r="DH140" s="408">
        <v>0</v>
      </c>
      <c r="DI140" s="408">
        <v>0</v>
      </c>
      <c r="DJ140" s="408"/>
      <c r="DK140" s="408">
        <v>0</v>
      </c>
      <c r="DL140" s="408">
        <v>0</v>
      </c>
      <c r="DM140" s="408"/>
      <c r="DN140" s="408">
        <v>0</v>
      </c>
      <c r="DO140" s="408">
        <v>0</v>
      </c>
      <c r="DP140" s="408">
        <v>0</v>
      </c>
      <c r="DQ140" s="408">
        <v>0</v>
      </c>
      <c r="DR140" s="408">
        <v>0</v>
      </c>
      <c r="DS140" s="408"/>
      <c r="DT140" s="408"/>
      <c r="DU140" s="408">
        <v>1883.2688486412778</v>
      </c>
      <c r="DV140" s="408"/>
      <c r="DW140" s="408">
        <v>0</v>
      </c>
      <c r="DX140" s="408">
        <v>0</v>
      </c>
      <c r="DY140" s="408">
        <v>-1274.2800000000002</v>
      </c>
      <c r="DZ140" s="408"/>
      <c r="EA140" s="408">
        <v>0</v>
      </c>
      <c r="EB140" s="408"/>
      <c r="EC140" s="408">
        <v>-1264.9439796193938</v>
      </c>
      <c r="ED140" s="408"/>
      <c r="EE140" s="408">
        <v>0</v>
      </c>
      <c r="EF140" s="408">
        <v>0</v>
      </c>
      <c r="EG140" s="408"/>
      <c r="EH140" s="408">
        <v>0</v>
      </c>
      <c r="EI140" s="408">
        <v>0</v>
      </c>
      <c r="EJ140" s="408">
        <v>0</v>
      </c>
      <c r="EK140" s="408">
        <v>0</v>
      </c>
      <c r="EL140" s="408">
        <v>0</v>
      </c>
      <c r="EM140" s="408"/>
      <c r="EN140" s="408"/>
      <c r="EO140" s="408">
        <v>0</v>
      </c>
      <c r="EP140" s="408">
        <v>0</v>
      </c>
      <c r="EQ140" s="408"/>
      <c r="ER140" s="408">
        <v>0</v>
      </c>
      <c r="ES140" s="408"/>
      <c r="ET140" s="408">
        <v>0</v>
      </c>
      <c r="EU140" s="408"/>
      <c r="EV140" s="408">
        <v>257</v>
      </c>
      <c r="EW140" s="408"/>
      <c r="EX140" s="408"/>
      <c r="EY140" s="408"/>
      <c r="EZ140" s="408"/>
      <c r="FA140" s="408">
        <v>0</v>
      </c>
      <c r="FB140" s="408"/>
      <c r="FC140" s="408"/>
      <c r="FD140" s="408"/>
      <c r="FE140" s="408"/>
      <c r="FF140" s="408">
        <v>0</v>
      </c>
      <c r="FG140" s="408">
        <v>0</v>
      </c>
      <c r="FH140" s="408">
        <v>0</v>
      </c>
      <c r="FI140" s="408">
        <v>0</v>
      </c>
    </row>
    <row r="141" spans="1:165">
      <c r="A141" s="408">
        <v>139</v>
      </c>
      <c r="B141" s="408" t="s">
        <v>1035</v>
      </c>
      <c r="C141" s="408" t="s">
        <v>2233</v>
      </c>
      <c r="D141" s="408" t="s">
        <v>1958</v>
      </c>
      <c r="E141" s="408" t="s">
        <v>2249</v>
      </c>
      <c r="F141" s="408" t="s">
        <v>1321</v>
      </c>
      <c r="G141" s="408" t="s">
        <v>1321</v>
      </c>
      <c r="H141" s="408" t="s">
        <v>1321</v>
      </c>
      <c r="I141" s="408" t="s">
        <v>1321</v>
      </c>
      <c r="J141" s="408" t="s">
        <v>2234</v>
      </c>
      <c r="K141" s="828">
        <v>44470</v>
      </c>
      <c r="L141" s="408">
        <v>0</v>
      </c>
      <c r="M141" s="408">
        <v>0</v>
      </c>
      <c r="N141" s="408">
        <v>0.56799999999999995</v>
      </c>
      <c r="O141" s="408">
        <v>0.56799999999999995</v>
      </c>
      <c r="P141" s="408">
        <v>0.56799999999999995</v>
      </c>
      <c r="Q141" s="408">
        <v>0.56799999999999995</v>
      </c>
      <c r="R141" s="408"/>
      <c r="S141" s="408">
        <v>710.91</v>
      </c>
      <c r="T141" s="408">
        <v>256.55</v>
      </c>
      <c r="U141" s="408"/>
      <c r="V141" s="408">
        <v>549.51727999999991</v>
      </c>
      <c r="W141" s="408">
        <v>549.51727999999991</v>
      </c>
      <c r="X141" s="408">
        <v>375.12423999999999</v>
      </c>
      <c r="Y141" s="408">
        <v>0</v>
      </c>
      <c r="Z141" s="408">
        <v>34.917619034043888</v>
      </c>
      <c r="AA141" s="408">
        <v>0</v>
      </c>
      <c r="AB141" s="408">
        <v>0</v>
      </c>
      <c r="AC141" s="408">
        <v>0</v>
      </c>
      <c r="AD141" s="408">
        <v>69.911024608315287</v>
      </c>
      <c r="AE141" s="408">
        <v>270.88491503724981</v>
      </c>
      <c r="AF141" s="408">
        <v>145.72183234380554</v>
      </c>
      <c r="AG141" s="408">
        <v>0</v>
      </c>
      <c r="AH141" s="408">
        <v>0</v>
      </c>
      <c r="AI141" s="408">
        <v>0</v>
      </c>
      <c r="AJ141" s="408">
        <v>0</v>
      </c>
      <c r="AK141" s="408">
        <v>0</v>
      </c>
      <c r="AL141" s="408">
        <v>5.3984218130797066</v>
      </c>
      <c r="AM141" s="408"/>
      <c r="AN141" s="408">
        <v>1.2472170391087092</v>
      </c>
      <c r="AO141" s="408">
        <v>0</v>
      </c>
      <c r="AP141" s="408">
        <v>0</v>
      </c>
      <c r="AQ141" s="408">
        <v>0</v>
      </c>
      <c r="AR141" s="408">
        <v>0</v>
      </c>
      <c r="AS141" s="408">
        <v>0</v>
      </c>
      <c r="AT141" s="408">
        <v>0</v>
      </c>
      <c r="AU141" s="408">
        <v>0</v>
      </c>
      <c r="AV141" s="408">
        <v>0</v>
      </c>
      <c r="AW141" s="408">
        <v>0</v>
      </c>
      <c r="AX141" s="408">
        <v>0</v>
      </c>
      <c r="AY141" s="408">
        <v>0</v>
      </c>
      <c r="AZ141" s="408">
        <v>0</v>
      </c>
      <c r="BA141" s="408"/>
      <c r="BB141" s="408">
        <v>0</v>
      </c>
      <c r="BC141" s="408">
        <v>0</v>
      </c>
      <c r="BD141" s="408">
        <v>0.84650194750560959</v>
      </c>
      <c r="BE141" s="408">
        <v>0</v>
      </c>
      <c r="BF141" s="408">
        <v>0</v>
      </c>
      <c r="BG141" s="408">
        <v>20.591932492112072</v>
      </c>
      <c r="BH141" s="408">
        <v>0</v>
      </c>
      <c r="BI141" s="408">
        <v>1.1599999999999999</v>
      </c>
      <c r="BJ141" s="408">
        <v>5.84</v>
      </c>
      <c r="BK141" s="408">
        <v>198.3</v>
      </c>
      <c r="BL141" s="408">
        <v>4</v>
      </c>
      <c r="BM141" s="408"/>
      <c r="BN141" s="408"/>
      <c r="BO141" s="408"/>
      <c r="BP141" s="408"/>
      <c r="BQ141" s="408"/>
      <c r="BR141" s="408"/>
      <c r="BS141" s="408"/>
      <c r="BT141" s="408"/>
      <c r="BU141" s="408"/>
      <c r="BV141" s="408">
        <v>167.16026678342322</v>
      </c>
      <c r="BW141" s="408"/>
      <c r="BX141" s="408"/>
      <c r="BY141" s="408"/>
      <c r="BZ141" s="408"/>
      <c r="CA141" s="408"/>
      <c r="CB141" s="408"/>
      <c r="CC141" s="408"/>
      <c r="CD141" s="408"/>
      <c r="CE141" s="408"/>
      <c r="CF141" s="408"/>
      <c r="CG141" s="408"/>
      <c r="CH141" s="408"/>
      <c r="CI141" s="408">
        <v>376.44509999999997</v>
      </c>
      <c r="CJ141" s="408">
        <v>-173.10217999999992</v>
      </c>
      <c r="CK141" s="408"/>
      <c r="CL141" s="408"/>
      <c r="CM141" s="408"/>
      <c r="CN141" s="408"/>
      <c r="CO141" s="408">
        <v>-183.47535999999997</v>
      </c>
      <c r="CP141" s="408">
        <v>9.0823200000000046</v>
      </c>
      <c r="CQ141" s="408">
        <v>31</v>
      </c>
      <c r="CR141" s="408">
        <v>7.5505865265577654</v>
      </c>
      <c r="CS141" s="408">
        <v>0</v>
      </c>
      <c r="CT141" s="408">
        <v>0</v>
      </c>
      <c r="CU141" s="408">
        <v>0</v>
      </c>
      <c r="CV141" s="408">
        <v>0</v>
      </c>
      <c r="CW141" s="408">
        <v>0</v>
      </c>
      <c r="CX141" s="408">
        <v>0</v>
      </c>
      <c r="CY141" s="408">
        <v>0</v>
      </c>
      <c r="CZ141" s="408">
        <v>-0.31600222830148539</v>
      </c>
      <c r="DA141" s="408">
        <v>0</v>
      </c>
      <c r="DB141" s="408">
        <v>0</v>
      </c>
      <c r="DC141" s="408">
        <v>9.0782470793177197</v>
      </c>
      <c r="DD141" s="408">
        <v>0</v>
      </c>
      <c r="DE141" s="408">
        <v>0</v>
      </c>
      <c r="DF141" s="408">
        <v>5.2735775476998037E-2</v>
      </c>
      <c r="DG141" s="408">
        <v>1.2828458714612907</v>
      </c>
      <c r="DH141" s="408">
        <v>0</v>
      </c>
      <c r="DI141" s="408">
        <v>-2.1713121073935753</v>
      </c>
      <c r="DJ141" s="408"/>
      <c r="DK141" s="408">
        <v>0</v>
      </c>
      <c r="DL141" s="408">
        <v>0</v>
      </c>
      <c r="DM141" s="408">
        <v>0</v>
      </c>
      <c r="DN141" s="408">
        <v>0</v>
      </c>
      <c r="DO141" s="408">
        <v>-0.29622593100675854</v>
      </c>
      <c r="DP141" s="408">
        <v>-7.9701932996413261E-2</v>
      </c>
      <c r="DQ141" s="408">
        <v>0</v>
      </c>
      <c r="DR141" s="408">
        <v>0</v>
      </c>
      <c r="DS141" s="408"/>
      <c r="DT141" s="408"/>
      <c r="DU141" s="408"/>
      <c r="DV141" s="408">
        <v>270.88491503724981</v>
      </c>
      <c r="DW141" s="408">
        <v>0</v>
      </c>
      <c r="DX141" s="408">
        <v>0</v>
      </c>
      <c r="DY141" s="408">
        <v>-183.47535999999997</v>
      </c>
      <c r="DZ141" s="408">
        <v>9.0823200000000099</v>
      </c>
      <c r="EA141" s="408">
        <v>0</v>
      </c>
      <c r="EB141" s="408">
        <v>0</v>
      </c>
      <c r="EC141" s="408">
        <v>-181.94653551100527</v>
      </c>
      <c r="ED141" s="408">
        <v>0</v>
      </c>
      <c r="EE141" s="408">
        <v>0</v>
      </c>
      <c r="EF141" s="408">
        <v>0</v>
      </c>
      <c r="EG141" s="408">
        <v>0</v>
      </c>
      <c r="EH141" s="408">
        <v>0</v>
      </c>
      <c r="EI141" s="408">
        <v>0</v>
      </c>
      <c r="EJ141" s="408">
        <v>0</v>
      </c>
      <c r="EK141" s="408">
        <v>0</v>
      </c>
      <c r="EL141" s="408">
        <v>0</v>
      </c>
      <c r="EM141" s="408">
        <v>0</v>
      </c>
      <c r="EN141" s="408">
        <v>0</v>
      </c>
      <c r="EO141" s="408">
        <v>0</v>
      </c>
      <c r="EP141" s="408">
        <v>0</v>
      </c>
      <c r="EQ141" s="408">
        <v>0</v>
      </c>
      <c r="ER141" s="408">
        <v>0</v>
      </c>
      <c r="ES141" s="408">
        <v>0</v>
      </c>
      <c r="ET141" s="408">
        <v>0</v>
      </c>
      <c r="EU141" s="408">
        <v>0</v>
      </c>
      <c r="EV141" s="408">
        <v>257</v>
      </c>
      <c r="EW141" s="408">
        <v>0</v>
      </c>
      <c r="EX141" s="408">
        <v>0</v>
      </c>
      <c r="EY141" s="408">
        <v>0</v>
      </c>
      <c r="EZ141" s="408"/>
      <c r="FA141" s="408">
        <v>0</v>
      </c>
      <c r="FB141" s="408"/>
      <c r="FC141" s="408"/>
      <c r="FD141" s="408"/>
      <c r="FE141" s="408"/>
      <c r="FF141" s="408">
        <v>0</v>
      </c>
      <c r="FG141" s="408">
        <v>0</v>
      </c>
      <c r="FH141" s="408">
        <v>0</v>
      </c>
      <c r="FI141" s="408">
        <v>0</v>
      </c>
    </row>
    <row r="142" spans="1:165">
      <c r="A142" s="408">
        <v>140</v>
      </c>
      <c r="B142" s="408" t="s">
        <v>1035</v>
      </c>
      <c r="C142" s="408" t="s">
        <v>2233</v>
      </c>
      <c r="D142" s="408" t="s">
        <v>1955</v>
      </c>
      <c r="E142" s="408" t="s">
        <v>968</v>
      </c>
      <c r="F142" s="408" t="s">
        <v>968</v>
      </c>
      <c r="G142" s="408" t="s">
        <v>1321</v>
      </c>
      <c r="H142" s="408" t="s">
        <v>1321</v>
      </c>
      <c r="I142" s="408" t="s">
        <v>1321</v>
      </c>
      <c r="J142" s="408" t="s">
        <v>2234</v>
      </c>
      <c r="K142" s="828">
        <v>44501</v>
      </c>
      <c r="L142" s="408">
        <v>0</v>
      </c>
      <c r="M142" s="408">
        <v>0</v>
      </c>
      <c r="N142" s="408">
        <v>722.63699999999994</v>
      </c>
      <c r="O142" s="408">
        <v>722.63699999999994</v>
      </c>
      <c r="P142" s="408">
        <v>722.63699999999994</v>
      </c>
      <c r="Q142" s="408">
        <v>722.63699999999994</v>
      </c>
      <c r="R142" s="408"/>
      <c r="S142" s="408">
        <v>710.91</v>
      </c>
      <c r="T142" s="408">
        <v>256.55</v>
      </c>
      <c r="U142" s="408"/>
      <c r="V142" s="408">
        <v>699122.39201999991</v>
      </c>
      <c r="W142" s="408">
        <v>699122.39201999991</v>
      </c>
      <c r="X142" s="408">
        <v>477251.15390999999</v>
      </c>
      <c r="Y142" s="408">
        <v>0</v>
      </c>
      <c r="Z142" s="408">
        <v>44423.87934138094</v>
      </c>
      <c r="AA142" s="408">
        <v>0</v>
      </c>
      <c r="AB142" s="408">
        <v>0</v>
      </c>
      <c r="AC142" s="408">
        <v>0</v>
      </c>
      <c r="AD142" s="408">
        <v>88944.177975139319</v>
      </c>
      <c r="AE142" s="408">
        <v>344632.85624607938</v>
      </c>
      <c r="AF142" s="408">
        <v>185394.34464688486</v>
      </c>
      <c r="AG142" s="408">
        <v>0</v>
      </c>
      <c r="AH142" s="408">
        <v>0</v>
      </c>
      <c r="AI142" s="408">
        <v>0</v>
      </c>
      <c r="AJ142" s="408">
        <v>0</v>
      </c>
      <c r="AK142" s="408">
        <v>0</v>
      </c>
      <c r="AL142" s="408">
        <v>6868.1326474269017</v>
      </c>
      <c r="AM142" s="408"/>
      <c r="AN142" s="408">
        <v>1586.7696822014088</v>
      </c>
      <c r="AO142" s="408">
        <v>0</v>
      </c>
      <c r="AP142" s="408">
        <v>0</v>
      </c>
      <c r="AQ142" s="408">
        <v>0</v>
      </c>
      <c r="AR142" s="408">
        <v>0</v>
      </c>
      <c r="AS142" s="408">
        <v>0</v>
      </c>
      <c r="AT142" s="408">
        <v>0</v>
      </c>
      <c r="AU142" s="408">
        <v>0</v>
      </c>
      <c r="AV142" s="408">
        <v>0</v>
      </c>
      <c r="AW142" s="408">
        <v>0</v>
      </c>
      <c r="AX142" s="408">
        <v>0</v>
      </c>
      <c r="AY142" s="408">
        <v>0</v>
      </c>
      <c r="AZ142" s="408">
        <v>0</v>
      </c>
      <c r="BA142" s="408"/>
      <c r="BB142" s="408">
        <v>0</v>
      </c>
      <c r="BC142" s="408">
        <v>0</v>
      </c>
      <c r="BD142" s="408">
        <v>1076.9606123936817</v>
      </c>
      <c r="BE142" s="408">
        <v>0</v>
      </c>
      <c r="BF142" s="408">
        <v>0</v>
      </c>
      <c r="BG142" s="408">
        <v>26198.049859687308</v>
      </c>
      <c r="BH142" s="408">
        <v>0</v>
      </c>
      <c r="BI142" s="408">
        <v>1167.8599999999999</v>
      </c>
      <c r="BJ142" s="408">
        <v>6180.89</v>
      </c>
      <c r="BK142" s="408">
        <v>241932.24</v>
      </c>
      <c r="BL142" s="408">
        <v>5258</v>
      </c>
      <c r="BM142" s="408"/>
      <c r="BN142" s="408"/>
      <c r="BO142" s="408"/>
      <c r="BP142" s="408"/>
      <c r="BQ142" s="408"/>
      <c r="BR142" s="408"/>
      <c r="BS142" s="408"/>
      <c r="BT142" s="408"/>
      <c r="BU142" s="408"/>
      <c r="BV142" s="408">
        <v>212669.35511896585</v>
      </c>
      <c r="BW142" s="408"/>
      <c r="BX142" s="408"/>
      <c r="BY142" s="408"/>
      <c r="BZ142" s="408"/>
      <c r="CA142" s="408"/>
      <c r="CB142" s="408"/>
      <c r="CC142" s="408"/>
      <c r="CD142" s="408"/>
      <c r="CE142" s="408"/>
      <c r="CF142" s="408"/>
      <c r="CG142" s="408"/>
      <c r="CH142" s="408"/>
      <c r="CI142" s="408">
        <v>477253.13520000002</v>
      </c>
      <c r="CJ142" s="408">
        <v>-221869.28681999992</v>
      </c>
      <c r="CK142" s="408"/>
      <c r="CL142" s="408"/>
      <c r="CM142" s="408"/>
      <c r="CN142" s="408"/>
      <c r="CO142" s="408">
        <v>-233426.20373999997</v>
      </c>
      <c r="CP142" s="408">
        <v>11554.965630000006</v>
      </c>
      <c r="CQ142" s="408">
        <v>30</v>
      </c>
      <c r="CR142" s="408">
        <v>9606.2204151270562</v>
      </c>
      <c r="CS142" s="408">
        <v>0</v>
      </c>
      <c r="CT142" s="408">
        <v>0</v>
      </c>
      <c r="CU142" s="408">
        <v>0</v>
      </c>
      <c r="CV142" s="408">
        <v>0</v>
      </c>
      <c r="CW142" s="408">
        <v>0</v>
      </c>
      <c r="CX142" s="408">
        <v>0</v>
      </c>
      <c r="CY142" s="408">
        <v>0</v>
      </c>
      <c r="CZ142" s="408">
        <v>-402.03327861460275</v>
      </c>
      <c r="DA142" s="408">
        <v>0</v>
      </c>
      <c r="DB142" s="408">
        <v>0</v>
      </c>
      <c r="DC142" s="408">
        <v>11549.783863832621</v>
      </c>
      <c r="DD142" s="408">
        <v>0</v>
      </c>
      <c r="DE142" s="408">
        <v>0</v>
      </c>
      <c r="DF142" s="408">
        <v>67.092997505935728</v>
      </c>
      <c r="DG142" s="408">
        <v>1632.0984014351634</v>
      </c>
      <c r="DH142" s="408">
        <v>0</v>
      </c>
      <c r="DI142" s="408">
        <v>-2762.4480058988993</v>
      </c>
      <c r="DJ142" s="408"/>
      <c r="DK142" s="408">
        <v>0</v>
      </c>
      <c r="DL142" s="408">
        <v>0</v>
      </c>
      <c r="DM142" s="408">
        <v>0</v>
      </c>
      <c r="DN142" s="408">
        <v>0</v>
      </c>
      <c r="DO142" s="408">
        <v>-376.87291919882227</v>
      </c>
      <c r="DP142" s="408">
        <v>-101.40064393438229</v>
      </c>
      <c r="DQ142" s="408">
        <v>0</v>
      </c>
      <c r="DR142" s="408">
        <v>0</v>
      </c>
      <c r="DS142" s="408"/>
      <c r="DT142" s="408"/>
      <c r="DU142" s="408"/>
      <c r="DV142" s="408">
        <v>344632.85624607938</v>
      </c>
      <c r="DW142" s="408">
        <v>0</v>
      </c>
      <c r="DX142" s="408">
        <v>0</v>
      </c>
      <c r="DY142" s="408">
        <v>-233426.20373999997</v>
      </c>
      <c r="DZ142" s="408">
        <v>11554.965630000021</v>
      </c>
      <c r="EA142" s="408">
        <v>0</v>
      </c>
      <c r="EB142" s="408">
        <v>0</v>
      </c>
      <c r="EC142" s="408">
        <v>-231481.15947546883</v>
      </c>
      <c r="ED142" s="408">
        <v>0</v>
      </c>
      <c r="EE142" s="408">
        <v>0</v>
      </c>
      <c r="EF142" s="408">
        <v>0</v>
      </c>
      <c r="EG142" s="408">
        <v>0</v>
      </c>
      <c r="EH142" s="408">
        <v>0</v>
      </c>
      <c r="EI142" s="408">
        <v>0</v>
      </c>
      <c r="EJ142" s="408">
        <v>0</v>
      </c>
      <c r="EK142" s="408">
        <v>0</v>
      </c>
      <c r="EL142" s="408">
        <v>0</v>
      </c>
      <c r="EM142" s="408">
        <v>0</v>
      </c>
      <c r="EN142" s="408">
        <v>0</v>
      </c>
      <c r="EO142" s="408">
        <v>0</v>
      </c>
      <c r="EP142" s="408">
        <v>0</v>
      </c>
      <c r="EQ142" s="408">
        <v>0</v>
      </c>
      <c r="ER142" s="408">
        <v>0</v>
      </c>
      <c r="ES142" s="408">
        <v>0</v>
      </c>
      <c r="ET142" s="408">
        <v>0</v>
      </c>
      <c r="EU142" s="408">
        <v>0</v>
      </c>
      <c r="EV142" s="408">
        <v>257</v>
      </c>
      <c r="EW142" s="408">
        <v>0</v>
      </c>
      <c r="EX142" s="408">
        <v>0</v>
      </c>
      <c r="EY142" s="408">
        <v>0</v>
      </c>
      <c r="EZ142" s="408"/>
      <c r="FA142" s="408">
        <v>0</v>
      </c>
      <c r="FB142" s="408"/>
      <c r="FC142" s="408"/>
      <c r="FD142" s="408"/>
      <c r="FE142" s="408"/>
      <c r="FF142" s="408">
        <v>0</v>
      </c>
      <c r="FG142" s="408">
        <v>0</v>
      </c>
      <c r="FH142" s="408">
        <v>0</v>
      </c>
      <c r="FI142" s="408">
        <v>0</v>
      </c>
    </row>
    <row r="143" spans="1:165">
      <c r="A143" s="408">
        <v>141</v>
      </c>
      <c r="B143" s="408" t="s">
        <v>2235</v>
      </c>
      <c r="C143" s="408" t="s">
        <v>2233</v>
      </c>
      <c r="D143" s="408" t="s">
        <v>1955</v>
      </c>
      <c r="E143" s="408" t="s">
        <v>968</v>
      </c>
      <c r="F143" s="408" t="s">
        <v>968</v>
      </c>
      <c r="G143" s="408" t="s">
        <v>1321</v>
      </c>
      <c r="H143" s="408" t="s">
        <v>1321</v>
      </c>
      <c r="I143" s="408" t="s">
        <v>1321</v>
      </c>
      <c r="J143" s="408" t="s">
        <v>2234</v>
      </c>
      <c r="K143" s="828">
        <v>44501</v>
      </c>
      <c r="L143" s="408">
        <v>0</v>
      </c>
      <c r="M143" s="408">
        <v>0</v>
      </c>
      <c r="N143" s="408">
        <v>0.97599999999999998</v>
      </c>
      <c r="O143" s="408">
        <v>0.97599999999999998</v>
      </c>
      <c r="P143" s="408">
        <v>0.97599999999999998</v>
      </c>
      <c r="Q143" s="408">
        <v>0.97599999999999998</v>
      </c>
      <c r="R143" s="408"/>
      <c r="S143" s="408">
        <v>710.91</v>
      </c>
      <c r="T143" s="408">
        <v>256.55</v>
      </c>
      <c r="U143" s="408"/>
      <c r="V143" s="408">
        <v>944.24095999999997</v>
      </c>
      <c r="W143" s="408">
        <v>944.24095999999997</v>
      </c>
      <c r="X143" s="408">
        <v>644.57968000000005</v>
      </c>
      <c r="Y143" s="408">
        <v>0</v>
      </c>
      <c r="Z143" s="408">
        <v>59.999289044413452</v>
      </c>
      <c r="AA143" s="408">
        <v>0</v>
      </c>
      <c r="AB143" s="408">
        <v>0</v>
      </c>
      <c r="AC143" s="408">
        <v>0</v>
      </c>
      <c r="AD143" s="408">
        <v>120.12880284809107</v>
      </c>
      <c r="AE143" s="408">
        <v>465.46422020485181</v>
      </c>
      <c r="AF143" s="408">
        <v>250.39526121048277</v>
      </c>
      <c r="AG143" s="408">
        <v>0</v>
      </c>
      <c r="AH143" s="408">
        <v>0</v>
      </c>
      <c r="AI143" s="408">
        <v>0</v>
      </c>
      <c r="AJ143" s="408">
        <v>0</v>
      </c>
      <c r="AK143" s="408">
        <v>0</v>
      </c>
      <c r="AL143" s="408">
        <v>9.2761614252918907</v>
      </c>
      <c r="AM143" s="408"/>
      <c r="AN143" s="408">
        <v>2.1431053348065143</v>
      </c>
      <c r="AO143" s="408">
        <v>0</v>
      </c>
      <c r="AP143" s="408">
        <v>0</v>
      </c>
      <c r="AQ143" s="408">
        <v>0</v>
      </c>
      <c r="AR143" s="408">
        <v>0</v>
      </c>
      <c r="AS143" s="408">
        <v>0</v>
      </c>
      <c r="AT143" s="408">
        <v>0</v>
      </c>
      <c r="AU143" s="408">
        <v>0</v>
      </c>
      <c r="AV143" s="408">
        <v>0</v>
      </c>
      <c r="AW143" s="408">
        <v>0</v>
      </c>
      <c r="AX143" s="408">
        <v>0</v>
      </c>
      <c r="AY143" s="408">
        <v>0</v>
      </c>
      <c r="AZ143" s="408">
        <v>0</v>
      </c>
      <c r="BA143" s="408"/>
      <c r="BB143" s="408">
        <v>0</v>
      </c>
      <c r="BC143" s="408">
        <v>0</v>
      </c>
      <c r="BD143" s="408">
        <v>1.4545526421927377</v>
      </c>
      <c r="BE143" s="408">
        <v>0</v>
      </c>
      <c r="BF143" s="408">
        <v>0</v>
      </c>
      <c r="BG143" s="408">
        <v>35.383320620248917</v>
      </c>
      <c r="BH143" s="408">
        <v>0</v>
      </c>
      <c r="BI143" s="408">
        <v>2.02</v>
      </c>
      <c r="BJ143" s="408">
        <v>10.039999999999999</v>
      </c>
      <c r="BK143" s="408">
        <v>341.1</v>
      </c>
      <c r="BL143" s="408">
        <v>0</v>
      </c>
      <c r="BM143" s="408"/>
      <c r="BN143" s="408"/>
      <c r="BO143" s="408"/>
      <c r="BP143" s="408"/>
      <c r="BQ143" s="408"/>
      <c r="BR143" s="408"/>
      <c r="BS143" s="408"/>
      <c r="BT143" s="408"/>
      <c r="BU143" s="408"/>
      <c r="BV143" s="408">
        <v>287.23313447292441</v>
      </c>
      <c r="BW143" s="408"/>
      <c r="BX143" s="408"/>
      <c r="BY143" s="408"/>
      <c r="BZ143" s="408"/>
      <c r="CA143" s="408"/>
      <c r="CB143" s="408"/>
      <c r="CC143" s="408"/>
      <c r="CD143" s="408"/>
      <c r="CE143" s="408"/>
      <c r="CF143" s="408"/>
      <c r="CG143" s="408"/>
      <c r="CH143" s="408"/>
      <c r="CI143" s="408">
        <v>647.2213999999999</v>
      </c>
      <c r="CJ143" s="408">
        <v>-297.04956000000004</v>
      </c>
      <c r="CK143" s="408"/>
      <c r="CL143" s="408"/>
      <c r="CM143" s="408"/>
      <c r="CN143" s="408"/>
      <c r="CO143" s="408">
        <v>-315.26751999999999</v>
      </c>
      <c r="CP143" s="408">
        <v>15.606240000000009</v>
      </c>
      <c r="CQ143" s="408">
        <v>30</v>
      </c>
      <c r="CR143" s="408">
        <v>12.974247270986552</v>
      </c>
      <c r="CS143" s="408">
        <v>0</v>
      </c>
      <c r="CT143" s="408">
        <v>0</v>
      </c>
      <c r="CU143" s="408">
        <v>0</v>
      </c>
      <c r="CV143" s="408">
        <v>0</v>
      </c>
      <c r="CW143" s="408">
        <v>0</v>
      </c>
      <c r="CX143" s="408">
        <v>0</v>
      </c>
      <c r="CY143" s="408">
        <v>0</v>
      </c>
      <c r="CZ143" s="408">
        <v>-0.54298974440536085</v>
      </c>
      <c r="DA143" s="408">
        <v>0</v>
      </c>
      <c r="DB143" s="408">
        <v>0</v>
      </c>
      <c r="DC143" s="408">
        <v>15.599241460236101</v>
      </c>
      <c r="DD143" s="408">
        <v>0</v>
      </c>
      <c r="DE143" s="408">
        <v>0</v>
      </c>
      <c r="DF143" s="408">
        <v>9.0616402932306439E-2</v>
      </c>
      <c r="DG143" s="408">
        <v>2.2043267087081304</v>
      </c>
      <c r="DH143" s="408">
        <v>0</v>
      </c>
      <c r="DI143" s="408">
        <v>-3.7309870014368585</v>
      </c>
      <c r="DJ143" s="408"/>
      <c r="DK143" s="408">
        <v>0</v>
      </c>
      <c r="DL143" s="408">
        <v>0</v>
      </c>
      <c r="DM143" s="408">
        <v>0</v>
      </c>
      <c r="DN143" s="408">
        <v>0</v>
      </c>
      <c r="DO143" s="408">
        <v>-0.50900793778626152</v>
      </c>
      <c r="DP143" s="408">
        <v>-0.13695261726144237</v>
      </c>
      <c r="DQ143" s="408">
        <v>0</v>
      </c>
      <c r="DR143" s="408">
        <v>0</v>
      </c>
      <c r="DS143" s="408"/>
      <c r="DT143" s="408"/>
      <c r="DU143" s="408"/>
      <c r="DV143" s="408">
        <v>465.46422020485181</v>
      </c>
      <c r="DW143" s="408">
        <v>0</v>
      </c>
      <c r="DX143" s="408">
        <v>0</v>
      </c>
      <c r="DY143" s="408">
        <v>-315.26752000000005</v>
      </c>
      <c r="DZ143" s="408">
        <v>15.606240000000042</v>
      </c>
      <c r="EA143" s="408">
        <v>0</v>
      </c>
      <c r="EB143" s="408">
        <v>0</v>
      </c>
      <c r="EC143" s="408">
        <v>-312.64052580764286</v>
      </c>
      <c r="ED143" s="408">
        <v>0</v>
      </c>
      <c r="EE143" s="408">
        <v>0</v>
      </c>
      <c r="EF143" s="408">
        <v>0</v>
      </c>
      <c r="EG143" s="408">
        <v>0</v>
      </c>
      <c r="EH143" s="408">
        <v>0</v>
      </c>
      <c r="EI143" s="408">
        <v>0</v>
      </c>
      <c r="EJ143" s="408">
        <v>0</v>
      </c>
      <c r="EK143" s="408">
        <v>0</v>
      </c>
      <c r="EL143" s="408">
        <v>0</v>
      </c>
      <c r="EM143" s="408">
        <v>0</v>
      </c>
      <c r="EN143" s="408">
        <v>0</v>
      </c>
      <c r="EO143" s="408">
        <v>0</v>
      </c>
      <c r="EP143" s="408">
        <v>0</v>
      </c>
      <c r="EQ143" s="408">
        <v>0</v>
      </c>
      <c r="ER143" s="408">
        <v>0</v>
      </c>
      <c r="ES143" s="408">
        <v>0</v>
      </c>
      <c r="ET143" s="408">
        <v>0</v>
      </c>
      <c r="EU143" s="408">
        <v>0</v>
      </c>
      <c r="EV143" s="408">
        <v>257</v>
      </c>
      <c r="EW143" s="408">
        <v>0</v>
      </c>
      <c r="EX143" s="408">
        <v>0</v>
      </c>
      <c r="EY143" s="408">
        <v>0</v>
      </c>
      <c r="EZ143" s="408"/>
      <c r="FA143" s="408">
        <v>0</v>
      </c>
      <c r="FB143" s="408"/>
      <c r="FC143" s="408"/>
      <c r="FD143" s="408"/>
      <c r="FE143" s="408"/>
      <c r="FF143" s="408">
        <v>0</v>
      </c>
      <c r="FG143" s="408">
        <v>0</v>
      </c>
      <c r="FH143" s="408">
        <v>0</v>
      </c>
      <c r="FI143" s="408">
        <v>0</v>
      </c>
    </row>
    <row r="144" spans="1:165">
      <c r="A144" s="408">
        <v>142</v>
      </c>
      <c r="B144" s="408" t="s">
        <v>2236</v>
      </c>
      <c r="C144" s="408" t="s">
        <v>2233</v>
      </c>
      <c r="D144" s="408" t="s">
        <v>1955</v>
      </c>
      <c r="E144" s="408" t="s">
        <v>968</v>
      </c>
      <c r="F144" s="408" t="s">
        <v>968</v>
      </c>
      <c r="G144" s="408" t="s">
        <v>1321</v>
      </c>
      <c r="H144" s="408" t="s">
        <v>1321</v>
      </c>
      <c r="I144" s="408" t="s">
        <v>1321</v>
      </c>
      <c r="J144" s="408" t="s">
        <v>2234</v>
      </c>
      <c r="K144" s="828">
        <v>44501</v>
      </c>
      <c r="L144" s="408">
        <v>0</v>
      </c>
      <c r="M144" s="408">
        <v>0</v>
      </c>
      <c r="N144" s="408">
        <v>6.8869999999999996</v>
      </c>
      <c r="O144" s="408">
        <v>6.8869999999999996</v>
      </c>
      <c r="P144" s="408">
        <v>6.8869999999999996</v>
      </c>
      <c r="Q144" s="408">
        <v>6.8869999999999996</v>
      </c>
      <c r="R144" s="408"/>
      <c r="S144" s="408">
        <v>710.91</v>
      </c>
      <c r="T144" s="408">
        <v>256.55</v>
      </c>
      <c r="U144" s="408"/>
      <c r="V144" s="408">
        <v>6662.8970199999994</v>
      </c>
      <c r="W144" s="408">
        <v>6662.8970199999994</v>
      </c>
      <c r="X144" s="408">
        <v>4548.38141</v>
      </c>
      <c r="Y144" s="408">
        <v>0</v>
      </c>
      <c r="Z144" s="408">
        <v>423.37613078778219</v>
      </c>
      <c r="AA144" s="408">
        <v>0</v>
      </c>
      <c r="AB144" s="408">
        <v>0</v>
      </c>
      <c r="AC144" s="408">
        <v>0</v>
      </c>
      <c r="AD144" s="408">
        <v>847.67117337582283</v>
      </c>
      <c r="AE144" s="408">
        <v>3284.4795948266542</v>
      </c>
      <c r="AF144" s="408">
        <v>1766.8772171686421</v>
      </c>
      <c r="AG144" s="408">
        <v>0</v>
      </c>
      <c r="AH144" s="408">
        <v>0</v>
      </c>
      <c r="AI144" s="408">
        <v>0</v>
      </c>
      <c r="AJ144" s="408">
        <v>0</v>
      </c>
      <c r="AK144" s="408">
        <v>0</v>
      </c>
      <c r="AL144" s="408">
        <v>65.455864483591441</v>
      </c>
      <c r="AM144" s="408"/>
      <c r="AN144" s="408">
        <v>15.122506599193098</v>
      </c>
      <c r="AO144" s="408">
        <v>0</v>
      </c>
      <c r="AP144" s="408">
        <v>0</v>
      </c>
      <c r="AQ144" s="408">
        <v>0</v>
      </c>
      <c r="AR144" s="408">
        <v>0</v>
      </c>
      <c r="AS144" s="408">
        <v>0</v>
      </c>
      <c r="AT144" s="408">
        <v>0</v>
      </c>
      <c r="AU144" s="408">
        <v>0</v>
      </c>
      <c r="AV144" s="408">
        <v>0</v>
      </c>
      <c r="AW144" s="408">
        <v>0</v>
      </c>
      <c r="AX144" s="408">
        <v>0</v>
      </c>
      <c r="AY144" s="408">
        <v>0</v>
      </c>
      <c r="AZ144" s="408">
        <v>0</v>
      </c>
      <c r="BA144" s="408"/>
      <c r="BB144" s="408">
        <v>0</v>
      </c>
      <c r="BC144" s="408">
        <v>0</v>
      </c>
      <c r="BD144" s="408">
        <v>10.263836113505516</v>
      </c>
      <c r="BE144" s="408">
        <v>0</v>
      </c>
      <c r="BF144" s="408">
        <v>0</v>
      </c>
      <c r="BG144" s="408">
        <v>249.67718146685888</v>
      </c>
      <c r="BH144" s="408">
        <v>0</v>
      </c>
      <c r="BI144" s="408">
        <v>11.19</v>
      </c>
      <c r="BJ144" s="408">
        <v>59.11</v>
      </c>
      <c r="BK144" s="408">
        <v>5968.84</v>
      </c>
      <c r="BL144" s="408">
        <v>97</v>
      </c>
      <c r="BM144" s="408"/>
      <c r="BN144" s="408"/>
      <c r="BO144" s="408"/>
      <c r="BP144" s="408"/>
      <c r="BQ144" s="408"/>
      <c r="BR144" s="408"/>
      <c r="BS144" s="408"/>
      <c r="BT144" s="408"/>
      <c r="BU144" s="408"/>
      <c r="BV144" s="408">
        <v>2026.8182347490065</v>
      </c>
      <c r="BW144" s="408"/>
      <c r="BX144" s="408"/>
      <c r="BY144" s="408"/>
      <c r="BZ144" s="408"/>
      <c r="CA144" s="408"/>
      <c r="CB144" s="408"/>
      <c r="CC144" s="408"/>
      <c r="CD144" s="408"/>
      <c r="CE144" s="408"/>
      <c r="CF144" s="408"/>
      <c r="CG144" s="408"/>
      <c r="CH144" s="408"/>
      <c r="CI144" s="408">
        <v>4550.3626999999997</v>
      </c>
      <c r="CJ144" s="408">
        <v>-2112.5643200000004</v>
      </c>
      <c r="CK144" s="408"/>
      <c r="CL144" s="408"/>
      <c r="CM144" s="408"/>
      <c r="CN144" s="408"/>
      <c r="CO144" s="408">
        <v>-2224.6387399999999</v>
      </c>
      <c r="CP144" s="408">
        <v>110.12313000000006</v>
      </c>
      <c r="CQ144" s="408">
        <v>30</v>
      </c>
      <c r="CR144" s="408">
        <v>91.550861634512785</v>
      </c>
      <c r="CS144" s="408">
        <v>0</v>
      </c>
      <c r="CT144" s="408">
        <v>0</v>
      </c>
      <c r="CU144" s="408">
        <v>0</v>
      </c>
      <c r="CV144" s="408">
        <v>0</v>
      </c>
      <c r="CW144" s="408">
        <v>0</v>
      </c>
      <c r="CX144" s="408">
        <v>0</v>
      </c>
      <c r="CY144" s="408">
        <v>0</v>
      </c>
      <c r="CZ144" s="408">
        <v>-3.8315270181553842</v>
      </c>
      <c r="DA144" s="408">
        <v>0</v>
      </c>
      <c r="DB144" s="408">
        <v>0</v>
      </c>
      <c r="DC144" s="408">
        <v>110.07374583672754</v>
      </c>
      <c r="DD144" s="408">
        <v>0</v>
      </c>
      <c r="DE144" s="408">
        <v>0</v>
      </c>
      <c r="DF144" s="408">
        <v>0.63942127765860235</v>
      </c>
      <c r="DG144" s="408">
        <v>15.554506191468136</v>
      </c>
      <c r="DH144" s="408">
        <v>0</v>
      </c>
      <c r="DI144" s="408">
        <v>-26.327159302147152</v>
      </c>
      <c r="DJ144" s="408"/>
      <c r="DK144" s="408">
        <v>0</v>
      </c>
      <c r="DL144" s="408">
        <v>0</v>
      </c>
      <c r="DM144" s="408">
        <v>0</v>
      </c>
      <c r="DN144" s="408">
        <v>0</v>
      </c>
      <c r="DO144" s="408">
        <v>-3.5917394134569491</v>
      </c>
      <c r="DP144" s="408">
        <v>-0.96638593758151003</v>
      </c>
      <c r="DQ144" s="408">
        <v>0</v>
      </c>
      <c r="DR144" s="408">
        <v>0</v>
      </c>
      <c r="DS144" s="408"/>
      <c r="DT144" s="408"/>
      <c r="DU144" s="408"/>
      <c r="DV144" s="408">
        <v>3284.4795948266542</v>
      </c>
      <c r="DW144" s="408">
        <v>0</v>
      </c>
      <c r="DX144" s="408">
        <v>0</v>
      </c>
      <c r="DY144" s="408">
        <v>-2224.6387399999999</v>
      </c>
      <c r="DZ144" s="408">
        <v>110.12312999999995</v>
      </c>
      <c r="EA144" s="408">
        <v>0</v>
      </c>
      <c r="EB144" s="408">
        <v>0</v>
      </c>
      <c r="EC144" s="408">
        <v>-2206.1017430709389</v>
      </c>
      <c r="ED144" s="408">
        <v>0</v>
      </c>
      <c r="EE144" s="408">
        <v>0</v>
      </c>
      <c r="EF144" s="408">
        <v>0</v>
      </c>
      <c r="EG144" s="408">
        <v>0</v>
      </c>
      <c r="EH144" s="408">
        <v>0</v>
      </c>
      <c r="EI144" s="408">
        <v>0</v>
      </c>
      <c r="EJ144" s="408">
        <v>0</v>
      </c>
      <c r="EK144" s="408">
        <v>0</v>
      </c>
      <c r="EL144" s="408">
        <v>0</v>
      </c>
      <c r="EM144" s="408">
        <v>0</v>
      </c>
      <c r="EN144" s="408">
        <v>0</v>
      </c>
      <c r="EO144" s="408">
        <v>0</v>
      </c>
      <c r="EP144" s="408">
        <v>0</v>
      </c>
      <c r="EQ144" s="408">
        <v>0</v>
      </c>
      <c r="ER144" s="408">
        <v>0</v>
      </c>
      <c r="ES144" s="408">
        <v>0</v>
      </c>
      <c r="ET144" s="408">
        <v>0</v>
      </c>
      <c r="EU144" s="408">
        <v>0</v>
      </c>
      <c r="EV144" s="408">
        <v>257</v>
      </c>
      <c r="EW144" s="408">
        <v>0</v>
      </c>
      <c r="EX144" s="408">
        <v>0</v>
      </c>
      <c r="EY144" s="408">
        <v>0</v>
      </c>
      <c r="EZ144" s="408"/>
      <c r="FA144" s="408">
        <v>0</v>
      </c>
      <c r="FB144" s="408"/>
      <c r="FC144" s="408"/>
      <c r="FD144" s="408"/>
      <c r="FE144" s="408"/>
      <c r="FF144" s="408">
        <v>0</v>
      </c>
      <c r="FG144" s="408">
        <v>0</v>
      </c>
      <c r="FH144" s="408">
        <v>0</v>
      </c>
      <c r="FI144" s="408">
        <v>0</v>
      </c>
    </row>
    <row r="145" spans="1:165">
      <c r="A145" s="408">
        <v>143</v>
      </c>
      <c r="B145" s="408" t="s">
        <v>2236</v>
      </c>
      <c r="C145" s="408" t="s">
        <v>2233</v>
      </c>
      <c r="D145" s="408" t="s">
        <v>1955</v>
      </c>
      <c r="E145" s="408" t="s">
        <v>968</v>
      </c>
      <c r="F145" s="408" t="s">
        <v>968</v>
      </c>
      <c r="G145" s="408" t="s">
        <v>1321</v>
      </c>
      <c r="H145" s="408" t="s">
        <v>1321</v>
      </c>
      <c r="I145" s="408" t="s">
        <v>1321</v>
      </c>
      <c r="J145" s="408" t="s">
        <v>2234</v>
      </c>
      <c r="K145" s="828">
        <v>44501</v>
      </c>
      <c r="L145" s="408">
        <v>0</v>
      </c>
      <c r="M145" s="408">
        <v>0</v>
      </c>
      <c r="N145" s="408">
        <v>0.03</v>
      </c>
      <c r="O145" s="408">
        <v>0.03</v>
      </c>
      <c r="P145" s="408">
        <v>0.03</v>
      </c>
      <c r="Q145" s="408">
        <v>0.03</v>
      </c>
      <c r="R145" s="408"/>
      <c r="S145" s="408">
        <v>710.91</v>
      </c>
      <c r="T145" s="408">
        <v>256.55</v>
      </c>
      <c r="U145" s="408"/>
      <c r="V145" s="408">
        <v>29.023799999999998</v>
      </c>
      <c r="W145" s="408">
        <v>29.023799999999998</v>
      </c>
      <c r="X145" s="408">
        <v>19.812899999999999</v>
      </c>
      <c r="Y145" s="408">
        <v>0</v>
      </c>
      <c r="Z145" s="408">
        <v>1.844240441938938</v>
      </c>
      <c r="AA145" s="408">
        <v>0</v>
      </c>
      <c r="AB145" s="408">
        <v>0</v>
      </c>
      <c r="AC145" s="408">
        <v>0</v>
      </c>
      <c r="AD145" s="408">
        <v>3.6924836941011598</v>
      </c>
      <c r="AE145" s="408">
        <v>14.30730185055897</v>
      </c>
      <c r="AF145" s="408">
        <v>7.6965756519615605</v>
      </c>
      <c r="AG145" s="408">
        <v>0</v>
      </c>
      <c r="AH145" s="408">
        <v>0</v>
      </c>
      <c r="AI145" s="408">
        <v>0</v>
      </c>
      <c r="AJ145" s="408">
        <v>0</v>
      </c>
      <c r="AK145" s="408">
        <v>0</v>
      </c>
      <c r="AL145" s="408">
        <v>0.28512791266266058</v>
      </c>
      <c r="AM145" s="408"/>
      <c r="AN145" s="408">
        <v>6.5874139389544492E-2</v>
      </c>
      <c r="AO145" s="408">
        <v>0</v>
      </c>
      <c r="AP145" s="408">
        <v>0</v>
      </c>
      <c r="AQ145" s="408">
        <v>0</v>
      </c>
      <c r="AR145" s="408">
        <v>0</v>
      </c>
      <c r="AS145" s="408">
        <v>0</v>
      </c>
      <c r="AT145" s="408">
        <v>0</v>
      </c>
      <c r="AU145" s="408">
        <v>0</v>
      </c>
      <c r="AV145" s="408">
        <v>0</v>
      </c>
      <c r="AW145" s="408">
        <v>0</v>
      </c>
      <c r="AX145" s="408">
        <v>0</v>
      </c>
      <c r="AY145" s="408">
        <v>0</v>
      </c>
      <c r="AZ145" s="408">
        <v>0</v>
      </c>
      <c r="BA145" s="408"/>
      <c r="BB145" s="408">
        <v>0</v>
      </c>
      <c r="BC145" s="408">
        <v>0</v>
      </c>
      <c r="BD145" s="408">
        <v>4.4709609903465293E-2</v>
      </c>
      <c r="BE145" s="408">
        <v>0</v>
      </c>
      <c r="BF145" s="408">
        <v>0</v>
      </c>
      <c r="BG145" s="408">
        <v>1.087602068245356</v>
      </c>
      <c r="BH145" s="408">
        <v>0</v>
      </c>
      <c r="BI145" s="408">
        <v>0.06</v>
      </c>
      <c r="BJ145" s="408">
        <v>0.31</v>
      </c>
      <c r="BK145" s="408">
        <v>39.22</v>
      </c>
      <c r="BL145" s="408">
        <v>1</v>
      </c>
      <c r="BM145" s="408"/>
      <c r="BN145" s="408"/>
      <c r="BO145" s="408"/>
      <c r="BP145" s="408"/>
      <c r="BQ145" s="408"/>
      <c r="BR145" s="408"/>
      <c r="BS145" s="408"/>
      <c r="BT145" s="408"/>
      <c r="BU145" s="408"/>
      <c r="BV145" s="408">
        <v>8.8288873301103816</v>
      </c>
      <c r="BW145" s="408"/>
      <c r="BX145" s="408"/>
      <c r="BY145" s="408"/>
      <c r="BZ145" s="408"/>
      <c r="CA145" s="408"/>
      <c r="CB145" s="408"/>
      <c r="CC145" s="408"/>
      <c r="CD145" s="408"/>
      <c r="CE145" s="408"/>
      <c r="CF145" s="408"/>
      <c r="CG145" s="408"/>
      <c r="CH145" s="408"/>
      <c r="CI145" s="408">
        <v>19.812899999999999</v>
      </c>
      <c r="CJ145" s="408">
        <v>-9.2409000000000034</v>
      </c>
      <c r="CK145" s="408"/>
      <c r="CL145" s="408"/>
      <c r="CM145" s="408"/>
      <c r="CN145" s="408"/>
      <c r="CO145" s="408">
        <v>-9.6905999999999999</v>
      </c>
      <c r="CP145" s="408">
        <v>0.47970000000000024</v>
      </c>
      <c r="CQ145" s="408">
        <v>30</v>
      </c>
      <c r="CR145" s="408">
        <v>0.39879858414917635</v>
      </c>
      <c r="CS145" s="408">
        <v>0</v>
      </c>
      <c r="CT145" s="408">
        <v>0</v>
      </c>
      <c r="CU145" s="408">
        <v>0</v>
      </c>
      <c r="CV145" s="408">
        <v>0</v>
      </c>
      <c r="CW145" s="408">
        <v>0</v>
      </c>
      <c r="CX145" s="408">
        <v>0</v>
      </c>
      <c r="CY145" s="408">
        <v>0</v>
      </c>
      <c r="CZ145" s="408">
        <v>-1.6690258537050084E-2</v>
      </c>
      <c r="DA145" s="408">
        <v>0</v>
      </c>
      <c r="DB145" s="408">
        <v>0</v>
      </c>
      <c r="DC145" s="408">
        <v>0.4794848809498804</v>
      </c>
      <c r="DD145" s="408">
        <v>0</v>
      </c>
      <c r="DE145" s="408">
        <v>0</v>
      </c>
      <c r="DF145" s="408">
        <v>2.7853402540668065E-3</v>
      </c>
      <c r="DG145" s="408">
        <v>6.7755943915208894E-2</v>
      </c>
      <c r="DH145" s="408">
        <v>0</v>
      </c>
      <c r="DI145" s="408">
        <v>-0.11468197750318221</v>
      </c>
      <c r="DJ145" s="408"/>
      <c r="DK145" s="408">
        <v>0</v>
      </c>
      <c r="DL145" s="408">
        <v>0</v>
      </c>
      <c r="DM145" s="408">
        <v>0</v>
      </c>
      <c r="DN145" s="408">
        <v>0</v>
      </c>
      <c r="DO145" s="408">
        <v>-1.5645735792610471E-2</v>
      </c>
      <c r="DP145" s="408">
        <v>-4.2096091371344943E-3</v>
      </c>
      <c r="DQ145" s="408">
        <v>0</v>
      </c>
      <c r="DR145" s="408">
        <v>0</v>
      </c>
      <c r="DS145" s="408"/>
      <c r="DT145" s="408"/>
      <c r="DU145" s="408"/>
      <c r="DV145" s="408">
        <v>14.30730185055897</v>
      </c>
      <c r="DW145" s="408">
        <v>0</v>
      </c>
      <c r="DX145" s="408">
        <v>0</v>
      </c>
      <c r="DY145" s="408">
        <v>-9.6905999999999981</v>
      </c>
      <c r="DZ145" s="408">
        <v>0.47969999999999935</v>
      </c>
      <c r="EA145" s="408">
        <v>0</v>
      </c>
      <c r="EB145" s="408">
        <v>0</v>
      </c>
      <c r="EC145" s="408">
        <v>-9.6098522276939402</v>
      </c>
      <c r="ED145" s="408">
        <v>0</v>
      </c>
      <c r="EE145" s="408">
        <v>0</v>
      </c>
      <c r="EF145" s="408">
        <v>0</v>
      </c>
      <c r="EG145" s="408">
        <v>0</v>
      </c>
      <c r="EH145" s="408">
        <v>0</v>
      </c>
      <c r="EI145" s="408">
        <v>0</v>
      </c>
      <c r="EJ145" s="408">
        <v>0</v>
      </c>
      <c r="EK145" s="408">
        <v>0</v>
      </c>
      <c r="EL145" s="408">
        <v>0</v>
      </c>
      <c r="EM145" s="408">
        <v>0</v>
      </c>
      <c r="EN145" s="408">
        <v>0</v>
      </c>
      <c r="EO145" s="408">
        <v>0</v>
      </c>
      <c r="EP145" s="408">
        <v>0</v>
      </c>
      <c r="EQ145" s="408">
        <v>0</v>
      </c>
      <c r="ER145" s="408">
        <v>0</v>
      </c>
      <c r="ES145" s="408">
        <v>0</v>
      </c>
      <c r="ET145" s="408">
        <v>0</v>
      </c>
      <c r="EU145" s="408">
        <v>0</v>
      </c>
      <c r="EV145" s="408">
        <v>257</v>
      </c>
      <c r="EW145" s="408">
        <v>0</v>
      </c>
      <c r="EX145" s="408">
        <v>0</v>
      </c>
      <c r="EY145" s="408">
        <v>0</v>
      </c>
      <c r="EZ145" s="408"/>
      <c r="FA145" s="408">
        <v>0</v>
      </c>
      <c r="FB145" s="408"/>
      <c r="FC145" s="408"/>
      <c r="FD145" s="408"/>
      <c r="FE145" s="408"/>
      <c r="FF145" s="408">
        <v>0</v>
      </c>
      <c r="FG145" s="408">
        <v>0</v>
      </c>
      <c r="FH145" s="408">
        <v>0</v>
      </c>
      <c r="FI145" s="408">
        <v>0</v>
      </c>
    </row>
    <row r="146" spans="1:165">
      <c r="A146" s="408">
        <v>144</v>
      </c>
      <c r="B146" s="408" t="s">
        <v>1035</v>
      </c>
      <c r="C146" s="408" t="s">
        <v>2233</v>
      </c>
      <c r="D146" s="408" t="s">
        <v>1955</v>
      </c>
      <c r="E146" s="408" t="s">
        <v>968</v>
      </c>
      <c r="F146" s="408" t="s">
        <v>2237</v>
      </c>
      <c r="G146" s="408" t="s">
        <v>1321</v>
      </c>
      <c r="H146" s="408" t="s">
        <v>1321</v>
      </c>
      <c r="I146" s="408" t="s">
        <v>1321</v>
      </c>
      <c r="J146" s="408" t="s">
        <v>2234</v>
      </c>
      <c r="K146" s="828">
        <v>44501</v>
      </c>
      <c r="L146" s="408">
        <v>0</v>
      </c>
      <c r="M146" s="408">
        <v>0</v>
      </c>
      <c r="N146" s="408">
        <v>3.54</v>
      </c>
      <c r="O146" s="408">
        <v>3.54</v>
      </c>
      <c r="P146" s="408">
        <v>3.54</v>
      </c>
      <c r="Q146" s="408">
        <v>3.54</v>
      </c>
      <c r="R146" s="408"/>
      <c r="S146" s="408">
        <v>639.92999999999995</v>
      </c>
      <c r="T146" s="408">
        <v>256.55</v>
      </c>
      <c r="U146" s="408"/>
      <c r="V146" s="408">
        <v>3173.5391999999997</v>
      </c>
      <c r="W146" s="408">
        <v>3173.5391999999997</v>
      </c>
      <c r="X146" s="408">
        <v>2102.0520000000001</v>
      </c>
      <c r="Y146" s="408">
        <v>0</v>
      </c>
      <c r="Z146" s="408">
        <v>0</v>
      </c>
      <c r="AA146" s="408">
        <v>0</v>
      </c>
      <c r="AB146" s="408">
        <v>0</v>
      </c>
      <c r="AC146" s="408">
        <v>0</v>
      </c>
      <c r="AD146" s="408">
        <v>435.71307590393684</v>
      </c>
      <c r="AE146" s="408">
        <v>1688.2616183659586</v>
      </c>
      <c r="AF146" s="408">
        <v>908.1959269314641</v>
      </c>
      <c r="AG146" s="408">
        <v>0</v>
      </c>
      <c r="AH146" s="408">
        <v>0</v>
      </c>
      <c r="AI146" s="408">
        <v>0</v>
      </c>
      <c r="AJ146" s="408">
        <v>0</v>
      </c>
      <c r="AK146" s="408">
        <v>0</v>
      </c>
      <c r="AL146" s="408">
        <v>0</v>
      </c>
      <c r="AM146" s="408"/>
      <c r="AN146" s="408">
        <v>7.7731484479662507</v>
      </c>
      <c r="AO146" s="408">
        <v>0</v>
      </c>
      <c r="AP146" s="408">
        <v>0</v>
      </c>
      <c r="AQ146" s="408">
        <v>0</v>
      </c>
      <c r="AR146" s="408">
        <v>0</v>
      </c>
      <c r="AS146" s="408">
        <v>0</v>
      </c>
      <c r="AT146" s="408">
        <v>0</v>
      </c>
      <c r="AU146" s="408">
        <v>0</v>
      </c>
      <c r="AV146" s="408">
        <v>0</v>
      </c>
      <c r="AW146" s="408">
        <v>0</v>
      </c>
      <c r="AX146" s="408">
        <v>0</v>
      </c>
      <c r="AY146" s="408">
        <v>0</v>
      </c>
      <c r="AZ146" s="408">
        <v>0</v>
      </c>
      <c r="BA146" s="408"/>
      <c r="BB146" s="408">
        <v>0</v>
      </c>
      <c r="BC146" s="408">
        <v>0</v>
      </c>
      <c r="BD146" s="408">
        <v>5.2757339686089049</v>
      </c>
      <c r="BE146" s="408">
        <v>0</v>
      </c>
      <c r="BF146" s="408">
        <v>0</v>
      </c>
      <c r="BG146" s="408">
        <v>128.33704405295202</v>
      </c>
      <c r="BH146" s="408">
        <v>0</v>
      </c>
      <c r="BI146" s="408">
        <v>1.18</v>
      </c>
      <c r="BJ146" s="408">
        <v>8.19</v>
      </c>
      <c r="BK146" s="408">
        <v>303.64999999999998</v>
      </c>
      <c r="BL146" s="408">
        <v>5</v>
      </c>
      <c r="BM146" s="408"/>
      <c r="BN146" s="408"/>
      <c r="BO146" s="408"/>
      <c r="BP146" s="408"/>
      <c r="BQ146" s="408"/>
      <c r="BR146" s="408"/>
      <c r="BS146" s="408"/>
      <c r="BT146" s="408">
        <v>1366.3338000000001</v>
      </c>
      <c r="BU146" s="408"/>
      <c r="BV146" s="408">
        <v>1041.808704953025</v>
      </c>
      <c r="BW146" s="408"/>
      <c r="BX146" s="408"/>
      <c r="BY146" s="408"/>
      <c r="BZ146" s="408"/>
      <c r="CA146" s="408"/>
      <c r="CB146" s="408"/>
      <c r="CC146" s="408"/>
      <c r="CD146" s="408"/>
      <c r="CE146" s="408"/>
      <c r="CF146" s="408"/>
      <c r="CG146" s="408"/>
      <c r="CH146" s="408"/>
      <c r="CI146" s="408">
        <v>735.71820000000002</v>
      </c>
      <c r="CJ146" s="408">
        <v>-375.05759999999987</v>
      </c>
      <c r="CK146" s="408"/>
      <c r="CL146" s="408"/>
      <c r="CM146" s="408"/>
      <c r="CN146" s="408"/>
      <c r="CO146" s="408">
        <v>-1128.0917999999999</v>
      </c>
      <c r="CP146" s="408">
        <v>56.604600000000033</v>
      </c>
      <c r="CQ146" s="408">
        <v>30</v>
      </c>
      <c r="CR146" s="408">
        <v>62.436903098506946</v>
      </c>
      <c r="CS146" s="408">
        <v>0</v>
      </c>
      <c r="CT146" s="408">
        <v>0</v>
      </c>
      <c r="CU146" s="408">
        <v>0</v>
      </c>
      <c r="CV146" s="408">
        <v>0</v>
      </c>
      <c r="CW146" s="408">
        <v>0</v>
      </c>
      <c r="CX146" s="408">
        <v>0</v>
      </c>
      <c r="CY146" s="408">
        <v>0</v>
      </c>
      <c r="CZ146" s="408">
        <v>-1.969450507371846</v>
      </c>
      <c r="DA146" s="408">
        <v>0</v>
      </c>
      <c r="DB146" s="408">
        <v>0</v>
      </c>
      <c r="DC146" s="408">
        <v>56.57921595208586</v>
      </c>
      <c r="DD146" s="408">
        <v>0</v>
      </c>
      <c r="DE146" s="408">
        <v>0</v>
      </c>
      <c r="DF146" s="408">
        <v>0.32867014997988253</v>
      </c>
      <c r="DG146" s="408">
        <v>7.995201381994633</v>
      </c>
      <c r="DH146" s="408">
        <v>0</v>
      </c>
      <c r="DI146" s="408">
        <v>0</v>
      </c>
      <c r="DJ146" s="408"/>
      <c r="DK146" s="408">
        <v>0</v>
      </c>
      <c r="DL146" s="408">
        <v>0</v>
      </c>
      <c r="DM146" s="408">
        <v>0</v>
      </c>
      <c r="DN146" s="408">
        <v>0</v>
      </c>
      <c r="DO146" s="408">
        <v>0</v>
      </c>
      <c r="DP146" s="408">
        <v>-0.49673387818187109</v>
      </c>
      <c r="DQ146" s="408">
        <v>0</v>
      </c>
      <c r="DR146" s="408">
        <v>0</v>
      </c>
      <c r="DS146" s="408"/>
      <c r="DT146" s="408"/>
      <c r="DU146" s="408"/>
      <c r="DV146" s="408">
        <v>1688.2616183659586</v>
      </c>
      <c r="DW146" s="408">
        <v>0</v>
      </c>
      <c r="DX146" s="408">
        <v>0</v>
      </c>
      <c r="DY146" s="408">
        <v>-1128.0917999999999</v>
      </c>
      <c r="DZ146" s="408">
        <v>56.604600000000119</v>
      </c>
      <c r="EA146" s="408">
        <v>0</v>
      </c>
      <c r="EB146" s="408">
        <v>0</v>
      </c>
      <c r="EC146" s="408">
        <v>-1133.962562867885</v>
      </c>
      <c r="ED146" s="408">
        <v>0</v>
      </c>
      <c r="EE146" s="408">
        <v>0</v>
      </c>
      <c r="EF146" s="408">
        <v>0</v>
      </c>
      <c r="EG146" s="408">
        <v>0</v>
      </c>
      <c r="EH146" s="408">
        <v>0</v>
      </c>
      <c r="EI146" s="408">
        <v>0</v>
      </c>
      <c r="EJ146" s="408">
        <v>0</v>
      </c>
      <c r="EK146" s="408">
        <v>0</v>
      </c>
      <c r="EL146" s="408">
        <v>0</v>
      </c>
      <c r="EM146" s="408">
        <v>0</v>
      </c>
      <c r="EN146" s="408">
        <v>0</v>
      </c>
      <c r="EO146" s="408">
        <v>0</v>
      </c>
      <c r="EP146" s="408">
        <v>0</v>
      </c>
      <c r="EQ146" s="408">
        <v>0</v>
      </c>
      <c r="ER146" s="408">
        <v>0</v>
      </c>
      <c r="ES146" s="408">
        <v>0</v>
      </c>
      <c r="ET146" s="408">
        <v>0</v>
      </c>
      <c r="EU146" s="408">
        <v>0</v>
      </c>
      <c r="EV146" s="408">
        <v>257</v>
      </c>
      <c r="EW146" s="408">
        <v>0</v>
      </c>
      <c r="EX146" s="408">
        <v>0</v>
      </c>
      <c r="EY146" s="408">
        <v>0</v>
      </c>
      <c r="EZ146" s="408"/>
      <c r="FA146" s="408">
        <v>0</v>
      </c>
      <c r="FB146" s="408"/>
      <c r="FC146" s="408"/>
      <c r="FD146" s="408"/>
      <c r="FE146" s="408"/>
      <c r="FF146" s="408">
        <v>0</v>
      </c>
      <c r="FG146" s="408">
        <v>0</v>
      </c>
      <c r="FH146" s="408">
        <v>0</v>
      </c>
      <c r="FI146" s="408">
        <v>0</v>
      </c>
    </row>
    <row r="147" spans="1:165">
      <c r="A147" s="408">
        <v>145</v>
      </c>
      <c r="B147" s="408" t="s">
        <v>1035</v>
      </c>
      <c r="C147" s="408" t="s">
        <v>2233</v>
      </c>
      <c r="D147" s="408" t="s">
        <v>1955</v>
      </c>
      <c r="E147" s="408" t="s">
        <v>968</v>
      </c>
      <c r="F147" s="408" t="s">
        <v>2238</v>
      </c>
      <c r="G147" s="408" t="s">
        <v>1321</v>
      </c>
      <c r="H147" s="408" t="s">
        <v>1321</v>
      </c>
      <c r="I147" s="408" t="s">
        <v>1321</v>
      </c>
      <c r="J147" s="408" t="s">
        <v>2234</v>
      </c>
      <c r="K147" s="828">
        <v>44501</v>
      </c>
      <c r="L147" s="408">
        <v>0</v>
      </c>
      <c r="M147" s="408">
        <v>0</v>
      </c>
      <c r="N147" s="408">
        <v>7.0010000000000003</v>
      </c>
      <c r="O147" s="408">
        <v>7.0010000000000003</v>
      </c>
      <c r="P147" s="408">
        <v>7.0010000000000003</v>
      </c>
      <c r="Q147" s="408">
        <v>7.0010000000000003</v>
      </c>
      <c r="R147" s="408"/>
      <c r="S147" s="408">
        <v>639.92999999999995</v>
      </c>
      <c r="T147" s="408">
        <v>256.55</v>
      </c>
      <c r="U147" s="408"/>
      <c r="V147" s="408">
        <v>6276.25648</v>
      </c>
      <c r="W147" s="408">
        <v>6276.25648</v>
      </c>
      <c r="X147" s="408">
        <v>4157.1938</v>
      </c>
      <c r="Y147" s="408">
        <v>0</v>
      </c>
      <c r="Z147" s="408">
        <v>0</v>
      </c>
      <c r="AA147" s="408">
        <v>0</v>
      </c>
      <c r="AB147" s="408">
        <v>0</v>
      </c>
      <c r="AC147" s="408">
        <v>0</v>
      </c>
      <c r="AD147" s="408">
        <v>861.70261141340734</v>
      </c>
      <c r="AE147" s="408">
        <v>3338.8473418587787</v>
      </c>
      <c r="AF147" s="408">
        <v>1796.1242046460961</v>
      </c>
      <c r="AG147" s="408">
        <v>0</v>
      </c>
      <c r="AH147" s="408">
        <v>0</v>
      </c>
      <c r="AI147" s="408">
        <v>0</v>
      </c>
      <c r="AJ147" s="408">
        <v>0</v>
      </c>
      <c r="AK147" s="408">
        <v>0</v>
      </c>
      <c r="AL147" s="408">
        <v>0</v>
      </c>
      <c r="AM147" s="408"/>
      <c r="AN147" s="408">
        <v>15.37282832887337</v>
      </c>
      <c r="AO147" s="408">
        <v>0</v>
      </c>
      <c r="AP147" s="408">
        <v>0</v>
      </c>
      <c r="AQ147" s="408">
        <v>0</v>
      </c>
      <c r="AR147" s="408">
        <v>0</v>
      </c>
      <c r="AS147" s="408">
        <v>0</v>
      </c>
      <c r="AT147" s="408">
        <v>0</v>
      </c>
      <c r="AU147" s="408">
        <v>0</v>
      </c>
      <c r="AV147" s="408">
        <v>0</v>
      </c>
      <c r="AW147" s="408">
        <v>0</v>
      </c>
      <c r="AX147" s="408">
        <v>0</v>
      </c>
      <c r="AY147" s="408">
        <v>0</v>
      </c>
      <c r="AZ147" s="408">
        <v>0</v>
      </c>
      <c r="BA147" s="408"/>
      <c r="BB147" s="408">
        <v>0</v>
      </c>
      <c r="BC147" s="408">
        <v>0</v>
      </c>
      <c r="BD147" s="408">
        <v>10.433732631138685</v>
      </c>
      <c r="BE147" s="408">
        <v>0</v>
      </c>
      <c r="BF147" s="408">
        <v>0</v>
      </c>
      <c r="BG147" s="408">
        <v>253.81006932619127</v>
      </c>
      <c r="BH147" s="408">
        <v>0</v>
      </c>
      <c r="BI147" s="408">
        <v>5.48</v>
      </c>
      <c r="BJ147" s="408">
        <v>29.48</v>
      </c>
      <c r="BK147" s="408">
        <v>1179</v>
      </c>
      <c r="BL147" s="408">
        <v>37</v>
      </c>
      <c r="BM147" s="408"/>
      <c r="BN147" s="408"/>
      <c r="BO147" s="408"/>
      <c r="BP147" s="408"/>
      <c r="BQ147" s="408"/>
      <c r="BR147" s="408"/>
      <c r="BS147" s="408"/>
      <c r="BT147" s="408">
        <v>1662.87752</v>
      </c>
      <c r="BU147" s="408"/>
      <c r="BV147" s="408">
        <v>2060.3680066034258</v>
      </c>
      <c r="BW147" s="408"/>
      <c r="BX147" s="408"/>
      <c r="BY147" s="408"/>
      <c r="BZ147" s="408"/>
      <c r="CA147" s="408"/>
      <c r="CB147" s="408"/>
      <c r="CC147" s="408"/>
      <c r="CD147" s="408"/>
      <c r="CE147" s="408"/>
      <c r="CF147" s="408"/>
      <c r="CG147" s="408"/>
      <c r="CH147" s="408"/>
      <c r="CI147" s="408">
        <v>2493.96</v>
      </c>
      <c r="CJ147" s="408">
        <v>-1271.8378900000007</v>
      </c>
      <c r="CK147" s="408"/>
      <c r="CL147" s="408"/>
      <c r="CM147" s="408"/>
      <c r="CN147" s="408"/>
      <c r="CO147" s="408">
        <v>-2231.0086699999997</v>
      </c>
      <c r="CP147" s="408">
        <v>111.94599000000007</v>
      </c>
      <c r="CQ147" s="408">
        <v>30</v>
      </c>
      <c r="CR147" s="408">
        <v>123.48044028040886</v>
      </c>
      <c r="CS147" s="408">
        <v>0</v>
      </c>
      <c r="CT147" s="408">
        <v>0</v>
      </c>
      <c r="CU147" s="408">
        <v>0</v>
      </c>
      <c r="CV147" s="408">
        <v>0</v>
      </c>
      <c r="CW147" s="408">
        <v>0</v>
      </c>
      <c r="CX147" s="408">
        <v>0</v>
      </c>
      <c r="CY147" s="408">
        <v>0</v>
      </c>
      <c r="CZ147" s="408">
        <v>-3.8949500005961681</v>
      </c>
      <c r="DA147" s="408">
        <v>0</v>
      </c>
      <c r="DB147" s="408">
        <v>0</v>
      </c>
      <c r="DC147" s="408">
        <v>111.89578838433727</v>
      </c>
      <c r="DD147" s="408">
        <v>0</v>
      </c>
      <c r="DE147" s="408">
        <v>0</v>
      </c>
      <c r="DF147" s="408">
        <v>0.65000557062405662</v>
      </c>
      <c r="DG147" s="408">
        <v>15.811978778345946</v>
      </c>
      <c r="DH147" s="408">
        <v>0</v>
      </c>
      <c r="DI147" s="408">
        <v>0</v>
      </c>
      <c r="DJ147" s="408"/>
      <c r="DK147" s="408">
        <v>0</v>
      </c>
      <c r="DL147" s="408">
        <v>0</v>
      </c>
      <c r="DM147" s="408">
        <v>0</v>
      </c>
      <c r="DN147" s="408">
        <v>0</v>
      </c>
      <c r="DO147" s="408">
        <v>0</v>
      </c>
      <c r="DP147" s="408">
        <v>-0.98238245230262322</v>
      </c>
      <c r="DQ147" s="408">
        <v>0</v>
      </c>
      <c r="DR147" s="408">
        <v>0</v>
      </c>
      <c r="DS147" s="408"/>
      <c r="DT147" s="408"/>
      <c r="DU147" s="408"/>
      <c r="DV147" s="408">
        <v>3338.8473418587787</v>
      </c>
      <c r="DW147" s="408">
        <v>0</v>
      </c>
      <c r="DX147" s="408">
        <v>0</v>
      </c>
      <c r="DY147" s="408">
        <v>-2231.0086699999997</v>
      </c>
      <c r="DZ147" s="408">
        <v>111.94598999999994</v>
      </c>
      <c r="EA147" s="408">
        <v>0</v>
      </c>
      <c r="EB147" s="408">
        <v>0</v>
      </c>
      <c r="EC147" s="408">
        <v>-2242.6191815361763</v>
      </c>
      <c r="ED147" s="408">
        <v>0</v>
      </c>
      <c r="EE147" s="408">
        <v>0</v>
      </c>
      <c r="EF147" s="408">
        <v>0</v>
      </c>
      <c r="EG147" s="408">
        <v>0</v>
      </c>
      <c r="EH147" s="408">
        <v>0</v>
      </c>
      <c r="EI147" s="408">
        <v>0</v>
      </c>
      <c r="EJ147" s="408">
        <v>0</v>
      </c>
      <c r="EK147" s="408">
        <v>0</v>
      </c>
      <c r="EL147" s="408">
        <v>0</v>
      </c>
      <c r="EM147" s="408">
        <v>0</v>
      </c>
      <c r="EN147" s="408">
        <v>0</v>
      </c>
      <c r="EO147" s="408">
        <v>0</v>
      </c>
      <c r="EP147" s="408">
        <v>0</v>
      </c>
      <c r="EQ147" s="408">
        <v>0</v>
      </c>
      <c r="ER147" s="408">
        <v>0</v>
      </c>
      <c r="ES147" s="408">
        <v>0</v>
      </c>
      <c r="ET147" s="408">
        <v>0</v>
      </c>
      <c r="EU147" s="408">
        <v>0</v>
      </c>
      <c r="EV147" s="408">
        <v>257</v>
      </c>
      <c r="EW147" s="408">
        <v>0</v>
      </c>
      <c r="EX147" s="408">
        <v>0</v>
      </c>
      <c r="EY147" s="408">
        <v>0</v>
      </c>
      <c r="EZ147" s="408"/>
      <c r="FA147" s="408">
        <v>0</v>
      </c>
      <c r="FB147" s="408"/>
      <c r="FC147" s="408"/>
      <c r="FD147" s="408"/>
      <c r="FE147" s="408"/>
      <c r="FF147" s="408">
        <v>0</v>
      </c>
      <c r="FG147" s="408">
        <v>0</v>
      </c>
      <c r="FH147" s="408">
        <v>0</v>
      </c>
      <c r="FI147" s="408">
        <v>0</v>
      </c>
    </row>
    <row r="148" spans="1:165">
      <c r="A148" s="408">
        <v>146</v>
      </c>
      <c r="B148" s="408" t="s">
        <v>1035</v>
      </c>
      <c r="C148" s="408" t="s">
        <v>2233</v>
      </c>
      <c r="D148" s="408" t="s">
        <v>1955</v>
      </c>
      <c r="E148" s="408" t="s">
        <v>968</v>
      </c>
      <c r="F148" s="408" t="s">
        <v>2239</v>
      </c>
      <c r="G148" s="408" t="s">
        <v>1321</v>
      </c>
      <c r="H148" s="408" t="s">
        <v>1321</v>
      </c>
      <c r="I148" s="408" t="s">
        <v>1321</v>
      </c>
      <c r="J148" s="408" t="s">
        <v>2234</v>
      </c>
      <c r="K148" s="828">
        <v>44501</v>
      </c>
      <c r="L148" s="408">
        <v>0</v>
      </c>
      <c r="M148" s="408">
        <v>0</v>
      </c>
      <c r="N148" s="408">
        <v>4.6079999999999997</v>
      </c>
      <c r="O148" s="408">
        <v>4.6079999999999997</v>
      </c>
      <c r="P148" s="408">
        <v>4.6079999999999997</v>
      </c>
      <c r="Q148" s="408">
        <v>4.6079999999999997</v>
      </c>
      <c r="R148" s="408"/>
      <c r="S148" s="408">
        <v>639.92999999999995</v>
      </c>
      <c r="T148" s="408">
        <v>256.55</v>
      </c>
      <c r="U148" s="408"/>
      <c r="V148" s="408">
        <v>4130.9798399999991</v>
      </c>
      <c r="W148" s="408">
        <v>4130.9798399999991</v>
      </c>
      <c r="X148" s="408">
        <v>2736.2303999999995</v>
      </c>
      <c r="Y148" s="408">
        <v>0</v>
      </c>
      <c r="Z148" s="408">
        <v>0</v>
      </c>
      <c r="AA148" s="408">
        <v>0</v>
      </c>
      <c r="AB148" s="408">
        <v>0</v>
      </c>
      <c r="AC148" s="408">
        <v>0</v>
      </c>
      <c r="AD148" s="408">
        <v>567.16549541393806</v>
      </c>
      <c r="AE148" s="408">
        <v>2197.6015642458578</v>
      </c>
      <c r="AF148" s="408">
        <v>1182.1940201412956</v>
      </c>
      <c r="AG148" s="408">
        <v>0</v>
      </c>
      <c r="AH148" s="408">
        <v>0</v>
      </c>
      <c r="AI148" s="408">
        <v>0</v>
      </c>
      <c r="AJ148" s="408">
        <v>0</v>
      </c>
      <c r="AK148" s="408">
        <v>0</v>
      </c>
      <c r="AL148" s="408">
        <v>0</v>
      </c>
      <c r="AM148" s="408"/>
      <c r="AN148" s="408">
        <v>10.118267810234034</v>
      </c>
      <c r="AO148" s="408">
        <v>0</v>
      </c>
      <c r="AP148" s="408">
        <v>0</v>
      </c>
      <c r="AQ148" s="408">
        <v>0</v>
      </c>
      <c r="AR148" s="408">
        <v>0</v>
      </c>
      <c r="AS148" s="408">
        <v>0</v>
      </c>
      <c r="AT148" s="408">
        <v>0</v>
      </c>
      <c r="AU148" s="408">
        <v>0</v>
      </c>
      <c r="AV148" s="408">
        <v>0</v>
      </c>
      <c r="AW148" s="408">
        <v>0</v>
      </c>
      <c r="AX148" s="408">
        <v>0</v>
      </c>
      <c r="AY148" s="408">
        <v>0</v>
      </c>
      <c r="AZ148" s="408">
        <v>0</v>
      </c>
      <c r="BA148" s="408"/>
      <c r="BB148" s="408">
        <v>0</v>
      </c>
      <c r="BC148" s="408">
        <v>0</v>
      </c>
      <c r="BD148" s="408">
        <v>6.8673960811722692</v>
      </c>
      <c r="BE148" s="408">
        <v>0</v>
      </c>
      <c r="BF148" s="408">
        <v>0</v>
      </c>
      <c r="BG148" s="408">
        <v>167.05567768248667</v>
      </c>
      <c r="BH148" s="408">
        <v>0</v>
      </c>
      <c r="BI148" s="408">
        <v>6.7</v>
      </c>
      <c r="BJ148" s="408">
        <v>34.39</v>
      </c>
      <c r="BK148" s="408">
        <v>1398.13</v>
      </c>
      <c r="BL148" s="408">
        <v>60</v>
      </c>
      <c r="BM148" s="408"/>
      <c r="BN148" s="408"/>
      <c r="BO148" s="408"/>
      <c r="BP148" s="408"/>
      <c r="BQ148" s="408"/>
      <c r="BR148" s="408"/>
      <c r="BS148" s="408"/>
      <c r="BT148" s="408">
        <v>273.66912000000002</v>
      </c>
      <c r="BU148" s="408"/>
      <c r="BV148" s="408">
        <v>1356.1170939049546</v>
      </c>
      <c r="BW148" s="408"/>
      <c r="BX148" s="408"/>
      <c r="BY148" s="408"/>
      <c r="BZ148" s="408"/>
      <c r="CA148" s="408"/>
      <c r="CB148" s="408"/>
      <c r="CC148" s="408"/>
      <c r="CD148" s="408"/>
      <c r="CE148" s="408"/>
      <c r="CF148" s="408"/>
      <c r="CG148" s="408"/>
      <c r="CH148" s="408"/>
      <c r="CI148" s="408">
        <v>2463.6301000000003</v>
      </c>
      <c r="CJ148" s="408">
        <v>-1254.3186200000005</v>
      </c>
      <c r="CK148" s="408"/>
      <c r="CL148" s="408"/>
      <c r="CM148" s="408"/>
      <c r="CN148" s="408"/>
      <c r="CO148" s="408">
        <v>-1468.4313599999998</v>
      </c>
      <c r="CP148" s="408">
        <v>73.681920000000034</v>
      </c>
      <c r="CQ148" s="408">
        <v>30</v>
      </c>
      <c r="CR148" s="408">
        <v>81.27379928754749</v>
      </c>
      <c r="CS148" s="408">
        <v>0</v>
      </c>
      <c r="CT148" s="408">
        <v>0</v>
      </c>
      <c r="CU148" s="408">
        <v>0</v>
      </c>
      <c r="CV148" s="408">
        <v>0</v>
      </c>
      <c r="CW148" s="408">
        <v>0</v>
      </c>
      <c r="CX148" s="408">
        <v>0</v>
      </c>
      <c r="CY148" s="408">
        <v>0</v>
      </c>
      <c r="CZ148" s="408">
        <v>-2.563623711290802</v>
      </c>
      <c r="DA148" s="408">
        <v>0</v>
      </c>
      <c r="DB148" s="408">
        <v>0</v>
      </c>
      <c r="DC148" s="408">
        <v>73.648877713901584</v>
      </c>
      <c r="DD148" s="408">
        <v>0</v>
      </c>
      <c r="DE148" s="408">
        <v>0</v>
      </c>
      <c r="DF148" s="408">
        <v>0.42782826302466059</v>
      </c>
      <c r="DG148" s="408">
        <v>10.40731298537608</v>
      </c>
      <c r="DH148" s="408">
        <v>0</v>
      </c>
      <c r="DI148" s="408">
        <v>0</v>
      </c>
      <c r="DJ148" s="408"/>
      <c r="DK148" s="408">
        <v>0</v>
      </c>
      <c r="DL148" s="408">
        <v>0</v>
      </c>
      <c r="DM148" s="408">
        <v>0</v>
      </c>
      <c r="DN148" s="408">
        <v>0</v>
      </c>
      <c r="DO148" s="408">
        <v>0</v>
      </c>
      <c r="DP148" s="408">
        <v>-0.64659596346385939</v>
      </c>
      <c r="DQ148" s="408">
        <v>0</v>
      </c>
      <c r="DR148" s="408">
        <v>0</v>
      </c>
      <c r="DS148" s="408"/>
      <c r="DT148" s="408"/>
      <c r="DU148" s="408"/>
      <c r="DV148" s="408">
        <v>2197.6015642458578</v>
      </c>
      <c r="DW148" s="408">
        <v>0</v>
      </c>
      <c r="DX148" s="408">
        <v>0</v>
      </c>
      <c r="DY148" s="408">
        <v>-1468.4313599999996</v>
      </c>
      <c r="DZ148" s="408">
        <v>73.681919999999991</v>
      </c>
      <c r="EA148" s="408">
        <v>0</v>
      </c>
      <c r="EB148" s="408">
        <v>0</v>
      </c>
      <c r="EC148" s="408">
        <v>-1476.0733021737892</v>
      </c>
      <c r="ED148" s="408">
        <v>0</v>
      </c>
      <c r="EE148" s="408">
        <v>0</v>
      </c>
      <c r="EF148" s="408">
        <v>0</v>
      </c>
      <c r="EG148" s="408">
        <v>0</v>
      </c>
      <c r="EH148" s="408">
        <v>0</v>
      </c>
      <c r="EI148" s="408">
        <v>0</v>
      </c>
      <c r="EJ148" s="408">
        <v>0</v>
      </c>
      <c r="EK148" s="408">
        <v>0</v>
      </c>
      <c r="EL148" s="408">
        <v>0</v>
      </c>
      <c r="EM148" s="408">
        <v>0</v>
      </c>
      <c r="EN148" s="408">
        <v>0</v>
      </c>
      <c r="EO148" s="408">
        <v>0</v>
      </c>
      <c r="EP148" s="408">
        <v>0</v>
      </c>
      <c r="EQ148" s="408">
        <v>0</v>
      </c>
      <c r="ER148" s="408">
        <v>0</v>
      </c>
      <c r="ES148" s="408">
        <v>0</v>
      </c>
      <c r="ET148" s="408">
        <v>0</v>
      </c>
      <c r="EU148" s="408">
        <v>0</v>
      </c>
      <c r="EV148" s="408">
        <v>257</v>
      </c>
      <c r="EW148" s="408">
        <v>0</v>
      </c>
      <c r="EX148" s="408">
        <v>0</v>
      </c>
      <c r="EY148" s="408">
        <v>0</v>
      </c>
      <c r="EZ148" s="408"/>
      <c r="FA148" s="408">
        <v>0</v>
      </c>
      <c r="FB148" s="408"/>
      <c r="FC148" s="408"/>
      <c r="FD148" s="408"/>
      <c r="FE148" s="408"/>
      <c r="FF148" s="408">
        <v>0</v>
      </c>
      <c r="FG148" s="408">
        <v>0</v>
      </c>
      <c r="FH148" s="408">
        <v>0</v>
      </c>
      <c r="FI148" s="408">
        <v>0</v>
      </c>
    </row>
    <row r="149" spans="1:165">
      <c r="A149" s="408">
        <v>147</v>
      </c>
      <c r="B149" s="408" t="s">
        <v>1035</v>
      </c>
      <c r="C149" s="408" t="s">
        <v>2233</v>
      </c>
      <c r="D149" s="408" t="s">
        <v>1955</v>
      </c>
      <c r="E149" s="408" t="s">
        <v>968</v>
      </c>
      <c r="F149" s="408" t="s">
        <v>2240</v>
      </c>
      <c r="G149" s="408" t="s">
        <v>1321</v>
      </c>
      <c r="H149" s="408" t="s">
        <v>1321</v>
      </c>
      <c r="I149" s="408" t="s">
        <v>1321</v>
      </c>
      <c r="J149" s="408" t="s">
        <v>2234</v>
      </c>
      <c r="K149" s="828">
        <v>44501</v>
      </c>
      <c r="L149" s="408">
        <v>0</v>
      </c>
      <c r="M149" s="408">
        <v>0</v>
      </c>
      <c r="N149" s="408">
        <v>1.21</v>
      </c>
      <c r="O149" s="408">
        <v>1.21</v>
      </c>
      <c r="P149" s="408">
        <v>1.21</v>
      </c>
      <c r="Q149" s="408">
        <v>1.21</v>
      </c>
      <c r="R149" s="408"/>
      <c r="S149" s="408">
        <v>639.92999999999995</v>
      </c>
      <c r="T149" s="408">
        <v>256.55</v>
      </c>
      <c r="U149" s="408"/>
      <c r="V149" s="408">
        <v>1084.7407999999998</v>
      </c>
      <c r="W149" s="408">
        <v>1084.7407999999998</v>
      </c>
      <c r="X149" s="408">
        <v>718.49800000000005</v>
      </c>
      <c r="Y149" s="408">
        <v>0</v>
      </c>
      <c r="Z149" s="408">
        <v>0</v>
      </c>
      <c r="AA149" s="408">
        <v>0</v>
      </c>
      <c r="AB149" s="408">
        <v>0</v>
      </c>
      <c r="AC149" s="408">
        <v>0</v>
      </c>
      <c r="AD149" s="408">
        <v>148.9301756620801</v>
      </c>
      <c r="AE149" s="408">
        <v>577.0611746392118</v>
      </c>
      <c r="AF149" s="408">
        <v>310.42855129578294</v>
      </c>
      <c r="AG149" s="408">
        <v>0</v>
      </c>
      <c r="AH149" s="408">
        <v>0</v>
      </c>
      <c r="AI149" s="408">
        <v>0</v>
      </c>
      <c r="AJ149" s="408">
        <v>0</v>
      </c>
      <c r="AK149" s="408">
        <v>0</v>
      </c>
      <c r="AL149" s="408">
        <v>0</v>
      </c>
      <c r="AM149" s="408"/>
      <c r="AN149" s="408">
        <v>2.6569236220449612</v>
      </c>
      <c r="AO149" s="408">
        <v>0</v>
      </c>
      <c r="AP149" s="408">
        <v>0</v>
      </c>
      <c r="AQ149" s="408">
        <v>0</v>
      </c>
      <c r="AR149" s="408">
        <v>0</v>
      </c>
      <c r="AS149" s="408">
        <v>0</v>
      </c>
      <c r="AT149" s="408">
        <v>0</v>
      </c>
      <c r="AU149" s="408">
        <v>0</v>
      </c>
      <c r="AV149" s="408">
        <v>0</v>
      </c>
      <c r="AW149" s="408">
        <v>0</v>
      </c>
      <c r="AX149" s="408">
        <v>0</v>
      </c>
      <c r="AY149" s="408">
        <v>0</v>
      </c>
      <c r="AZ149" s="408">
        <v>0</v>
      </c>
      <c r="BA149" s="408"/>
      <c r="BB149" s="408">
        <v>0</v>
      </c>
      <c r="BC149" s="408">
        <v>0</v>
      </c>
      <c r="BD149" s="408">
        <v>1.803287599439767</v>
      </c>
      <c r="BE149" s="408">
        <v>0</v>
      </c>
      <c r="BF149" s="408">
        <v>0</v>
      </c>
      <c r="BG149" s="408">
        <v>43.866616752562692</v>
      </c>
      <c r="BH149" s="408">
        <v>0</v>
      </c>
      <c r="BI149" s="408">
        <v>2.46</v>
      </c>
      <c r="BJ149" s="408">
        <v>12.25</v>
      </c>
      <c r="BK149" s="408">
        <v>495.87</v>
      </c>
      <c r="BL149" s="408">
        <v>16</v>
      </c>
      <c r="BM149" s="408"/>
      <c r="BN149" s="408"/>
      <c r="BO149" s="408"/>
      <c r="BP149" s="408"/>
      <c r="BQ149" s="408"/>
      <c r="BR149" s="408"/>
      <c r="BS149" s="408"/>
      <c r="BT149" s="408"/>
      <c r="BU149" s="408"/>
      <c r="BV149" s="408">
        <v>356.09845564778539</v>
      </c>
      <c r="BW149" s="408"/>
      <c r="BX149" s="408"/>
      <c r="BY149" s="408"/>
      <c r="BZ149" s="408"/>
      <c r="CA149" s="408"/>
      <c r="CB149" s="408"/>
      <c r="CC149" s="408"/>
      <c r="CD149" s="408"/>
      <c r="CE149" s="408"/>
      <c r="CF149" s="408"/>
      <c r="CG149" s="408"/>
      <c r="CH149" s="408"/>
      <c r="CI149" s="408">
        <v>718.49800000000005</v>
      </c>
      <c r="CJ149" s="408">
        <v>-366.27279999999973</v>
      </c>
      <c r="CK149" s="408"/>
      <c r="CL149" s="408"/>
      <c r="CM149" s="408"/>
      <c r="CN149" s="408"/>
      <c r="CO149" s="408">
        <v>-385.59069999999991</v>
      </c>
      <c r="CP149" s="408">
        <v>19.34790000000001</v>
      </c>
      <c r="CQ149" s="408">
        <v>30</v>
      </c>
      <c r="CR149" s="408">
        <v>21.341427330280453</v>
      </c>
      <c r="CS149" s="408">
        <v>0</v>
      </c>
      <c r="CT149" s="408">
        <v>0</v>
      </c>
      <c r="CU149" s="408">
        <v>0</v>
      </c>
      <c r="CV149" s="408">
        <v>0</v>
      </c>
      <c r="CW149" s="408">
        <v>0</v>
      </c>
      <c r="CX149" s="408">
        <v>0</v>
      </c>
      <c r="CY149" s="408">
        <v>0</v>
      </c>
      <c r="CZ149" s="408">
        <v>-0.67317376099433091</v>
      </c>
      <c r="DA149" s="408">
        <v>0</v>
      </c>
      <c r="DB149" s="408">
        <v>0</v>
      </c>
      <c r="DC149" s="408">
        <v>19.339223531645132</v>
      </c>
      <c r="DD149" s="408">
        <v>0</v>
      </c>
      <c r="DE149" s="408">
        <v>0</v>
      </c>
      <c r="DF149" s="408">
        <v>0.11234205691402765</v>
      </c>
      <c r="DG149" s="408">
        <v>2.7328230712467629</v>
      </c>
      <c r="DH149" s="408">
        <v>0</v>
      </c>
      <c r="DI149" s="408">
        <v>0</v>
      </c>
      <c r="DJ149" s="408"/>
      <c r="DK149" s="408">
        <v>0</v>
      </c>
      <c r="DL149" s="408">
        <v>0</v>
      </c>
      <c r="DM149" s="408">
        <v>0</v>
      </c>
      <c r="DN149" s="408">
        <v>0</v>
      </c>
      <c r="DO149" s="408">
        <v>0</v>
      </c>
      <c r="DP149" s="408">
        <v>-0.16978756853109145</v>
      </c>
      <c r="DQ149" s="408">
        <v>0</v>
      </c>
      <c r="DR149" s="408">
        <v>0</v>
      </c>
      <c r="DS149" s="408"/>
      <c r="DT149" s="408"/>
      <c r="DU149" s="408"/>
      <c r="DV149" s="408">
        <v>577.0611746392118</v>
      </c>
      <c r="DW149" s="408">
        <v>0</v>
      </c>
      <c r="DX149" s="408">
        <v>0</v>
      </c>
      <c r="DY149" s="408">
        <v>-385.59069999999991</v>
      </c>
      <c r="DZ149" s="408">
        <v>19.347900000000038</v>
      </c>
      <c r="EA149" s="408">
        <v>0</v>
      </c>
      <c r="EB149" s="408">
        <v>0</v>
      </c>
      <c r="EC149" s="408">
        <v>-387.59737318365558</v>
      </c>
      <c r="ED149" s="408">
        <v>0</v>
      </c>
      <c r="EE149" s="408">
        <v>0</v>
      </c>
      <c r="EF149" s="408">
        <v>0</v>
      </c>
      <c r="EG149" s="408">
        <v>0</v>
      </c>
      <c r="EH149" s="408">
        <v>0</v>
      </c>
      <c r="EI149" s="408">
        <v>0</v>
      </c>
      <c r="EJ149" s="408">
        <v>0</v>
      </c>
      <c r="EK149" s="408">
        <v>0</v>
      </c>
      <c r="EL149" s="408">
        <v>0</v>
      </c>
      <c r="EM149" s="408">
        <v>0</v>
      </c>
      <c r="EN149" s="408">
        <v>0</v>
      </c>
      <c r="EO149" s="408">
        <v>0</v>
      </c>
      <c r="EP149" s="408">
        <v>0</v>
      </c>
      <c r="EQ149" s="408">
        <v>0</v>
      </c>
      <c r="ER149" s="408">
        <v>0</v>
      </c>
      <c r="ES149" s="408">
        <v>0</v>
      </c>
      <c r="ET149" s="408">
        <v>0</v>
      </c>
      <c r="EU149" s="408">
        <v>0</v>
      </c>
      <c r="EV149" s="408">
        <v>257</v>
      </c>
      <c r="EW149" s="408">
        <v>0</v>
      </c>
      <c r="EX149" s="408">
        <v>0</v>
      </c>
      <c r="EY149" s="408">
        <v>0</v>
      </c>
      <c r="EZ149" s="408"/>
      <c r="FA149" s="408">
        <v>0</v>
      </c>
      <c r="FB149" s="408"/>
      <c r="FC149" s="408"/>
      <c r="FD149" s="408"/>
      <c r="FE149" s="408"/>
      <c r="FF149" s="408">
        <v>0</v>
      </c>
      <c r="FG149" s="408">
        <v>0</v>
      </c>
      <c r="FH149" s="408">
        <v>0</v>
      </c>
      <c r="FI149" s="408">
        <v>0</v>
      </c>
    </row>
    <row r="150" spans="1:165">
      <c r="A150" s="408">
        <v>148</v>
      </c>
      <c r="B150" s="408" t="s">
        <v>1035</v>
      </c>
      <c r="C150" s="408" t="s">
        <v>2233</v>
      </c>
      <c r="D150" s="408" t="s">
        <v>1958</v>
      </c>
      <c r="E150" s="408" t="s">
        <v>969</v>
      </c>
      <c r="F150" s="408" t="s">
        <v>1321</v>
      </c>
      <c r="G150" s="408" t="s">
        <v>1321</v>
      </c>
      <c r="H150" s="408" t="s">
        <v>1321</v>
      </c>
      <c r="I150" s="408" t="s">
        <v>1321</v>
      </c>
      <c r="J150" s="408" t="s">
        <v>2234</v>
      </c>
      <c r="K150" s="828">
        <v>44501</v>
      </c>
      <c r="L150" s="408">
        <v>0</v>
      </c>
      <c r="M150" s="408">
        <v>0</v>
      </c>
      <c r="N150" s="408">
        <v>52.887999999999998</v>
      </c>
      <c r="O150" s="408">
        <v>52.887999999999998</v>
      </c>
      <c r="P150" s="408">
        <v>52.887999999999998</v>
      </c>
      <c r="Q150" s="408">
        <v>52.887999999999998</v>
      </c>
      <c r="R150" s="408"/>
      <c r="S150" s="408">
        <v>710.91</v>
      </c>
      <c r="T150" s="408">
        <v>256.55</v>
      </c>
      <c r="U150" s="408"/>
      <c r="V150" s="408">
        <v>51167.02448</v>
      </c>
      <c r="W150" s="408">
        <v>51167.02448</v>
      </c>
      <c r="X150" s="408">
        <v>34928.821839999997</v>
      </c>
      <c r="Y150" s="408">
        <v>0</v>
      </c>
      <c r="Z150" s="408">
        <v>3251.2729497755518</v>
      </c>
      <c r="AA150" s="408">
        <v>0</v>
      </c>
      <c r="AB150" s="408">
        <v>0</v>
      </c>
      <c r="AC150" s="408">
        <v>0</v>
      </c>
      <c r="AD150" s="408">
        <v>6509.6025871207376</v>
      </c>
      <c r="AE150" s="408">
        <v>25222.819342412095</v>
      </c>
      <c r="AF150" s="408">
        <v>13568.549769364767</v>
      </c>
      <c r="AG150" s="408">
        <v>0</v>
      </c>
      <c r="AH150" s="408">
        <v>0</v>
      </c>
      <c r="AI150" s="408">
        <v>0</v>
      </c>
      <c r="AJ150" s="408">
        <v>0</v>
      </c>
      <c r="AK150" s="408">
        <v>0</v>
      </c>
      <c r="AL150" s="408">
        <v>502.6615014967598</v>
      </c>
      <c r="AM150" s="408"/>
      <c r="AN150" s="408">
        <v>116.13171613447432</v>
      </c>
      <c r="AO150" s="408">
        <v>0</v>
      </c>
      <c r="AP150" s="408">
        <v>0</v>
      </c>
      <c r="AQ150" s="408">
        <v>0</v>
      </c>
      <c r="AR150" s="408">
        <v>0</v>
      </c>
      <c r="AS150" s="408">
        <v>0</v>
      </c>
      <c r="AT150" s="408">
        <v>0</v>
      </c>
      <c r="AU150" s="408">
        <v>0</v>
      </c>
      <c r="AV150" s="408">
        <v>0</v>
      </c>
      <c r="AW150" s="408">
        <v>0</v>
      </c>
      <c r="AX150" s="408">
        <v>0</v>
      </c>
      <c r="AY150" s="408">
        <v>0</v>
      </c>
      <c r="AZ150" s="408">
        <v>0</v>
      </c>
      <c r="BA150" s="408"/>
      <c r="BB150" s="408">
        <v>0</v>
      </c>
      <c r="BC150" s="408">
        <v>0</v>
      </c>
      <c r="BD150" s="408">
        <v>78.820061619149087</v>
      </c>
      <c r="BE150" s="408">
        <v>0</v>
      </c>
      <c r="BF150" s="408">
        <v>0</v>
      </c>
      <c r="BG150" s="408">
        <v>1917.3699395120129</v>
      </c>
      <c r="BH150" s="408">
        <v>0</v>
      </c>
      <c r="BI150" s="408">
        <v>75.459999999999994</v>
      </c>
      <c r="BJ150" s="408">
        <v>389.9</v>
      </c>
      <c r="BK150" s="408">
        <v>9444.59</v>
      </c>
      <c r="BL150" s="408">
        <v>47</v>
      </c>
      <c r="BM150" s="408"/>
      <c r="BN150" s="408"/>
      <c r="BO150" s="408"/>
      <c r="BP150" s="408"/>
      <c r="BQ150" s="408"/>
      <c r="BR150" s="408"/>
      <c r="BS150" s="408"/>
      <c r="BT150" s="408"/>
      <c r="BU150" s="408"/>
      <c r="BV150" s="408">
        <v>15564.739770495929</v>
      </c>
      <c r="BW150" s="408"/>
      <c r="BX150" s="408"/>
      <c r="BY150" s="408"/>
      <c r="BZ150" s="408"/>
      <c r="CA150" s="408"/>
      <c r="CB150" s="408"/>
      <c r="CC150" s="408"/>
      <c r="CD150" s="408"/>
      <c r="CE150" s="408"/>
      <c r="CF150" s="408"/>
      <c r="CG150" s="408"/>
      <c r="CH150" s="408"/>
      <c r="CI150" s="408">
        <v>34930.142699999997</v>
      </c>
      <c r="CJ150" s="408">
        <v>-16236.911780000009</v>
      </c>
      <c r="CK150" s="408"/>
      <c r="CL150" s="408"/>
      <c r="CM150" s="408"/>
      <c r="CN150" s="408"/>
      <c r="CO150" s="408">
        <v>-17083.88176</v>
      </c>
      <c r="CP150" s="408">
        <v>845.67912000000047</v>
      </c>
      <c r="CQ150" s="408">
        <v>30</v>
      </c>
      <c r="CR150" s="408">
        <v>703.05531728271671</v>
      </c>
      <c r="CS150" s="408">
        <v>0</v>
      </c>
      <c r="CT150" s="408">
        <v>0</v>
      </c>
      <c r="CU150" s="408">
        <v>0</v>
      </c>
      <c r="CV150" s="408">
        <v>0</v>
      </c>
      <c r="CW150" s="408">
        <v>0</v>
      </c>
      <c r="CX150" s="408">
        <v>0</v>
      </c>
      <c r="CY150" s="408">
        <v>0</v>
      </c>
      <c r="CZ150" s="408">
        <v>-29.423813116915881</v>
      </c>
      <c r="DA150" s="408">
        <v>0</v>
      </c>
      <c r="DB150" s="408">
        <v>0</v>
      </c>
      <c r="DC150" s="408">
        <v>845.29987945590801</v>
      </c>
      <c r="DD150" s="408">
        <v>0</v>
      </c>
      <c r="DE150" s="408">
        <v>0</v>
      </c>
      <c r="DF150" s="408">
        <v>4.9103691785694963</v>
      </c>
      <c r="DG150" s="408">
        <v>119.44921205958576</v>
      </c>
      <c r="DH150" s="408">
        <v>0</v>
      </c>
      <c r="DI150" s="408">
        <v>-202.17668087294305</v>
      </c>
      <c r="DJ150" s="408"/>
      <c r="DK150" s="408">
        <v>0</v>
      </c>
      <c r="DL150" s="408">
        <v>0</v>
      </c>
      <c r="DM150" s="408">
        <v>0</v>
      </c>
      <c r="DN150" s="408">
        <v>0</v>
      </c>
      <c r="DO150" s="408">
        <v>-27.582389153319525</v>
      </c>
      <c r="DP150" s="408">
        <v>-7.4212602681589885</v>
      </c>
      <c r="DQ150" s="408">
        <v>0</v>
      </c>
      <c r="DR150" s="408">
        <v>0</v>
      </c>
      <c r="DS150" s="408"/>
      <c r="DT150" s="408"/>
      <c r="DU150" s="408"/>
      <c r="DV150" s="408">
        <v>25222.819342412095</v>
      </c>
      <c r="DW150" s="408">
        <v>0</v>
      </c>
      <c r="DX150" s="408">
        <v>0</v>
      </c>
      <c r="DY150" s="408">
        <v>-17083.88176</v>
      </c>
      <c r="DZ150" s="408">
        <v>845.67912000000069</v>
      </c>
      <c r="EA150" s="408">
        <v>0</v>
      </c>
      <c r="EB150" s="408">
        <v>0</v>
      </c>
      <c r="EC150" s="408">
        <v>-16941.528820609237</v>
      </c>
      <c r="ED150" s="408">
        <v>0</v>
      </c>
      <c r="EE150" s="408">
        <v>0</v>
      </c>
      <c r="EF150" s="408">
        <v>0</v>
      </c>
      <c r="EG150" s="408">
        <v>0</v>
      </c>
      <c r="EH150" s="408">
        <v>0</v>
      </c>
      <c r="EI150" s="408">
        <v>0</v>
      </c>
      <c r="EJ150" s="408">
        <v>0</v>
      </c>
      <c r="EK150" s="408">
        <v>0</v>
      </c>
      <c r="EL150" s="408">
        <v>0</v>
      </c>
      <c r="EM150" s="408">
        <v>0</v>
      </c>
      <c r="EN150" s="408">
        <v>0</v>
      </c>
      <c r="EO150" s="408">
        <v>0</v>
      </c>
      <c r="EP150" s="408">
        <v>0</v>
      </c>
      <c r="EQ150" s="408">
        <v>0</v>
      </c>
      <c r="ER150" s="408">
        <v>0</v>
      </c>
      <c r="ES150" s="408">
        <v>0</v>
      </c>
      <c r="ET150" s="408">
        <v>0</v>
      </c>
      <c r="EU150" s="408">
        <v>0</v>
      </c>
      <c r="EV150" s="408">
        <v>257</v>
      </c>
      <c r="EW150" s="408">
        <v>0</v>
      </c>
      <c r="EX150" s="408">
        <v>0</v>
      </c>
      <c r="EY150" s="408">
        <v>0</v>
      </c>
      <c r="EZ150" s="408"/>
      <c r="FA150" s="408">
        <v>0</v>
      </c>
      <c r="FB150" s="408"/>
      <c r="FC150" s="408"/>
      <c r="FD150" s="408"/>
      <c r="FE150" s="408"/>
      <c r="FF150" s="408">
        <v>0</v>
      </c>
      <c r="FG150" s="408">
        <v>0</v>
      </c>
      <c r="FH150" s="408">
        <v>0</v>
      </c>
      <c r="FI150" s="408">
        <v>0</v>
      </c>
    </row>
    <row r="151" spans="1:165">
      <c r="A151" s="408">
        <v>149</v>
      </c>
      <c r="B151" s="408" t="s">
        <v>2236</v>
      </c>
      <c r="C151" s="408" t="s">
        <v>2233</v>
      </c>
      <c r="D151" s="408" t="s">
        <v>1958</v>
      </c>
      <c r="E151" s="408" t="s">
        <v>969</v>
      </c>
      <c r="F151" s="408" t="s">
        <v>1321</v>
      </c>
      <c r="G151" s="408" t="s">
        <v>1321</v>
      </c>
      <c r="H151" s="408" t="s">
        <v>1321</v>
      </c>
      <c r="I151" s="408" t="s">
        <v>1321</v>
      </c>
      <c r="J151" s="408" t="s">
        <v>2234</v>
      </c>
      <c r="K151" s="828">
        <v>44501</v>
      </c>
      <c r="L151" s="408">
        <v>0</v>
      </c>
      <c r="M151" s="408">
        <v>0</v>
      </c>
      <c r="N151" s="408">
        <v>6.093</v>
      </c>
      <c r="O151" s="408">
        <v>6.093</v>
      </c>
      <c r="P151" s="408">
        <v>6.093</v>
      </c>
      <c r="Q151" s="408">
        <v>6.093</v>
      </c>
      <c r="R151" s="408"/>
      <c r="S151" s="408">
        <v>710.91</v>
      </c>
      <c r="T151" s="408">
        <v>256.55</v>
      </c>
      <c r="U151" s="408"/>
      <c r="V151" s="408">
        <v>5894.7337800000005</v>
      </c>
      <c r="W151" s="408">
        <v>5894.7337800000005</v>
      </c>
      <c r="X151" s="408">
        <v>4023.9999900000003</v>
      </c>
      <c r="Y151" s="408">
        <v>0</v>
      </c>
      <c r="Z151" s="408">
        <v>374.5652337577983</v>
      </c>
      <c r="AA151" s="408">
        <v>0</v>
      </c>
      <c r="AB151" s="408">
        <v>0</v>
      </c>
      <c r="AC151" s="408">
        <v>0</v>
      </c>
      <c r="AD151" s="408">
        <v>749.94343827194552</v>
      </c>
      <c r="AE151" s="408">
        <v>2905.8130058485267</v>
      </c>
      <c r="AF151" s="408">
        <v>1563.1745149133928</v>
      </c>
      <c r="AG151" s="408">
        <v>0</v>
      </c>
      <c r="AH151" s="408">
        <v>0</v>
      </c>
      <c r="AI151" s="408">
        <v>0</v>
      </c>
      <c r="AJ151" s="408">
        <v>0</v>
      </c>
      <c r="AK151" s="408">
        <v>0</v>
      </c>
      <c r="AL151" s="408">
        <v>57.909479061786371</v>
      </c>
      <c r="AM151" s="408"/>
      <c r="AN151" s="408">
        <v>13.379037710016489</v>
      </c>
      <c r="AO151" s="408">
        <v>0</v>
      </c>
      <c r="AP151" s="408">
        <v>0</v>
      </c>
      <c r="AQ151" s="408">
        <v>0</v>
      </c>
      <c r="AR151" s="408">
        <v>0</v>
      </c>
      <c r="AS151" s="408">
        <v>0</v>
      </c>
      <c r="AT151" s="408">
        <v>0</v>
      </c>
      <c r="AU151" s="408">
        <v>0</v>
      </c>
      <c r="AV151" s="408">
        <v>0</v>
      </c>
      <c r="AW151" s="408">
        <v>0</v>
      </c>
      <c r="AX151" s="408">
        <v>0</v>
      </c>
      <c r="AY151" s="408">
        <v>0</v>
      </c>
      <c r="AZ151" s="408">
        <v>0</v>
      </c>
      <c r="BA151" s="408"/>
      <c r="BB151" s="408">
        <v>0</v>
      </c>
      <c r="BC151" s="408">
        <v>0</v>
      </c>
      <c r="BD151" s="408">
        <v>9.0805217713938013</v>
      </c>
      <c r="BE151" s="408">
        <v>0</v>
      </c>
      <c r="BF151" s="408">
        <v>0</v>
      </c>
      <c r="BG151" s="408">
        <v>220.89198006063179</v>
      </c>
      <c r="BH151" s="408">
        <v>0</v>
      </c>
      <c r="BI151" s="408">
        <v>10.55</v>
      </c>
      <c r="BJ151" s="408">
        <v>54.42</v>
      </c>
      <c r="BK151" s="408">
        <v>1579.39</v>
      </c>
      <c r="BL151" s="408">
        <v>4</v>
      </c>
      <c r="BM151" s="408"/>
      <c r="BN151" s="408"/>
      <c r="BO151" s="408"/>
      <c r="BP151" s="408"/>
      <c r="BQ151" s="408"/>
      <c r="BR151" s="408"/>
      <c r="BS151" s="408"/>
      <c r="BT151" s="408"/>
      <c r="BU151" s="408"/>
      <c r="BV151" s="408">
        <v>1793.1470167454183</v>
      </c>
      <c r="BW151" s="408"/>
      <c r="BX151" s="408"/>
      <c r="BY151" s="408"/>
      <c r="BZ151" s="408"/>
      <c r="CA151" s="408"/>
      <c r="CB151" s="408"/>
      <c r="CC151" s="408"/>
      <c r="CD151" s="408"/>
      <c r="CE151" s="408"/>
      <c r="CF151" s="408"/>
      <c r="CG151" s="408"/>
      <c r="CH151" s="408"/>
      <c r="CI151" s="408">
        <v>4022.0186999999996</v>
      </c>
      <c r="CJ151" s="408">
        <v>-1872.7450800000015</v>
      </c>
      <c r="CK151" s="408"/>
      <c r="CL151" s="408"/>
      <c r="CM151" s="408"/>
      <c r="CN151" s="408"/>
      <c r="CO151" s="408">
        <v>-1968.16086</v>
      </c>
      <c r="CP151" s="408">
        <v>97.427070000000057</v>
      </c>
      <c r="CQ151" s="408">
        <v>30</v>
      </c>
      <c r="CR151" s="408">
        <v>80.995992440698501</v>
      </c>
      <c r="CS151" s="408">
        <v>0</v>
      </c>
      <c r="CT151" s="408">
        <v>0</v>
      </c>
      <c r="CU151" s="408">
        <v>0</v>
      </c>
      <c r="CV151" s="408">
        <v>0</v>
      </c>
      <c r="CW151" s="408">
        <v>0</v>
      </c>
      <c r="CX151" s="408">
        <v>0</v>
      </c>
      <c r="CY151" s="408">
        <v>0</v>
      </c>
      <c r="CZ151" s="408">
        <v>-3.3897915088748505</v>
      </c>
      <c r="DA151" s="408">
        <v>0</v>
      </c>
      <c r="DB151" s="408">
        <v>0</v>
      </c>
      <c r="DC151" s="408">
        <v>97.383379320920767</v>
      </c>
      <c r="DD151" s="408">
        <v>0</v>
      </c>
      <c r="DE151" s="408">
        <v>0</v>
      </c>
      <c r="DF151" s="408">
        <v>0.56570260560096841</v>
      </c>
      <c r="DG151" s="408">
        <v>13.761232209178957</v>
      </c>
      <c r="DH151" s="408">
        <v>0</v>
      </c>
      <c r="DI151" s="408">
        <v>-23.291909630896271</v>
      </c>
      <c r="DJ151" s="408"/>
      <c r="DK151" s="408">
        <v>0</v>
      </c>
      <c r="DL151" s="408">
        <v>0</v>
      </c>
      <c r="DM151" s="408">
        <v>0</v>
      </c>
      <c r="DN151" s="408">
        <v>0</v>
      </c>
      <c r="DO151" s="408">
        <v>-3.177648939479198</v>
      </c>
      <c r="DP151" s="408">
        <v>-0.85497161575201908</v>
      </c>
      <c r="DQ151" s="408">
        <v>0</v>
      </c>
      <c r="DR151" s="408">
        <v>0</v>
      </c>
      <c r="DS151" s="408"/>
      <c r="DT151" s="408"/>
      <c r="DU151" s="408"/>
      <c r="DV151" s="408">
        <v>2905.8130058485267</v>
      </c>
      <c r="DW151" s="408">
        <v>0</v>
      </c>
      <c r="DX151" s="408">
        <v>0</v>
      </c>
      <c r="DY151" s="408">
        <v>-1968.16086</v>
      </c>
      <c r="DZ151" s="408">
        <v>97.427070000000185</v>
      </c>
      <c r="EA151" s="408">
        <v>0</v>
      </c>
      <c r="EB151" s="408">
        <v>0</v>
      </c>
      <c r="EC151" s="408">
        <v>-1951.7609874446391</v>
      </c>
      <c r="ED151" s="408">
        <v>0</v>
      </c>
      <c r="EE151" s="408">
        <v>0</v>
      </c>
      <c r="EF151" s="408">
        <v>0</v>
      </c>
      <c r="EG151" s="408">
        <v>0</v>
      </c>
      <c r="EH151" s="408">
        <v>0</v>
      </c>
      <c r="EI151" s="408">
        <v>0</v>
      </c>
      <c r="EJ151" s="408">
        <v>0</v>
      </c>
      <c r="EK151" s="408">
        <v>0</v>
      </c>
      <c r="EL151" s="408">
        <v>0</v>
      </c>
      <c r="EM151" s="408">
        <v>0</v>
      </c>
      <c r="EN151" s="408">
        <v>0</v>
      </c>
      <c r="EO151" s="408">
        <v>0</v>
      </c>
      <c r="EP151" s="408">
        <v>0</v>
      </c>
      <c r="EQ151" s="408">
        <v>0</v>
      </c>
      <c r="ER151" s="408">
        <v>0</v>
      </c>
      <c r="ES151" s="408">
        <v>0</v>
      </c>
      <c r="ET151" s="408">
        <v>0</v>
      </c>
      <c r="EU151" s="408">
        <v>0</v>
      </c>
      <c r="EV151" s="408">
        <v>257</v>
      </c>
      <c r="EW151" s="408">
        <v>0</v>
      </c>
      <c r="EX151" s="408">
        <v>0</v>
      </c>
      <c r="EY151" s="408">
        <v>0</v>
      </c>
      <c r="EZ151" s="408"/>
      <c r="FA151" s="408">
        <v>0</v>
      </c>
      <c r="FB151" s="408"/>
      <c r="FC151" s="408"/>
      <c r="FD151" s="408"/>
      <c r="FE151" s="408"/>
      <c r="FF151" s="408">
        <v>0</v>
      </c>
      <c r="FG151" s="408">
        <v>0</v>
      </c>
      <c r="FH151" s="408">
        <v>0</v>
      </c>
      <c r="FI151" s="408">
        <v>0</v>
      </c>
    </row>
    <row r="152" spans="1:165">
      <c r="A152" s="408">
        <v>150</v>
      </c>
      <c r="B152" s="408" t="s">
        <v>1035</v>
      </c>
      <c r="C152" s="408" t="s">
        <v>2241</v>
      </c>
      <c r="D152" s="408" t="s">
        <v>596</v>
      </c>
      <c r="E152" s="408" t="s">
        <v>969</v>
      </c>
      <c r="F152" s="408" t="s">
        <v>1321</v>
      </c>
      <c r="G152" s="408" t="s">
        <v>1321</v>
      </c>
      <c r="H152" s="408" t="s">
        <v>1321</v>
      </c>
      <c r="I152" s="408" t="s">
        <v>972</v>
      </c>
      <c r="J152" s="408" t="s">
        <v>2234</v>
      </c>
      <c r="K152" s="828">
        <v>44501</v>
      </c>
      <c r="L152" s="408">
        <v>0</v>
      </c>
      <c r="M152" s="408">
        <v>0</v>
      </c>
      <c r="N152" s="408">
        <v>9.3610000000000007</v>
      </c>
      <c r="O152" s="408">
        <v>9.3610000000000007</v>
      </c>
      <c r="P152" s="408">
        <v>9.3610000000000007</v>
      </c>
      <c r="Q152" s="408">
        <v>9.3610000000000007</v>
      </c>
      <c r="R152" s="408"/>
      <c r="S152" s="408">
        <v>3130.62</v>
      </c>
      <c r="T152" s="408">
        <v>256.55</v>
      </c>
      <c r="U152" s="408"/>
      <c r="V152" s="408">
        <v>31707.29837</v>
      </c>
      <c r="W152" s="408">
        <v>31707.29837</v>
      </c>
      <c r="X152" s="408">
        <v>16687.199430000001</v>
      </c>
      <c r="Y152" s="408">
        <v>0</v>
      </c>
      <c r="Z152" s="408">
        <v>500.65410853272158</v>
      </c>
      <c r="AA152" s="408">
        <v>0</v>
      </c>
      <c r="AB152" s="408">
        <v>0</v>
      </c>
      <c r="AC152" s="408">
        <v>0</v>
      </c>
      <c r="AD152" s="408">
        <v>6030.4854498810928</v>
      </c>
      <c r="AE152" s="408">
        <v>22505.235634517023</v>
      </c>
      <c r="AF152" s="408">
        <v>2401.588155933739</v>
      </c>
      <c r="AG152" s="408">
        <v>0</v>
      </c>
      <c r="AH152" s="408">
        <v>0</v>
      </c>
      <c r="AI152" s="408">
        <v>0</v>
      </c>
      <c r="AJ152" s="408">
        <v>0</v>
      </c>
      <c r="AK152" s="408">
        <v>0</v>
      </c>
      <c r="AL152" s="408">
        <v>88.969413014505534</v>
      </c>
      <c r="AM152" s="408"/>
      <c r="AN152" s="408">
        <v>12.628503806460687</v>
      </c>
      <c r="AO152" s="408">
        <v>0</v>
      </c>
      <c r="AP152" s="408">
        <v>0</v>
      </c>
      <c r="AQ152" s="408">
        <v>0</v>
      </c>
      <c r="AR152" s="408">
        <v>0</v>
      </c>
      <c r="AS152" s="408">
        <v>0</v>
      </c>
      <c r="AT152" s="408">
        <v>0</v>
      </c>
      <c r="AU152" s="408">
        <v>0</v>
      </c>
      <c r="AV152" s="408">
        <v>0</v>
      </c>
      <c r="AW152" s="408">
        <v>0</v>
      </c>
      <c r="AX152" s="408">
        <v>0</v>
      </c>
      <c r="AY152" s="408">
        <v>0</v>
      </c>
      <c r="AZ152" s="408">
        <v>0</v>
      </c>
      <c r="BA152" s="408"/>
      <c r="BB152" s="408">
        <v>0</v>
      </c>
      <c r="BC152" s="408">
        <v>0</v>
      </c>
      <c r="BD152" s="408">
        <v>11.532988058267614</v>
      </c>
      <c r="BE152" s="408">
        <v>0</v>
      </c>
      <c r="BF152" s="408">
        <v>0</v>
      </c>
      <c r="BG152" s="408">
        <v>156.22842681768961</v>
      </c>
      <c r="BH152" s="408">
        <v>0</v>
      </c>
      <c r="BI152" s="408">
        <v>0</v>
      </c>
      <c r="BJ152" s="408">
        <v>0</v>
      </c>
      <c r="BK152" s="408">
        <v>0</v>
      </c>
      <c r="BL152" s="408">
        <v>0</v>
      </c>
      <c r="BM152" s="408"/>
      <c r="BN152" s="408"/>
      <c r="BO152" s="408"/>
      <c r="BP152" s="408"/>
      <c r="BQ152" s="408"/>
      <c r="BR152" s="408"/>
      <c r="BS152" s="408"/>
      <c r="BT152" s="408"/>
      <c r="BU152" s="408"/>
      <c r="BV152" s="408">
        <v>2569.3495708096962</v>
      </c>
      <c r="BW152" s="408"/>
      <c r="BX152" s="408"/>
      <c r="BY152" s="408"/>
      <c r="BZ152" s="408"/>
      <c r="CA152" s="408"/>
      <c r="CB152" s="408"/>
      <c r="CC152" s="408"/>
      <c r="CD152" s="408"/>
      <c r="CE152" s="408"/>
      <c r="CF152" s="408"/>
      <c r="CG152" s="408"/>
      <c r="CH152" s="408"/>
      <c r="CI152" s="408">
        <v>16685.416799999999</v>
      </c>
      <c r="CJ152" s="408">
        <v>-15021.911569999997</v>
      </c>
      <c r="CK152" s="408"/>
      <c r="CL152" s="408"/>
      <c r="CM152" s="408"/>
      <c r="CN152" s="408"/>
      <c r="CO152" s="408">
        <v>-15169.781330000002</v>
      </c>
      <c r="CP152" s="408">
        <v>149.68239000000008</v>
      </c>
      <c r="CQ152" s="408">
        <v>30</v>
      </c>
      <c r="CR152" s="408">
        <v>95.986769020477368</v>
      </c>
      <c r="CS152" s="408">
        <v>0</v>
      </c>
      <c r="CT152" s="408">
        <v>0</v>
      </c>
      <c r="CU152" s="408">
        <v>0</v>
      </c>
      <c r="CV152" s="408">
        <v>0</v>
      </c>
      <c r="CW152" s="408">
        <v>0</v>
      </c>
      <c r="CX152" s="408">
        <v>0</v>
      </c>
      <c r="CY152" s="408">
        <v>0</v>
      </c>
      <c r="CZ152" s="408">
        <v>-27.258173522401194</v>
      </c>
      <c r="DA152" s="408">
        <v>0</v>
      </c>
      <c r="DB152" s="408">
        <v>0</v>
      </c>
      <c r="DC152" s="408">
        <v>149.61526568572754</v>
      </c>
      <c r="DD152" s="408">
        <v>0</v>
      </c>
      <c r="DE152" s="408">
        <v>0</v>
      </c>
      <c r="DF152" s="408">
        <v>0.71848750095839087</v>
      </c>
      <c r="DG152" s="408">
        <v>9.7327918312055886</v>
      </c>
      <c r="DH152" s="408">
        <v>0</v>
      </c>
      <c r="DI152" s="408">
        <v>-31.132601750811546</v>
      </c>
      <c r="DJ152" s="408"/>
      <c r="DK152" s="408">
        <v>0</v>
      </c>
      <c r="DL152" s="408">
        <v>0</v>
      </c>
      <c r="DM152" s="408">
        <v>0</v>
      </c>
      <c r="DN152" s="408">
        <v>0</v>
      </c>
      <c r="DO152" s="408">
        <v>-4.8819910918208933</v>
      </c>
      <c r="DP152" s="408">
        <v>-0.80700963237865331</v>
      </c>
      <c r="DQ152" s="408">
        <v>0</v>
      </c>
      <c r="DR152" s="408">
        <v>0</v>
      </c>
      <c r="DS152" s="408"/>
      <c r="DT152" s="408"/>
      <c r="DU152" s="408"/>
      <c r="DV152" s="408">
        <v>22505.235634517023</v>
      </c>
      <c r="DW152" s="408">
        <v>0</v>
      </c>
      <c r="DX152" s="408">
        <v>0</v>
      </c>
      <c r="DY152" s="408">
        <v>-15169.781330000002</v>
      </c>
      <c r="DZ152" s="408">
        <v>149.6823900000004</v>
      </c>
      <c r="EA152" s="408">
        <v>0</v>
      </c>
      <c r="EB152" s="408">
        <v>0</v>
      </c>
      <c r="EC152" s="408">
        <v>-15116.196684470648</v>
      </c>
      <c r="ED152" s="408">
        <v>0</v>
      </c>
      <c r="EE152" s="408">
        <v>0</v>
      </c>
      <c r="EF152" s="408">
        <v>0</v>
      </c>
      <c r="EG152" s="408">
        <v>0</v>
      </c>
      <c r="EH152" s="408">
        <v>0</v>
      </c>
      <c r="EI152" s="408">
        <v>0</v>
      </c>
      <c r="EJ152" s="408">
        <v>0</v>
      </c>
      <c r="EK152" s="408">
        <v>0</v>
      </c>
      <c r="EL152" s="408">
        <v>0</v>
      </c>
      <c r="EM152" s="408">
        <v>0</v>
      </c>
      <c r="EN152" s="408">
        <v>0</v>
      </c>
      <c r="EO152" s="408">
        <v>0</v>
      </c>
      <c r="EP152" s="408">
        <v>0</v>
      </c>
      <c r="EQ152" s="408">
        <v>0</v>
      </c>
      <c r="ER152" s="408">
        <v>0</v>
      </c>
      <c r="ES152" s="408">
        <v>0</v>
      </c>
      <c r="ET152" s="408">
        <v>0</v>
      </c>
      <c r="EU152" s="408">
        <v>0</v>
      </c>
      <c r="EV152" s="408">
        <v>257</v>
      </c>
      <c r="EW152" s="408">
        <v>0</v>
      </c>
      <c r="EX152" s="408">
        <v>0</v>
      </c>
      <c r="EY152" s="408">
        <v>0</v>
      </c>
      <c r="EZ152" s="408"/>
      <c r="FA152" s="408">
        <v>0</v>
      </c>
      <c r="FB152" s="408"/>
      <c r="FC152" s="408"/>
      <c r="FD152" s="408"/>
      <c r="FE152" s="408"/>
      <c r="FF152" s="408">
        <v>0</v>
      </c>
      <c r="FG152" s="408">
        <v>0</v>
      </c>
      <c r="FH152" s="408">
        <v>0</v>
      </c>
      <c r="FI152" s="408">
        <v>0</v>
      </c>
    </row>
    <row r="153" spans="1:165">
      <c r="A153" s="408">
        <v>151</v>
      </c>
      <c r="B153" s="408" t="s">
        <v>2236</v>
      </c>
      <c r="C153" s="408" t="s">
        <v>2241</v>
      </c>
      <c r="D153" s="408" t="s">
        <v>596</v>
      </c>
      <c r="E153" s="408" t="s">
        <v>969</v>
      </c>
      <c r="F153" s="408" t="s">
        <v>1321</v>
      </c>
      <c r="G153" s="408" t="s">
        <v>1321</v>
      </c>
      <c r="H153" s="408" t="s">
        <v>1321</v>
      </c>
      <c r="I153" s="408" t="s">
        <v>972</v>
      </c>
      <c r="J153" s="408" t="s">
        <v>2234</v>
      </c>
      <c r="K153" s="828">
        <v>44501</v>
      </c>
      <c r="L153" s="408">
        <v>0</v>
      </c>
      <c r="M153" s="408">
        <v>0</v>
      </c>
      <c r="N153" s="408">
        <v>0.34599999999999997</v>
      </c>
      <c r="O153" s="408">
        <v>0.34599999999999997</v>
      </c>
      <c r="P153" s="408">
        <v>0.34599999999999997</v>
      </c>
      <c r="Q153" s="408">
        <v>0.34599999999999997</v>
      </c>
      <c r="R153" s="408"/>
      <c r="S153" s="408">
        <v>3130.62</v>
      </c>
      <c r="T153" s="408">
        <v>256.55</v>
      </c>
      <c r="U153" s="408"/>
      <c r="V153" s="408">
        <v>1171.9608199999998</v>
      </c>
      <c r="W153" s="408">
        <v>1171.9608199999998</v>
      </c>
      <c r="X153" s="408">
        <v>616.78998000000001</v>
      </c>
      <c r="Y153" s="408">
        <v>0</v>
      </c>
      <c r="Z153" s="408">
        <v>18.505108594415301</v>
      </c>
      <c r="AA153" s="408">
        <v>0</v>
      </c>
      <c r="AB153" s="408">
        <v>0</v>
      </c>
      <c r="AC153" s="408">
        <v>0</v>
      </c>
      <c r="AD153" s="408">
        <v>222.897977316404</v>
      </c>
      <c r="AE153" s="408">
        <v>831.83543740443213</v>
      </c>
      <c r="AF153" s="408">
        <v>88.767172519289986</v>
      </c>
      <c r="AG153" s="408">
        <v>0</v>
      </c>
      <c r="AH153" s="408">
        <v>0</v>
      </c>
      <c r="AI153" s="408">
        <v>0</v>
      </c>
      <c r="AJ153" s="408">
        <v>0</v>
      </c>
      <c r="AK153" s="408">
        <v>0</v>
      </c>
      <c r="AL153" s="408">
        <v>3.2884752593760185</v>
      </c>
      <c r="AM153" s="408"/>
      <c r="AN153" s="408">
        <v>0.4667730282058965</v>
      </c>
      <c r="AO153" s="408">
        <v>0</v>
      </c>
      <c r="AP153" s="408">
        <v>0</v>
      </c>
      <c r="AQ153" s="408">
        <v>0</v>
      </c>
      <c r="AR153" s="408">
        <v>0</v>
      </c>
      <c r="AS153" s="408">
        <v>0</v>
      </c>
      <c r="AT153" s="408">
        <v>0</v>
      </c>
      <c r="AU153" s="408">
        <v>0</v>
      </c>
      <c r="AV153" s="408">
        <v>0</v>
      </c>
      <c r="AW153" s="408">
        <v>0</v>
      </c>
      <c r="AX153" s="408">
        <v>0</v>
      </c>
      <c r="AY153" s="408">
        <v>0</v>
      </c>
      <c r="AZ153" s="408">
        <v>0</v>
      </c>
      <c r="BA153" s="408"/>
      <c r="BB153" s="408">
        <v>0</v>
      </c>
      <c r="BC153" s="408">
        <v>0</v>
      </c>
      <c r="BD153" s="408">
        <v>0.42628072515335902</v>
      </c>
      <c r="BE153" s="408">
        <v>0</v>
      </c>
      <c r="BF153" s="408">
        <v>0</v>
      </c>
      <c r="BG153" s="408">
        <v>5.7744937163679735</v>
      </c>
      <c r="BH153" s="408">
        <v>0</v>
      </c>
      <c r="BI153" s="408">
        <v>0</v>
      </c>
      <c r="BJ153" s="408">
        <v>0</v>
      </c>
      <c r="BK153" s="408">
        <v>0</v>
      </c>
      <c r="BL153" s="408">
        <v>0</v>
      </c>
      <c r="BM153" s="408"/>
      <c r="BN153" s="408"/>
      <c r="BO153" s="408"/>
      <c r="BP153" s="408"/>
      <c r="BQ153" s="408"/>
      <c r="BR153" s="408"/>
      <c r="BS153" s="408"/>
      <c r="BT153" s="408"/>
      <c r="BU153" s="408"/>
      <c r="BV153" s="408">
        <v>94.967946960811318</v>
      </c>
      <c r="BW153" s="408"/>
      <c r="BX153" s="408"/>
      <c r="BY153" s="408"/>
      <c r="BZ153" s="408"/>
      <c r="CA153" s="408"/>
      <c r="CB153" s="408"/>
      <c r="CC153" s="408"/>
      <c r="CD153" s="408"/>
      <c r="CE153" s="408"/>
      <c r="CF153" s="408"/>
      <c r="CG153" s="408"/>
      <c r="CH153" s="408"/>
      <c r="CI153" s="408">
        <v>623.92049999999995</v>
      </c>
      <c r="CJ153" s="408">
        <v>-548.07031999999981</v>
      </c>
      <c r="CK153" s="408"/>
      <c r="CL153" s="408"/>
      <c r="CM153" s="408"/>
      <c r="CN153" s="408"/>
      <c r="CO153" s="408">
        <v>-560.70337999999992</v>
      </c>
      <c r="CP153" s="408">
        <v>5.5325400000000027</v>
      </c>
      <c r="CQ153" s="408">
        <v>30</v>
      </c>
      <c r="CR153" s="408">
        <v>3.5478498110335863</v>
      </c>
      <c r="CS153" s="408">
        <v>0</v>
      </c>
      <c r="CT153" s="408">
        <v>0</v>
      </c>
      <c r="CU153" s="408">
        <v>0</v>
      </c>
      <c r="CV153" s="408">
        <v>0</v>
      </c>
      <c r="CW153" s="408">
        <v>0</v>
      </c>
      <c r="CX153" s="408">
        <v>0</v>
      </c>
      <c r="CY153" s="408">
        <v>0</v>
      </c>
      <c r="CZ153" s="408">
        <v>-1.0075128766959551</v>
      </c>
      <c r="DA153" s="408">
        <v>0</v>
      </c>
      <c r="DB153" s="408">
        <v>0</v>
      </c>
      <c r="DC153" s="408">
        <v>5.5300589602886276</v>
      </c>
      <c r="DD153" s="408">
        <v>0</v>
      </c>
      <c r="DE153" s="408">
        <v>0</v>
      </c>
      <c r="DF153" s="408">
        <v>2.6556636612712681E-2</v>
      </c>
      <c r="DG153" s="408">
        <v>0.35974211874769058</v>
      </c>
      <c r="DH153" s="408">
        <v>0</v>
      </c>
      <c r="DI153" s="408">
        <v>-1.1507189622669358</v>
      </c>
      <c r="DJ153" s="408"/>
      <c r="DK153" s="408">
        <v>0</v>
      </c>
      <c r="DL153" s="408">
        <v>0</v>
      </c>
      <c r="DM153" s="408">
        <v>0</v>
      </c>
      <c r="DN153" s="408">
        <v>0</v>
      </c>
      <c r="DO153" s="408">
        <v>-0.1804474861414409</v>
      </c>
      <c r="DP153" s="408">
        <v>-2.9828579511057995E-2</v>
      </c>
      <c r="DQ153" s="408">
        <v>0</v>
      </c>
      <c r="DR153" s="408">
        <v>0</v>
      </c>
      <c r="DS153" s="408"/>
      <c r="DT153" s="408"/>
      <c r="DU153" s="408"/>
      <c r="DV153" s="408">
        <v>831.83543740443213</v>
      </c>
      <c r="DW153" s="408">
        <v>0</v>
      </c>
      <c r="DX153" s="408">
        <v>0</v>
      </c>
      <c r="DY153" s="408">
        <v>-560.70337999999981</v>
      </c>
      <c r="DZ153" s="408">
        <v>5.5325399999999973</v>
      </c>
      <c r="EA153" s="408">
        <v>0</v>
      </c>
      <c r="EB153" s="408">
        <v>0</v>
      </c>
      <c r="EC153" s="408">
        <v>-558.72279167042439</v>
      </c>
      <c r="ED153" s="408">
        <v>0</v>
      </c>
      <c r="EE153" s="408">
        <v>0</v>
      </c>
      <c r="EF153" s="408">
        <v>0</v>
      </c>
      <c r="EG153" s="408">
        <v>0</v>
      </c>
      <c r="EH153" s="408">
        <v>0</v>
      </c>
      <c r="EI153" s="408">
        <v>0</v>
      </c>
      <c r="EJ153" s="408">
        <v>0</v>
      </c>
      <c r="EK153" s="408">
        <v>0</v>
      </c>
      <c r="EL153" s="408">
        <v>0</v>
      </c>
      <c r="EM153" s="408">
        <v>0</v>
      </c>
      <c r="EN153" s="408">
        <v>0</v>
      </c>
      <c r="EO153" s="408">
        <v>0</v>
      </c>
      <c r="EP153" s="408">
        <v>0</v>
      </c>
      <c r="EQ153" s="408">
        <v>0</v>
      </c>
      <c r="ER153" s="408">
        <v>0</v>
      </c>
      <c r="ES153" s="408">
        <v>0</v>
      </c>
      <c r="ET153" s="408">
        <v>0</v>
      </c>
      <c r="EU153" s="408">
        <v>0</v>
      </c>
      <c r="EV153" s="408">
        <v>257</v>
      </c>
      <c r="EW153" s="408">
        <v>0</v>
      </c>
      <c r="EX153" s="408">
        <v>0</v>
      </c>
      <c r="EY153" s="408">
        <v>0</v>
      </c>
      <c r="EZ153" s="408"/>
      <c r="FA153" s="408">
        <v>0</v>
      </c>
      <c r="FB153" s="408"/>
      <c r="FC153" s="408"/>
      <c r="FD153" s="408"/>
      <c r="FE153" s="408"/>
      <c r="FF153" s="408">
        <v>0</v>
      </c>
      <c r="FG153" s="408">
        <v>0</v>
      </c>
      <c r="FH153" s="408">
        <v>0</v>
      </c>
      <c r="FI153" s="408">
        <v>0</v>
      </c>
    </row>
    <row r="154" spans="1:165">
      <c r="A154" s="408">
        <v>152</v>
      </c>
      <c r="B154" s="408" t="s">
        <v>1035</v>
      </c>
      <c r="C154" s="408" t="s">
        <v>2241</v>
      </c>
      <c r="D154" s="408" t="s">
        <v>596</v>
      </c>
      <c r="E154" s="408" t="s">
        <v>969</v>
      </c>
      <c r="F154" s="408" t="s">
        <v>1321</v>
      </c>
      <c r="G154" s="408" t="s">
        <v>1321</v>
      </c>
      <c r="H154" s="408" t="s">
        <v>1321</v>
      </c>
      <c r="I154" s="408" t="s">
        <v>2242</v>
      </c>
      <c r="J154" s="408" t="s">
        <v>2234</v>
      </c>
      <c r="K154" s="828">
        <v>44501</v>
      </c>
      <c r="L154" s="408">
        <v>0</v>
      </c>
      <c r="M154" s="408">
        <v>0</v>
      </c>
      <c r="N154" s="408">
        <v>260.50599999999997</v>
      </c>
      <c r="O154" s="408">
        <v>260.50599999999997</v>
      </c>
      <c r="P154" s="408">
        <v>260.50599999999997</v>
      </c>
      <c r="Q154" s="408">
        <v>260.50599999999997</v>
      </c>
      <c r="R154" s="408"/>
      <c r="S154" s="408">
        <v>82.26</v>
      </c>
      <c r="T154" s="408">
        <v>256.55</v>
      </c>
      <c r="U154" s="408"/>
      <c r="V154" s="408">
        <v>88262.037859999997</v>
      </c>
      <c r="W154" s="408">
        <v>88262.037859999997</v>
      </c>
      <c r="X154" s="408">
        <v>91692.90187999999</v>
      </c>
      <c r="Y154" s="408">
        <v>0</v>
      </c>
      <c r="Z154" s="408">
        <v>13932.635316464603</v>
      </c>
      <c r="AA154" s="408">
        <v>0</v>
      </c>
      <c r="AB154" s="408">
        <v>0</v>
      </c>
      <c r="AC154" s="408">
        <v>0</v>
      </c>
      <c r="AD154" s="408">
        <v>0</v>
      </c>
      <c r="AE154" s="408">
        <v>0</v>
      </c>
      <c r="AF154" s="408">
        <v>66833.47122632993</v>
      </c>
      <c r="AG154" s="408">
        <v>0</v>
      </c>
      <c r="AH154" s="408">
        <v>0</v>
      </c>
      <c r="AI154" s="408">
        <v>0</v>
      </c>
      <c r="AJ154" s="408">
        <v>0</v>
      </c>
      <c r="AK154" s="408">
        <v>0</v>
      </c>
      <c r="AL154" s="408">
        <v>2475.9177338699683</v>
      </c>
      <c r="AM154" s="408"/>
      <c r="AN154" s="408">
        <v>351.43692047920598</v>
      </c>
      <c r="AO154" s="408">
        <v>0</v>
      </c>
      <c r="AP154" s="408">
        <v>0</v>
      </c>
      <c r="AQ154" s="408">
        <v>0</v>
      </c>
      <c r="AR154" s="408">
        <v>0</v>
      </c>
      <c r="AS154" s="408">
        <v>0</v>
      </c>
      <c r="AT154" s="408">
        <v>0</v>
      </c>
      <c r="AU154" s="408">
        <v>0</v>
      </c>
      <c r="AV154" s="408">
        <v>0</v>
      </c>
      <c r="AW154" s="408">
        <v>0</v>
      </c>
      <c r="AX154" s="408">
        <v>0</v>
      </c>
      <c r="AY154" s="408">
        <v>0</v>
      </c>
      <c r="AZ154" s="408">
        <v>0</v>
      </c>
      <c r="BA154" s="408"/>
      <c r="BB154" s="408">
        <v>0</v>
      </c>
      <c r="BC154" s="408">
        <v>0</v>
      </c>
      <c r="BD154" s="408">
        <v>320.94996123352871</v>
      </c>
      <c r="BE154" s="408">
        <v>0</v>
      </c>
      <c r="BF154" s="408">
        <v>0</v>
      </c>
      <c r="BG154" s="408">
        <v>4347.6597112027603</v>
      </c>
      <c r="BH154" s="408">
        <v>0</v>
      </c>
      <c r="BI154" s="408">
        <v>0</v>
      </c>
      <c r="BJ154" s="408">
        <v>0</v>
      </c>
      <c r="BK154" s="408">
        <v>0</v>
      </c>
      <c r="BL154" s="408">
        <v>0</v>
      </c>
      <c r="BM154" s="408"/>
      <c r="BN154" s="408"/>
      <c r="BO154" s="408"/>
      <c r="BP154" s="408"/>
      <c r="BQ154" s="408"/>
      <c r="BR154" s="408"/>
      <c r="BS154" s="408"/>
      <c r="BT154" s="408"/>
      <c r="BU154" s="408"/>
      <c r="BV154" s="408">
        <v>71502.080898766231</v>
      </c>
      <c r="BW154" s="408"/>
      <c r="BX154" s="408"/>
      <c r="BY154" s="408"/>
      <c r="BZ154" s="408"/>
      <c r="CA154" s="408"/>
      <c r="CB154" s="408"/>
      <c r="CC154" s="408"/>
      <c r="CD154" s="408"/>
      <c r="CE154" s="408"/>
      <c r="CF154" s="408"/>
      <c r="CG154" s="408"/>
      <c r="CH154" s="408"/>
      <c r="CI154" s="408">
        <v>91694.309800000003</v>
      </c>
      <c r="CJ154" s="408">
        <v>3432.2419400000072</v>
      </c>
      <c r="CK154" s="408"/>
      <c r="CL154" s="408"/>
      <c r="CM154" s="408"/>
      <c r="CN154" s="408"/>
      <c r="CO154" s="408">
        <v>-734.62692000000186</v>
      </c>
      <c r="CP154" s="408">
        <v>4165.4909400000015</v>
      </c>
      <c r="CQ154" s="408">
        <v>30</v>
      </c>
      <c r="CR154" s="408">
        <v>3429.7667986407178</v>
      </c>
      <c r="CS154" s="408">
        <v>0</v>
      </c>
      <c r="CT154" s="408">
        <v>0</v>
      </c>
      <c r="CU154" s="408">
        <v>0</v>
      </c>
      <c r="CV154" s="408">
        <v>0</v>
      </c>
      <c r="CW154" s="408">
        <v>0</v>
      </c>
      <c r="CX154" s="408">
        <v>0</v>
      </c>
      <c r="CY154" s="408">
        <v>0</v>
      </c>
      <c r="CZ154" s="408">
        <v>0</v>
      </c>
      <c r="DA154" s="408">
        <v>0</v>
      </c>
      <c r="DB154" s="408">
        <v>0</v>
      </c>
      <c r="DC154" s="408">
        <v>4163.6229465576616</v>
      </c>
      <c r="DD154" s="408">
        <v>0</v>
      </c>
      <c r="DE154" s="408">
        <v>0</v>
      </c>
      <c r="DF154" s="408">
        <v>19.994691264252424</v>
      </c>
      <c r="DG154" s="408">
        <v>270.85254446961335</v>
      </c>
      <c r="DH154" s="408">
        <v>0</v>
      </c>
      <c r="DI154" s="408">
        <v>-866.38495371188037</v>
      </c>
      <c r="DJ154" s="408"/>
      <c r="DK154" s="408">
        <v>0</v>
      </c>
      <c r="DL154" s="408">
        <v>0</v>
      </c>
      <c r="DM154" s="408">
        <v>0</v>
      </c>
      <c r="DN154" s="408">
        <v>0</v>
      </c>
      <c r="DO154" s="408">
        <v>-135.86026827965952</v>
      </c>
      <c r="DP154" s="408">
        <v>-22.458161659270729</v>
      </c>
      <c r="DQ154" s="408">
        <v>0</v>
      </c>
      <c r="DR154" s="408">
        <v>0</v>
      </c>
      <c r="DS154" s="408"/>
      <c r="DT154" s="408"/>
      <c r="DU154" s="408"/>
      <c r="DV154" s="408">
        <v>0</v>
      </c>
      <c r="DW154" s="408">
        <v>0</v>
      </c>
      <c r="DX154" s="408">
        <v>0</v>
      </c>
      <c r="DY154" s="408">
        <v>-734.62692000000243</v>
      </c>
      <c r="DZ154" s="408">
        <v>4165.4909400000033</v>
      </c>
      <c r="EA154" s="408">
        <v>0</v>
      </c>
      <c r="EB154" s="408">
        <v>0</v>
      </c>
      <c r="EC154" s="408">
        <v>0</v>
      </c>
      <c r="ED154" s="408">
        <v>0</v>
      </c>
      <c r="EE154" s="408">
        <v>0</v>
      </c>
      <c r="EF154" s="408">
        <v>0</v>
      </c>
      <c r="EG154" s="408">
        <v>0</v>
      </c>
      <c r="EH154" s="408">
        <v>0</v>
      </c>
      <c r="EI154" s="408">
        <v>0</v>
      </c>
      <c r="EJ154" s="408">
        <v>0</v>
      </c>
      <c r="EK154" s="408">
        <v>0</v>
      </c>
      <c r="EL154" s="408">
        <v>0</v>
      </c>
      <c r="EM154" s="408">
        <v>0</v>
      </c>
      <c r="EN154" s="408">
        <v>0</v>
      </c>
      <c r="EO154" s="408">
        <v>0</v>
      </c>
      <c r="EP154" s="408">
        <v>0</v>
      </c>
      <c r="EQ154" s="408">
        <v>0</v>
      </c>
      <c r="ER154" s="408">
        <v>0</v>
      </c>
      <c r="ES154" s="408">
        <v>0</v>
      </c>
      <c r="ET154" s="408">
        <v>0</v>
      </c>
      <c r="EU154" s="408">
        <v>0</v>
      </c>
      <c r="EV154" s="408">
        <v>257</v>
      </c>
      <c r="EW154" s="408">
        <v>0</v>
      </c>
      <c r="EX154" s="408">
        <v>0</v>
      </c>
      <c r="EY154" s="408">
        <v>0</v>
      </c>
      <c r="EZ154" s="408"/>
      <c r="FA154" s="408">
        <v>0</v>
      </c>
      <c r="FB154" s="408"/>
      <c r="FC154" s="408"/>
      <c r="FD154" s="408"/>
      <c r="FE154" s="408"/>
      <c r="FF154" s="408">
        <v>0</v>
      </c>
      <c r="FG154" s="408">
        <v>0</v>
      </c>
      <c r="FH154" s="408">
        <v>0</v>
      </c>
      <c r="FI154" s="408">
        <v>0</v>
      </c>
    </row>
    <row r="155" spans="1:165">
      <c r="A155" s="408">
        <v>153</v>
      </c>
      <c r="B155" s="408" t="s">
        <v>2235</v>
      </c>
      <c r="C155" s="408" t="s">
        <v>2241</v>
      </c>
      <c r="D155" s="408" t="s">
        <v>596</v>
      </c>
      <c r="E155" s="408" t="s">
        <v>969</v>
      </c>
      <c r="F155" s="408" t="s">
        <v>1321</v>
      </c>
      <c r="G155" s="408" t="s">
        <v>1321</v>
      </c>
      <c r="H155" s="408" t="s">
        <v>1321</v>
      </c>
      <c r="I155" s="408" t="s">
        <v>2242</v>
      </c>
      <c r="J155" s="408" t="s">
        <v>2234</v>
      </c>
      <c r="K155" s="828">
        <v>44501</v>
      </c>
      <c r="L155" s="408">
        <v>0</v>
      </c>
      <c r="M155" s="408">
        <v>0</v>
      </c>
      <c r="N155" s="408">
        <v>-36.871000000000002</v>
      </c>
      <c r="O155" s="408">
        <v>-36.871000000000002</v>
      </c>
      <c r="P155" s="408">
        <v>-36.871000000000002</v>
      </c>
      <c r="Q155" s="408">
        <v>-36.871000000000002</v>
      </c>
      <c r="R155" s="408"/>
      <c r="S155" s="408">
        <v>82.26</v>
      </c>
      <c r="T155" s="408">
        <v>256.55</v>
      </c>
      <c r="U155" s="408"/>
      <c r="V155" s="408">
        <v>-12492.263510000002</v>
      </c>
      <c r="W155" s="408">
        <v>-12492.263510000002</v>
      </c>
      <c r="X155" s="408">
        <v>-12977.854580000001</v>
      </c>
      <c r="Y155" s="408">
        <v>0</v>
      </c>
      <c r="Z155" s="408">
        <v>-1971.970690707187</v>
      </c>
      <c r="AA155" s="408">
        <v>0</v>
      </c>
      <c r="AB155" s="408">
        <v>0</v>
      </c>
      <c r="AC155" s="408">
        <v>0</v>
      </c>
      <c r="AD155" s="408">
        <v>0</v>
      </c>
      <c r="AE155" s="408">
        <v>0</v>
      </c>
      <c r="AF155" s="408">
        <v>-9459.3480287824896</v>
      </c>
      <c r="AG155" s="408">
        <v>0</v>
      </c>
      <c r="AH155" s="408">
        <v>0</v>
      </c>
      <c r="AI155" s="408">
        <v>0</v>
      </c>
      <c r="AJ155" s="408">
        <v>0</v>
      </c>
      <c r="AK155" s="408">
        <v>0</v>
      </c>
      <c r="AL155" s="408">
        <v>-350.4317089261653</v>
      </c>
      <c r="AM155" s="408"/>
      <c r="AN155" s="408">
        <v>-49.74100671381391</v>
      </c>
      <c r="AO155" s="408">
        <v>0</v>
      </c>
      <c r="AP155" s="408">
        <v>0</v>
      </c>
      <c r="AQ155" s="408">
        <v>0</v>
      </c>
      <c r="AR155" s="408">
        <v>0</v>
      </c>
      <c r="AS155" s="408">
        <v>0</v>
      </c>
      <c r="AT155" s="408">
        <v>0</v>
      </c>
      <c r="AU155" s="408">
        <v>0</v>
      </c>
      <c r="AV155" s="408">
        <v>0</v>
      </c>
      <c r="AW155" s="408">
        <v>0</v>
      </c>
      <c r="AX155" s="408">
        <v>0</v>
      </c>
      <c r="AY155" s="408">
        <v>0</v>
      </c>
      <c r="AZ155" s="408">
        <v>0</v>
      </c>
      <c r="BA155" s="408"/>
      <c r="BB155" s="408">
        <v>0</v>
      </c>
      <c r="BC155" s="408">
        <v>0</v>
      </c>
      <c r="BD155" s="408">
        <v>-45.426001783611277</v>
      </c>
      <c r="BE155" s="408">
        <v>0</v>
      </c>
      <c r="BF155" s="408">
        <v>0</v>
      </c>
      <c r="BG155" s="408">
        <v>-615.35074513353629</v>
      </c>
      <c r="BH155" s="408">
        <v>0</v>
      </c>
      <c r="BI155" s="408">
        <v>0</v>
      </c>
      <c r="BJ155" s="408">
        <v>0</v>
      </c>
      <c r="BK155" s="408">
        <v>0</v>
      </c>
      <c r="BL155" s="408">
        <v>0</v>
      </c>
      <c r="BM155" s="408"/>
      <c r="BN155" s="408"/>
      <c r="BO155" s="408"/>
      <c r="BP155" s="408"/>
      <c r="BQ155" s="408"/>
      <c r="BR155" s="408"/>
      <c r="BS155" s="408"/>
      <c r="BT155" s="408"/>
      <c r="BU155" s="408"/>
      <c r="BV155" s="408">
        <v>-10120.124775699638</v>
      </c>
      <c r="BW155" s="408"/>
      <c r="BX155" s="408"/>
      <c r="BY155" s="408"/>
      <c r="BZ155" s="408"/>
      <c r="CA155" s="408"/>
      <c r="CB155" s="408"/>
      <c r="CC155" s="408"/>
      <c r="CD155" s="408"/>
      <c r="CE155" s="408"/>
      <c r="CF155" s="408"/>
      <c r="CG155" s="408"/>
      <c r="CH155" s="408"/>
      <c r="CI155" s="408">
        <v>-12977.5026</v>
      </c>
      <c r="CJ155" s="408">
        <v>-485.26908999999796</v>
      </c>
      <c r="CK155" s="408"/>
      <c r="CL155" s="408"/>
      <c r="CM155" s="408"/>
      <c r="CN155" s="408"/>
      <c r="CO155" s="408">
        <v>103.97622000000028</v>
      </c>
      <c r="CP155" s="408">
        <v>-589.56729000000041</v>
      </c>
      <c r="CQ155" s="408">
        <v>30</v>
      </c>
      <c r="CR155" s="408">
        <v>-485.43577358173025</v>
      </c>
      <c r="CS155" s="408">
        <v>0</v>
      </c>
      <c r="CT155" s="408">
        <v>0</v>
      </c>
      <c r="CU155" s="408">
        <v>0</v>
      </c>
      <c r="CV155" s="408">
        <v>0</v>
      </c>
      <c r="CW155" s="408">
        <v>0</v>
      </c>
      <c r="CX155" s="408">
        <v>0</v>
      </c>
      <c r="CY155" s="408">
        <v>0</v>
      </c>
      <c r="CZ155" s="408">
        <v>0</v>
      </c>
      <c r="DA155" s="408">
        <v>0</v>
      </c>
      <c r="DB155" s="408">
        <v>0</v>
      </c>
      <c r="DC155" s="408">
        <v>-589.30290151676854</v>
      </c>
      <c r="DD155" s="408">
        <v>0</v>
      </c>
      <c r="DE155" s="408">
        <v>0</v>
      </c>
      <c r="DF155" s="408">
        <v>-2.8299703715240767</v>
      </c>
      <c r="DG155" s="408">
        <v>-38.335409422965654</v>
      </c>
      <c r="DH155" s="408">
        <v>0</v>
      </c>
      <c r="DI155" s="408">
        <v>122.6247365830759</v>
      </c>
      <c r="DJ155" s="408"/>
      <c r="DK155" s="408">
        <v>0</v>
      </c>
      <c r="DL155" s="408">
        <v>0</v>
      </c>
      <c r="DM155" s="408">
        <v>0</v>
      </c>
      <c r="DN155" s="408">
        <v>0</v>
      </c>
      <c r="DO155" s="408">
        <v>19.229130813644701</v>
      </c>
      <c r="DP155" s="408">
        <v>3.1786403328098842</v>
      </c>
      <c r="DQ155" s="408">
        <v>0</v>
      </c>
      <c r="DR155" s="408">
        <v>0</v>
      </c>
      <c r="DS155" s="408"/>
      <c r="DT155" s="408"/>
      <c r="DU155" s="408"/>
      <c r="DV155" s="408">
        <v>0</v>
      </c>
      <c r="DW155" s="408">
        <v>0</v>
      </c>
      <c r="DX155" s="408">
        <v>0</v>
      </c>
      <c r="DY155" s="408">
        <v>103.97622000000047</v>
      </c>
      <c r="DZ155" s="408">
        <v>-589.56728999999905</v>
      </c>
      <c r="EA155" s="408">
        <v>0</v>
      </c>
      <c r="EB155" s="408">
        <v>0</v>
      </c>
      <c r="EC155" s="408">
        <v>0</v>
      </c>
      <c r="ED155" s="408">
        <v>0</v>
      </c>
      <c r="EE155" s="408">
        <v>0</v>
      </c>
      <c r="EF155" s="408">
        <v>0</v>
      </c>
      <c r="EG155" s="408">
        <v>0</v>
      </c>
      <c r="EH155" s="408">
        <v>0</v>
      </c>
      <c r="EI155" s="408">
        <v>0</v>
      </c>
      <c r="EJ155" s="408">
        <v>0</v>
      </c>
      <c r="EK155" s="408">
        <v>0</v>
      </c>
      <c r="EL155" s="408">
        <v>0</v>
      </c>
      <c r="EM155" s="408">
        <v>0</v>
      </c>
      <c r="EN155" s="408">
        <v>0</v>
      </c>
      <c r="EO155" s="408">
        <v>0</v>
      </c>
      <c r="EP155" s="408">
        <v>0</v>
      </c>
      <c r="EQ155" s="408">
        <v>0</v>
      </c>
      <c r="ER155" s="408">
        <v>0</v>
      </c>
      <c r="ES155" s="408">
        <v>0</v>
      </c>
      <c r="ET155" s="408">
        <v>0</v>
      </c>
      <c r="EU155" s="408">
        <v>0</v>
      </c>
      <c r="EV155" s="408">
        <v>257</v>
      </c>
      <c r="EW155" s="408">
        <v>0</v>
      </c>
      <c r="EX155" s="408">
        <v>0</v>
      </c>
      <c r="EY155" s="408">
        <v>0</v>
      </c>
      <c r="EZ155" s="408"/>
      <c r="FA155" s="408">
        <v>0</v>
      </c>
      <c r="FB155" s="408"/>
      <c r="FC155" s="408"/>
      <c r="FD155" s="408"/>
      <c r="FE155" s="408"/>
      <c r="FF155" s="408">
        <v>0</v>
      </c>
      <c r="FG155" s="408">
        <v>0</v>
      </c>
      <c r="FH155" s="408">
        <v>0</v>
      </c>
      <c r="FI155" s="408">
        <v>0</v>
      </c>
    </row>
    <row r="156" spans="1:165">
      <c r="A156" s="408">
        <v>154</v>
      </c>
      <c r="B156" s="408" t="s">
        <v>2236</v>
      </c>
      <c r="C156" s="408" t="s">
        <v>2241</v>
      </c>
      <c r="D156" s="408" t="s">
        <v>596</v>
      </c>
      <c r="E156" s="408" t="s">
        <v>969</v>
      </c>
      <c r="F156" s="408" t="s">
        <v>1321</v>
      </c>
      <c r="G156" s="408" t="s">
        <v>1321</v>
      </c>
      <c r="H156" s="408" t="s">
        <v>1321</v>
      </c>
      <c r="I156" s="408" t="s">
        <v>2242</v>
      </c>
      <c r="J156" s="408" t="s">
        <v>2234</v>
      </c>
      <c r="K156" s="828">
        <v>44501</v>
      </c>
      <c r="L156" s="408">
        <v>0</v>
      </c>
      <c r="M156" s="408">
        <v>0</v>
      </c>
      <c r="N156" s="408">
        <v>7.2210000000000001</v>
      </c>
      <c r="O156" s="408">
        <v>7.2210000000000001</v>
      </c>
      <c r="P156" s="408">
        <v>7.2210000000000001</v>
      </c>
      <c r="Q156" s="408">
        <v>7.2210000000000001</v>
      </c>
      <c r="R156" s="408"/>
      <c r="S156" s="408">
        <v>82.26</v>
      </c>
      <c r="T156" s="408">
        <v>256.55</v>
      </c>
      <c r="U156" s="408"/>
      <c r="V156" s="408">
        <v>2446.5470100000002</v>
      </c>
      <c r="W156" s="408">
        <v>2446.5470100000002</v>
      </c>
      <c r="X156" s="408">
        <v>2541.6475800000003</v>
      </c>
      <c r="Y156" s="408">
        <v>0</v>
      </c>
      <c r="Z156" s="408">
        <v>386.20054670599103</v>
      </c>
      <c r="AA156" s="408">
        <v>0</v>
      </c>
      <c r="AB156" s="408">
        <v>0</v>
      </c>
      <c r="AC156" s="408">
        <v>0</v>
      </c>
      <c r="AD156" s="408">
        <v>0</v>
      </c>
      <c r="AE156" s="408">
        <v>0</v>
      </c>
      <c r="AF156" s="408">
        <v>1852.5657594271477</v>
      </c>
      <c r="AG156" s="408">
        <v>0</v>
      </c>
      <c r="AH156" s="408">
        <v>0</v>
      </c>
      <c r="AI156" s="408">
        <v>0</v>
      </c>
      <c r="AJ156" s="408">
        <v>0</v>
      </c>
      <c r="AK156" s="408">
        <v>0</v>
      </c>
      <c r="AL156" s="408">
        <v>68.630288577902405</v>
      </c>
      <c r="AM156" s="408"/>
      <c r="AN156" s="408">
        <v>9.7415261175571644</v>
      </c>
      <c r="AO156" s="408">
        <v>0</v>
      </c>
      <c r="AP156" s="408">
        <v>0</v>
      </c>
      <c r="AQ156" s="408">
        <v>0</v>
      </c>
      <c r="AR156" s="408">
        <v>0</v>
      </c>
      <c r="AS156" s="408">
        <v>0</v>
      </c>
      <c r="AT156" s="408">
        <v>0</v>
      </c>
      <c r="AU156" s="408">
        <v>0</v>
      </c>
      <c r="AV156" s="408">
        <v>0</v>
      </c>
      <c r="AW156" s="408">
        <v>0</v>
      </c>
      <c r="AX156" s="408">
        <v>0</v>
      </c>
      <c r="AY156" s="408">
        <v>0</v>
      </c>
      <c r="AZ156" s="408">
        <v>0</v>
      </c>
      <c r="BA156" s="408"/>
      <c r="BB156" s="408">
        <v>0</v>
      </c>
      <c r="BC156" s="408">
        <v>0</v>
      </c>
      <c r="BD156" s="408">
        <v>8.896454093446259</v>
      </c>
      <c r="BE156" s="408">
        <v>0</v>
      </c>
      <c r="BF156" s="408">
        <v>0</v>
      </c>
      <c r="BG156" s="408">
        <v>120.51335007483566</v>
      </c>
      <c r="BH156" s="408">
        <v>0</v>
      </c>
      <c r="BI156" s="408">
        <v>0</v>
      </c>
      <c r="BJ156" s="408">
        <v>0</v>
      </c>
      <c r="BK156" s="408">
        <v>0</v>
      </c>
      <c r="BL156" s="408">
        <v>0</v>
      </c>
      <c r="BM156" s="408"/>
      <c r="BN156" s="408"/>
      <c r="BO156" s="408"/>
      <c r="BP156" s="408"/>
      <c r="BQ156" s="408"/>
      <c r="BR156" s="408"/>
      <c r="BS156" s="408"/>
      <c r="BT156" s="408"/>
      <c r="BU156" s="408"/>
      <c r="BV156" s="408">
        <v>1981.9755635954295</v>
      </c>
      <c r="BW156" s="408"/>
      <c r="BX156" s="408"/>
      <c r="BY156" s="408"/>
      <c r="BZ156" s="408"/>
      <c r="CA156" s="408"/>
      <c r="CB156" s="408"/>
      <c r="CC156" s="408"/>
      <c r="CD156" s="408"/>
      <c r="CE156" s="408"/>
      <c r="CF156" s="408"/>
      <c r="CG156" s="408"/>
      <c r="CH156" s="408"/>
      <c r="CI156" s="408">
        <v>2541.2955999999999</v>
      </c>
      <c r="CJ156" s="408">
        <v>94.718589999999949</v>
      </c>
      <c r="CK156" s="408"/>
      <c r="CL156" s="408"/>
      <c r="CM156" s="408"/>
      <c r="CN156" s="408"/>
      <c r="CO156" s="408">
        <v>-20.363220000000055</v>
      </c>
      <c r="CP156" s="408">
        <v>115.46379000000007</v>
      </c>
      <c r="CQ156" s="408">
        <v>30</v>
      </c>
      <c r="CR156" s="408">
        <v>95.070155977154172</v>
      </c>
      <c r="CS156" s="408">
        <v>0</v>
      </c>
      <c r="CT156" s="408">
        <v>0</v>
      </c>
      <c r="CU156" s="408">
        <v>0</v>
      </c>
      <c r="CV156" s="408">
        <v>0</v>
      </c>
      <c r="CW156" s="408">
        <v>0</v>
      </c>
      <c r="CX156" s="408">
        <v>0</v>
      </c>
      <c r="CY156" s="408">
        <v>0</v>
      </c>
      <c r="CZ156" s="408">
        <v>0</v>
      </c>
      <c r="DA156" s="408">
        <v>0</v>
      </c>
      <c r="DB156" s="408">
        <v>0</v>
      </c>
      <c r="DC156" s="408">
        <v>115.41201084463614</v>
      </c>
      <c r="DD156" s="408">
        <v>0</v>
      </c>
      <c r="DE156" s="408">
        <v>0</v>
      </c>
      <c r="DF156" s="408">
        <v>0.55423547104161308</v>
      </c>
      <c r="DG156" s="408">
        <v>7.5077972239221964</v>
      </c>
      <c r="DH156" s="408">
        <v>0</v>
      </c>
      <c r="DI156" s="408">
        <v>-24.015438226963965</v>
      </c>
      <c r="DJ156" s="408"/>
      <c r="DK156" s="408">
        <v>0</v>
      </c>
      <c r="DL156" s="408">
        <v>0</v>
      </c>
      <c r="DM156" s="408">
        <v>0</v>
      </c>
      <c r="DN156" s="408">
        <v>0</v>
      </c>
      <c r="DO156" s="408">
        <v>-3.7659286052813457</v>
      </c>
      <c r="DP156" s="408">
        <v>-0.62252073020043319</v>
      </c>
      <c r="DQ156" s="408">
        <v>0</v>
      </c>
      <c r="DR156" s="408">
        <v>0</v>
      </c>
      <c r="DS156" s="408"/>
      <c r="DT156" s="408"/>
      <c r="DU156" s="408"/>
      <c r="DV156" s="408">
        <v>0</v>
      </c>
      <c r="DW156" s="408">
        <v>0</v>
      </c>
      <c r="DX156" s="408">
        <v>0</v>
      </c>
      <c r="DY156" s="408">
        <v>-20.363219999999956</v>
      </c>
      <c r="DZ156" s="408">
        <v>115.46379000000024</v>
      </c>
      <c r="EA156" s="408">
        <v>0</v>
      </c>
      <c r="EB156" s="408">
        <v>0</v>
      </c>
      <c r="EC156" s="408">
        <v>0</v>
      </c>
      <c r="ED156" s="408">
        <v>0</v>
      </c>
      <c r="EE156" s="408">
        <v>0</v>
      </c>
      <c r="EF156" s="408">
        <v>0</v>
      </c>
      <c r="EG156" s="408">
        <v>0</v>
      </c>
      <c r="EH156" s="408">
        <v>0</v>
      </c>
      <c r="EI156" s="408">
        <v>0</v>
      </c>
      <c r="EJ156" s="408">
        <v>0</v>
      </c>
      <c r="EK156" s="408">
        <v>0</v>
      </c>
      <c r="EL156" s="408">
        <v>0</v>
      </c>
      <c r="EM156" s="408">
        <v>0</v>
      </c>
      <c r="EN156" s="408">
        <v>0</v>
      </c>
      <c r="EO156" s="408">
        <v>0</v>
      </c>
      <c r="EP156" s="408">
        <v>0</v>
      </c>
      <c r="EQ156" s="408">
        <v>0</v>
      </c>
      <c r="ER156" s="408">
        <v>0</v>
      </c>
      <c r="ES156" s="408">
        <v>0</v>
      </c>
      <c r="ET156" s="408">
        <v>0</v>
      </c>
      <c r="EU156" s="408">
        <v>0</v>
      </c>
      <c r="EV156" s="408">
        <v>257</v>
      </c>
      <c r="EW156" s="408">
        <v>0</v>
      </c>
      <c r="EX156" s="408">
        <v>0</v>
      </c>
      <c r="EY156" s="408">
        <v>0</v>
      </c>
      <c r="EZ156" s="408"/>
      <c r="FA156" s="408">
        <v>0</v>
      </c>
      <c r="FB156" s="408"/>
      <c r="FC156" s="408"/>
      <c r="FD156" s="408"/>
      <c r="FE156" s="408"/>
      <c r="FF156" s="408">
        <v>0</v>
      </c>
      <c r="FG156" s="408">
        <v>0</v>
      </c>
      <c r="FH156" s="408">
        <v>0</v>
      </c>
      <c r="FI156" s="408">
        <v>0</v>
      </c>
    </row>
    <row r="157" spans="1:165">
      <c r="A157" s="408">
        <v>155</v>
      </c>
      <c r="B157" s="408" t="s">
        <v>1035</v>
      </c>
      <c r="C157" s="408" t="s">
        <v>2241</v>
      </c>
      <c r="D157" s="408" t="s">
        <v>596</v>
      </c>
      <c r="E157" s="408" t="s">
        <v>969</v>
      </c>
      <c r="F157" s="408" t="s">
        <v>1321</v>
      </c>
      <c r="G157" s="408" t="s">
        <v>1321</v>
      </c>
      <c r="H157" s="408" t="s">
        <v>1321</v>
      </c>
      <c r="I157" s="408" t="s">
        <v>1321</v>
      </c>
      <c r="J157" s="408" t="s">
        <v>2234</v>
      </c>
      <c r="K157" s="828">
        <v>44501</v>
      </c>
      <c r="L157" s="408">
        <v>1569</v>
      </c>
      <c r="M157" s="408">
        <v>1569</v>
      </c>
      <c r="N157" s="408">
        <v>0</v>
      </c>
      <c r="O157" s="408">
        <v>0</v>
      </c>
      <c r="P157" s="408">
        <v>0</v>
      </c>
      <c r="Q157" s="408">
        <v>0</v>
      </c>
      <c r="R157" s="408">
        <v>47.39</v>
      </c>
      <c r="S157" s="408"/>
      <c r="T157" s="408"/>
      <c r="U157" s="408">
        <v>74354.91</v>
      </c>
      <c r="V157" s="408"/>
      <c r="W157" s="408">
        <v>74354.91</v>
      </c>
      <c r="X157" s="408">
        <v>50553.18</v>
      </c>
      <c r="Y157" s="408">
        <v>0</v>
      </c>
      <c r="Z157" s="408">
        <v>0</v>
      </c>
      <c r="AA157" s="408">
        <v>0</v>
      </c>
      <c r="AB157" s="408">
        <v>0</v>
      </c>
      <c r="AC157" s="408">
        <v>0</v>
      </c>
      <c r="AD157" s="408">
        <v>39178.087181581679</v>
      </c>
      <c r="AE157" s="408">
        <v>35176.771708549582</v>
      </c>
      <c r="AF157" s="408"/>
      <c r="AG157" s="408"/>
      <c r="AH157" s="408"/>
      <c r="AI157" s="408">
        <v>0</v>
      </c>
      <c r="AJ157" s="408">
        <v>0</v>
      </c>
      <c r="AK157" s="408">
        <v>0</v>
      </c>
      <c r="AL157" s="408">
        <v>0</v>
      </c>
      <c r="AM157" s="408"/>
      <c r="AN157" s="408">
        <v>0</v>
      </c>
      <c r="AO157" s="408">
        <v>0</v>
      </c>
      <c r="AP157" s="408">
        <v>0</v>
      </c>
      <c r="AQ157" s="408">
        <v>0</v>
      </c>
      <c r="AR157" s="408">
        <v>0</v>
      </c>
      <c r="AS157" s="408"/>
      <c r="AT157" s="408"/>
      <c r="AU157" s="408">
        <v>0</v>
      </c>
      <c r="AV157" s="408">
        <v>0</v>
      </c>
      <c r="AW157" s="408">
        <v>0</v>
      </c>
      <c r="AX157" s="408"/>
      <c r="AY157" s="408"/>
      <c r="AZ157" s="408">
        <v>0</v>
      </c>
      <c r="BA157" s="408"/>
      <c r="BB157" s="408">
        <v>0</v>
      </c>
      <c r="BC157" s="408">
        <v>0</v>
      </c>
      <c r="BD157" s="408">
        <v>0</v>
      </c>
      <c r="BE157" s="408">
        <v>0</v>
      </c>
      <c r="BF157" s="408"/>
      <c r="BG157" s="408">
        <v>0</v>
      </c>
      <c r="BH157" s="408">
        <v>0</v>
      </c>
      <c r="BI157" s="408">
        <v>356.81</v>
      </c>
      <c r="BJ157" s="408">
        <v>1838.77</v>
      </c>
      <c r="BK157" s="408">
        <v>42518.47</v>
      </c>
      <c r="BL157" s="408">
        <v>12</v>
      </c>
      <c r="BM157" s="408"/>
      <c r="BN157" s="408"/>
      <c r="BO157" s="408"/>
      <c r="BP157" s="408"/>
      <c r="BQ157" s="408"/>
      <c r="BR157" s="408"/>
      <c r="BS157" s="408"/>
      <c r="BT157" s="408"/>
      <c r="BU157" s="408"/>
      <c r="BV157" s="408">
        <v>0</v>
      </c>
      <c r="BW157" s="408"/>
      <c r="BX157" s="408"/>
      <c r="BY157" s="408"/>
      <c r="BZ157" s="408"/>
      <c r="CA157" s="408"/>
      <c r="CB157" s="408"/>
      <c r="CC157" s="408"/>
      <c r="CD157" s="408"/>
      <c r="CE157" s="408"/>
      <c r="CF157" s="408"/>
      <c r="CG157" s="408"/>
      <c r="CH157" s="408"/>
      <c r="CI157" s="408">
        <v>50553.18</v>
      </c>
      <c r="CJ157" s="408">
        <v>-23801.759999999987</v>
      </c>
      <c r="CK157" s="408"/>
      <c r="CL157" s="408"/>
      <c r="CM157" s="408"/>
      <c r="CN157" s="408"/>
      <c r="CO157" s="408">
        <v>-23801.730000000003</v>
      </c>
      <c r="CP157" s="408">
        <v>0</v>
      </c>
      <c r="CQ157" s="408">
        <v>30</v>
      </c>
      <c r="CR157" s="408">
        <v>-177.0874181766776</v>
      </c>
      <c r="CS157" s="408">
        <v>0</v>
      </c>
      <c r="CT157" s="408">
        <v>0</v>
      </c>
      <c r="CU157" s="408">
        <v>0</v>
      </c>
      <c r="CV157" s="408">
        <v>0</v>
      </c>
      <c r="CW157" s="408"/>
      <c r="CX157" s="408"/>
      <c r="CY157" s="408"/>
      <c r="CZ157" s="408">
        <v>-177.0874181766776</v>
      </c>
      <c r="DA157" s="408">
        <v>0</v>
      </c>
      <c r="DB157" s="408">
        <v>0</v>
      </c>
      <c r="DC157" s="408"/>
      <c r="DD157" s="408"/>
      <c r="DE157" s="408">
        <v>0</v>
      </c>
      <c r="DF157" s="408">
        <v>0</v>
      </c>
      <c r="DG157" s="408">
        <v>0</v>
      </c>
      <c r="DH157" s="408">
        <v>0</v>
      </c>
      <c r="DI157" s="408">
        <v>0</v>
      </c>
      <c r="DJ157" s="408"/>
      <c r="DK157" s="408">
        <v>0</v>
      </c>
      <c r="DL157" s="408">
        <v>0</v>
      </c>
      <c r="DM157" s="408"/>
      <c r="DN157" s="408">
        <v>0</v>
      </c>
      <c r="DO157" s="408">
        <v>0</v>
      </c>
      <c r="DP157" s="408">
        <v>0</v>
      </c>
      <c r="DQ157" s="408">
        <v>0</v>
      </c>
      <c r="DR157" s="408">
        <v>0</v>
      </c>
      <c r="DS157" s="408"/>
      <c r="DT157" s="408"/>
      <c r="DU157" s="408">
        <v>35176.771708549582</v>
      </c>
      <c r="DV157" s="408"/>
      <c r="DW157" s="408">
        <v>0</v>
      </c>
      <c r="DX157" s="408">
        <v>0</v>
      </c>
      <c r="DY157" s="408">
        <v>-23801.730000000003</v>
      </c>
      <c r="DZ157" s="408"/>
      <c r="EA157" s="408">
        <v>0</v>
      </c>
      <c r="EB157" s="408"/>
      <c r="EC157" s="408">
        <v>-23627.346476462248</v>
      </c>
      <c r="ED157" s="408"/>
      <c r="EE157" s="408">
        <v>0</v>
      </c>
      <c r="EF157" s="408">
        <v>0</v>
      </c>
      <c r="EG157" s="408"/>
      <c r="EH157" s="408">
        <v>0</v>
      </c>
      <c r="EI157" s="408">
        <v>0</v>
      </c>
      <c r="EJ157" s="408">
        <v>0</v>
      </c>
      <c r="EK157" s="408">
        <v>0</v>
      </c>
      <c r="EL157" s="408">
        <v>0</v>
      </c>
      <c r="EM157" s="408"/>
      <c r="EN157" s="408"/>
      <c r="EO157" s="408">
        <v>0</v>
      </c>
      <c r="EP157" s="408">
        <v>0</v>
      </c>
      <c r="EQ157" s="408"/>
      <c r="ER157" s="408">
        <v>0</v>
      </c>
      <c r="ES157" s="408"/>
      <c r="ET157" s="408">
        <v>0</v>
      </c>
      <c r="EU157" s="408"/>
      <c r="EV157" s="408">
        <v>257</v>
      </c>
      <c r="EW157" s="408"/>
      <c r="EX157" s="408"/>
      <c r="EY157" s="408"/>
      <c r="EZ157" s="408"/>
      <c r="FA157" s="408">
        <v>0</v>
      </c>
      <c r="FB157" s="408"/>
      <c r="FC157" s="408"/>
      <c r="FD157" s="408"/>
      <c r="FE157" s="408"/>
      <c r="FF157" s="408">
        <v>0</v>
      </c>
      <c r="FG157" s="408">
        <v>0</v>
      </c>
      <c r="FH157" s="408">
        <v>0</v>
      </c>
      <c r="FI157" s="408">
        <v>0</v>
      </c>
    </row>
    <row r="158" spans="1:165">
      <c r="A158" s="408">
        <v>156</v>
      </c>
      <c r="B158" s="408" t="s">
        <v>2235</v>
      </c>
      <c r="C158" s="408" t="s">
        <v>2241</v>
      </c>
      <c r="D158" s="408" t="s">
        <v>596</v>
      </c>
      <c r="E158" s="408" t="s">
        <v>969</v>
      </c>
      <c r="F158" s="408" t="s">
        <v>1321</v>
      </c>
      <c r="G158" s="408" t="s">
        <v>1321</v>
      </c>
      <c r="H158" s="408" t="s">
        <v>1321</v>
      </c>
      <c r="I158" s="408" t="s">
        <v>1321</v>
      </c>
      <c r="J158" s="408" t="s">
        <v>2234</v>
      </c>
      <c r="K158" s="828">
        <v>44501</v>
      </c>
      <c r="L158" s="408">
        <v>0</v>
      </c>
      <c r="M158" s="408">
        <v>0</v>
      </c>
      <c r="N158" s="408">
        <v>0</v>
      </c>
      <c r="O158" s="408">
        <v>0</v>
      </c>
      <c r="P158" s="408">
        <v>0</v>
      </c>
      <c r="Q158" s="408">
        <v>0</v>
      </c>
      <c r="R158" s="408"/>
      <c r="S158" s="408"/>
      <c r="T158" s="408"/>
      <c r="U158" s="408"/>
      <c r="V158" s="408"/>
      <c r="W158" s="408"/>
      <c r="X158" s="408"/>
      <c r="Y158" s="408"/>
      <c r="Z158" s="408"/>
      <c r="AA158" s="408">
        <v>0</v>
      </c>
      <c r="AB158" s="408"/>
      <c r="AC158" s="408"/>
      <c r="AD158" s="408"/>
      <c r="AE158" s="408"/>
      <c r="AF158" s="408"/>
      <c r="AG158" s="408"/>
      <c r="AH158" s="408"/>
      <c r="AI158" s="408"/>
      <c r="AJ158" s="408"/>
      <c r="AK158" s="408"/>
      <c r="AL158" s="408"/>
      <c r="AM158" s="408"/>
      <c r="AN158" s="408"/>
      <c r="AO158" s="408"/>
      <c r="AP158" s="408"/>
      <c r="AQ158" s="408"/>
      <c r="AR158" s="408"/>
      <c r="AS158" s="408"/>
      <c r="AT158" s="408"/>
      <c r="AU158" s="408"/>
      <c r="AV158" s="408"/>
      <c r="AW158" s="408"/>
      <c r="AX158" s="408"/>
      <c r="AY158" s="408"/>
      <c r="AZ158" s="408">
        <v>0</v>
      </c>
      <c r="BA158" s="408"/>
      <c r="BB158" s="408"/>
      <c r="BC158" s="408"/>
      <c r="BD158" s="408"/>
      <c r="BE158" s="408"/>
      <c r="BF158" s="408"/>
      <c r="BG158" s="408"/>
      <c r="BH158" s="408"/>
      <c r="BI158" s="408">
        <v>-39.770000000000003</v>
      </c>
      <c r="BJ158" s="408">
        <v>-197.37</v>
      </c>
      <c r="BK158" s="408">
        <v>-3913.78</v>
      </c>
      <c r="BL158" s="408">
        <v>0</v>
      </c>
      <c r="BM158" s="408"/>
      <c r="BN158" s="408"/>
      <c r="BO158" s="408"/>
      <c r="BP158" s="408"/>
      <c r="BQ158" s="408"/>
      <c r="BR158" s="408"/>
      <c r="BS158" s="408"/>
      <c r="BT158" s="408"/>
      <c r="BU158" s="408"/>
      <c r="BV158" s="408"/>
      <c r="BW158" s="408"/>
      <c r="BX158" s="408"/>
      <c r="BY158" s="408"/>
      <c r="BZ158" s="408"/>
      <c r="CA158" s="408"/>
      <c r="CB158" s="408"/>
      <c r="CC158" s="408"/>
      <c r="CD158" s="408"/>
      <c r="CE158" s="408"/>
      <c r="CF158" s="408"/>
      <c r="CG158" s="408"/>
      <c r="CH158" s="408"/>
      <c r="CI158" s="408"/>
      <c r="CJ158" s="408">
        <v>-0.03</v>
      </c>
      <c r="CK158" s="408"/>
      <c r="CL158" s="408"/>
      <c r="CM158" s="408"/>
      <c r="CN158" s="408"/>
      <c r="CO158" s="408">
        <v>0</v>
      </c>
      <c r="CP158" s="408">
        <v>0</v>
      </c>
      <c r="CQ158" s="408">
        <v>30</v>
      </c>
      <c r="CR158" s="408"/>
      <c r="CS158" s="408"/>
      <c r="CT158" s="408"/>
      <c r="CU158" s="408"/>
      <c r="CV158" s="408"/>
      <c r="CW158" s="408"/>
      <c r="CX158" s="408"/>
      <c r="CY158" s="408"/>
      <c r="CZ158" s="408"/>
      <c r="DA158" s="408"/>
      <c r="DB158" s="408"/>
      <c r="DC158" s="408"/>
      <c r="DD158" s="408"/>
      <c r="DE158" s="408"/>
      <c r="DF158" s="408"/>
      <c r="DG158" s="408"/>
      <c r="DH158" s="408"/>
      <c r="DI158" s="408"/>
      <c r="DJ158" s="408"/>
      <c r="DK158" s="408">
        <v>0</v>
      </c>
      <c r="DL158" s="408"/>
      <c r="DM158" s="408"/>
      <c r="DN158" s="408"/>
      <c r="DO158" s="408"/>
      <c r="DP158" s="408"/>
      <c r="DQ158" s="408"/>
      <c r="DR158" s="408"/>
      <c r="DS158" s="408"/>
      <c r="DT158" s="408"/>
      <c r="DU158" s="408"/>
      <c r="DV158" s="408"/>
      <c r="DW158" s="408"/>
      <c r="DX158" s="408"/>
      <c r="DY158" s="408"/>
      <c r="DZ158" s="408"/>
      <c r="EA158" s="408"/>
      <c r="EB158" s="408"/>
      <c r="EC158" s="408"/>
      <c r="ED158" s="408"/>
      <c r="EE158" s="408"/>
      <c r="EF158" s="408"/>
      <c r="EG158" s="408"/>
      <c r="EH158" s="408"/>
      <c r="EI158" s="408"/>
      <c r="EJ158" s="408"/>
      <c r="EK158" s="408"/>
      <c r="EL158" s="408"/>
      <c r="EM158" s="408"/>
      <c r="EN158" s="408"/>
      <c r="EO158" s="408"/>
      <c r="EP158" s="408"/>
      <c r="EQ158" s="408"/>
      <c r="ER158" s="408"/>
      <c r="ES158" s="408"/>
      <c r="ET158" s="408"/>
      <c r="EU158" s="408"/>
      <c r="EV158" s="408">
        <v>257</v>
      </c>
      <c r="EW158" s="408"/>
      <c r="EX158" s="408"/>
      <c r="EY158" s="408"/>
      <c r="EZ158" s="408"/>
      <c r="FA158" s="408">
        <v>0</v>
      </c>
      <c r="FB158" s="408"/>
      <c r="FC158" s="408"/>
      <c r="FD158" s="408"/>
      <c r="FE158" s="408"/>
      <c r="FF158" s="408">
        <v>0</v>
      </c>
      <c r="FG158" s="408">
        <v>0</v>
      </c>
      <c r="FH158" s="408">
        <v>0</v>
      </c>
      <c r="FI158" s="408">
        <v>0</v>
      </c>
    </row>
    <row r="159" spans="1:165">
      <c r="A159" s="408">
        <v>157</v>
      </c>
      <c r="B159" s="408" t="s">
        <v>2236</v>
      </c>
      <c r="C159" s="408" t="s">
        <v>2241</v>
      </c>
      <c r="D159" s="408" t="s">
        <v>596</v>
      </c>
      <c r="E159" s="408" t="s">
        <v>969</v>
      </c>
      <c r="F159" s="408" t="s">
        <v>1321</v>
      </c>
      <c r="G159" s="408" t="s">
        <v>1321</v>
      </c>
      <c r="H159" s="408" t="s">
        <v>1321</v>
      </c>
      <c r="I159" s="408" t="s">
        <v>1321</v>
      </c>
      <c r="J159" s="408" t="s">
        <v>2234</v>
      </c>
      <c r="K159" s="828">
        <v>44501</v>
      </c>
      <c r="L159" s="408">
        <v>676</v>
      </c>
      <c r="M159" s="408">
        <v>676</v>
      </c>
      <c r="N159" s="408">
        <v>0</v>
      </c>
      <c r="O159" s="408">
        <v>0</v>
      </c>
      <c r="P159" s="408">
        <v>0</v>
      </c>
      <c r="Q159" s="408">
        <v>0</v>
      </c>
      <c r="R159" s="408">
        <v>47.39</v>
      </c>
      <c r="S159" s="408"/>
      <c r="T159" s="408"/>
      <c r="U159" s="408">
        <v>32035.64</v>
      </c>
      <c r="V159" s="408"/>
      <c r="W159" s="408">
        <v>32035.64</v>
      </c>
      <c r="X159" s="408">
        <v>21780.719999999998</v>
      </c>
      <c r="Y159" s="408">
        <v>0</v>
      </c>
      <c r="Z159" s="408">
        <v>0</v>
      </c>
      <c r="AA159" s="408">
        <v>0</v>
      </c>
      <c r="AB159" s="408">
        <v>0</v>
      </c>
      <c r="AC159" s="408">
        <v>0</v>
      </c>
      <c r="AD159" s="408">
        <v>16879.787721318811</v>
      </c>
      <c r="AE159" s="408">
        <v>15155.830258113141</v>
      </c>
      <c r="AF159" s="408"/>
      <c r="AG159" s="408"/>
      <c r="AH159" s="408"/>
      <c r="AI159" s="408">
        <v>0</v>
      </c>
      <c r="AJ159" s="408">
        <v>0</v>
      </c>
      <c r="AK159" s="408">
        <v>0</v>
      </c>
      <c r="AL159" s="408">
        <v>0</v>
      </c>
      <c r="AM159" s="408"/>
      <c r="AN159" s="408">
        <v>0</v>
      </c>
      <c r="AO159" s="408">
        <v>0</v>
      </c>
      <c r="AP159" s="408">
        <v>0</v>
      </c>
      <c r="AQ159" s="408">
        <v>0</v>
      </c>
      <c r="AR159" s="408">
        <v>0</v>
      </c>
      <c r="AS159" s="408"/>
      <c r="AT159" s="408"/>
      <c r="AU159" s="408">
        <v>0</v>
      </c>
      <c r="AV159" s="408">
        <v>0</v>
      </c>
      <c r="AW159" s="408">
        <v>0</v>
      </c>
      <c r="AX159" s="408"/>
      <c r="AY159" s="408"/>
      <c r="AZ159" s="408">
        <v>0</v>
      </c>
      <c r="BA159" s="408"/>
      <c r="BB159" s="408">
        <v>0</v>
      </c>
      <c r="BC159" s="408">
        <v>0</v>
      </c>
      <c r="BD159" s="408">
        <v>0</v>
      </c>
      <c r="BE159" s="408">
        <v>0</v>
      </c>
      <c r="BF159" s="408"/>
      <c r="BG159" s="408">
        <v>0</v>
      </c>
      <c r="BH159" s="408">
        <v>0</v>
      </c>
      <c r="BI159" s="408">
        <v>46.09</v>
      </c>
      <c r="BJ159" s="408">
        <v>237.65</v>
      </c>
      <c r="BK159" s="408">
        <v>4576.0200000000004</v>
      </c>
      <c r="BL159" s="408">
        <v>4</v>
      </c>
      <c r="BM159" s="408"/>
      <c r="BN159" s="408"/>
      <c r="BO159" s="408"/>
      <c r="BP159" s="408"/>
      <c r="BQ159" s="408"/>
      <c r="BR159" s="408"/>
      <c r="BS159" s="408"/>
      <c r="BT159" s="408"/>
      <c r="BU159" s="408"/>
      <c r="BV159" s="408">
        <v>0</v>
      </c>
      <c r="BW159" s="408"/>
      <c r="BX159" s="408"/>
      <c r="BY159" s="408"/>
      <c r="BZ159" s="408"/>
      <c r="CA159" s="408"/>
      <c r="CB159" s="408"/>
      <c r="CC159" s="408"/>
      <c r="CD159" s="408"/>
      <c r="CE159" s="408"/>
      <c r="CF159" s="408"/>
      <c r="CG159" s="408"/>
      <c r="CH159" s="408"/>
      <c r="CI159" s="408">
        <v>21780.719999999998</v>
      </c>
      <c r="CJ159" s="408">
        <v>-10254.949999999997</v>
      </c>
      <c r="CK159" s="408"/>
      <c r="CL159" s="408"/>
      <c r="CM159" s="408"/>
      <c r="CN159" s="408"/>
      <c r="CO159" s="408">
        <v>-10254.920000000002</v>
      </c>
      <c r="CP159" s="408">
        <v>0</v>
      </c>
      <c r="CQ159" s="408">
        <v>30</v>
      </c>
      <c r="CR159" s="408">
        <v>-76.297702158975881</v>
      </c>
      <c r="CS159" s="408">
        <v>0</v>
      </c>
      <c r="CT159" s="408">
        <v>0</v>
      </c>
      <c r="CU159" s="408">
        <v>0</v>
      </c>
      <c r="CV159" s="408">
        <v>0</v>
      </c>
      <c r="CW159" s="408"/>
      <c r="CX159" s="408"/>
      <c r="CY159" s="408"/>
      <c r="CZ159" s="408">
        <v>-76.297702158975881</v>
      </c>
      <c r="DA159" s="408">
        <v>0</v>
      </c>
      <c r="DB159" s="408">
        <v>0</v>
      </c>
      <c r="DC159" s="408"/>
      <c r="DD159" s="408"/>
      <c r="DE159" s="408">
        <v>0</v>
      </c>
      <c r="DF159" s="408">
        <v>0</v>
      </c>
      <c r="DG159" s="408">
        <v>0</v>
      </c>
      <c r="DH159" s="408">
        <v>0</v>
      </c>
      <c r="DI159" s="408">
        <v>0</v>
      </c>
      <c r="DJ159" s="408"/>
      <c r="DK159" s="408">
        <v>0</v>
      </c>
      <c r="DL159" s="408">
        <v>0</v>
      </c>
      <c r="DM159" s="408"/>
      <c r="DN159" s="408">
        <v>0</v>
      </c>
      <c r="DO159" s="408">
        <v>0</v>
      </c>
      <c r="DP159" s="408">
        <v>0</v>
      </c>
      <c r="DQ159" s="408">
        <v>0</v>
      </c>
      <c r="DR159" s="408">
        <v>0</v>
      </c>
      <c r="DS159" s="408"/>
      <c r="DT159" s="408"/>
      <c r="DU159" s="408">
        <v>15155.830258113141</v>
      </c>
      <c r="DV159" s="408"/>
      <c r="DW159" s="408">
        <v>0</v>
      </c>
      <c r="DX159" s="408">
        <v>0</v>
      </c>
      <c r="DY159" s="408">
        <v>-10254.920000000002</v>
      </c>
      <c r="DZ159" s="408"/>
      <c r="EA159" s="408">
        <v>0</v>
      </c>
      <c r="EB159" s="408"/>
      <c r="EC159" s="408">
        <v>-10179.787264556075</v>
      </c>
      <c r="ED159" s="408"/>
      <c r="EE159" s="408">
        <v>0</v>
      </c>
      <c r="EF159" s="408">
        <v>0</v>
      </c>
      <c r="EG159" s="408"/>
      <c r="EH159" s="408">
        <v>0</v>
      </c>
      <c r="EI159" s="408">
        <v>0</v>
      </c>
      <c r="EJ159" s="408">
        <v>0</v>
      </c>
      <c r="EK159" s="408">
        <v>0</v>
      </c>
      <c r="EL159" s="408">
        <v>0</v>
      </c>
      <c r="EM159" s="408"/>
      <c r="EN159" s="408"/>
      <c r="EO159" s="408">
        <v>0</v>
      </c>
      <c r="EP159" s="408">
        <v>0</v>
      </c>
      <c r="EQ159" s="408"/>
      <c r="ER159" s="408">
        <v>0</v>
      </c>
      <c r="ES159" s="408"/>
      <c r="ET159" s="408">
        <v>0</v>
      </c>
      <c r="EU159" s="408"/>
      <c r="EV159" s="408">
        <v>257</v>
      </c>
      <c r="EW159" s="408"/>
      <c r="EX159" s="408"/>
      <c r="EY159" s="408"/>
      <c r="EZ159" s="408"/>
      <c r="FA159" s="408">
        <v>0</v>
      </c>
      <c r="FB159" s="408"/>
      <c r="FC159" s="408"/>
      <c r="FD159" s="408"/>
      <c r="FE159" s="408"/>
      <c r="FF159" s="408">
        <v>0</v>
      </c>
      <c r="FG159" s="408">
        <v>0</v>
      </c>
      <c r="FH159" s="408">
        <v>0</v>
      </c>
      <c r="FI159" s="408">
        <v>0</v>
      </c>
    </row>
    <row r="160" spans="1:165">
      <c r="A160" s="408">
        <v>158</v>
      </c>
      <c r="B160" s="408" t="s">
        <v>1035</v>
      </c>
      <c r="C160" s="408" t="s">
        <v>2233</v>
      </c>
      <c r="D160" s="408" t="s">
        <v>1958</v>
      </c>
      <c r="E160" s="408" t="s">
        <v>997</v>
      </c>
      <c r="F160" s="408" t="s">
        <v>1321</v>
      </c>
      <c r="G160" s="408" t="s">
        <v>1321</v>
      </c>
      <c r="H160" s="408" t="s">
        <v>1321</v>
      </c>
      <c r="I160" s="408" t="s">
        <v>1321</v>
      </c>
      <c r="J160" s="408" t="s">
        <v>2234</v>
      </c>
      <c r="K160" s="828">
        <v>44501</v>
      </c>
      <c r="L160" s="408">
        <v>0</v>
      </c>
      <c r="M160" s="408">
        <v>0</v>
      </c>
      <c r="N160" s="408">
        <v>350.73099999999999</v>
      </c>
      <c r="O160" s="408">
        <v>350.73099999999999</v>
      </c>
      <c r="P160" s="408">
        <v>350.73099999999999</v>
      </c>
      <c r="Q160" s="408">
        <v>350.73099999999999</v>
      </c>
      <c r="R160" s="408"/>
      <c r="S160" s="408">
        <v>710.91</v>
      </c>
      <c r="T160" s="408">
        <v>256.55</v>
      </c>
      <c r="U160" s="408"/>
      <c r="V160" s="408">
        <v>339318.21325999999</v>
      </c>
      <c r="W160" s="408">
        <v>339318.21325999999</v>
      </c>
      <c r="X160" s="408">
        <v>231633.27433000001</v>
      </c>
      <c r="Y160" s="408">
        <v>0</v>
      </c>
      <c r="Z160" s="408">
        <v>21561.076481389522</v>
      </c>
      <c r="AA160" s="408">
        <v>0</v>
      </c>
      <c r="AB160" s="408">
        <v>0</v>
      </c>
      <c r="AC160" s="408">
        <v>0</v>
      </c>
      <c r="AD160" s="408">
        <v>43168.949950526461</v>
      </c>
      <c r="AE160" s="408">
        <v>167267.14284494662</v>
      </c>
      <c r="AF160" s="408">
        <v>89980.922499604334</v>
      </c>
      <c r="AG160" s="408">
        <v>0</v>
      </c>
      <c r="AH160" s="408">
        <v>0</v>
      </c>
      <c r="AI160" s="408">
        <v>0</v>
      </c>
      <c r="AJ160" s="408">
        <v>0</v>
      </c>
      <c r="AK160" s="408">
        <v>0</v>
      </c>
      <c r="AL160" s="408">
        <v>3333.4399312029204</v>
      </c>
      <c r="AM160" s="408"/>
      <c r="AN160" s="408">
        <v>770.13675940781104</v>
      </c>
      <c r="AO160" s="408">
        <v>0</v>
      </c>
      <c r="AP160" s="408">
        <v>0</v>
      </c>
      <c r="AQ160" s="408">
        <v>0</v>
      </c>
      <c r="AR160" s="408">
        <v>0</v>
      </c>
      <c r="AS160" s="408">
        <v>0</v>
      </c>
      <c r="AT160" s="408">
        <v>0</v>
      </c>
      <c r="AU160" s="408">
        <v>0</v>
      </c>
      <c r="AV160" s="408">
        <v>0</v>
      </c>
      <c r="AW160" s="408">
        <v>0</v>
      </c>
      <c r="AX160" s="408">
        <v>0</v>
      </c>
      <c r="AY160" s="408">
        <v>0</v>
      </c>
      <c r="AZ160" s="408">
        <v>0</v>
      </c>
      <c r="BA160" s="408"/>
      <c r="BB160" s="408">
        <v>0</v>
      </c>
      <c r="BC160" s="408">
        <v>0</v>
      </c>
      <c r="BD160" s="408">
        <v>522.70153970174294</v>
      </c>
      <c r="BE160" s="408">
        <v>0</v>
      </c>
      <c r="BF160" s="408">
        <v>0</v>
      </c>
      <c r="BG160" s="408">
        <v>12715.192033258732</v>
      </c>
      <c r="BH160" s="408">
        <v>0</v>
      </c>
      <c r="BI160" s="408">
        <v>585.27</v>
      </c>
      <c r="BJ160" s="408">
        <v>3031.54</v>
      </c>
      <c r="BK160" s="408">
        <v>122156.52</v>
      </c>
      <c r="BL160" s="408">
        <v>964</v>
      </c>
      <c r="BM160" s="408"/>
      <c r="BN160" s="408"/>
      <c r="BO160" s="408"/>
      <c r="BP160" s="408"/>
      <c r="BQ160" s="408"/>
      <c r="BR160" s="408"/>
      <c r="BS160" s="408"/>
      <c r="BT160" s="408"/>
      <c r="BU160" s="408"/>
      <c r="BV160" s="408">
        <v>103218.8160725648</v>
      </c>
      <c r="BW160" s="408"/>
      <c r="BX160" s="408"/>
      <c r="BY160" s="408"/>
      <c r="BZ160" s="408"/>
      <c r="CA160" s="408"/>
      <c r="CB160" s="408"/>
      <c r="CC160" s="408"/>
      <c r="CD160" s="408"/>
      <c r="CE160" s="408"/>
      <c r="CF160" s="408"/>
      <c r="CG160" s="408"/>
      <c r="CH160" s="408"/>
      <c r="CI160" s="408">
        <v>231632.6139</v>
      </c>
      <c r="CJ160" s="408">
        <v>-107685.62936000002</v>
      </c>
      <c r="CK160" s="408"/>
      <c r="CL160" s="408"/>
      <c r="CM160" s="408"/>
      <c r="CN160" s="408"/>
      <c r="CO160" s="408">
        <v>-113293.12761999998</v>
      </c>
      <c r="CP160" s="408">
        <v>5608.1886900000027</v>
      </c>
      <c r="CQ160" s="408">
        <v>30</v>
      </c>
      <c r="CR160" s="408">
        <v>4662.367540574196</v>
      </c>
      <c r="CS160" s="408">
        <v>0</v>
      </c>
      <c r="CT160" s="408">
        <v>0</v>
      </c>
      <c r="CU160" s="408">
        <v>0</v>
      </c>
      <c r="CV160" s="408">
        <v>0</v>
      </c>
      <c r="CW160" s="408">
        <v>0</v>
      </c>
      <c r="CX160" s="408">
        <v>0</v>
      </c>
      <c r="CY160" s="408">
        <v>0</v>
      </c>
      <c r="CZ160" s="408">
        <v>-195.12636889860005</v>
      </c>
      <c r="DA160" s="408">
        <v>0</v>
      </c>
      <c r="DB160" s="408">
        <v>0</v>
      </c>
      <c r="DC160" s="408">
        <v>5605.6737260144146</v>
      </c>
      <c r="DD160" s="408">
        <v>0</v>
      </c>
      <c r="DE160" s="408">
        <v>0</v>
      </c>
      <c r="DF160" s="408">
        <v>32.563505754970038</v>
      </c>
      <c r="DG160" s="408">
        <v>792.1369988441711</v>
      </c>
      <c r="DH160" s="408">
        <v>0</v>
      </c>
      <c r="DI160" s="408">
        <v>-1340.7508217222858</v>
      </c>
      <c r="DJ160" s="408"/>
      <c r="DK160" s="408">
        <v>0</v>
      </c>
      <c r="DL160" s="408">
        <v>0</v>
      </c>
      <c r="DM160" s="408">
        <v>0</v>
      </c>
      <c r="DN160" s="408">
        <v>0</v>
      </c>
      <c r="DO160" s="408">
        <v>-182.91481867593575</v>
      </c>
      <c r="DP160" s="408">
        <v>-49.214680742544033</v>
      </c>
      <c r="DQ160" s="408">
        <v>0</v>
      </c>
      <c r="DR160" s="408">
        <v>0</v>
      </c>
      <c r="DS160" s="408"/>
      <c r="DT160" s="408"/>
      <c r="DU160" s="408"/>
      <c r="DV160" s="408">
        <v>167267.14284494662</v>
      </c>
      <c r="DW160" s="408">
        <v>0</v>
      </c>
      <c r="DX160" s="408">
        <v>0</v>
      </c>
      <c r="DY160" s="408">
        <v>-113293.12761999998</v>
      </c>
      <c r="DZ160" s="408">
        <v>5608.18869000001</v>
      </c>
      <c r="EA160" s="408">
        <v>0</v>
      </c>
      <c r="EB160" s="408">
        <v>0</v>
      </c>
      <c r="EC160" s="408">
        <v>-112349.10272237746</v>
      </c>
      <c r="ED160" s="408">
        <v>0</v>
      </c>
      <c r="EE160" s="408">
        <v>0</v>
      </c>
      <c r="EF160" s="408">
        <v>0</v>
      </c>
      <c r="EG160" s="408">
        <v>0</v>
      </c>
      <c r="EH160" s="408">
        <v>0</v>
      </c>
      <c r="EI160" s="408">
        <v>0</v>
      </c>
      <c r="EJ160" s="408">
        <v>0</v>
      </c>
      <c r="EK160" s="408">
        <v>0</v>
      </c>
      <c r="EL160" s="408">
        <v>0</v>
      </c>
      <c r="EM160" s="408">
        <v>0</v>
      </c>
      <c r="EN160" s="408">
        <v>0</v>
      </c>
      <c r="EO160" s="408">
        <v>0</v>
      </c>
      <c r="EP160" s="408">
        <v>0</v>
      </c>
      <c r="EQ160" s="408">
        <v>0</v>
      </c>
      <c r="ER160" s="408">
        <v>0</v>
      </c>
      <c r="ES160" s="408">
        <v>0</v>
      </c>
      <c r="ET160" s="408">
        <v>0</v>
      </c>
      <c r="EU160" s="408">
        <v>0</v>
      </c>
      <c r="EV160" s="408">
        <v>257</v>
      </c>
      <c r="EW160" s="408">
        <v>0</v>
      </c>
      <c r="EX160" s="408">
        <v>0</v>
      </c>
      <c r="EY160" s="408">
        <v>0</v>
      </c>
      <c r="EZ160" s="408"/>
      <c r="FA160" s="408">
        <v>0</v>
      </c>
      <c r="FB160" s="408"/>
      <c r="FC160" s="408"/>
      <c r="FD160" s="408"/>
      <c r="FE160" s="408"/>
      <c r="FF160" s="408">
        <v>0</v>
      </c>
      <c r="FG160" s="408">
        <v>0</v>
      </c>
      <c r="FH160" s="408">
        <v>0</v>
      </c>
      <c r="FI160" s="408">
        <v>0</v>
      </c>
    </row>
    <row r="161" spans="1:165">
      <c r="A161" s="408">
        <v>159</v>
      </c>
      <c r="B161" s="408" t="s">
        <v>2235</v>
      </c>
      <c r="C161" s="408" t="s">
        <v>2233</v>
      </c>
      <c r="D161" s="408" t="s">
        <v>1958</v>
      </c>
      <c r="E161" s="408" t="s">
        <v>997</v>
      </c>
      <c r="F161" s="408" t="s">
        <v>1321</v>
      </c>
      <c r="G161" s="408" t="s">
        <v>1321</v>
      </c>
      <c r="H161" s="408" t="s">
        <v>1321</v>
      </c>
      <c r="I161" s="408" t="s">
        <v>1321</v>
      </c>
      <c r="J161" s="408" t="s">
        <v>2234</v>
      </c>
      <c r="K161" s="828">
        <v>44501</v>
      </c>
      <c r="L161" s="408">
        <v>0</v>
      </c>
      <c r="M161" s="408">
        <v>0</v>
      </c>
      <c r="N161" s="408">
        <v>-0.57099999999999995</v>
      </c>
      <c r="O161" s="408">
        <v>-0.57099999999999995</v>
      </c>
      <c r="P161" s="408">
        <v>-0.57099999999999995</v>
      </c>
      <c r="Q161" s="408">
        <v>-0.57099999999999995</v>
      </c>
      <c r="R161" s="408"/>
      <c r="S161" s="408">
        <v>710.91</v>
      </c>
      <c r="T161" s="408">
        <v>256.55</v>
      </c>
      <c r="U161" s="408"/>
      <c r="V161" s="408">
        <v>-552.41966000000002</v>
      </c>
      <c r="W161" s="408">
        <v>-552.41966000000002</v>
      </c>
      <c r="X161" s="408">
        <v>-377.10552999999993</v>
      </c>
      <c r="Y161" s="408">
        <v>0</v>
      </c>
      <c r="Z161" s="408">
        <v>-35.102043078237784</v>
      </c>
      <c r="AA161" s="408">
        <v>0</v>
      </c>
      <c r="AB161" s="408">
        <v>0</v>
      </c>
      <c r="AC161" s="408">
        <v>0</v>
      </c>
      <c r="AD161" s="408">
        <v>-70.280272977725403</v>
      </c>
      <c r="AE161" s="408">
        <v>-272.3156452223057</v>
      </c>
      <c r="AF161" s="408">
        <v>-146.4914899090017</v>
      </c>
      <c r="AG161" s="408">
        <v>0</v>
      </c>
      <c r="AH161" s="408">
        <v>0</v>
      </c>
      <c r="AI161" s="408">
        <v>0</v>
      </c>
      <c r="AJ161" s="408">
        <v>0</v>
      </c>
      <c r="AK161" s="408">
        <v>0</v>
      </c>
      <c r="AL161" s="408">
        <v>-5.4269346043459725</v>
      </c>
      <c r="AM161" s="408"/>
      <c r="AN161" s="408">
        <v>-1.2538044530476635</v>
      </c>
      <c r="AO161" s="408">
        <v>0</v>
      </c>
      <c r="AP161" s="408">
        <v>0</v>
      </c>
      <c r="AQ161" s="408">
        <v>0</v>
      </c>
      <c r="AR161" s="408">
        <v>0</v>
      </c>
      <c r="AS161" s="408">
        <v>0</v>
      </c>
      <c r="AT161" s="408">
        <v>0</v>
      </c>
      <c r="AU161" s="408">
        <v>0</v>
      </c>
      <c r="AV161" s="408">
        <v>0</v>
      </c>
      <c r="AW161" s="408">
        <v>0</v>
      </c>
      <c r="AX161" s="408">
        <v>0</v>
      </c>
      <c r="AY161" s="408">
        <v>0</v>
      </c>
      <c r="AZ161" s="408">
        <v>0</v>
      </c>
      <c r="BA161" s="408"/>
      <c r="BB161" s="408">
        <v>0</v>
      </c>
      <c r="BC161" s="408">
        <v>0</v>
      </c>
      <c r="BD161" s="408">
        <v>-0.85097290849595608</v>
      </c>
      <c r="BE161" s="408">
        <v>0</v>
      </c>
      <c r="BF161" s="408">
        <v>0</v>
      </c>
      <c r="BG161" s="408">
        <v>-20.700692698936606</v>
      </c>
      <c r="BH161" s="408">
        <v>0</v>
      </c>
      <c r="BI161" s="408">
        <v>-1.18</v>
      </c>
      <c r="BJ161" s="408">
        <v>-5.87</v>
      </c>
      <c r="BK161" s="408">
        <v>-199.38</v>
      </c>
      <c r="BL161" s="408">
        <v>0</v>
      </c>
      <c r="BM161" s="408"/>
      <c r="BN161" s="408"/>
      <c r="BO161" s="408"/>
      <c r="BP161" s="408"/>
      <c r="BQ161" s="408"/>
      <c r="BR161" s="408"/>
      <c r="BS161" s="408"/>
      <c r="BT161" s="408"/>
      <c r="BU161" s="408"/>
      <c r="BV161" s="408">
        <v>-168.04315551643424</v>
      </c>
      <c r="BW161" s="408"/>
      <c r="BX161" s="408"/>
      <c r="BY161" s="408"/>
      <c r="BZ161" s="408"/>
      <c r="CA161" s="408"/>
      <c r="CB161" s="408"/>
      <c r="CC161" s="408"/>
      <c r="CD161" s="408"/>
      <c r="CE161" s="408"/>
      <c r="CF161" s="408"/>
      <c r="CG161" s="408"/>
      <c r="CH161" s="408"/>
      <c r="CI161" s="408">
        <v>-376.44509999999997</v>
      </c>
      <c r="CJ161" s="408">
        <v>175.94456000000008</v>
      </c>
      <c r="CK161" s="408"/>
      <c r="CL161" s="408"/>
      <c r="CM161" s="408"/>
      <c r="CN161" s="408"/>
      <c r="CO161" s="408">
        <v>184.44441999999998</v>
      </c>
      <c r="CP161" s="408">
        <v>-9.130290000000004</v>
      </c>
      <c r="CQ161" s="408">
        <v>30</v>
      </c>
      <c r="CR161" s="408">
        <v>-7.5904663849727285</v>
      </c>
      <c r="CS161" s="408">
        <v>0</v>
      </c>
      <c r="CT161" s="408">
        <v>0</v>
      </c>
      <c r="CU161" s="408">
        <v>0</v>
      </c>
      <c r="CV161" s="408">
        <v>0</v>
      </c>
      <c r="CW161" s="408">
        <v>0</v>
      </c>
      <c r="CX161" s="408">
        <v>0</v>
      </c>
      <c r="CY161" s="408">
        <v>0</v>
      </c>
      <c r="CZ161" s="408">
        <v>0.31767125415518649</v>
      </c>
      <c r="DA161" s="408">
        <v>0</v>
      </c>
      <c r="DB161" s="408">
        <v>0</v>
      </c>
      <c r="DC161" s="408">
        <v>-9.126195567412708</v>
      </c>
      <c r="DD161" s="408">
        <v>0</v>
      </c>
      <c r="DE161" s="408">
        <v>0</v>
      </c>
      <c r="DF161" s="408">
        <v>-5.3014309502404822E-2</v>
      </c>
      <c r="DG161" s="408">
        <v>-1.2896214658528109</v>
      </c>
      <c r="DH161" s="408">
        <v>0</v>
      </c>
      <c r="DI161" s="408">
        <v>2.1827803051439005</v>
      </c>
      <c r="DJ161" s="408"/>
      <c r="DK161" s="408">
        <v>0</v>
      </c>
      <c r="DL161" s="408">
        <v>0</v>
      </c>
      <c r="DM161" s="408">
        <v>0</v>
      </c>
      <c r="DN161" s="408">
        <v>0</v>
      </c>
      <c r="DO161" s="408">
        <v>0.29779050458601919</v>
      </c>
      <c r="DP161" s="408">
        <v>8.0122893910126614E-2</v>
      </c>
      <c r="DQ161" s="408">
        <v>0</v>
      </c>
      <c r="DR161" s="408">
        <v>0</v>
      </c>
      <c r="DS161" s="408"/>
      <c r="DT161" s="408"/>
      <c r="DU161" s="408"/>
      <c r="DV161" s="408">
        <v>-272.3156452223057</v>
      </c>
      <c r="DW161" s="408">
        <v>0</v>
      </c>
      <c r="DX161" s="408">
        <v>0</v>
      </c>
      <c r="DY161" s="408">
        <v>184.44442000000001</v>
      </c>
      <c r="DZ161" s="408">
        <v>-9.1302900000000022</v>
      </c>
      <c r="EA161" s="408">
        <v>0</v>
      </c>
      <c r="EB161" s="408">
        <v>0</v>
      </c>
      <c r="EC161" s="408">
        <v>182.90752073377465</v>
      </c>
      <c r="ED161" s="408">
        <v>0</v>
      </c>
      <c r="EE161" s="408">
        <v>0</v>
      </c>
      <c r="EF161" s="408">
        <v>0</v>
      </c>
      <c r="EG161" s="408">
        <v>0</v>
      </c>
      <c r="EH161" s="408">
        <v>0</v>
      </c>
      <c r="EI161" s="408">
        <v>0</v>
      </c>
      <c r="EJ161" s="408">
        <v>0</v>
      </c>
      <c r="EK161" s="408">
        <v>0</v>
      </c>
      <c r="EL161" s="408">
        <v>0</v>
      </c>
      <c r="EM161" s="408">
        <v>0</v>
      </c>
      <c r="EN161" s="408">
        <v>0</v>
      </c>
      <c r="EO161" s="408">
        <v>0</v>
      </c>
      <c r="EP161" s="408">
        <v>0</v>
      </c>
      <c r="EQ161" s="408">
        <v>0</v>
      </c>
      <c r="ER161" s="408">
        <v>0</v>
      </c>
      <c r="ES161" s="408">
        <v>0</v>
      </c>
      <c r="ET161" s="408">
        <v>0</v>
      </c>
      <c r="EU161" s="408">
        <v>0</v>
      </c>
      <c r="EV161" s="408">
        <v>257</v>
      </c>
      <c r="EW161" s="408">
        <v>0</v>
      </c>
      <c r="EX161" s="408">
        <v>0</v>
      </c>
      <c r="EY161" s="408">
        <v>0</v>
      </c>
      <c r="EZ161" s="408"/>
      <c r="FA161" s="408">
        <v>0</v>
      </c>
      <c r="FB161" s="408"/>
      <c r="FC161" s="408"/>
      <c r="FD161" s="408"/>
      <c r="FE161" s="408"/>
      <c r="FF161" s="408">
        <v>0</v>
      </c>
      <c r="FG161" s="408">
        <v>0</v>
      </c>
      <c r="FH161" s="408">
        <v>0</v>
      </c>
      <c r="FI161" s="408">
        <v>0</v>
      </c>
    </row>
    <row r="162" spans="1:165">
      <c r="A162" s="408">
        <v>160</v>
      </c>
      <c r="B162" s="408" t="s">
        <v>2236</v>
      </c>
      <c r="C162" s="408" t="s">
        <v>2233</v>
      </c>
      <c r="D162" s="408" t="s">
        <v>1958</v>
      </c>
      <c r="E162" s="408" t="s">
        <v>997</v>
      </c>
      <c r="F162" s="408" t="s">
        <v>1321</v>
      </c>
      <c r="G162" s="408" t="s">
        <v>1321</v>
      </c>
      <c r="H162" s="408" t="s">
        <v>1321</v>
      </c>
      <c r="I162" s="408" t="s">
        <v>1321</v>
      </c>
      <c r="J162" s="408" t="s">
        <v>2234</v>
      </c>
      <c r="K162" s="828">
        <v>44501</v>
      </c>
      <c r="L162" s="408">
        <v>0</v>
      </c>
      <c r="M162" s="408">
        <v>0</v>
      </c>
      <c r="N162" s="408">
        <v>11.015000000000001</v>
      </c>
      <c r="O162" s="408">
        <v>11.015000000000001</v>
      </c>
      <c r="P162" s="408">
        <v>11.015000000000001</v>
      </c>
      <c r="Q162" s="408">
        <v>11.015000000000001</v>
      </c>
      <c r="R162" s="408"/>
      <c r="S162" s="408">
        <v>710.91</v>
      </c>
      <c r="T162" s="408">
        <v>256.55</v>
      </c>
      <c r="U162" s="408"/>
      <c r="V162" s="408">
        <v>10656.571899999999</v>
      </c>
      <c r="W162" s="408">
        <v>10656.571899999999</v>
      </c>
      <c r="X162" s="408">
        <v>7274.6364500000009</v>
      </c>
      <c r="Y162" s="408">
        <v>0</v>
      </c>
      <c r="Z162" s="408">
        <v>677.14361559858014</v>
      </c>
      <c r="AA162" s="408">
        <v>0</v>
      </c>
      <c r="AB162" s="408">
        <v>0</v>
      </c>
      <c r="AC162" s="408">
        <v>0</v>
      </c>
      <c r="AD162" s="408">
        <v>1355.7569296841425</v>
      </c>
      <c r="AE162" s="408">
        <v>5253.1643294635687</v>
      </c>
      <c r="AF162" s="408">
        <v>2825.9260268785529</v>
      </c>
      <c r="AG162" s="408">
        <v>0</v>
      </c>
      <c r="AH162" s="408">
        <v>0</v>
      </c>
      <c r="AI162" s="408">
        <v>0</v>
      </c>
      <c r="AJ162" s="408">
        <v>0</v>
      </c>
      <c r="AK162" s="408">
        <v>0</v>
      </c>
      <c r="AL162" s="408">
        <v>104.68946526597355</v>
      </c>
      <c r="AM162" s="408"/>
      <c r="AN162" s="408">
        <v>24.186788179194423</v>
      </c>
      <c r="AO162" s="408">
        <v>0</v>
      </c>
      <c r="AP162" s="408">
        <v>0</v>
      </c>
      <c r="AQ162" s="408">
        <v>0</v>
      </c>
      <c r="AR162" s="408">
        <v>0</v>
      </c>
      <c r="AS162" s="408">
        <v>0</v>
      </c>
      <c r="AT162" s="408">
        <v>0</v>
      </c>
      <c r="AU162" s="408">
        <v>0</v>
      </c>
      <c r="AV162" s="408">
        <v>0</v>
      </c>
      <c r="AW162" s="408">
        <v>0</v>
      </c>
      <c r="AX162" s="408">
        <v>0</v>
      </c>
      <c r="AY162" s="408">
        <v>0</v>
      </c>
      <c r="AZ162" s="408">
        <v>0</v>
      </c>
      <c r="BA162" s="408"/>
      <c r="BB162" s="408">
        <v>0</v>
      </c>
      <c r="BC162" s="408">
        <v>0</v>
      </c>
      <c r="BD162" s="408">
        <v>16.415878436222343</v>
      </c>
      <c r="BE162" s="408">
        <v>0</v>
      </c>
      <c r="BF162" s="408">
        <v>0</v>
      </c>
      <c r="BG162" s="408">
        <v>399.33122605741988</v>
      </c>
      <c r="BH162" s="408">
        <v>0</v>
      </c>
      <c r="BI162" s="408">
        <v>18.48</v>
      </c>
      <c r="BJ162" s="408">
        <v>96.35</v>
      </c>
      <c r="BK162" s="408">
        <v>9493.1299999999992</v>
      </c>
      <c r="BL162" s="408">
        <v>38</v>
      </c>
      <c r="BM162" s="408"/>
      <c r="BN162" s="408"/>
      <c r="BO162" s="408"/>
      <c r="BP162" s="408"/>
      <c r="BQ162" s="408"/>
      <c r="BR162" s="408"/>
      <c r="BS162" s="408"/>
      <c r="BT162" s="408"/>
      <c r="BU162" s="408"/>
      <c r="BV162" s="408">
        <v>3241.6731313721953</v>
      </c>
      <c r="BW162" s="408"/>
      <c r="BX162" s="408"/>
      <c r="BY162" s="408"/>
      <c r="BZ162" s="408"/>
      <c r="CA162" s="408"/>
      <c r="CB162" s="408"/>
      <c r="CC162" s="408"/>
      <c r="CD162" s="408"/>
      <c r="CE162" s="408"/>
      <c r="CF162" s="408"/>
      <c r="CG162" s="408"/>
      <c r="CH162" s="408"/>
      <c r="CI162" s="408">
        <v>7277.9385999999995</v>
      </c>
      <c r="CJ162" s="408">
        <v>-3378.6633000000002</v>
      </c>
      <c r="CK162" s="408"/>
      <c r="CL162" s="408"/>
      <c r="CM162" s="408"/>
      <c r="CN162" s="408"/>
      <c r="CO162" s="408">
        <v>-3558.0653000000002</v>
      </c>
      <c r="CP162" s="408">
        <v>176.12985000000012</v>
      </c>
      <c r="CQ162" s="408">
        <v>30</v>
      </c>
      <c r="CR162" s="408">
        <v>146.42554681344063</v>
      </c>
      <c r="CS162" s="408">
        <v>0</v>
      </c>
      <c r="CT162" s="408">
        <v>0</v>
      </c>
      <c r="CU162" s="408">
        <v>0</v>
      </c>
      <c r="CV162" s="408">
        <v>0</v>
      </c>
      <c r="CW162" s="408">
        <v>0</v>
      </c>
      <c r="CX162" s="408">
        <v>0</v>
      </c>
      <c r="CY162" s="408">
        <v>0</v>
      </c>
      <c r="CZ162" s="408">
        <v>-6.128106592853328</v>
      </c>
      <c r="DA162" s="408">
        <v>0</v>
      </c>
      <c r="DB162" s="408">
        <v>0</v>
      </c>
      <c r="DC162" s="408">
        <v>176.05086545543145</v>
      </c>
      <c r="DD162" s="408">
        <v>0</v>
      </c>
      <c r="DE162" s="408">
        <v>0</v>
      </c>
      <c r="DF162" s="408">
        <v>1.0226840966181925</v>
      </c>
      <c r="DG162" s="408">
        <v>24.877724074200898</v>
      </c>
      <c r="DH162" s="408">
        <v>0</v>
      </c>
      <c r="DI162" s="408">
        <v>-42.107399406585046</v>
      </c>
      <c r="DJ162" s="408"/>
      <c r="DK162" s="408">
        <v>0</v>
      </c>
      <c r="DL162" s="408">
        <v>0</v>
      </c>
      <c r="DM162" s="408">
        <v>0</v>
      </c>
      <c r="DN162" s="408">
        <v>0</v>
      </c>
      <c r="DO162" s="408">
        <v>-5.7445926585201619</v>
      </c>
      <c r="DP162" s="408">
        <v>-1.5456281548512187</v>
      </c>
      <c r="DQ162" s="408">
        <v>0</v>
      </c>
      <c r="DR162" s="408">
        <v>0</v>
      </c>
      <c r="DS162" s="408"/>
      <c r="DT162" s="408"/>
      <c r="DU162" s="408"/>
      <c r="DV162" s="408">
        <v>5253.1643294635687</v>
      </c>
      <c r="DW162" s="408">
        <v>0</v>
      </c>
      <c r="DX162" s="408">
        <v>0</v>
      </c>
      <c r="DY162" s="408">
        <v>-3558.0652999999993</v>
      </c>
      <c r="DZ162" s="408">
        <v>176.12985000000026</v>
      </c>
      <c r="EA162" s="408">
        <v>0</v>
      </c>
      <c r="EB162" s="408">
        <v>0</v>
      </c>
      <c r="EC162" s="408">
        <v>-3528.417409601625</v>
      </c>
      <c r="ED162" s="408">
        <v>0</v>
      </c>
      <c r="EE162" s="408">
        <v>0</v>
      </c>
      <c r="EF162" s="408">
        <v>0</v>
      </c>
      <c r="EG162" s="408">
        <v>0</v>
      </c>
      <c r="EH162" s="408">
        <v>0</v>
      </c>
      <c r="EI162" s="408">
        <v>0</v>
      </c>
      <c r="EJ162" s="408">
        <v>0</v>
      </c>
      <c r="EK162" s="408">
        <v>0</v>
      </c>
      <c r="EL162" s="408">
        <v>0</v>
      </c>
      <c r="EM162" s="408">
        <v>0</v>
      </c>
      <c r="EN162" s="408">
        <v>0</v>
      </c>
      <c r="EO162" s="408">
        <v>0</v>
      </c>
      <c r="EP162" s="408">
        <v>0</v>
      </c>
      <c r="EQ162" s="408">
        <v>0</v>
      </c>
      <c r="ER162" s="408">
        <v>0</v>
      </c>
      <c r="ES162" s="408">
        <v>0</v>
      </c>
      <c r="ET162" s="408">
        <v>0</v>
      </c>
      <c r="EU162" s="408">
        <v>0</v>
      </c>
      <c r="EV162" s="408">
        <v>257</v>
      </c>
      <c r="EW162" s="408">
        <v>0</v>
      </c>
      <c r="EX162" s="408">
        <v>0</v>
      </c>
      <c r="EY162" s="408">
        <v>0</v>
      </c>
      <c r="EZ162" s="408"/>
      <c r="FA162" s="408">
        <v>0</v>
      </c>
      <c r="FB162" s="408"/>
      <c r="FC162" s="408"/>
      <c r="FD162" s="408"/>
      <c r="FE162" s="408"/>
      <c r="FF162" s="408">
        <v>0</v>
      </c>
      <c r="FG162" s="408">
        <v>0</v>
      </c>
      <c r="FH162" s="408">
        <v>0</v>
      </c>
      <c r="FI162" s="408">
        <v>0</v>
      </c>
    </row>
    <row r="163" spans="1:165">
      <c r="A163" s="408">
        <v>161</v>
      </c>
      <c r="B163" s="408" t="s">
        <v>1035</v>
      </c>
      <c r="C163" s="408" t="s">
        <v>2241</v>
      </c>
      <c r="D163" s="408" t="s">
        <v>596</v>
      </c>
      <c r="E163" s="408" t="s">
        <v>997</v>
      </c>
      <c r="F163" s="408" t="s">
        <v>1321</v>
      </c>
      <c r="G163" s="408" t="s">
        <v>1321</v>
      </c>
      <c r="H163" s="408" t="s">
        <v>1321</v>
      </c>
      <c r="I163" s="408" t="s">
        <v>972</v>
      </c>
      <c r="J163" s="408" t="s">
        <v>2234</v>
      </c>
      <c r="K163" s="828">
        <v>44501</v>
      </c>
      <c r="L163" s="408">
        <v>0</v>
      </c>
      <c r="M163" s="408">
        <v>0</v>
      </c>
      <c r="N163" s="408">
        <v>12.792</v>
      </c>
      <c r="O163" s="408">
        <v>12.792</v>
      </c>
      <c r="P163" s="408">
        <v>12.792</v>
      </c>
      <c r="Q163" s="408">
        <v>12.792</v>
      </c>
      <c r="R163" s="408"/>
      <c r="S163" s="408">
        <v>3130.62</v>
      </c>
      <c r="T163" s="408">
        <v>256.55</v>
      </c>
      <c r="U163" s="408"/>
      <c r="V163" s="408">
        <v>43328.678639999998</v>
      </c>
      <c r="W163" s="408">
        <v>43328.678639999998</v>
      </c>
      <c r="X163" s="408">
        <v>22803.402959999999</v>
      </c>
      <c r="Y163" s="408">
        <v>0</v>
      </c>
      <c r="Z163" s="408">
        <v>684.15418826520397</v>
      </c>
      <c r="AA163" s="408">
        <v>0</v>
      </c>
      <c r="AB163" s="408">
        <v>0</v>
      </c>
      <c r="AC163" s="408">
        <v>0</v>
      </c>
      <c r="AD163" s="408">
        <v>8240.7830226342194</v>
      </c>
      <c r="AE163" s="408">
        <v>30753.869697333805</v>
      </c>
      <c r="AF163" s="408">
        <v>3281.8198579964092</v>
      </c>
      <c r="AG163" s="408">
        <v>0</v>
      </c>
      <c r="AH163" s="408">
        <v>0</v>
      </c>
      <c r="AI163" s="408">
        <v>0</v>
      </c>
      <c r="AJ163" s="408">
        <v>0</v>
      </c>
      <c r="AK163" s="408">
        <v>0</v>
      </c>
      <c r="AL163" s="408">
        <v>121.57854195935847</v>
      </c>
      <c r="AM163" s="408"/>
      <c r="AN163" s="408">
        <v>17.257111493670024</v>
      </c>
      <c r="AO163" s="408">
        <v>0</v>
      </c>
      <c r="AP163" s="408">
        <v>0</v>
      </c>
      <c r="AQ163" s="408">
        <v>0</v>
      </c>
      <c r="AR163" s="408">
        <v>0</v>
      </c>
      <c r="AS163" s="408">
        <v>0</v>
      </c>
      <c r="AT163" s="408">
        <v>0</v>
      </c>
      <c r="AU163" s="408">
        <v>0</v>
      </c>
      <c r="AV163" s="408">
        <v>0</v>
      </c>
      <c r="AW163" s="408">
        <v>0</v>
      </c>
      <c r="AX163" s="408">
        <v>0</v>
      </c>
      <c r="AY163" s="408">
        <v>0</v>
      </c>
      <c r="AZ163" s="408">
        <v>0</v>
      </c>
      <c r="BA163" s="408"/>
      <c r="BB163" s="408">
        <v>0</v>
      </c>
      <c r="BC163" s="408">
        <v>0</v>
      </c>
      <c r="BD163" s="408">
        <v>15.760066578502222</v>
      </c>
      <c r="BE163" s="408">
        <v>0</v>
      </c>
      <c r="BF163" s="408">
        <v>0</v>
      </c>
      <c r="BG163" s="408">
        <v>213.48937462363907</v>
      </c>
      <c r="BH163" s="408">
        <v>0</v>
      </c>
      <c r="BI163" s="408">
        <v>0</v>
      </c>
      <c r="BJ163" s="408">
        <v>0</v>
      </c>
      <c r="BK163" s="408">
        <v>0</v>
      </c>
      <c r="BL163" s="408">
        <v>0</v>
      </c>
      <c r="BM163" s="408"/>
      <c r="BN163" s="408"/>
      <c r="BO163" s="408"/>
      <c r="BP163" s="408"/>
      <c r="BQ163" s="408"/>
      <c r="BR163" s="408"/>
      <c r="BS163" s="408"/>
      <c r="BT163" s="408"/>
      <c r="BU163" s="408"/>
      <c r="BV163" s="408">
        <v>3511.0692991985502</v>
      </c>
      <c r="BW163" s="408"/>
      <c r="BX163" s="408"/>
      <c r="BY163" s="408"/>
      <c r="BZ163" s="408"/>
      <c r="CA163" s="408"/>
      <c r="CB163" s="408"/>
      <c r="CC163" s="408"/>
      <c r="CD163" s="408"/>
      <c r="CE163" s="408"/>
      <c r="CF163" s="408"/>
      <c r="CG163" s="408"/>
      <c r="CH163" s="408"/>
      <c r="CI163" s="408">
        <v>22799.837699999996</v>
      </c>
      <c r="CJ163" s="408">
        <v>-20528.870940000008</v>
      </c>
      <c r="CK163" s="408"/>
      <c r="CL163" s="408"/>
      <c r="CM163" s="408"/>
      <c r="CN163" s="408"/>
      <c r="CO163" s="408">
        <v>-20729.819759999998</v>
      </c>
      <c r="CP163" s="408">
        <v>204.54408000000012</v>
      </c>
      <c r="CQ163" s="408">
        <v>30</v>
      </c>
      <c r="CR163" s="408">
        <v>131.16790399636375</v>
      </c>
      <c r="CS163" s="408">
        <v>0</v>
      </c>
      <c r="CT163" s="408">
        <v>0</v>
      </c>
      <c r="CU163" s="408">
        <v>0</v>
      </c>
      <c r="CV163" s="408">
        <v>0</v>
      </c>
      <c r="CW163" s="408">
        <v>0</v>
      </c>
      <c r="CX163" s="408">
        <v>0</v>
      </c>
      <c r="CY163" s="408">
        <v>0</v>
      </c>
      <c r="CZ163" s="408">
        <v>-37.248857568481981</v>
      </c>
      <c r="DA163" s="408">
        <v>0</v>
      </c>
      <c r="DB163" s="408">
        <v>0</v>
      </c>
      <c r="DC163" s="408">
        <v>204.452353237029</v>
      </c>
      <c r="DD163" s="408">
        <v>0</v>
      </c>
      <c r="DE163" s="408">
        <v>0</v>
      </c>
      <c r="DF163" s="408">
        <v>0.9818280218202915</v>
      </c>
      <c r="DG163" s="408">
        <v>13.300061222602494</v>
      </c>
      <c r="DH163" s="408">
        <v>0</v>
      </c>
      <c r="DI163" s="408">
        <v>-42.543343830400772</v>
      </c>
      <c r="DJ163" s="408"/>
      <c r="DK163" s="408">
        <v>0</v>
      </c>
      <c r="DL163" s="408">
        <v>0</v>
      </c>
      <c r="DM163" s="408">
        <v>0</v>
      </c>
      <c r="DN163" s="408">
        <v>0</v>
      </c>
      <c r="DO163" s="408">
        <v>-6.6713417419691154</v>
      </c>
      <c r="DP163" s="408">
        <v>-1.1027953442354139</v>
      </c>
      <c r="DQ163" s="408">
        <v>0</v>
      </c>
      <c r="DR163" s="408">
        <v>0</v>
      </c>
      <c r="DS163" s="408"/>
      <c r="DT163" s="408"/>
      <c r="DU163" s="408"/>
      <c r="DV163" s="408">
        <v>30753.869697333805</v>
      </c>
      <c r="DW163" s="408">
        <v>0</v>
      </c>
      <c r="DX163" s="408">
        <v>0</v>
      </c>
      <c r="DY163" s="408">
        <v>-20729.819759999995</v>
      </c>
      <c r="DZ163" s="408">
        <v>204.54408000000012</v>
      </c>
      <c r="EA163" s="408">
        <v>0</v>
      </c>
      <c r="EB163" s="408">
        <v>0</v>
      </c>
      <c r="EC163" s="408">
        <v>-20656.595234242977</v>
      </c>
      <c r="ED163" s="408">
        <v>0</v>
      </c>
      <c r="EE163" s="408">
        <v>0</v>
      </c>
      <c r="EF163" s="408">
        <v>0</v>
      </c>
      <c r="EG163" s="408">
        <v>0</v>
      </c>
      <c r="EH163" s="408">
        <v>0</v>
      </c>
      <c r="EI163" s="408">
        <v>0</v>
      </c>
      <c r="EJ163" s="408">
        <v>0</v>
      </c>
      <c r="EK163" s="408">
        <v>0</v>
      </c>
      <c r="EL163" s="408">
        <v>0</v>
      </c>
      <c r="EM163" s="408">
        <v>0</v>
      </c>
      <c r="EN163" s="408">
        <v>0</v>
      </c>
      <c r="EO163" s="408">
        <v>0</v>
      </c>
      <c r="EP163" s="408">
        <v>0</v>
      </c>
      <c r="EQ163" s="408">
        <v>0</v>
      </c>
      <c r="ER163" s="408">
        <v>0</v>
      </c>
      <c r="ES163" s="408">
        <v>0</v>
      </c>
      <c r="ET163" s="408">
        <v>0</v>
      </c>
      <c r="EU163" s="408">
        <v>0</v>
      </c>
      <c r="EV163" s="408">
        <v>257</v>
      </c>
      <c r="EW163" s="408">
        <v>0</v>
      </c>
      <c r="EX163" s="408">
        <v>0</v>
      </c>
      <c r="EY163" s="408">
        <v>0</v>
      </c>
      <c r="EZ163" s="408"/>
      <c r="FA163" s="408">
        <v>0</v>
      </c>
      <c r="FB163" s="408"/>
      <c r="FC163" s="408"/>
      <c r="FD163" s="408"/>
      <c r="FE163" s="408"/>
      <c r="FF163" s="408">
        <v>0</v>
      </c>
      <c r="FG163" s="408">
        <v>0</v>
      </c>
      <c r="FH163" s="408">
        <v>0</v>
      </c>
      <c r="FI163" s="408">
        <v>0</v>
      </c>
    </row>
    <row r="164" spans="1:165">
      <c r="A164" s="408">
        <v>162</v>
      </c>
      <c r="B164" s="408" t="s">
        <v>2236</v>
      </c>
      <c r="C164" s="408" t="s">
        <v>2241</v>
      </c>
      <c r="D164" s="408" t="s">
        <v>596</v>
      </c>
      <c r="E164" s="408" t="s">
        <v>997</v>
      </c>
      <c r="F164" s="408" t="s">
        <v>1321</v>
      </c>
      <c r="G164" s="408" t="s">
        <v>1321</v>
      </c>
      <c r="H164" s="408" t="s">
        <v>1321</v>
      </c>
      <c r="I164" s="408" t="s">
        <v>972</v>
      </c>
      <c r="J164" s="408" t="s">
        <v>2234</v>
      </c>
      <c r="K164" s="828">
        <v>44501</v>
      </c>
      <c r="L164" s="408">
        <v>0</v>
      </c>
      <c r="M164" s="408">
        <v>0</v>
      </c>
      <c r="N164" s="408">
        <v>2.9580000000000002</v>
      </c>
      <c r="O164" s="408">
        <v>2.9580000000000002</v>
      </c>
      <c r="P164" s="408">
        <v>2.9580000000000002</v>
      </c>
      <c r="Q164" s="408">
        <v>2.9580000000000002</v>
      </c>
      <c r="R164" s="408"/>
      <c r="S164" s="408">
        <v>3130.62</v>
      </c>
      <c r="T164" s="408">
        <v>256.55</v>
      </c>
      <c r="U164" s="408"/>
      <c r="V164" s="408">
        <v>10019.248860000002</v>
      </c>
      <c r="W164" s="408">
        <v>10019.248860000002</v>
      </c>
      <c r="X164" s="408">
        <v>5273.0195400000002</v>
      </c>
      <c r="Y164" s="408">
        <v>0</v>
      </c>
      <c r="Z164" s="408">
        <v>158.20263359040598</v>
      </c>
      <c r="AA164" s="408">
        <v>0</v>
      </c>
      <c r="AB164" s="408">
        <v>0</v>
      </c>
      <c r="AC164" s="408">
        <v>0</v>
      </c>
      <c r="AD164" s="408">
        <v>1905.5844419130726</v>
      </c>
      <c r="AE164" s="408">
        <v>7111.4717452089899</v>
      </c>
      <c r="AF164" s="408">
        <v>758.88235928340987</v>
      </c>
      <c r="AG164" s="408">
        <v>0</v>
      </c>
      <c r="AH164" s="408">
        <v>0</v>
      </c>
      <c r="AI164" s="408">
        <v>0</v>
      </c>
      <c r="AJ164" s="408">
        <v>0</v>
      </c>
      <c r="AK164" s="408">
        <v>0</v>
      </c>
      <c r="AL164" s="408">
        <v>28.113612188538337</v>
      </c>
      <c r="AM164" s="408"/>
      <c r="AN164" s="408">
        <v>3.9905046746619712</v>
      </c>
      <c r="AO164" s="408">
        <v>0</v>
      </c>
      <c r="AP164" s="408">
        <v>0</v>
      </c>
      <c r="AQ164" s="408">
        <v>0</v>
      </c>
      <c r="AR164" s="408">
        <v>0</v>
      </c>
      <c r="AS164" s="408">
        <v>0</v>
      </c>
      <c r="AT164" s="408">
        <v>0</v>
      </c>
      <c r="AU164" s="408">
        <v>0</v>
      </c>
      <c r="AV164" s="408">
        <v>0</v>
      </c>
      <c r="AW164" s="408">
        <v>0</v>
      </c>
      <c r="AX164" s="408">
        <v>0</v>
      </c>
      <c r="AY164" s="408">
        <v>0</v>
      </c>
      <c r="AZ164" s="408">
        <v>0</v>
      </c>
      <c r="BA164" s="408"/>
      <c r="BB164" s="408">
        <v>0</v>
      </c>
      <c r="BC164" s="408">
        <v>0</v>
      </c>
      <c r="BD164" s="408">
        <v>3.6443305924960581</v>
      </c>
      <c r="BE164" s="408">
        <v>0</v>
      </c>
      <c r="BF164" s="408">
        <v>0</v>
      </c>
      <c r="BG164" s="408">
        <v>49.366914488486898</v>
      </c>
      <c r="BH164" s="408">
        <v>0</v>
      </c>
      <c r="BI164" s="408">
        <v>0</v>
      </c>
      <c r="BJ164" s="408">
        <v>0</v>
      </c>
      <c r="BK164" s="408">
        <v>0</v>
      </c>
      <c r="BL164" s="408">
        <v>0</v>
      </c>
      <c r="BM164" s="408"/>
      <c r="BN164" s="408"/>
      <c r="BO164" s="408"/>
      <c r="BP164" s="408"/>
      <c r="BQ164" s="408"/>
      <c r="BR164" s="408"/>
      <c r="BS164" s="408"/>
      <c r="BT164" s="408"/>
      <c r="BU164" s="408"/>
      <c r="BV164" s="408">
        <v>811.8936043643929</v>
      </c>
      <c r="BW164" s="408"/>
      <c r="BX164" s="408"/>
      <c r="BY164" s="408"/>
      <c r="BZ164" s="408"/>
      <c r="CA164" s="408"/>
      <c r="CB164" s="408"/>
      <c r="CC164" s="408"/>
      <c r="CD164" s="408"/>
      <c r="CE164" s="408"/>
      <c r="CF164" s="408"/>
      <c r="CG164" s="408"/>
      <c r="CH164" s="408"/>
      <c r="CI164" s="408">
        <v>5276.5847999999996</v>
      </c>
      <c r="CJ164" s="408">
        <v>-4742.6940600000025</v>
      </c>
      <c r="CK164" s="408"/>
      <c r="CL164" s="408"/>
      <c r="CM164" s="408"/>
      <c r="CN164" s="408"/>
      <c r="CO164" s="408">
        <v>-4793.5277400000004</v>
      </c>
      <c r="CP164" s="408">
        <v>47.298420000000029</v>
      </c>
      <c r="CQ164" s="408">
        <v>30</v>
      </c>
      <c r="CR164" s="408">
        <v>30.331039713980317</v>
      </c>
      <c r="CS164" s="408">
        <v>0</v>
      </c>
      <c r="CT164" s="408">
        <v>0</v>
      </c>
      <c r="CU164" s="408">
        <v>0</v>
      </c>
      <c r="CV164" s="408">
        <v>0</v>
      </c>
      <c r="CW164" s="408">
        <v>0</v>
      </c>
      <c r="CX164" s="408">
        <v>0</v>
      </c>
      <c r="CY164" s="408">
        <v>0</v>
      </c>
      <c r="CZ164" s="408">
        <v>-8.613361529672602</v>
      </c>
      <c r="DA164" s="408">
        <v>0</v>
      </c>
      <c r="DB164" s="408">
        <v>0</v>
      </c>
      <c r="DC164" s="408">
        <v>47.277209261658186</v>
      </c>
      <c r="DD164" s="408">
        <v>0</v>
      </c>
      <c r="DE164" s="408">
        <v>0</v>
      </c>
      <c r="DF164" s="408">
        <v>0.22703621705319099</v>
      </c>
      <c r="DG164" s="408">
        <v>3.075483200160896</v>
      </c>
      <c r="DH164" s="408">
        <v>0</v>
      </c>
      <c r="DI164" s="408">
        <v>-9.8376493941780154</v>
      </c>
      <c r="DJ164" s="408"/>
      <c r="DK164" s="408">
        <v>0</v>
      </c>
      <c r="DL164" s="408">
        <v>0</v>
      </c>
      <c r="DM164" s="408">
        <v>0</v>
      </c>
      <c r="DN164" s="408">
        <v>0</v>
      </c>
      <c r="DO164" s="408">
        <v>-1.5426695491513946</v>
      </c>
      <c r="DP164" s="408">
        <v>-0.25500849188933383</v>
      </c>
      <c r="DQ164" s="408">
        <v>0</v>
      </c>
      <c r="DR164" s="408">
        <v>0</v>
      </c>
      <c r="DS164" s="408"/>
      <c r="DT164" s="408"/>
      <c r="DU164" s="408"/>
      <c r="DV164" s="408">
        <v>7111.4717452089899</v>
      </c>
      <c r="DW164" s="408">
        <v>0</v>
      </c>
      <c r="DX164" s="408">
        <v>0</v>
      </c>
      <c r="DY164" s="408">
        <v>-4793.5277400000004</v>
      </c>
      <c r="DZ164" s="408">
        <v>47.298420000000078</v>
      </c>
      <c r="EA164" s="408">
        <v>0</v>
      </c>
      <c r="EB164" s="408">
        <v>0</v>
      </c>
      <c r="EC164" s="408">
        <v>-4776.5954270552484</v>
      </c>
      <c r="ED164" s="408">
        <v>0</v>
      </c>
      <c r="EE164" s="408">
        <v>0</v>
      </c>
      <c r="EF164" s="408">
        <v>0</v>
      </c>
      <c r="EG164" s="408">
        <v>0</v>
      </c>
      <c r="EH164" s="408">
        <v>0</v>
      </c>
      <c r="EI164" s="408">
        <v>0</v>
      </c>
      <c r="EJ164" s="408">
        <v>0</v>
      </c>
      <c r="EK164" s="408">
        <v>0</v>
      </c>
      <c r="EL164" s="408">
        <v>0</v>
      </c>
      <c r="EM164" s="408">
        <v>0</v>
      </c>
      <c r="EN164" s="408">
        <v>0</v>
      </c>
      <c r="EO164" s="408">
        <v>0</v>
      </c>
      <c r="EP164" s="408">
        <v>0</v>
      </c>
      <c r="EQ164" s="408">
        <v>0</v>
      </c>
      <c r="ER164" s="408">
        <v>0</v>
      </c>
      <c r="ES164" s="408">
        <v>0</v>
      </c>
      <c r="ET164" s="408">
        <v>0</v>
      </c>
      <c r="EU164" s="408">
        <v>0</v>
      </c>
      <c r="EV164" s="408">
        <v>257</v>
      </c>
      <c r="EW164" s="408">
        <v>0</v>
      </c>
      <c r="EX164" s="408">
        <v>0</v>
      </c>
      <c r="EY164" s="408">
        <v>0</v>
      </c>
      <c r="EZ164" s="408"/>
      <c r="FA164" s="408">
        <v>0</v>
      </c>
      <c r="FB164" s="408"/>
      <c r="FC164" s="408"/>
      <c r="FD164" s="408"/>
      <c r="FE164" s="408"/>
      <c r="FF164" s="408">
        <v>0</v>
      </c>
      <c r="FG164" s="408">
        <v>0</v>
      </c>
      <c r="FH164" s="408">
        <v>0</v>
      </c>
      <c r="FI164" s="408">
        <v>0</v>
      </c>
    </row>
    <row r="165" spans="1:165">
      <c r="A165" s="408">
        <v>163</v>
      </c>
      <c r="B165" s="408" t="s">
        <v>1035</v>
      </c>
      <c r="C165" s="408" t="s">
        <v>2241</v>
      </c>
      <c r="D165" s="408" t="s">
        <v>596</v>
      </c>
      <c r="E165" s="408" t="s">
        <v>997</v>
      </c>
      <c r="F165" s="408" t="s">
        <v>1321</v>
      </c>
      <c r="G165" s="408" t="s">
        <v>1321</v>
      </c>
      <c r="H165" s="408" t="s">
        <v>1321</v>
      </c>
      <c r="I165" s="408" t="s">
        <v>2242</v>
      </c>
      <c r="J165" s="408" t="s">
        <v>2234</v>
      </c>
      <c r="K165" s="828">
        <v>44501</v>
      </c>
      <c r="L165" s="408">
        <v>0</v>
      </c>
      <c r="M165" s="408">
        <v>0</v>
      </c>
      <c r="N165" s="408">
        <v>104.116</v>
      </c>
      <c r="O165" s="408">
        <v>104.116</v>
      </c>
      <c r="P165" s="408">
        <v>104.116</v>
      </c>
      <c r="Q165" s="408">
        <v>104.116</v>
      </c>
      <c r="R165" s="408"/>
      <c r="S165" s="408">
        <v>82.26</v>
      </c>
      <c r="T165" s="408">
        <v>256.55</v>
      </c>
      <c r="U165" s="408"/>
      <c r="V165" s="408">
        <v>35275.541960000002</v>
      </c>
      <c r="W165" s="408">
        <v>35275.541960000002</v>
      </c>
      <c r="X165" s="408">
        <v>36646.749680000001</v>
      </c>
      <c r="Y165" s="408">
        <v>0</v>
      </c>
      <c r="Z165" s="408">
        <v>5568.4331977345191</v>
      </c>
      <c r="AA165" s="408">
        <v>0</v>
      </c>
      <c r="AB165" s="408">
        <v>0</v>
      </c>
      <c r="AC165" s="408">
        <v>0</v>
      </c>
      <c r="AD165" s="408">
        <v>0</v>
      </c>
      <c r="AE165" s="408">
        <v>0</v>
      </c>
      <c r="AF165" s="408">
        <v>26711.222352654328</v>
      </c>
      <c r="AG165" s="408">
        <v>0</v>
      </c>
      <c r="AH165" s="408">
        <v>0</v>
      </c>
      <c r="AI165" s="408">
        <v>0</v>
      </c>
      <c r="AJ165" s="408">
        <v>0</v>
      </c>
      <c r="AK165" s="408">
        <v>0</v>
      </c>
      <c r="AL165" s="408">
        <v>989.54592515951902</v>
      </c>
      <c r="AM165" s="408"/>
      <c r="AN165" s="408">
        <v>140.45820984013042</v>
      </c>
      <c r="AO165" s="408">
        <v>0</v>
      </c>
      <c r="AP165" s="408">
        <v>0</v>
      </c>
      <c r="AQ165" s="408">
        <v>0</v>
      </c>
      <c r="AR165" s="408">
        <v>0</v>
      </c>
      <c r="AS165" s="408">
        <v>0</v>
      </c>
      <c r="AT165" s="408">
        <v>0</v>
      </c>
      <c r="AU165" s="408">
        <v>0</v>
      </c>
      <c r="AV165" s="408">
        <v>0</v>
      </c>
      <c r="AW165" s="408">
        <v>0</v>
      </c>
      <c r="AX165" s="408">
        <v>0</v>
      </c>
      <c r="AY165" s="408">
        <v>0</v>
      </c>
      <c r="AZ165" s="408">
        <v>0</v>
      </c>
      <c r="BA165" s="408"/>
      <c r="BB165" s="408">
        <v>0</v>
      </c>
      <c r="BC165" s="408">
        <v>0</v>
      </c>
      <c r="BD165" s="408">
        <v>128.27353751464489</v>
      </c>
      <c r="BE165" s="408">
        <v>0</v>
      </c>
      <c r="BF165" s="408">
        <v>0</v>
      </c>
      <c r="BG165" s="408">
        <v>1737.6219299808322</v>
      </c>
      <c r="BH165" s="408">
        <v>0</v>
      </c>
      <c r="BI165" s="408">
        <v>0</v>
      </c>
      <c r="BJ165" s="408">
        <v>0</v>
      </c>
      <c r="BK165" s="408">
        <v>0</v>
      </c>
      <c r="BL165" s="408">
        <v>0</v>
      </c>
      <c r="BM165" s="408"/>
      <c r="BN165" s="408"/>
      <c r="BO165" s="408"/>
      <c r="BP165" s="408"/>
      <c r="BQ165" s="408"/>
      <c r="BR165" s="408"/>
      <c r="BS165" s="408"/>
      <c r="BT165" s="408"/>
      <c r="BU165" s="408"/>
      <c r="BV165" s="408">
        <v>28577.117820149804</v>
      </c>
      <c r="BW165" s="408"/>
      <c r="BX165" s="408"/>
      <c r="BY165" s="408"/>
      <c r="BZ165" s="408"/>
      <c r="CA165" s="408"/>
      <c r="CB165" s="408"/>
      <c r="CC165" s="408"/>
      <c r="CD165" s="408"/>
      <c r="CE165" s="408"/>
      <c r="CF165" s="408"/>
      <c r="CG165" s="408"/>
      <c r="CH165" s="408"/>
      <c r="CI165" s="408">
        <v>36648.157600000006</v>
      </c>
      <c r="CJ165" s="408">
        <v>1372.5856400000048</v>
      </c>
      <c r="CK165" s="408"/>
      <c r="CL165" s="408"/>
      <c r="CM165" s="408"/>
      <c r="CN165" s="408"/>
      <c r="CO165" s="408">
        <v>-293.60712000000075</v>
      </c>
      <c r="CP165" s="408">
        <v>1664.8148400000009</v>
      </c>
      <c r="CQ165" s="408">
        <v>30</v>
      </c>
      <c r="CR165" s="408">
        <v>1370.7691953631656</v>
      </c>
      <c r="CS165" s="408">
        <v>0</v>
      </c>
      <c r="CT165" s="408">
        <v>0</v>
      </c>
      <c r="CU165" s="408">
        <v>0</v>
      </c>
      <c r="CV165" s="408">
        <v>0</v>
      </c>
      <c r="CW165" s="408">
        <v>0</v>
      </c>
      <c r="CX165" s="408">
        <v>0</v>
      </c>
      <c r="CY165" s="408">
        <v>0</v>
      </c>
      <c r="CZ165" s="408">
        <v>0</v>
      </c>
      <c r="DA165" s="408">
        <v>0</v>
      </c>
      <c r="DB165" s="408">
        <v>0</v>
      </c>
      <c r="DC165" s="408">
        <v>1664.0682621659253</v>
      </c>
      <c r="DD165" s="408">
        <v>0</v>
      </c>
      <c r="DE165" s="408">
        <v>0</v>
      </c>
      <c r="DF165" s="408">
        <v>7.9912450218762672</v>
      </c>
      <c r="DG165" s="408">
        <v>108.25118622986884</v>
      </c>
      <c r="DH165" s="408">
        <v>0</v>
      </c>
      <c r="DI165" s="408">
        <v>-346.26663432191981</v>
      </c>
      <c r="DJ165" s="408"/>
      <c r="DK165" s="408">
        <v>0</v>
      </c>
      <c r="DL165" s="408">
        <v>0</v>
      </c>
      <c r="DM165" s="408">
        <v>0</v>
      </c>
      <c r="DN165" s="408">
        <v>0</v>
      </c>
      <c r="DO165" s="408">
        <v>-54.299047592781221</v>
      </c>
      <c r="DP165" s="408">
        <v>-8.9758161398072787</v>
      </c>
      <c r="DQ165" s="408">
        <v>0</v>
      </c>
      <c r="DR165" s="408">
        <v>0</v>
      </c>
      <c r="DS165" s="408"/>
      <c r="DT165" s="408"/>
      <c r="DU165" s="408"/>
      <c r="DV165" s="408">
        <v>0</v>
      </c>
      <c r="DW165" s="408">
        <v>0</v>
      </c>
      <c r="DX165" s="408">
        <v>0</v>
      </c>
      <c r="DY165" s="408">
        <v>-293.60712000000058</v>
      </c>
      <c r="DZ165" s="408">
        <v>1664.8148400000027</v>
      </c>
      <c r="EA165" s="408">
        <v>0</v>
      </c>
      <c r="EB165" s="408">
        <v>0</v>
      </c>
      <c r="EC165" s="408">
        <v>0</v>
      </c>
      <c r="ED165" s="408">
        <v>0</v>
      </c>
      <c r="EE165" s="408">
        <v>0</v>
      </c>
      <c r="EF165" s="408">
        <v>0</v>
      </c>
      <c r="EG165" s="408">
        <v>0</v>
      </c>
      <c r="EH165" s="408">
        <v>0</v>
      </c>
      <c r="EI165" s="408">
        <v>0</v>
      </c>
      <c r="EJ165" s="408">
        <v>0</v>
      </c>
      <c r="EK165" s="408">
        <v>0</v>
      </c>
      <c r="EL165" s="408">
        <v>0</v>
      </c>
      <c r="EM165" s="408">
        <v>0</v>
      </c>
      <c r="EN165" s="408">
        <v>0</v>
      </c>
      <c r="EO165" s="408">
        <v>0</v>
      </c>
      <c r="EP165" s="408">
        <v>0</v>
      </c>
      <c r="EQ165" s="408">
        <v>0</v>
      </c>
      <c r="ER165" s="408">
        <v>0</v>
      </c>
      <c r="ES165" s="408">
        <v>0</v>
      </c>
      <c r="ET165" s="408">
        <v>0</v>
      </c>
      <c r="EU165" s="408">
        <v>0</v>
      </c>
      <c r="EV165" s="408">
        <v>257</v>
      </c>
      <c r="EW165" s="408">
        <v>0</v>
      </c>
      <c r="EX165" s="408">
        <v>0</v>
      </c>
      <c r="EY165" s="408">
        <v>0</v>
      </c>
      <c r="EZ165" s="408"/>
      <c r="FA165" s="408">
        <v>0</v>
      </c>
      <c r="FB165" s="408"/>
      <c r="FC165" s="408"/>
      <c r="FD165" s="408"/>
      <c r="FE165" s="408"/>
      <c r="FF165" s="408">
        <v>0</v>
      </c>
      <c r="FG165" s="408">
        <v>0</v>
      </c>
      <c r="FH165" s="408">
        <v>0</v>
      </c>
      <c r="FI165" s="408">
        <v>0</v>
      </c>
    </row>
    <row r="166" spans="1:165">
      <c r="A166" s="408">
        <v>164</v>
      </c>
      <c r="B166" s="408" t="s">
        <v>2236</v>
      </c>
      <c r="C166" s="408" t="s">
        <v>2241</v>
      </c>
      <c r="D166" s="408" t="s">
        <v>596</v>
      </c>
      <c r="E166" s="408" t="s">
        <v>997</v>
      </c>
      <c r="F166" s="408" t="s">
        <v>1321</v>
      </c>
      <c r="G166" s="408" t="s">
        <v>1321</v>
      </c>
      <c r="H166" s="408" t="s">
        <v>1321</v>
      </c>
      <c r="I166" s="408" t="s">
        <v>2242</v>
      </c>
      <c r="J166" s="408" t="s">
        <v>2234</v>
      </c>
      <c r="K166" s="828">
        <v>44501</v>
      </c>
      <c r="L166" s="408">
        <v>0</v>
      </c>
      <c r="M166" s="408">
        <v>0</v>
      </c>
      <c r="N166" s="408">
        <v>7.9550000000000001</v>
      </c>
      <c r="O166" s="408">
        <v>7.9550000000000001</v>
      </c>
      <c r="P166" s="408">
        <v>7.9550000000000001</v>
      </c>
      <c r="Q166" s="408">
        <v>7.9550000000000001</v>
      </c>
      <c r="R166" s="408"/>
      <c r="S166" s="408">
        <v>82.26</v>
      </c>
      <c r="T166" s="408">
        <v>256.55</v>
      </c>
      <c r="U166" s="408"/>
      <c r="V166" s="408">
        <v>2695.2335499999999</v>
      </c>
      <c r="W166" s="408">
        <v>2695.2335499999999</v>
      </c>
      <c r="X166" s="408">
        <v>2800.0009000000005</v>
      </c>
      <c r="Y166" s="408">
        <v>0</v>
      </c>
      <c r="Z166" s="408">
        <v>425.45704875310327</v>
      </c>
      <c r="AA166" s="408">
        <v>0</v>
      </c>
      <c r="AB166" s="408">
        <v>0</v>
      </c>
      <c r="AC166" s="408">
        <v>0</v>
      </c>
      <c r="AD166" s="408">
        <v>0</v>
      </c>
      <c r="AE166" s="408">
        <v>0</v>
      </c>
      <c r="AF166" s="408">
        <v>2040.8753103784738</v>
      </c>
      <c r="AG166" s="408">
        <v>0</v>
      </c>
      <c r="AH166" s="408">
        <v>0</v>
      </c>
      <c r="AI166" s="408">
        <v>0</v>
      </c>
      <c r="AJ166" s="408">
        <v>0</v>
      </c>
      <c r="AK166" s="408">
        <v>0</v>
      </c>
      <c r="AL166" s="408">
        <v>75.606418174382171</v>
      </c>
      <c r="AM166" s="408"/>
      <c r="AN166" s="408">
        <v>10.731732483751177</v>
      </c>
      <c r="AO166" s="408">
        <v>0</v>
      </c>
      <c r="AP166" s="408">
        <v>0</v>
      </c>
      <c r="AQ166" s="408">
        <v>0</v>
      </c>
      <c r="AR166" s="408">
        <v>0</v>
      </c>
      <c r="AS166" s="408">
        <v>0</v>
      </c>
      <c r="AT166" s="408">
        <v>0</v>
      </c>
      <c r="AU166" s="408">
        <v>0</v>
      </c>
      <c r="AV166" s="408">
        <v>0</v>
      </c>
      <c r="AW166" s="408">
        <v>0</v>
      </c>
      <c r="AX166" s="408">
        <v>0</v>
      </c>
      <c r="AY166" s="408">
        <v>0</v>
      </c>
      <c r="AZ166" s="408">
        <v>0</v>
      </c>
      <c r="BA166" s="408"/>
      <c r="BB166" s="408">
        <v>0</v>
      </c>
      <c r="BC166" s="408">
        <v>0</v>
      </c>
      <c r="BD166" s="408">
        <v>9.8007606028756395</v>
      </c>
      <c r="BE166" s="408">
        <v>0</v>
      </c>
      <c r="BF166" s="408">
        <v>0</v>
      </c>
      <c r="BG166" s="408">
        <v>132.7632876118706</v>
      </c>
      <c r="BH166" s="408">
        <v>0</v>
      </c>
      <c r="BI166" s="408">
        <v>0</v>
      </c>
      <c r="BJ166" s="408">
        <v>0</v>
      </c>
      <c r="BK166" s="408">
        <v>0</v>
      </c>
      <c r="BL166" s="408">
        <v>0</v>
      </c>
      <c r="BM166" s="408"/>
      <c r="BN166" s="408"/>
      <c r="BO166" s="408"/>
      <c r="BP166" s="408"/>
      <c r="BQ166" s="408"/>
      <c r="BR166" s="408"/>
      <c r="BS166" s="408"/>
      <c r="BT166" s="408"/>
      <c r="BU166" s="408"/>
      <c r="BV166" s="408">
        <v>2183.4393585932198</v>
      </c>
      <c r="BW166" s="408"/>
      <c r="BX166" s="408"/>
      <c r="BY166" s="408"/>
      <c r="BZ166" s="408"/>
      <c r="CA166" s="408"/>
      <c r="CB166" s="408"/>
      <c r="CC166" s="408"/>
      <c r="CD166" s="408"/>
      <c r="CE166" s="408"/>
      <c r="CF166" s="408"/>
      <c r="CG166" s="408"/>
      <c r="CH166" s="408"/>
      <c r="CI166" s="408">
        <v>2801.7608</v>
      </c>
      <c r="CJ166" s="408">
        <v>106.49724999999944</v>
      </c>
      <c r="CK166" s="408"/>
      <c r="CL166" s="408"/>
      <c r="CM166" s="408"/>
      <c r="CN166" s="408"/>
      <c r="CO166" s="408">
        <v>-22.43310000000006</v>
      </c>
      <c r="CP166" s="408">
        <v>127.20045000000007</v>
      </c>
      <c r="CQ166" s="408">
        <v>30</v>
      </c>
      <c r="CR166" s="408">
        <v>104.73384445343572</v>
      </c>
      <c r="CS166" s="408">
        <v>0</v>
      </c>
      <c r="CT166" s="408">
        <v>0</v>
      </c>
      <c r="CU166" s="408">
        <v>0</v>
      </c>
      <c r="CV166" s="408">
        <v>0</v>
      </c>
      <c r="CW166" s="408">
        <v>0</v>
      </c>
      <c r="CX166" s="408">
        <v>0</v>
      </c>
      <c r="CY166" s="408">
        <v>0</v>
      </c>
      <c r="CZ166" s="408">
        <v>0</v>
      </c>
      <c r="DA166" s="408">
        <v>0</v>
      </c>
      <c r="DB166" s="408">
        <v>0</v>
      </c>
      <c r="DC166" s="408">
        <v>127.14340759854304</v>
      </c>
      <c r="DD166" s="408">
        <v>0</v>
      </c>
      <c r="DE166" s="408">
        <v>0</v>
      </c>
      <c r="DF166" s="408">
        <v>0.61057238223736832</v>
      </c>
      <c r="DG166" s="408">
        <v>8.2709495798782768</v>
      </c>
      <c r="DH166" s="408">
        <v>0</v>
      </c>
      <c r="DI166" s="408">
        <v>-26.45655880009673</v>
      </c>
      <c r="DJ166" s="408"/>
      <c r="DK166" s="408">
        <v>0</v>
      </c>
      <c r="DL166" s="408">
        <v>0</v>
      </c>
      <c r="DM166" s="408">
        <v>0</v>
      </c>
      <c r="DN166" s="408">
        <v>0</v>
      </c>
      <c r="DO166" s="408">
        <v>-4.1487276076738908</v>
      </c>
      <c r="DP166" s="408">
        <v>-0.68579869945221539</v>
      </c>
      <c r="DQ166" s="408">
        <v>0</v>
      </c>
      <c r="DR166" s="408">
        <v>0</v>
      </c>
      <c r="DS166" s="408"/>
      <c r="DT166" s="408"/>
      <c r="DU166" s="408"/>
      <c r="DV166" s="408">
        <v>0</v>
      </c>
      <c r="DW166" s="408">
        <v>0</v>
      </c>
      <c r="DX166" s="408">
        <v>0</v>
      </c>
      <c r="DY166" s="408">
        <v>-22.433100000000081</v>
      </c>
      <c r="DZ166" s="408">
        <v>127.20045000000027</v>
      </c>
      <c r="EA166" s="408">
        <v>0</v>
      </c>
      <c r="EB166" s="408">
        <v>0</v>
      </c>
      <c r="EC166" s="408">
        <v>0</v>
      </c>
      <c r="ED166" s="408">
        <v>0</v>
      </c>
      <c r="EE166" s="408">
        <v>0</v>
      </c>
      <c r="EF166" s="408">
        <v>0</v>
      </c>
      <c r="EG166" s="408">
        <v>0</v>
      </c>
      <c r="EH166" s="408">
        <v>0</v>
      </c>
      <c r="EI166" s="408">
        <v>0</v>
      </c>
      <c r="EJ166" s="408">
        <v>0</v>
      </c>
      <c r="EK166" s="408">
        <v>0</v>
      </c>
      <c r="EL166" s="408">
        <v>0</v>
      </c>
      <c r="EM166" s="408">
        <v>0</v>
      </c>
      <c r="EN166" s="408">
        <v>0</v>
      </c>
      <c r="EO166" s="408">
        <v>0</v>
      </c>
      <c r="EP166" s="408">
        <v>0</v>
      </c>
      <c r="EQ166" s="408">
        <v>0</v>
      </c>
      <c r="ER166" s="408">
        <v>0</v>
      </c>
      <c r="ES166" s="408">
        <v>0</v>
      </c>
      <c r="ET166" s="408">
        <v>0</v>
      </c>
      <c r="EU166" s="408">
        <v>0</v>
      </c>
      <c r="EV166" s="408">
        <v>257</v>
      </c>
      <c r="EW166" s="408">
        <v>0</v>
      </c>
      <c r="EX166" s="408">
        <v>0</v>
      </c>
      <c r="EY166" s="408">
        <v>0</v>
      </c>
      <c r="EZ166" s="408"/>
      <c r="FA166" s="408">
        <v>0</v>
      </c>
      <c r="FB166" s="408"/>
      <c r="FC166" s="408"/>
      <c r="FD166" s="408"/>
      <c r="FE166" s="408"/>
      <c r="FF166" s="408">
        <v>0</v>
      </c>
      <c r="FG166" s="408">
        <v>0</v>
      </c>
      <c r="FH166" s="408">
        <v>0</v>
      </c>
      <c r="FI166" s="408">
        <v>0</v>
      </c>
    </row>
    <row r="167" spans="1:165">
      <c r="A167" s="408">
        <v>165</v>
      </c>
      <c r="B167" s="408" t="s">
        <v>1035</v>
      </c>
      <c r="C167" s="408" t="s">
        <v>2241</v>
      </c>
      <c r="D167" s="408" t="s">
        <v>596</v>
      </c>
      <c r="E167" s="408" t="s">
        <v>997</v>
      </c>
      <c r="F167" s="408" t="s">
        <v>1321</v>
      </c>
      <c r="G167" s="408" t="s">
        <v>1321</v>
      </c>
      <c r="H167" s="408" t="s">
        <v>1321</v>
      </c>
      <c r="I167" s="408" t="s">
        <v>1321</v>
      </c>
      <c r="J167" s="408" t="s">
        <v>2234</v>
      </c>
      <c r="K167" s="828">
        <v>44501</v>
      </c>
      <c r="L167" s="408">
        <v>796</v>
      </c>
      <c r="M167" s="408">
        <v>796</v>
      </c>
      <c r="N167" s="408">
        <v>0</v>
      </c>
      <c r="O167" s="408">
        <v>0</v>
      </c>
      <c r="P167" s="408">
        <v>0</v>
      </c>
      <c r="Q167" s="408">
        <v>0</v>
      </c>
      <c r="R167" s="408">
        <v>47.39</v>
      </c>
      <c r="S167" s="408"/>
      <c r="T167" s="408"/>
      <c r="U167" s="408">
        <v>37722.44</v>
      </c>
      <c r="V167" s="408"/>
      <c r="W167" s="408">
        <v>37722.44</v>
      </c>
      <c r="X167" s="408">
        <v>25647.119999999999</v>
      </c>
      <c r="Y167" s="408">
        <v>0</v>
      </c>
      <c r="Z167" s="408">
        <v>0</v>
      </c>
      <c r="AA167" s="408">
        <v>0</v>
      </c>
      <c r="AB167" s="408">
        <v>0</v>
      </c>
      <c r="AC167" s="408">
        <v>0</v>
      </c>
      <c r="AD167" s="408">
        <v>19876.199742854697</v>
      </c>
      <c r="AE167" s="408">
        <v>17846.214327600683</v>
      </c>
      <c r="AF167" s="408"/>
      <c r="AG167" s="408"/>
      <c r="AH167" s="408"/>
      <c r="AI167" s="408">
        <v>0</v>
      </c>
      <c r="AJ167" s="408">
        <v>0</v>
      </c>
      <c r="AK167" s="408">
        <v>0</v>
      </c>
      <c r="AL167" s="408">
        <v>0</v>
      </c>
      <c r="AM167" s="408"/>
      <c r="AN167" s="408">
        <v>0</v>
      </c>
      <c r="AO167" s="408">
        <v>0</v>
      </c>
      <c r="AP167" s="408">
        <v>0</v>
      </c>
      <c r="AQ167" s="408">
        <v>0</v>
      </c>
      <c r="AR167" s="408">
        <v>0</v>
      </c>
      <c r="AS167" s="408"/>
      <c r="AT167" s="408"/>
      <c r="AU167" s="408">
        <v>0</v>
      </c>
      <c r="AV167" s="408">
        <v>0</v>
      </c>
      <c r="AW167" s="408">
        <v>0</v>
      </c>
      <c r="AX167" s="408"/>
      <c r="AY167" s="408"/>
      <c r="AZ167" s="408">
        <v>0</v>
      </c>
      <c r="BA167" s="408"/>
      <c r="BB167" s="408">
        <v>0</v>
      </c>
      <c r="BC167" s="408">
        <v>0</v>
      </c>
      <c r="BD167" s="408">
        <v>0</v>
      </c>
      <c r="BE167" s="408">
        <v>0</v>
      </c>
      <c r="BF167" s="408"/>
      <c r="BG167" s="408">
        <v>0</v>
      </c>
      <c r="BH167" s="408">
        <v>0</v>
      </c>
      <c r="BI167" s="408">
        <v>233.47</v>
      </c>
      <c r="BJ167" s="408">
        <v>1203.2</v>
      </c>
      <c r="BK167" s="408">
        <v>47963.95</v>
      </c>
      <c r="BL167" s="408">
        <v>10</v>
      </c>
      <c r="BM167" s="408"/>
      <c r="BN167" s="408"/>
      <c r="BO167" s="408"/>
      <c r="BP167" s="408"/>
      <c r="BQ167" s="408"/>
      <c r="BR167" s="408"/>
      <c r="BS167" s="408"/>
      <c r="BT167" s="408"/>
      <c r="BU167" s="408"/>
      <c r="BV167" s="408">
        <v>0</v>
      </c>
      <c r="BW167" s="408"/>
      <c r="BX167" s="408"/>
      <c r="BY167" s="408"/>
      <c r="BZ167" s="408"/>
      <c r="CA167" s="408"/>
      <c r="CB167" s="408"/>
      <c r="CC167" s="408"/>
      <c r="CD167" s="408"/>
      <c r="CE167" s="408"/>
      <c r="CF167" s="408"/>
      <c r="CG167" s="408"/>
      <c r="CH167" s="408"/>
      <c r="CI167" s="408">
        <v>25647.119999999999</v>
      </c>
      <c r="CJ167" s="408">
        <v>-12075.350000000009</v>
      </c>
      <c r="CK167" s="408"/>
      <c r="CL167" s="408"/>
      <c r="CM167" s="408"/>
      <c r="CN167" s="408"/>
      <c r="CO167" s="408">
        <v>-12075.320000000002</v>
      </c>
      <c r="CP167" s="408">
        <v>0</v>
      </c>
      <c r="CQ167" s="408">
        <v>30</v>
      </c>
      <c r="CR167" s="408">
        <v>-89.841672956430557</v>
      </c>
      <c r="CS167" s="408">
        <v>0</v>
      </c>
      <c r="CT167" s="408">
        <v>0</v>
      </c>
      <c r="CU167" s="408">
        <v>0</v>
      </c>
      <c r="CV167" s="408">
        <v>0</v>
      </c>
      <c r="CW167" s="408"/>
      <c r="CX167" s="408"/>
      <c r="CY167" s="408"/>
      <c r="CZ167" s="408">
        <v>-89.841672956430557</v>
      </c>
      <c r="DA167" s="408">
        <v>0</v>
      </c>
      <c r="DB167" s="408">
        <v>0</v>
      </c>
      <c r="DC167" s="408"/>
      <c r="DD167" s="408"/>
      <c r="DE167" s="408">
        <v>0</v>
      </c>
      <c r="DF167" s="408">
        <v>0</v>
      </c>
      <c r="DG167" s="408">
        <v>0</v>
      </c>
      <c r="DH167" s="408">
        <v>0</v>
      </c>
      <c r="DI167" s="408">
        <v>0</v>
      </c>
      <c r="DJ167" s="408"/>
      <c r="DK167" s="408">
        <v>0</v>
      </c>
      <c r="DL167" s="408">
        <v>0</v>
      </c>
      <c r="DM167" s="408"/>
      <c r="DN167" s="408">
        <v>0</v>
      </c>
      <c r="DO167" s="408">
        <v>0</v>
      </c>
      <c r="DP167" s="408">
        <v>0</v>
      </c>
      <c r="DQ167" s="408">
        <v>0</v>
      </c>
      <c r="DR167" s="408">
        <v>0</v>
      </c>
      <c r="DS167" s="408"/>
      <c r="DT167" s="408"/>
      <c r="DU167" s="408">
        <v>17846.214327600683</v>
      </c>
      <c r="DV167" s="408"/>
      <c r="DW167" s="408">
        <v>0</v>
      </c>
      <c r="DX167" s="408">
        <v>0</v>
      </c>
      <c r="DY167" s="408">
        <v>-12075.320000000003</v>
      </c>
      <c r="DZ167" s="408"/>
      <c r="EA167" s="408">
        <v>0</v>
      </c>
      <c r="EB167" s="408"/>
      <c r="EC167" s="408">
        <v>-11986.85009258378</v>
      </c>
      <c r="ED167" s="408"/>
      <c r="EE167" s="408">
        <v>0</v>
      </c>
      <c r="EF167" s="408">
        <v>0</v>
      </c>
      <c r="EG167" s="408"/>
      <c r="EH167" s="408">
        <v>0</v>
      </c>
      <c r="EI167" s="408">
        <v>0</v>
      </c>
      <c r="EJ167" s="408">
        <v>0</v>
      </c>
      <c r="EK167" s="408">
        <v>0</v>
      </c>
      <c r="EL167" s="408">
        <v>0</v>
      </c>
      <c r="EM167" s="408"/>
      <c r="EN167" s="408"/>
      <c r="EO167" s="408">
        <v>0</v>
      </c>
      <c r="EP167" s="408">
        <v>0</v>
      </c>
      <c r="EQ167" s="408"/>
      <c r="ER167" s="408">
        <v>0</v>
      </c>
      <c r="ES167" s="408"/>
      <c r="ET167" s="408">
        <v>0</v>
      </c>
      <c r="EU167" s="408"/>
      <c r="EV167" s="408">
        <v>257</v>
      </c>
      <c r="EW167" s="408"/>
      <c r="EX167" s="408"/>
      <c r="EY167" s="408"/>
      <c r="EZ167" s="408"/>
      <c r="FA167" s="408">
        <v>0</v>
      </c>
      <c r="FB167" s="408"/>
      <c r="FC167" s="408"/>
      <c r="FD167" s="408"/>
      <c r="FE167" s="408"/>
      <c r="FF167" s="408">
        <v>0</v>
      </c>
      <c r="FG167" s="408">
        <v>0</v>
      </c>
      <c r="FH167" s="408">
        <v>0</v>
      </c>
      <c r="FI167" s="408">
        <v>0</v>
      </c>
    </row>
    <row r="168" spans="1:165">
      <c r="A168" s="408">
        <v>166</v>
      </c>
      <c r="B168" s="408" t="s">
        <v>2236</v>
      </c>
      <c r="C168" s="408" t="s">
        <v>2241</v>
      </c>
      <c r="D168" s="408" t="s">
        <v>596</v>
      </c>
      <c r="E168" s="408" t="s">
        <v>997</v>
      </c>
      <c r="F168" s="408" t="s">
        <v>1321</v>
      </c>
      <c r="G168" s="408" t="s">
        <v>1321</v>
      </c>
      <c r="H168" s="408" t="s">
        <v>1321</v>
      </c>
      <c r="I168" s="408" t="s">
        <v>1321</v>
      </c>
      <c r="J168" s="408" t="s">
        <v>2234</v>
      </c>
      <c r="K168" s="828">
        <v>44501</v>
      </c>
      <c r="L168" s="408">
        <v>189</v>
      </c>
      <c r="M168" s="408">
        <v>189</v>
      </c>
      <c r="N168" s="408">
        <v>0</v>
      </c>
      <c r="O168" s="408">
        <v>0</v>
      </c>
      <c r="P168" s="408">
        <v>0</v>
      </c>
      <c r="Q168" s="408">
        <v>0</v>
      </c>
      <c r="R168" s="408">
        <v>47.39</v>
      </c>
      <c r="S168" s="408"/>
      <c r="T168" s="408"/>
      <c r="U168" s="408">
        <v>8956.7100000000009</v>
      </c>
      <c r="V168" s="408"/>
      <c r="W168" s="408">
        <v>8956.7100000000009</v>
      </c>
      <c r="X168" s="408">
        <v>6089.58</v>
      </c>
      <c r="Y168" s="408">
        <v>0</v>
      </c>
      <c r="Z168" s="408">
        <v>0</v>
      </c>
      <c r="AA168" s="408">
        <v>0</v>
      </c>
      <c r="AB168" s="408">
        <v>0</v>
      </c>
      <c r="AC168" s="408">
        <v>0</v>
      </c>
      <c r="AD168" s="408">
        <v>4719.3489339190173</v>
      </c>
      <c r="AE168" s="408">
        <v>4237.3549094428754</v>
      </c>
      <c r="AF168" s="408"/>
      <c r="AG168" s="408"/>
      <c r="AH168" s="408"/>
      <c r="AI168" s="408">
        <v>0</v>
      </c>
      <c r="AJ168" s="408">
        <v>0</v>
      </c>
      <c r="AK168" s="408">
        <v>0</v>
      </c>
      <c r="AL168" s="408">
        <v>0</v>
      </c>
      <c r="AM168" s="408"/>
      <c r="AN168" s="408">
        <v>0</v>
      </c>
      <c r="AO168" s="408">
        <v>0</v>
      </c>
      <c r="AP168" s="408">
        <v>0</v>
      </c>
      <c r="AQ168" s="408">
        <v>0</v>
      </c>
      <c r="AR168" s="408">
        <v>0</v>
      </c>
      <c r="AS168" s="408"/>
      <c r="AT168" s="408"/>
      <c r="AU168" s="408">
        <v>0</v>
      </c>
      <c r="AV168" s="408">
        <v>0</v>
      </c>
      <c r="AW168" s="408">
        <v>0</v>
      </c>
      <c r="AX168" s="408"/>
      <c r="AY168" s="408"/>
      <c r="AZ168" s="408">
        <v>0</v>
      </c>
      <c r="BA168" s="408"/>
      <c r="BB168" s="408">
        <v>0</v>
      </c>
      <c r="BC168" s="408">
        <v>0</v>
      </c>
      <c r="BD168" s="408">
        <v>0</v>
      </c>
      <c r="BE168" s="408">
        <v>0</v>
      </c>
      <c r="BF168" s="408"/>
      <c r="BG168" s="408">
        <v>0</v>
      </c>
      <c r="BH168" s="408">
        <v>0</v>
      </c>
      <c r="BI168" s="408">
        <v>44.4</v>
      </c>
      <c r="BJ168" s="408">
        <v>228.79</v>
      </c>
      <c r="BK168" s="408">
        <v>9735.89</v>
      </c>
      <c r="BL168" s="408">
        <v>2</v>
      </c>
      <c r="BM168" s="408"/>
      <c r="BN168" s="408"/>
      <c r="BO168" s="408"/>
      <c r="BP168" s="408"/>
      <c r="BQ168" s="408"/>
      <c r="BR168" s="408"/>
      <c r="BS168" s="408"/>
      <c r="BT168" s="408"/>
      <c r="BU168" s="408"/>
      <c r="BV168" s="408">
        <v>0</v>
      </c>
      <c r="BW168" s="408"/>
      <c r="BX168" s="408"/>
      <c r="BY168" s="408"/>
      <c r="BZ168" s="408"/>
      <c r="CA168" s="408"/>
      <c r="CB168" s="408"/>
      <c r="CC168" s="408"/>
      <c r="CD168" s="408"/>
      <c r="CE168" s="408"/>
      <c r="CF168" s="408"/>
      <c r="CG168" s="408"/>
      <c r="CH168" s="408"/>
      <c r="CI168" s="408">
        <v>6089.58</v>
      </c>
      <c r="CJ168" s="408">
        <v>-2867.1600000000017</v>
      </c>
      <c r="CK168" s="408"/>
      <c r="CL168" s="408"/>
      <c r="CM168" s="408"/>
      <c r="CN168" s="408"/>
      <c r="CO168" s="408">
        <v>-2867.13</v>
      </c>
      <c r="CP168" s="408">
        <v>0</v>
      </c>
      <c r="CQ168" s="408">
        <v>30</v>
      </c>
      <c r="CR168" s="408">
        <v>-21.331754005987023</v>
      </c>
      <c r="CS168" s="408">
        <v>0</v>
      </c>
      <c r="CT168" s="408">
        <v>0</v>
      </c>
      <c r="CU168" s="408">
        <v>0</v>
      </c>
      <c r="CV168" s="408">
        <v>0</v>
      </c>
      <c r="CW168" s="408"/>
      <c r="CX168" s="408"/>
      <c r="CY168" s="408"/>
      <c r="CZ168" s="408">
        <v>-21.331754005987023</v>
      </c>
      <c r="DA168" s="408">
        <v>0</v>
      </c>
      <c r="DB168" s="408">
        <v>0</v>
      </c>
      <c r="DC168" s="408"/>
      <c r="DD168" s="408"/>
      <c r="DE168" s="408">
        <v>0</v>
      </c>
      <c r="DF168" s="408">
        <v>0</v>
      </c>
      <c r="DG168" s="408">
        <v>0</v>
      </c>
      <c r="DH168" s="408">
        <v>0</v>
      </c>
      <c r="DI168" s="408">
        <v>0</v>
      </c>
      <c r="DJ168" s="408"/>
      <c r="DK168" s="408">
        <v>0</v>
      </c>
      <c r="DL168" s="408">
        <v>0</v>
      </c>
      <c r="DM168" s="408"/>
      <c r="DN168" s="408">
        <v>0</v>
      </c>
      <c r="DO168" s="408">
        <v>0</v>
      </c>
      <c r="DP168" s="408">
        <v>0</v>
      </c>
      <c r="DQ168" s="408">
        <v>0</v>
      </c>
      <c r="DR168" s="408">
        <v>0</v>
      </c>
      <c r="DS168" s="408"/>
      <c r="DT168" s="408"/>
      <c r="DU168" s="408">
        <v>4237.3549094428754</v>
      </c>
      <c r="DV168" s="408"/>
      <c r="DW168" s="408">
        <v>0</v>
      </c>
      <c r="DX168" s="408">
        <v>0</v>
      </c>
      <c r="DY168" s="408">
        <v>-2867.130000000001</v>
      </c>
      <c r="DZ168" s="408"/>
      <c r="EA168" s="408">
        <v>0</v>
      </c>
      <c r="EB168" s="408"/>
      <c r="EC168" s="408">
        <v>-2846.1239541436362</v>
      </c>
      <c r="ED168" s="408"/>
      <c r="EE168" s="408">
        <v>0</v>
      </c>
      <c r="EF168" s="408">
        <v>0</v>
      </c>
      <c r="EG168" s="408"/>
      <c r="EH168" s="408">
        <v>0</v>
      </c>
      <c r="EI168" s="408">
        <v>0</v>
      </c>
      <c r="EJ168" s="408">
        <v>0</v>
      </c>
      <c r="EK168" s="408">
        <v>0</v>
      </c>
      <c r="EL168" s="408">
        <v>0</v>
      </c>
      <c r="EM168" s="408"/>
      <c r="EN168" s="408"/>
      <c r="EO168" s="408">
        <v>0</v>
      </c>
      <c r="EP168" s="408">
        <v>0</v>
      </c>
      <c r="EQ168" s="408"/>
      <c r="ER168" s="408">
        <v>0</v>
      </c>
      <c r="ES168" s="408"/>
      <c r="ET168" s="408">
        <v>0</v>
      </c>
      <c r="EU168" s="408"/>
      <c r="EV168" s="408">
        <v>257</v>
      </c>
      <c r="EW168" s="408"/>
      <c r="EX168" s="408"/>
      <c r="EY168" s="408"/>
      <c r="EZ168" s="408"/>
      <c r="FA168" s="408">
        <v>0</v>
      </c>
      <c r="FB168" s="408"/>
      <c r="FC168" s="408"/>
      <c r="FD168" s="408"/>
      <c r="FE168" s="408"/>
      <c r="FF168" s="408">
        <v>0</v>
      </c>
      <c r="FG168" s="408">
        <v>0</v>
      </c>
      <c r="FH168" s="408">
        <v>0</v>
      </c>
      <c r="FI168" s="408">
        <v>0</v>
      </c>
    </row>
    <row r="169" spans="1:165">
      <c r="A169" s="408">
        <v>167</v>
      </c>
      <c r="B169" s="408" t="s">
        <v>1035</v>
      </c>
      <c r="C169" s="408" t="s">
        <v>2233</v>
      </c>
      <c r="D169" s="408" t="s">
        <v>2243</v>
      </c>
      <c r="E169" s="408" t="s">
        <v>973</v>
      </c>
      <c r="F169" s="408" t="s">
        <v>1321</v>
      </c>
      <c r="G169" s="408" t="s">
        <v>1321</v>
      </c>
      <c r="H169" s="408" t="s">
        <v>1321</v>
      </c>
      <c r="I169" s="408" t="s">
        <v>1321</v>
      </c>
      <c r="J169" s="408" t="s">
        <v>2234</v>
      </c>
      <c r="K169" s="828">
        <v>44501</v>
      </c>
      <c r="L169" s="408">
        <v>0</v>
      </c>
      <c r="M169" s="408">
        <v>0</v>
      </c>
      <c r="N169" s="408">
        <v>2624.942</v>
      </c>
      <c r="O169" s="408">
        <v>2624.942</v>
      </c>
      <c r="P169" s="408">
        <v>2624.942</v>
      </c>
      <c r="Q169" s="408">
        <v>2624.942</v>
      </c>
      <c r="R169" s="408"/>
      <c r="S169" s="408">
        <v>710.91</v>
      </c>
      <c r="T169" s="408">
        <v>256.55</v>
      </c>
      <c r="U169" s="408"/>
      <c r="V169" s="408">
        <v>2539526.3873200002</v>
      </c>
      <c r="W169" s="408">
        <v>2539526.3873200002</v>
      </c>
      <c r="X169" s="408">
        <v>1733590.4450600001</v>
      </c>
      <c r="Y169" s="408">
        <v>0</v>
      </c>
      <c r="Z169" s="408">
        <v>161367.473138136</v>
      </c>
      <c r="AA169" s="408">
        <v>0</v>
      </c>
      <c r="AB169" s="408">
        <v>0</v>
      </c>
      <c r="AC169" s="408">
        <v>0</v>
      </c>
      <c r="AD169" s="408">
        <v>323085.18443204288</v>
      </c>
      <c r="AE169" s="408">
        <v>1251861.2511403321</v>
      </c>
      <c r="AF169" s="408">
        <v>673435.48950037605</v>
      </c>
      <c r="AG169" s="408">
        <v>0</v>
      </c>
      <c r="AH169" s="408">
        <v>0</v>
      </c>
      <c r="AI169" s="408">
        <v>0</v>
      </c>
      <c r="AJ169" s="408">
        <v>0</v>
      </c>
      <c r="AK169" s="408">
        <v>0</v>
      </c>
      <c r="AL169" s="408">
        <v>24948.141110684988</v>
      </c>
      <c r="AM169" s="408"/>
      <c r="AN169" s="408">
        <v>5763.8598399156572</v>
      </c>
      <c r="AO169" s="408">
        <v>0</v>
      </c>
      <c r="AP169" s="408">
        <v>0</v>
      </c>
      <c r="AQ169" s="408">
        <v>0</v>
      </c>
      <c r="AR169" s="408">
        <v>0</v>
      </c>
      <c r="AS169" s="408">
        <v>0</v>
      </c>
      <c r="AT169" s="408">
        <v>0</v>
      </c>
      <c r="AU169" s="408">
        <v>0</v>
      </c>
      <c r="AV169" s="408">
        <v>0</v>
      </c>
      <c r="AW169" s="408">
        <v>0</v>
      </c>
      <c r="AX169" s="408">
        <v>0</v>
      </c>
      <c r="AY169" s="408">
        <v>0</v>
      </c>
      <c r="AZ169" s="408">
        <v>0</v>
      </c>
      <c r="BA169" s="408"/>
      <c r="BB169" s="408">
        <v>0</v>
      </c>
      <c r="BC169" s="408">
        <v>0</v>
      </c>
      <c r="BD169" s="408">
        <v>3912.0044279740669</v>
      </c>
      <c r="BE169" s="408">
        <v>0</v>
      </c>
      <c r="BF169" s="408">
        <v>0</v>
      </c>
      <c r="BG169" s="408">
        <v>95163.078274136715</v>
      </c>
      <c r="BH169" s="408">
        <v>0</v>
      </c>
      <c r="BI169" s="408">
        <v>2950.16</v>
      </c>
      <c r="BJ169" s="408">
        <v>15432.79</v>
      </c>
      <c r="BK169" s="408">
        <v>155386.70000000001</v>
      </c>
      <c r="BL169" s="408">
        <v>8971</v>
      </c>
      <c r="BM169" s="408"/>
      <c r="BN169" s="408"/>
      <c r="BO169" s="408"/>
      <c r="BP169" s="408"/>
      <c r="BQ169" s="408"/>
      <c r="BR169" s="408">
        <v>208026.6534999999</v>
      </c>
      <c r="BS169" s="408"/>
      <c r="BT169" s="408"/>
      <c r="BU169" s="408"/>
      <c r="BV169" s="408">
        <v>772510.57220248692</v>
      </c>
      <c r="BW169" s="408"/>
      <c r="BX169" s="408"/>
      <c r="BY169" s="408"/>
      <c r="BZ169" s="408"/>
      <c r="CA169" s="408"/>
      <c r="CB169" s="408"/>
      <c r="CC169" s="408"/>
      <c r="CD169" s="408"/>
      <c r="CE169" s="408"/>
      <c r="CF169" s="408"/>
      <c r="CG169" s="408"/>
      <c r="CH169" s="408"/>
      <c r="CI169" s="408">
        <v>1525562.6292000001</v>
      </c>
      <c r="CJ169" s="408">
        <v>-709234.27133999974</v>
      </c>
      <c r="CK169" s="408"/>
      <c r="CL169" s="408"/>
      <c r="CM169" s="408"/>
      <c r="CN169" s="408"/>
      <c r="CO169" s="408">
        <v>-847908.76483999996</v>
      </c>
      <c r="CP169" s="408">
        <v>41972.822580000022</v>
      </c>
      <c r="CQ169" s="408">
        <v>30</v>
      </c>
      <c r="CR169" s="408">
        <v>34894.105102457339</v>
      </c>
      <c r="CS169" s="408">
        <v>0</v>
      </c>
      <c r="CT169" s="408">
        <v>0</v>
      </c>
      <c r="CU169" s="408">
        <v>0</v>
      </c>
      <c r="CV169" s="408">
        <v>0</v>
      </c>
      <c r="CW169" s="408">
        <v>0</v>
      </c>
      <c r="CX169" s="408">
        <v>0</v>
      </c>
      <c r="CY169" s="408">
        <v>0</v>
      </c>
      <c r="CZ169" s="408">
        <v>-1460.3653541586827</v>
      </c>
      <c r="DA169" s="408">
        <v>0</v>
      </c>
      <c r="DB169" s="408">
        <v>0</v>
      </c>
      <c r="DC169" s="408">
        <v>41954.000079011428</v>
      </c>
      <c r="DD169" s="408">
        <v>0</v>
      </c>
      <c r="DE169" s="408">
        <v>0</v>
      </c>
      <c r="DF169" s="408">
        <v>243.7118872396868</v>
      </c>
      <c r="DG169" s="408">
        <v>5928.5140977558767</v>
      </c>
      <c r="DH169" s="408">
        <v>0</v>
      </c>
      <c r="DI169" s="408">
        <v>-10034.451313038589</v>
      </c>
      <c r="DJ169" s="408"/>
      <c r="DK169" s="408">
        <v>0</v>
      </c>
      <c r="DL169" s="408">
        <v>0</v>
      </c>
      <c r="DM169" s="408">
        <v>0</v>
      </c>
      <c r="DN169" s="408">
        <v>0</v>
      </c>
      <c r="DO169" s="408">
        <v>-1368.9716334308869</v>
      </c>
      <c r="DP169" s="408">
        <v>-368.33266092160375</v>
      </c>
      <c r="DQ169" s="408">
        <v>0</v>
      </c>
      <c r="DR169" s="408">
        <v>0</v>
      </c>
      <c r="DS169" s="408"/>
      <c r="DT169" s="408"/>
      <c r="DU169" s="408"/>
      <c r="DV169" s="408">
        <v>1251861.2511403321</v>
      </c>
      <c r="DW169" s="408">
        <v>0</v>
      </c>
      <c r="DX169" s="408">
        <v>0</v>
      </c>
      <c r="DY169" s="408">
        <v>-847908.76484000008</v>
      </c>
      <c r="DZ169" s="408">
        <v>41972.822580000036</v>
      </c>
      <c r="EA169" s="408">
        <v>0</v>
      </c>
      <c r="EB169" s="408">
        <v>0</v>
      </c>
      <c r="EC169" s="408">
        <v>-840843.49087557953</v>
      </c>
      <c r="ED169" s="408">
        <v>0</v>
      </c>
      <c r="EE169" s="408">
        <v>0</v>
      </c>
      <c r="EF169" s="408">
        <v>0</v>
      </c>
      <c r="EG169" s="408">
        <v>0</v>
      </c>
      <c r="EH169" s="408">
        <v>0</v>
      </c>
      <c r="EI169" s="408">
        <v>0</v>
      </c>
      <c r="EJ169" s="408">
        <v>0</v>
      </c>
      <c r="EK169" s="408">
        <v>0</v>
      </c>
      <c r="EL169" s="408">
        <v>0</v>
      </c>
      <c r="EM169" s="408">
        <v>0</v>
      </c>
      <c r="EN169" s="408">
        <v>0</v>
      </c>
      <c r="EO169" s="408">
        <v>0</v>
      </c>
      <c r="EP169" s="408">
        <v>0</v>
      </c>
      <c r="EQ169" s="408">
        <v>0</v>
      </c>
      <c r="ER169" s="408">
        <v>0</v>
      </c>
      <c r="ES169" s="408">
        <v>0</v>
      </c>
      <c r="ET169" s="408">
        <v>0</v>
      </c>
      <c r="EU169" s="408">
        <v>0</v>
      </c>
      <c r="EV169" s="408">
        <v>257</v>
      </c>
      <c r="EW169" s="408">
        <v>0</v>
      </c>
      <c r="EX169" s="408">
        <v>0</v>
      </c>
      <c r="EY169" s="408">
        <v>0</v>
      </c>
      <c r="EZ169" s="408"/>
      <c r="FA169" s="408">
        <v>0</v>
      </c>
      <c r="FB169" s="408"/>
      <c r="FC169" s="408"/>
      <c r="FD169" s="408"/>
      <c r="FE169" s="408"/>
      <c r="FF169" s="408">
        <v>0</v>
      </c>
      <c r="FG169" s="408">
        <v>0</v>
      </c>
      <c r="FH169" s="408">
        <v>0</v>
      </c>
      <c r="FI169" s="408">
        <v>0</v>
      </c>
    </row>
    <row r="170" spans="1:165">
      <c r="A170" s="408">
        <v>168</v>
      </c>
      <c r="B170" s="408" t="s">
        <v>2235</v>
      </c>
      <c r="C170" s="408" t="s">
        <v>2233</v>
      </c>
      <c r="D170" s="408" t="s">
        <v>2243</v>
      </c>
      <c r="E170" s="408" t="s">
        <v>973</v>
      </c>
      <c r="F170" s="408" t="s">
        <v>1321</v>
      </c>
      <c r="G170" s="408" t="s">
        <v>1321</v>
      </c>
      <c r="H170" s="408" t="s">
        <v>1321</v>
      </c>
      <c r="I170" s="408" t="s">
        <v>1321</v>
      </c>
      <c r="J170" s="408" t="s">
        <v>2234</v>
      </c>
      <c r="K170" s="828">
        <v>44501</v>
      </c>
      <c r="L170" s="408">
        <v>0</v>
      </c>
      <c r="M170" s="408">
        <v>0</v>
      </c>
      <c r="N170" s="408">
        <v>-19.61</v>
      </c>
      <c r="O170" s="408">
        <v>-19.61</v>
      </c>
      <c r="P170" s="408">
        <v>-19.61</v>
      </c>
      <c r="Q170" s="408">
        <v>-19.61</v>
      </c>
      <c r="R170" s="408"/>
      <c r="S170" s="408">
        <v>710.91</v>
      </c>
      <c r="T170" s="408">
        <v>256.55</v>
      </c>
      <c r="U170" s="408"/>
      <c r="V170" s="408">
        <v>-18971.890599999999</v>
      </c>
      <c r="W170" s="408">
        <v>-18971.890599999999</v>
      </c>
      <c r="X170" s="408">
        <v>-12951.032299999999</v>
      </c>
      <c r="Y170" s="408">
        <v>0</v>
      </c>
      <c r="Z170" s="408">
        <v>-1205.5185022140859</v>
      </c>
      <c r="AA170" s="408">
        <v>0</v>
      </c>
      <c r="AB170" s="408">
        <v>0</v>
      </c>
      <c r="AC170" s="408">
        <v>0</v>
      </c>
      <c r="AD170" s="408">
        <v>-2413.6535080441249</v>
      </c>
      <c r="AE170" s="408">
        <v>-9352.2063096487127</v>
      </c>
      <c r="AF170" s="408">
        <v>-5030.9949511655395</v>
      </c>
      <c r="AG170" s="408">
        <v>0</v>
      </c>
      <c r="AH170" s="408">
        <v>0</v>
      </c>
      <c r="AI170" s="408">
        <v>0</v>
      </c>
      <c r="AJ170" s="408">
        <v>0</v>
      </c>
      <c r="AK170" s="408">
        <v>0</v>
      </c>
      <c r="AL170" s="408">
        <v>-186.37861224382581</v>
      </c>
      <c r="AM170" s="408"/>
      <c r="AN170" s="408">
        <v>-43.059729114298918</v>
      </c>
      <c r="AO170" s="408">
        <v>0</v>
      </c>
      <c r="AP170" s="408">
        <v>0</v>
      </c>
      <c r="AQ170" s="408">
        <v>0</v>
      </c>
      <c r="AR170" s="408">
        <v>0</v>
      </c>
      <c r="AS170" s="408">
        <v>0</v>
      </c>
      <c r="AT170" s="408">
        <v>0</v>
      </c>
      <c r="AU170" s="408">
        <v>0</v>
      </c>
      <c r="AV170" s="408">
        <v>0</v>
      </c>
      <c r="AW170" s="408">
        <v>0</v>
      </c>
      <c r="AX170" s="408">
        <v>0</v>
      </c>
      <c r="AY170" s="408">
        <v>0</v>
      </c>
      <c r="AZ170" s="408">
        <v>0</v>
      </c>
      <c r="BA170" s="408"/>
      <c r="BB170" s="408">
        <v>0</v>
      </c>
      <c r="BC170" s="408">
        <v>0</v>
      </c>
      <c r="BD170" s="408">
        <v>-29.22518167356515</v>
      </c>
      <c r="BE170" s="408">
        <v>0</v>
      </c>
      <c r="BF170" s="408">
        <v>0</v>
      </c>
      <c r="BG170" s="408">
        <v>-710.92921860971433</v>
      </c>
      <c r="BH170" s="408">
        <v>0</v>
      </c>
      <c r="BI170" s="408">
        <v>-30.32</v>
      </c>
      <c r="BJ170" s="408">
        <v>-150</v>
      </c>
      <c r="BK170" s="408">
        <v>-2747.27</v>
      </c>
      <c r="BL170" s="408">
        <v>0</v>
      </c>
      <c r="BM170" s="408"/>
      <c r="BN170" s="408"/>
      <c r="BO170" s="408"/>
      <c r="BP170" s="408"/>
      <c r="BQ170" s="408"/>
      <c r="BR170" s="408">
        <v>-1554.0924999999993</v>
      </c>
      <c r="BS170" s="408"/>
      <c r="BT170" s="408"/>
      <c r="BU170" s="408"/>
      <c r="BV170" s="408">
        <v>-5771.1493514488193</v>
      </c>
      <c r="BW170" s="408"/>
      <c r="BX170" s="408"/>
      <c r="BY170" s="408"/>
      <c r="BZ170" s="408"/>
      <c r="CA170" s="408"/>
      <c r="CB170" s="408"/>
      <c r="CC170" s="408"/>
      <c r="CD170" s="408"/>
      <c r="CE170" s="408"/>
      <c r="CF170" s="408"/>
      <c r="CG170" s="408"/>
      <c r="CH170" s="408"/>
      <c r="CI170" s="408">
        <v>-11396.9398</v>
      </c>
      <c r="CJ170" s="408">
        <v>5298.3958999999995</v>
      </c>
      <c r="CK170" s="408"/>
      <c r="CL170" s="408"/>
      <c r="CM170" s="408"/>
      <c r="CN170" s="408"/>
      <c r="CO170" s="408">
        <v>6334.4221999999991</v>
      </c>
      <c r="CP170" s="408">
        <v>-313.56390000000016</v>
      </c>
      <c r="CQ170" s="408">
        <v>30</v>
      </c>
      <c r="CR170" s="408">
        <v>-260.68134117218142</v>
      </c>
      <c r="CS170" s="408">
        <v>0</v>
      </c>
      <c r="CT170" s="408">
        <v>0</v>
      </c>
      <c r="CU170" s="408">
        <v>0</v>
      </c>
      <c r="CV170" s="408">
        <v>0</v>
      </c>
      <c r="CW170" s="408">
        <v>0</v>
      </c>
      <c r="CX170" s="408">
        <v>0</v>
      </c>
      <c r="CY170" s="408">
        <v>0</v>
      </c>
      <c r="CZ170" s="408">
        <v>10.909865663718392</v>
      </c>
      <c r="DA170" s="408">
        <v>0</v>
      </c>
      <c r="DB170" s="408">
        <v>0</v>
      </c>
      <c r="DC170" s="408">
        <v>-313.42328384757184</v>
      </c>
      <c r="DD170" s="408">
        <v>0</v>
      </c>
      <c r="DE170" s="408">
        <v>0</v>
      </c>
      <c r="DF170" s="408">
        <v>-1.8206840794083305</v>
      </c>
      <c r="DG170" s="408">
        <v>-44.289802005908314</v>
      </c>
      <c r="DH170" s="408">
        <v>0</v>
      </c>
      <c r="DI170" s="408">
        <v>74.963785961246685</v>
      </c>
      <c r="DJ170" s="408"/>
      <c r="DK170" s="408">
        <v>0</v>
      </c>
      <c r="DL170" s="408">
        <v>0</v>
      </c>
      <c r="DM170" s="408">
        <v>0</v>
      </c>
      <c r="DN170" s="408">
        <v>0</v>
      </c>
      <c r="DO170" s="408">
        <v>10.227095963103068</v>
      </c>
      <c r="DP170" s="408">
        <v>2.7516811726402537</v>
      </c>
      <c r="DQ170" s="408">
        <v>0</v>
      </c>
      <c r="DR170" s="408">
        <v>0</v>
      </c>
      <c r="DS170" s="408"/>
      <c r="DT170" s="408"/>
      <c r="DU170" s="408"/>
      <c r="DV170" s="408">
        <v>-9352.2063096487127</v>
      </c>
      <c r="DW170" s="408">
        <v>0</v>
      </c>
      <c r="DX170" s="408">
        <v>0</v>
      </c>
      <c r="DY170" s="408">
        <v>6334.4221999999991</v>
      </c>
      <c r="DZ170" s="408">
        <v>-313.5639000000001</v>
      </c>
      <c r="EA170" s="408">
        <v>0</v>
      </c>
      <c r="EB170" s="408">
        <v>0</v>
      </c>
      <c r="EC170" s="408">
        <v>6281.6400728359386</v>
      </c>
      <c r="ED170" s="408">
        <v>0</v>
      </c>
      <c r="EE170" s="408">
        <v>0</v>
      </c>
      <c r="EF170" s="408">
        <v>0</v>
      </c>
      <c r="EG170" s="408">
        <v>0</v>
      </c>
      <c r="EH170" s="408">
        <v>0</v>
      </c>
      <c r="EI170" s="408">
        <v>0</v>
      </c>
      <c r="EJ170" s="408">
        <v>0</v>
      </c>
      <c r="EK170" s="408">
        <v>0</v>
      </c>
      <c r="EL170" s="408">
        <v>0</v>
      </c>
      <c r="EM170" s="408">
        <v>0</v>
      </c>
      <c r="EN170" s="408">
        <v>0</v>
      </c>
      <c r="EO170" s="408">
        <v>0</v>
      </c>
      <c r="EP170" s="408">
        <v>0</v>
      </c>
      <c r="EQ170" s="408">
        <v>0</v>
      </c>
      <c r="ER170" s="408">
        <v>0</v>
      </c>
      <c r="ES170" s="408">
        <v>0</v>
      </c>
      <c r="ET170" s="408">
        <v>0</v>
      </c>
      <c r="EU170" s="408">
        <v>0</v>
      </c>
      <c r="EV170" s="408">
        <v>257</v>
      </c>
      <c r="EW170" s="408">
        <v>0</v>
      </c>
      <c r="EX170" s="408">
        <v>0</v>
      </c>
      <c r="EY170" s="408">
        <v>0</v>
      </c>
      <c r="EZ170" s="408"/>
      <c r="FA170" s="408">
        <v>0</v>
      </c>
      <c r="FB170" s="408"/>
      <c r="FC170" s="408"/>
      <c r="FD170" s="408"/>
      <c r="FE170" s="408"/>
      <c r="FF170" s="408">
        <v>0</v>
      </c>
      <c r="FG170" s="408">
        <v>0</v>
      </c>
      <c r="FH170" s="408">
        <v>0</v>
      </c>
      <c r="FI170" s="408">
        <v>0</v>
      </c>
    </row>
    <row r="171" spans="1:165">
      <c r="A171" s="408">
        <v>169</v>
      </c>
      <c r="B171" s="408" t="s">
        <v>2236</v>
      </c>
      <c r="C171" s="408" t="s">
        <v>2233</v>
      </c>
      <c r="D171" s="408" t="s">
        <v>2243</v>
      </c>
      <c r="E171" s="408" t="s">
        <v>973</v>
      </c>
      <c r="F171" s="408" t="s">
        <v>1321</v>
      </c>
      <c r="G171" s="408" t="s">
        <v>1321</v>
      </c>
      <c r="H171" s="408" t="s">
        <v>1321</v>
      </c>
      <c r="I171" s="408" t="s">
        <v>1321</v>
      </c>
      <c r="J171" s="408" t="s">
        <v>2234</v>
      </c>
      <c r="K171" s="828">
        <v>44501</v>
      </c>
      <c r="L171" s="408">
        <v>0</v>
      </c>
      <c r="M171" s="408">
        <v>0</v>
      </c>
      <c r="N171" s="408">
        <v>79.456999999999994</v>
      </c>
      <c r="O171" s="408">
        <v>79.456999999999994</v>
      </c>
      <c r="P171" s="408">
        <v>79.456999999999994</v>
      </c>
      <c r="Q171" s="408">
        <v>79.456999999999994</v>
      </c>
      <c r="R171" s="408"/>
      <c r="S171" s="408">
        <v>710.91</v>
      </c>
      <c r="T171" s="408">
        <v>256.55</v>
      </c>
      <c r="U171" s="408"/>
      <c r="V171" s="408">
        <v>76871.469219999984</v>
      </c>
      <c r="W171" s="408">
        <v>76871.469219999984</v>
      </c>
      <c r="X171" s="408">
        <v>52475.786509999998</v>
      </c>
      <c r="Y171" s="408">
        <v>0</v>
      </c>
      <c r="Z171" s="408">
        <v>4884.5937598380733</v>
      </c>
      <c r="AA171" s="408">
        <v>0</v>
      </c>
      <c r="AB171" s="408">
        <v>0</v>
      </c>
      <c r="AC171" s="408">
        <v>0</v>
      </c>
      <c r="AD171" s="408">
        <v>9779.7892294065277</v>
      </c>
      <c r="AE171" s="408">
        <v>37893.842771328804</v>
      </c>
      <c r="AF171" s="408">
        <v>20384.893719263655</v>
      </c>
      <c r="AG171" s="408">
        <v>0</v>
      </c>
      <c r="AH171" s="408">
        <v>0</v>
      </c>
      <c r="AI171" s="408">
        <v>0</v>
      </c>
      <c r="AJ171" s="408">
        <v>0</v>
      </c>
      <c r="AK171" s="408">
        <v>0</v>
      </c>
      <c r="AL171" s="408">
        <v>755.18028521456733</v>
      </c>
      <c r="AM171" s="408"/>
      <c r="AN171" s="408">
        <v>174.47204978250122</v>
      </c>
      <c r="AO171" s="408">
        <v>0</v>
      </c>
      <c r="AP171" s="408">
        <v>0</v>
      </c>
      <c r="AQ171" s="408">
        <v>0</v>
      </c>
      <c r="AR171" s="408">
        <v>0</v>
      </c>
      <c r="AS171" s="408">
        <v>0</v>
      </c>
      <c r="AT171" s="408">
        <v>0</v>
      </c>
      <c r="AU171" s="408">
        <v>0</v>
      </c>
      <c r="AV171" s="408">
        <v>0</v>
      </c>
      <c r="AW171" s="408">
        <v>0</v>
      </c>
      <c r="AX171" s="408">
        <v>0</v>
      </c>
      <c r="AY171" s="408">
        <v>0</v>
      </c>
      <c r="AZ171" s="408">
        <v>0</v>
      </c>
      <c r="BA171" s="408"/>
      <c r="BB171" s="408">
        <v>0</v>
      </c>
      <c r="BC171" s="408">
        <v>0</v>
      </c>
      <c r="BD171" s="408">
        <v>118.41638246998806</v>
      </c>
      <c r="BE171" s="408">
        <v>0</v>
      </c>
      <c r="BF171" s="408">
        <v>0</v>
      </c>
      <c r="BG171" s="408">
        <v>2880.5865845523749</v>
      </c>
      <c r="BH171" s="408">
        <v>0</v>
      </c>
      <c r="BI171" s="408">
        <v>87.25</v>
      </c>
      <c r="BJ171" s="408">
        <v>451.83</v>
      </c>
      <c r="BK171" s="408">
        <v>2832.8</v>
      </c>
      <c r="BL171" s="408">
        <v>160</v>
      </c>
      <c r="BM171" s="408"/>
      <c r="BN171" s="408"/>
      <c r="BO171" s="408"/>
      <c r="BP171" s="408"/>
      <c r="BQ171" s="408"/>
      <c r="BR171" s="408">
        <v>6296.9672499999979</v>
      </c>
      <c r="BS171" s="408"/>
      <c r="BT171" s="408"/>
      <c r="BU171" s="408"/>
      <c r="BV171" s="408">
        <v>23383.896686286018</v>
      </c>
      <c r="BW171" s="408"/>
      <c r="BX171" s="408"/>
      <c r="BY171" s="408"/>
      <c r="BZ171" s="408"/>
      <c r="CA171" s="408"/>
      <c r="CB171" s="408"/>
      <c r="CC171" s="408"/>
      <c r="CD171" s="408"/>
      <c r="CE171" s="408"/>
      <c r="CF171" s="408"/>
      <c r="CG171" s="408"/>
      <c r="CH171" s="408"/>
      <c r="CI171" s="408">
        <v>46180.5628</v>
      </c>
      <c r="CJ171" s="408">
        <v>-21466.773289999997</v>
      </c>
      <c r="CK171" s="408"/>
      <c r="CL171" s="408"/>
      <c r="CM171" s="408"/>
      <c r="CN171" s="408"/>
      <c r="CO171" s="408">
        <v>-25666.200139999997</v>
      </c>
      <c r="CP171" s="408">
        <v>1270.5174300000006</v>
      </c>
      <c r="CQ171" s="408">
        <v>30</v>
      </c>
      <c r="CR171" s="408">
        <v>1056.2446366913719</v>
      </c>
      <c r="CS171" s="408">
        <v>0</v>
      </c>
      <c r="CT171" s="408">
        <v>0</v>
      </c>
      <c r="CU171" s="408">
        <v>0</v>
      </c>
      <c r="CV171" s="408">
        <v>0</v>
      </c>
      <c r="CW171" s="408">
        <v>0</v>
      </c>
      <c r="CX171" s="408">
        <v>0</v>
      </c>
      <c r="CY171" s="408">
        <v>0</v>
      </c>
      <c r="CZ171" s="408">
        <v>-44.20526241927837</v>
      </c>
      <c r="DA171" s="408">
        <v>0</v>
      </c>
      <c r="DB171" s="408">
        <v>0</v>
      </c>
      <c r="DC171" s="408">
        <v>1269.9476728544869</v>
      </c>
      <c r="DD171" s="408">
        <v>0</v>
      </c>
      <c r="DE171" s="408">
        <v>0</v>
      </c>
      <c r="DF171" s="408">
        <v>7.3771593522461956</v>
      </c>
      <c r="DG171" s="408">
        <v>179.45613452235875</v>
      </c>
      <c r="DH171" s="408">
        <v>0</v>
      </c>
      <c r="DI171" s="408">
        <v>-303.74286288234543</v>
      </c>
      <c r="DJ171" s="408"/>
      <c r="DK171" s="408">
        <v>0</v>
      </c>
      <c r="DL171" s="408">
        <v>0</v>
      </c>
      <c r="DM171" s="408">
        <v>0</v>
      </c>
      <c r="DN171" s="408">
        <v>0</v>
      </c>
      <c r="DO171" s="408">
        <v>-41.438774295781741</v>
      </c>
      <c r="DP171" s="408">
        <v>-11.149430440309857</v>
      </c>
      <c r="DQ171" s="408">
        <v>0</v>
      </c>
      <c r="DR171" s="408">
        <v>0</v>
      </c>
      <c r="DS171" s="408"/>
      <c r="DT171" s="408"/>
      <c r="DU171" s="408"/>
      <c r="DV171" s="408">
        <v>37893.842771328804</v>
      </c>
      <c r="DW171" s="408">
        <v>0</v>
      </c>
      <c r="DX171" s="408">
        <v>0</v>
      </c>
      <c r="DY171" s="408">
        <v>-25666.200139999994</v>
      </c>
      <c r="DZ171" s="408">
        <v>1270.5174300000035</v>
      </c>
      <c r="EA171" s="408">
        <v>0</v>
      </c>
      <c r="EB171" s="408">
        <v>0</v>
      </c>
      <c r="EC171" s="408">
        <v>-25452.334281862582</v>
      </c>
      <c r="ED171" s="408">
        <v>0</v>
      </c>
      <c r="EE171" s="408">
        <v>0</v>
      </c>
      <c r="EF171" s="408">
        <v>0</v>
      </c>
      <c r="EG171" s="408">
        <v>0</v>
      </c>
      <c r="EH171" s="408">
        <v>0</v>
      </c>
      <c r="EI171" s="408">
        <v>0</v>
      </c>
      <c r="EJ171" s="408">
        <v>0</v>
      </c>
      <c r="EK171" s="408">
        <v>0</v>
      </c>
      <c r="EL171" s="408">
        <v>0</v>
      </c>
      <c r="EM171" s="408">
        <v>0</v>
      </c>
      <c r="EN171" s="408">
        <v>0</v>
      </c>
      <c r="EO171" s="408">
        <v>0</v>
      </c>
      <c r="EP171" s="408">
        <v>0</v>
      </c>
      <c r="EQ171" s="408">
        <v>0</v>
      </c>
      <c r="ER171" s="408">
        <v>0</v>
      </c>
      <c r="ES171" s="408">
        <v>0</v>
      </c>
      <c r="ET171" s="408">
        <v>0</v>
      </c>
      <c r="EU171" s="408">
        <v>0</v>
      </c>
      <c r="EV171" s="408">
        <v>257</v>
      </c>
      <c r="EW171" s="408">
        <v>0</v>
      </c>
      <c r="EX171" s="408">
        <v>0</v>
      </c>
      <c r="EY171" s="408">
        <v>0</v>
      </c>
      <c r="EZ171" s="408"/>
      <c r="FA171" s="408">
        <v>0</v>
      </c>
      <c r="FB171" s="408"/>
      <c r="FC171" s="408"/>
      <c r="FD171" s="408"/>
      <c r="FE171" s="408"/>
      <c r="FF171" s="408">
        <v>0</v>
      </c>
      <c r="FG171" s="408">
        <v>0</v>
      </c>
      <c r="FH171" s="408">
        <v>0</v>
      </c>
      <c r="FI171" s="408">
        <v>0</v>
      </c>
    </row>
    <row r="172" spans="1:165">
      <c r="A172" s="408">
        <v>170</v>
      </c>
      <c r="B172" s="408" t="s">
        <v>2236</v>
      </c>
      <c r="C172" s="408" t="s">
        <v>2233</v>
      </c>
      <c r="D172" s="408" t="s">
        <v>2243</v>
      </c>
      <c r="E172" s="408" t="s">
        <v>973</v>
      </c>
      <c r="F172" s="408" t="s">
        <v>1321</v>
      </c>
      <c r="G172" s="408" t="s">
        <v>1321</v>
      </c>
      <c r="H172" s="408" t="s">
        <v>1321</v>
      </c>
      <c r="I172" s="408" t="s">
        <v>1321</v>
      </c>
      <c r="J172" s="408" t="s">
        <v>2234</v>
      </c>
      <c r="K172" s="828">
        <v>44501</v>
      </c>
      <c r="L172" s="408">
        <v>0</v>
      </c>
      <c r="M172" s="408">
        <v>0</v>
      </c>
      <c r="N172" s="408">
        <v>-0.3</v>
      </c>
      <c r="O172" s="408">
        <v>-0.3</v>
      </c>
      <c r="P172" s="408">
        <v>-0.3</v>
      </c>
      <c r="Q172" s="408">
        <v>-0.3</v>
      </c>
      <c r="R172" s="408"/>
      <c r="S172" s="408">
        <v>710.91</v>
      </c>
      <c r="T172" s="408">
        <v>256.55</v>
      </c>
      <c r="U172" s="408"/>
      <c r="V172" s="408">
        <v>-290.238</v>
      </c>
      <c r="W172" s="408">
        <v>-290.238</v>
      </c>
      <c r="X172" s="408">
        <v>-198.12899999999999</v>
      </c>
      <c r="Y172" s="408">
        <v>0</v>
      </c>
      <c r="Z172" s="408">
        <v>-18.44240441938938</v>
      </c>
      <c r="AA172" s="408">
        <v>0</v>
      </c>
      <c r="AB172" s="408">
        <v>0</v>
      </c>
      <c r="AC172" s="408">
        <v>0</v>
      </c>
      <c r="AD172" s="408">
        <v>-36.924836941011598</v>
      </c>
      <c r="AE172" s="408">
        <v>-143.07301850558969</v>
      </c>
      <c r="AF172" s="408">
        <v>-76.965756519615596</v>
      </c>
      <c r="AG172" s="408">
        <v>0</v>
      </c>
      <c r="AH172" s="408">
        <v>0</v>
      </c>
      <c r="AI172" s="408">
        <v>0</v>
      </c>
      <c r="AJ172" s="408">
        <v>0</v>
      </c>
      <c r="AK172" s="408">
        <v>0</v>
      </c>
      <c r="AL172" s="408">
        <v>-2.851279126626606</v>
      </c>
      <c r="AM172" s="408"/>
      <c r="AN172" s="408">
        <v>-0.65874139389544495</v>
      </c>
      <c r="AO172" s="408">
        <v>0</v>
      </c>
      <c r="AP172" s="408">
        <v>0</v>
      </c>
      <c r="AQ172" s="408">
        <v>0</v>
      </c>
      <c r="AR172" s="408">
        <v>0</v>
      </c>
      <c r="AS172" s="408">
        <v>0</v>
      </c>
      <c r="AT172" s="408">
        <v>0</v>
      </c>
      <c r="AU172" s="408">
        <v>0</v>
      </c>
      <c r="AV172" s="408">
        <v>0</v>
      </c>
      <c r="AW172" s="408">
        <v>0</v>
      </c>
      <c r="AX172" s="408">
        <v>0</v>
      </c>
      <c r="AY172" s="408">
        <v>0</v>
      </c>
      <c r="AZ172" s="408">
        <v>0</v>
      </c>
      <c r="BA172" s="408"/>
      <c r="BB172" s="408">
        <v>0</v>
      </c>
      <c r="BC172" s="408">
        <v>0</v>
      </c>
      <c r="BD172" s="408">
        <v>-0.44709609903465297</v>
      </c>
      <c r="BE172" s="408">
        <v>0</v>
      </c>
      <c r="BF172" s="408">
        <v>0</v>
      </c>
      <c r="BG172" s="408">
        <v>-10.876020682453559</v>
      </c>
      <c r="BH172" s="408">
        <v>0</v>
      </c>
      <c r="BI172" s="408">
        <v>-0.41</v>
      </c>
      <c r="BJ172" s="408">
        <v>-1.98</v>
      </c>
      <c r="BK172" s="408">
        <v>-5.88</v>
      </c>
      <c r="BL172" s="408">
        <v>2</v>
      </c>
      <c r="BM172" s="408"/>
      <c r="BN172" s="408"/>
      <c r="BO172" s="408"/>
      <c r="BP172" s="408"/>
      <c r="BQ172" s="408"/>
      <c r="BR172" s="408">
        <v>-23.774999999999991</v>
      </c>
      <c r="BS172" s="408"/>
      <c r="BT172" s="408"/>
      <c r="BU172" s="408"/>
      <c r="BV172" s="408">
        <v>-88.288873301103806</v>
      </c>
      <c r="BW172" s="408"/>
      <c r="BX172" s="408"/>
      <c r="BY172" s="408"/>
      <c r="BZ172" s="408"/>
      <c r="CA172" s="408"/>
      <c r="CB172" s="408"/>
      <c r="CC172" s="408"/>
      <c r="CD172" s="408"/>
      <c r="CE172" s="408"/>
      <c r="CF172" s="408"/>
      <c r="CG172" s="408"/>
      <c r="CH172" s="408"/>
      <c r="CI172" s="408">
        <v>-174.35399999999998</v>
      </c>
      <c r="CJ172" s="408">
        <v>81.027000000000044</v>
      </c>
      <c r="CK172" s="408"/>
      <c r="CL172" s="408"/>
      <c r="CM172" s="408"/>
      <c r="CN172" s="408"/>
      <c r="CO172" s="408">
        <v>96.905999999999992</v>
      </c>
      <c r="CP172" s="408">
        <v>-4.7970000000000024</v>
      </c>
      <c r="CQ172" s="408">
        <v>30</v>
      </c>
      <c r="CR172" s="408">
        <v>-3.9879858414918203</v>
      </c>
      <c r="CS172" s="408">
        <v>0</v>
      </c>
      <c r="CT172" s="408">
        <v>0</v>
      </c>
      <c r="CU172" s="408">
        <v>0</v>
      </c>
      <c r="CV172" s="408">
        <v>0</v>
      </c>
      <c r="CW172" s="408">
        <v>0</v>
      </c>
      <c r="CX172" s="408">
        <v>0</v>
      </c>
      <c r="CY172" s="408">
        <v>0</v>
      </c>
      <c r="CZ172" s="408">
        <v>0.16690258537050084</v>
      </c>
      <c r="DA172" s="408">
        <v>0</v>
      </c>
      <c r="DB172" s="408">
        <v>0</v>
      </c>
      <c r="DC172" s="408">
        <v>-4.7948488094988022</v>
      </c>
      <c r="DD172" s="408">
        <v>0</v>
      </c>
      <c r="DE172" s="408">
        <v>0</v>
      </c>
      <c r="DF172" s="408">
        <v>-2.7853402540667982E-2</v>
      </c>
      <c r="DG172" s="408">
        <v>-0.67755943915209116</v>
      </c>
      <c r="DH172" s="408">
        <v>0</v>
      </c>
      <c r="DI172" s="408">
        <v>1.1468197750318225</v>
      </c>
      <c r="DJ172" s="408"/>
      <c r="DK172" s="408">
        <v>0</v>
      </c>
      <c r="DL172" s="408">
        <v>0</v>
      </c>
      <c r="DM172" s="408">
        <v>0</v>
      </c>
      <c r="DN172" s="408">
        <v>0</v>
      </c>
      <c r="DO172" s="408">
        <v>0.15645735792610527</v>
      </c>
      <c r="DP172" s="408">
        <v>4.2096091371344957E-2</v>
      </c>
      <c r="DQ172" s="408">
        <v>0</v>
      </c>
      <c r="DR172" s="408">
        <v>0</v>
      </c>
      <c r="DS172" s="408"/>
      <c r="DT172" s="408"/>
      <c r="DU172" s="408"/>
      <c r="DV172" s="408">
        <v>-143.07301850558969</v>
      </c>
      <c r="DW172" s="408">
        <v>0</v>
      </c>
      <c r="DX172" s="408">
        <v>0</v>
      </c>
      <c r="DY172" s="408">
        <v>96.906000000000006</v>
      </c>
      <c r="DZ172" s="408">
        <v>-4.796999999999997</v>
      </c>
      <c r="EA172" s="408">
        <v>0</v>
      </c>
      <c r="EB172" s="408">
        <v>0</v>
      </c>
      <c r="EC172" s="408">
        <v>96.098522276939391</v>
      </c>
      <c r="ED172" s="408">
        <v>0</v>
      </c>
      <c r="EE172" s="408">
        <v>0</v>
      </c>
      <c r="EF172" s="408">
        <v>0</v>
      </c>
      <c r="EG172" s="408">
        <v>0</v>
      </c>
      <c r="EH172" s="408">
        <v>0</v>
      </c>
      <c r="EI172" s="408">
        <v>0</v>
      </c>
      <c r="EJ172" s="408">
        <v>0</v>
      </c>
      <c r="EK172" s="408">
        <v>0</v>
      </c>
      <c r="EL172" s="408">
        <v>0</v>
      </c>
      <c r="EM172" s="408">
        <v>0</v>
      </c>
      <c r="EN172" s="408">
        <v>0</v>
      </c>
      <c r="EO172" s="408">
        <v>0</v>
      </c>
      <c r="EP172" s="408">
        <v>0</v>
      </c>
      <c r="EQ172" s="408">
        <v>0</v>
      </c>
      <c r="ER172" s="408">
        <v>0</v>
      </c>
      <c r="ES172" s="408">
        <v>0</v>
      </c>
      <c r="ET172" s="408">
        <v>0</v>
      </c>
      <c r="EU172" s="408">
        <v>0</v>
      </c>
      <c r="EV172" s="408">
        <v>257</v>
      </c>
      <c r="EW172" s="408">
        <v>0</v>
      </c>
      <c r="EX172" s="408">
        <v>0</v>
      </c>
      <c r="EY172" s="408">
        <v>0</v>
      </c>
      <c r="EZ172" s="408"/>
      <c r="FA172" s="408">
        <v>0</v>
      </c>
      <c r="FB172" s="408"/>
      <c r="FC172" s="408"/>
      <c r="FD172" s="408"/>
      <c r="FE172" s="408"/>
      <c r="FF172" s="408">
        <v>0</v>
      </c>
      <c r="FG172" s="408">
        <v>0</v>
      </c>
      <c r="FH172" s="408">
        <v>0</v>
      </c>
      <c r="FI172" s="408">
        <v>0</v>
      </c>
    </row>
    <row r="173" spans="1:165">
      <c r="A173" s="408">
        <v>171</v>
      </c>
      <c r="B173" s="408" t="s">
        <v>1035</v>
      </c>
      <c r="C173" s="408" t="s">
        <v>2241</v>
      </c>
      <c r="D173" s="408" t="s">
        <v>596</v>
      </c>
      <c r="E173" s="408" t="s">
        <v>973</v>
      </c>
      <c r="F173" s="408" t="s">
        <v>1321</v>
      </c>
      <c r="G173" s="408" t="s">
        <v>1321</v>
      </c>
      <c r="H173" s="408" t="s">
        <v>1321</v>
      </c>
      <c r="I173" s="408" t="s">
        <v>972</v>
      </c>
      <c r="J173" s="408" t="s">
        <v>2234</v>
      </c>
      <c r="K173" s="828">
        <v>44501</v>
      </c>
      <c r="L173" s="408">
        <v>0</v>
      </c>
      <c r="M173" s="408">
        <v>0</v>
      </c>
      <c r="N173" s="408">
        <v>16.016999999999999</v>
      </c>
      <c r="O173" s="408">
        <v>15.37632</v>
      </c>
      <c r="P173" s="408">
        <v>16.016999999999999</v>
      </c>
      <c r="Q173" s="408">
        <v>15.37632</v>
      </c>
      <c r="R173" s="408"/>
      <c r="S173" s="408">
        <v>3130.62</v>
      </c>
      <c r="T173" s="408">
        <v>256.55</v>
      </c>
      <c r="U173" s="408"/>
      <c r="V173" s="408">
        <v>54252.301889999995</v>
      </c>
      <c r="W173" s="408">
        <v>54252.301889999995</v>
      </c>
      <c r="X173" s="408">
        <v>28552.384709999998</v>
      </c>
      <c r="Y173" s="408">
        <v>0</v>
      </c>
      <c r="Z173" s="408">
        <v>856.63677559754308</v>
      </c>
      <c r="AA173" s="408">
        <v>0</v>
      </c>
      <c r="AB173" s="408">
        <v>0</v>
      </c>
      <c r="AC173" s="408">
        <v>0</v>
      </c>
      <c r="AD173" s="408">
        <v>10318.372551089142</v>
      </c>
      <c r="AE173" s="408">
        <v>38507.249135568753</v>
      </c>
      <c r="AF173" s="408">
        <v>4109.2017405822771</v>
      </c>
      <c r="AG173" s="408">
        <v>0</v>
      </c>
      <c r="AH173" s="408">
        <v>0</v>
      </c>
      <c r="AI173" s="408">
        <v>0</v>
      </c>
      <c r="AJ173" s="408">
        <v>0</v>
      </c>
      <c r="AK173" s="408">
        <v>0</v>
      </c>
      <c r="AL173" s="408">
        <v>152.2297925705945</v>
      </c>
      <c r="AM173" s="408"/>
      <c r="AN173" s="408">
        <v>21.60781385194753</v>
      </c>
      <c r="AO173" s="408">
        <v>0</v>
      </c>
      <c r="AP173" s="408">
        <v>0</v>
      </c>
      <c r="AQ173" s="408">
        <v>0</v>
      </c>
      <c r="AR173" s="408">
        <v>0</v>
      </c>
      <c r="AS173" s="408">
        <v>0</v>
      </c>
      <c r="AT173" s="408">
        <v>0</v>
      </c>
      <c r="AU173" s="408">
        <v>0</v>
      </c>
      <c r="AV173" s="408">
        <v>0</v>
      </c>
      <c r="AW173" s="408">
        <v>0</v>
      </c>
      <c r="AX173" s="408">
        <v>0</v>
      </c>
      <c r="AY173" s="408">
        <v>0</v>
      </c>
      <c r="AZ173" s="408">
        <v>0</v>
      </c>
      <c r="BA173" s="408"/>
      <c r="BB173" s="408">
        <v>0</v>
      </c>
      <c r="BC173" s="408">
        <v>0</v>
      </c>
      <c r="BD173" s="408">
        <v>19.733347903992346</v>
      </c>
      <c r="BE173" s="408">
        <v>0</v>
      </c>
      <c r="BF173" s="408">
        <v>0</v>
      </c>
      <c r="BG173" s="408">
        <v>267.31232906088388</v>
      </c>
      <c r="BH173" s="408">
        <v>0</v>
      </c>
      <c r="BI173" s="408">
        <v>0</v>
      </c>
      <c r="BJ173" s="408">
        <v>0</v>
      </c>
      <c r="BK173" s="408">
        <v>0</v>
      </c>
      <c r="BL173" s="408">
        <v>0</v>
      </c>
      <c r="BM173" s="408"/>
      <c r="BN173" s="408"/>
      <c r="BO173" s="408"/>
      <c r="BP173" s="408"/>
      <c r="BQ173" s="408"/>
      <c r="BR173" s="408">
        <v>1142.0953883999994</v>
      </c>
      <c r="BS173" s="408"/>
      <c r="BT173" s="408"/>
      <c r="BU173" s="408"/>
      <c r="BV173" s="408">
        <v>4396.2474175471534</v>
      </c>
      <c r="BW173" s="408"/>
      <c r="BX173" s="408"/>
      <c r="BY173" s="408"/>
      <c r="BZ173" s="408"/>
      <c r="CA173" s="408"/>
      <c r="CB173" s="408"/>
      <c r="CC173" s="408"/>
      <c r="CD173" s="408"/>
      <c r="CE173" s="408"/>
      <c r="CF173" s="408"/>
      <c r="CG173" s="408"/>
      <c r="CH173" s="408"/>
      <c r="CI173" s="408">
        <v>27416.849399999999</v>
      </c>
      <c r="CJ173" s="408">
        <v>-24665.390414400004</v>
      </c>
      <c r="CK173" s="408"/>
      <c r="CL173" s="408"/>
      <c r="CM173" s="408"/>
      <c r="CN173" s="408"/>
      <c r="CO173" s="408">
        <v>-25956.029009999998</v>
      </c>
      <c r="CP173" s="408">
        <v>256.11183000000011</v>
      </c>
      <c r="CQ173" s="408">
        <v>30</v>
      </c>
      <c r="CR173" s="408">
        <v>164.23673532752764</v>
      </c>
      <c r="CS173" s="408">
        <v>0</v>
      </c>
      <c r="CT173" s="408">
        <v>0</v>
      </c>
      <c r="CU173" s="408">
        <v>0</v>
      </c>
      <c r="CV173" s="408">
        <v>0</v>
      </c>
      <c r="CW173" s="408">
        <v>0</v>
      </c>
      <c r="CX173" s="408">
        <v>0</v>
      </c>
      <c r="CY173" s="408">
        <v>0</v>
      </c>
      <c r="CZ173" s="408">
        <v>-46.639692907629069</v>
      </c>
      <c r="DA173" s="408">
        <v>0</v>
      </c>
      <c r="DB173" s="408">
        <v>0</v>
      </c>
      <c r="DC173" s="408">
        <v>255.99697793914129</v>
      </c>
      <c r="DD173" s="408">
        <v>0</v>
      </c>
      <c r="DE173" s="408">
        <v>0</v>
      </c>
      <c r="DF173" s="408">
        <v>1.229357365970575</v>
      </c>
      <c r="DG173" s="408">
        <v>16.653148890120747</v>
      </c>
      <c r="DH173" s="408">
        <v>0</v>
      </c>
      <c r="DI173" s="408">
        <v>-53.268975776385901</v>
      </c>
      <c r="DJ173" s="408"/>
      <c r="DK173" s="408">
        <v>0</v>
      </c>
      <c r="DL173" s="408">
        <v>0</v>
      </c>
      <c r="DM173" s="408">
        <v>0</v>
      </c>
      <c r="DN173" s="408">
        <v>0</v>
      </c>
      <c r="DO173" s="408">
        <v>-8.3532583396747668</v>
      </c>
      <c r="DP173" s="408">
        <v>-1.3808218440133437</v>
      </c>
      <c r="DQ173" s="408">
        <v>0</v>
      </c>
      <c r="DR173" s="408">
        <v>0</v>
      </c>
      <c r="DS173" s="408"/>
      <c r="DT173" s="408"/>
      <c r="DU173" s="408"/>
      <c r="DV173" s="408">
        <v>38507.249135568753</v>
      </c>
      <c r="DW173" s="408">
        <v>0</v>
      </c>
      <c r="DX173" s="408">
        <v>0</v>
      </c>
      <c r="DY173" s="408">
        <v>-25956.029009999995</v>
      </c>
      <c r="DZ173" s="408">
        <v>256.11182999999983</v>
      </c>
      <c r="EA173" s="408">
        <v>0</v>
      </c>
      <c r="EB173" s="408">
        <v>0</v>
      </c>
      <c r="EC173" s="408">
        <v>-25864.343798223083</v>
      </c>
      <c r="ED173" s="408">
        <v>0</v>
      </c>
      <c r="EE173" s="408">
        <v>0</v>
      </c>
      <c r="EF173" s="408">
        <v>0</v>
      </c>
      <c r="EG173" s="408">
        <v>0</v>
      </c>
      <c r="EH173" s="408">
        <v>0</v>
      </c>
      <c r="EI173" s="408">
        <v>0</v>
      </c>
      <c r="EJ173" s="408">
        <v>0</v>
      </c>
      <c r="EK173" s="408">
        <v>0</v>
      </c>
      <c r="EL173" s="408">
        <v>0</v>
      </c>
      <c r="EM173" s="408">
        <v>0</v>
      </c>
      <c r="EN173" s="408">
        <v>0</v>
      </c>
      <c r="EO173" s="408">
        <v>0</v>
      </c>
      <c r="EP173" s="408">
        <v>0</v>
      </c>
      <c r="EQ173" s="408">
        <v>0</v>
      </c>
      <c r="ER173" s="408">
        <v>0</v>
      </c>
      <c r="ES173" s="408">
        <v>0</v>
      </c>
      <c r="ET173" s="408">
        <v>0</v>
      </c>
      <c r="EU173" s="408">
        <v>0</v>
      </c>
      <c r="EV173" s="408">
        <v>257</v>
      </c>
      <c r="EW173" s="408">
        <v>0</v>
      </c>
      <c r="EX173" s="408">
        <v>0</v>
      </c>
      <c r="EY173" s="408">
        <v>0</v>
      </c>
      <c r="EZ173" s="408"/>
      <c r="FA173" s="408">
        <v>0</v>
      </c>
      <c r="FB173" s="408"/>
      <c r="FC173" s="408"/>
      <c r="FD173" s="408"/>
      <c r="FE173" s="408"/>
      <c r="FF173" s="408">
        <v>0</v>
      </c>
      <c r="FG173" s="408">
        <v>0</v>
      </c>
      <c r="FH173" s="408">
        <v>0</v>
      </c>
      <c r="FI173" s="408">
        <v>0</v>
      </c>
    </row>
    <row r="174" spans="1:165">
      <c r="A174" s="408">
        <v>172</v>
      </c>
      <c r="B174" s="408" t="s">
        <v>1035</v>
      </c>
      <c r="C174" s="408" t="s">
        <v>2241</v>
      </c>
      <c r="D174" s="408" t="s">
        <v>596</v>
      </c>
      <c r="E174" s="408" t="s">
        <v>973</v>
      </c>
      <c r="F174" s="408" t="s">
        <v>1321</v>
      </c>
      <c r="G174" s="408" t="s">
        <v>1321</v>
      </c>
      <c r="H174" s="408" t="s">
        <v>1321</v>
      </c>
      <c r="I174" s="408" t="s">
        <v>2242</v>
      </c>
      <c r="J174" s="408" t="s">
        <v>2234</v>
      </c>
      <c r="K174" s="828">
        <v>44501</v>
      </c>
      <c r="L174" s="408">
        <v>0</v>
      </c>
      <c r="M174" s="408">
        <v>0</v>
      </c>
      <c r="N174" s="408">
        <v>181.215</v>
      </c>
      <c r="O174" s="408">
        <v>173.96639999999999</v>
      </c>
      <c r="P174" s="408">
        <v>181.215</v>
      </c>
      <c r="Q174" s="408">
        <v>173.96639999999999</v>
      </c>
      <c r="R174" s="408"/>
      <c r="S174" s="408">
        <v>82.26</v>
      </c>
      <c r="T174" s="408">
        <v>256.55</v>
      </c>
      <c r="U174" s="408"/>
      <c r="V174" s="408">
        <v>61397.454150000005</v>
      </c>
      <c r="W174" s="408">
        <v>61397.454150000005</v>
      </c>
      <c r="X174" s="408">
        <v>63784.055700000012</v>
      </c>
      <c r="Y174" s="408">
        <v>0</v>
      </c>
      <c r="Z174" s="408">
        <v>9691.9169188929754</v>
      </c>
      <c r="AA174" s="408">
        <v>0</v>
      </c>
      <c r="AB174" s="408">
        <v>0</v>
      </c>
      <c r="AC174" s="408">
        <v>0</v>
      </c>
      <c r="AD174" s="408">
        <v>0</v>
      </c>
      <c r="AE174" s="408">
        <v>0</v>
      </c>
      <c r="AF174" s="408">
        <v>46491.165225673809</v>
      </c>
      <c r="AG174" s="408">
        <v>0</v>
      </c>
      <c r="AH174" s="408">
        <v>0</v>
      </c>
      <c r="AI174" s="408">
        <v>0</v>
      </c>
      <c r="AJ174" s="408">
        <v>0</v>
      </c>
      <c r="AK174" s="408">
        <v>0</v>
      </c>
      <c r="AL174" s="408">
        <v>1722.3151564388013</v>
      </c>
      <c r="AM174" s="408"/>
      <c r="AN174" s="408">
        <v>244.46900088535128</v>
      </c>
      <c r="AO174" s="408">
        <v>0</v>
      </c>
      <c r="AP174" s="408">
        <v>0</v>
      </c>
      <c r="AQ174" s="408">
        <v>0</v>
      </c>
      <c r="AR174" s="408">
        <v>0</v>
      </c>
      <c r="AS174" s="408">
        <v>0</v>
      </c>
      <c r="AT174" s="408">
        <v>0</v>
      </c>
      <c r="AU174" s="408">
        <v>0</v>
      </c>
      <c r="AV174" s="408">
        <v>0</v>
      </c>
      <c r="AW174" s="408">
        <v>0</v>
      </c>
      <c r="AX174" s="408">
        <v>0</v>
      </c>
      <c r="AY174" s="408">
        <v>0</v>
      </c>
      <c r="AZ174" s="408">
        <v>0</v>
      </c>
      <c r="BA174" s="408"/>
      <c r="BB174" s="408">
        <v>0</v>
      </c>
      <c r="BC174" s="408">
        <v>0</v>
      </c>
      <c r="BD174" s="408">
        <v>223.26144973602879</v>
      </c>
      <c r="BE174" s="408">
        <v>0</v>
      </c>
      <c r="BF174" s="408">
        <v>0</v>
      </c>
      <c r="BG174" s="408">
        <v>3024.3493607272321</v>
      </c>
      <c r="BH174" s="408">
        <v>0</v>
      </c>
      <c r="BI174" s="408">
        <v>0</v>
      </c>
      <c r="BJ174" s="408">
        <v>0</v>
      </c>
      <c r="BK174" s="408">
        <v>0</v>
      </c>
      <c r="BL174" s="408">
        <v>0</v>
      </c>
      <c r="BM174" s="408"/>
      <c r="BN174" s="408"/>
      <c r="BO174" s="408"/>
      <c r="BP174" s="408"/>
      <c r="BQ174" s="408"/>
      <c r="BR174" s="408">
        <v>2551.3622280000036</v>
      </c>
      <c r="BS174" s="408"/>
      <c r="BT174" s="408"/>
      <c r="BU174" s="408"/>
      <c r="BV174" s="408">
        <v>49738.776036137067</v>
      </c>
      <c r="BW174" s="408"/>
      <c r="BX174" s="408"/>
      <c r="BY174" s="408"/>
      <c r="BZ174" s="408"/>
      <c r="CA174" s="408"/>
      <c r="CB174" s="408"/>
      <c r="CC174" s="408"/>
      <c r="CD174" s="408"/>
      <c r="CE174" s="408"/>
      <c r="CF174" s="408"/>
      <c r="CG174" s="408"/>
      <c r="CH174" s="408"/>
      <c r="CI174" s="408">
        <v>61233.960600000006</v>
      </c>
      <c r="CJ174" s="408">
        <v>2292.374616000001</v>
      </c>
      <c r="CK174" s="408"/>
      <c r="CL174" s="408"/>
      <c r="CM174" s="408"/>
      <c r="CN174" s="408"/>
      <c r="CO174" s="408">
        <v>-511.02630000000136</v>
      </c>
      <c r="CP174" s="408">
        <v>2897.6278500000017</v>
      </c>
      <c r="CQ174" s="408">
        <v>30</v>
      </c>
      <c r="CR174" s="408">
        <v>2385.8382932280874</v>
      </c>
      <c r="CS174" s="408">
        <v>0</v>
      </c>
      <c r="CT174" s="408">
        <v>0</v>
      </c>
      <c r="CU174" s="408">
        <v>0</v>
      </c>
      <c r="CV174" s="408">
        <v>0</v>
      </c>
      <c r="CW174" s="408">
        <v>0</v>
      </c>
      <c r="CX174" s="408">
        <v>0</v>
      </c>
      <c r="CY174" s="408">
        <v>0</v>
      </c>
      <c r="CZ174" s="408">
        <v>0</v>
      </c>
      <c r="DA174" s="408">
        <v>0</v>
      </c>
      <c r="DB174" s="408">
        <v>0</v>
      </c>
      <c r="DC174" s="408">
        <v>2896.3284233777522</v>
      </c>
      <c r="DD174" s="408">
        <v>0</v>
      </c>
      <c r="DE174" s="408">
        <v>0</v>
      </c>
      <c r="DF174" s="408">
        <v>13.908846542695727</v>
      </c>
      <c r="DG174" s="408">
        <v>188.41233540133771</v>
      </c>
      <c r="DH174" s="408">
        <v>0</v>
      </c>
      <c r="DI174" s="408">
        <v>-602.68074204393997</v>
      </c>
      <c r="DJ174" s="408"/>
      <c r="DK174" s="408">
        <v>0</v>
      </c>
      <c r="DL174" s="408">
        <v>0</v>
      </c>
      <c r="DM174" s="408">
        <v>0</v>
      </c>
      <c r="DN174" s="408">
        <v>0</v>
      </c>
      <c r="DO174" s="408">
        <v>-94.508067055263609</v>
      </c>
      <c r="DP174" s="408">
        <v>-15.622502994498205</v>
      </c>
      <c r="DQ174" s="408">
        <v>0</v>
      </c>
      <c r="DR174" s="408">
        <v>0</v>
      </c>
      <c r="DS174" s="408"/>
      <c r="DT174" s="408"/>
      <c r="DU174" s="408"/>
      <c r="DV174" s="408">
        <v>0</v>
      </c>
      <c r="DW174" s="408">
        <v>0</v>
      </c>
      <c r="DX174" s="408">
        <v>0</v>
      </c>
      <c r="DY174" s="408">
        <v>-511.02630000000136</v>
      </c>
      <c r="DZ174" s="408">
        <v>2897.6278500000044</v>
      </c>
      <c r="EA174" s="408">
        <v>0</v>
      </c>
      <c r="EB174" s="408">
        <v>0</v>
      </c>
      <c r="EC174" s="408">
        <v>0</v>
      </c>
      <c r="ED174" s="408">
        <v>0</v>
      </c>
      <c r="EE174" s="408">
        <v>0</v>
      </c>
      <c r="EF174" s="408">
        <v>0</v>
      </c>
      <c r="EG174" s="408">
        <v>0</v>
      </c>
      <c r="EH174" s="408">
        <v>0</v>
      </c>
      <c r="EI174" s="408">
        <v>0</v>
      </c>
      <c r="EJ174" s="408">
        <v>0</v>
      </c>
      <c r="EK174" s="408">
        <v>0</v>
      </c>
      <c r="EL174" s="408">
        <v>0</v>
      </c>
      <c r="EM174" s="408">
        <v>0</v>
      </c>
      <c r="EN174" s="408">
        <v>0</v>
      </c>
      <c r="EO174" s="408">
        <v>0</v>
      </c>
      <c r="EP174" s="408">
        <v>0</v>
      </c>
      <c r="EQ174" s="408">
        <v>0</v>
      </c>
      <c r="ER174" s="408">
        <v>0</v>
      </c>
      <c r="ES174" s="408">
        <v>0</v>
      </c>
      <c r="ET174" s="408">
        <v>0</v>
      </c>
      <c r="EU174" s="408">
        <v>0</v>
      </c>
      <c r="EV174" s="408">
        <v>257</v>
      </c>
      <c r="EW174" s="408">
        <v>0</v>
      </c>
      <c r="EX174" s="408">
        <v>0</v>
      </c>
      <c r="EY174" s="408">
        <v>0</v>
      </c>
      <c r="EZ174" s="408"/>
      <c r="FA174" s="408">
        <v>0</v>
      </c>
      <c r="FB174" s="408"/>
      <c r="FC174" s="408"/>
      <c r="FD174" s="408"/>
      <c r="FE174" s="408"/>
      <c r="FF174" s="408">
        <v>0</v>
      </c>
      <c r="FG174" s="408">
        <v>0</v>
      </c>
      <c r="FH174" s="408">
        <v>0</v>
      </c>
      <c r="FI174" s="408">
        <v>0</v>
      </c>
    </row>
    <row r="175" spans="1:165">
      <c r="A175" s="408">
        <v>173</v>
      </c>
      <c r="B175" s="408" t="s">
        <v>1035</v>
      </c>
      <c r="C175" s="408" t="s">
        <v>2241</v>
      </c>
      <c r="D175" s="408" t="s">
        <v>596</v>
      </c>
      <c r="E175" s="408" t="s">
        <v>973</v>
      </c>
      <c r="F175" s="408" t="s">
        <v>1321</v>
      </c>
      <c r="G175" s="408" t="s">
        <v>1321</v>
      </c>
      <c r="H175" s="408" t="s">
        <v>1321</v>
      </c>
      <c r="I175" s="408" t="s">
        <v>1321</v>
      </c>
      <c r="J175" s="408" t="s">
        <v>2234</v>
      </c>
      <c r="K175" s="828">
        <v>44501</v>
      </c>
      <c r="L175" s="408">
        <v>905</v>
      </c>
      <c r="M175" s="408">
        <v>868.8</v>
      </c>
      <c r="N175" s="408">
        <v>0</v>
      </c>
      <c r="O175" s="408">
        <v>0</v>
      </c>
      <c r="P175" s="408">
        <v>0</v>
      </c>
      <c r="Q175" s="408">
        <v>0</v>
      </c>
      <c r="R175" s="408">
        <v>47.39</v>
      </c>
      <c r="S175" s="408"/>
      <c r="T175" s="408"/>
      <c r="U175" s="408">
        <v>42887.95</v>
      </c>
      <c r="V175" s="408"/>
      <c r="W175" s="408">
        <v>42887.95</v>
      </c>
      <c r="X175" s="408">
        <v>29159.1</v>
      </c>
      <c r="Y175" s="408">
        <v>0</v>
      </c>
      <c r="Z175" s="408">
        <v>0</v>
      </c>
      <c r="AA175" s="408">
        <v>0</v>
      </c>
      <c r="AB175" s="408">
        <v>0</v>
      </c>
      <c r="AC175" s="408">
        <v>0</v>
      </c>
      <c r="AD175" s="408">
        <v>22597.940662416459</v>
      </c>
      <c r="AE175" s="408">
        <v>20289.979857385195</v>
      </c>
      <c r="AF175" s="408"/>
      <c r="AG175" s="408"/>
      <c r="AH175" s="408"/>
      <c r="AI175" s="408">
        <v>0</v>
      </c>
      <c r="AJ175" s="408">
        <v>0</v>
      </c>
      <c r="AK175" s="408">
        <v>0</v>
      </c>
      <c r="AL175" s="408">
        <v>0</v>
      </c>
      <c r="AM175" s="408"/>
      <c r="AN175" s="408">
        <v>0</v>
      </c>
      <c r="AO175" s="408">
        <v>0</v>
      </c>
      <c r="AP175" s="408">
        <v>0</v>
      </c>
      <c r="AQ175" s="408">
        <v>0</v>
      </c>
      <c r="AR175" s="408">
        <v>0</v>
      </c>
      <c r="AS175" s="408"/>
      <c r="AT175" s="408"/>
      <c r="AU175" s="408">
        <v>0</v>
      </c>
      <c r="AV175" s="408">
        <v>0</v>
      </c>
      <c r="AW175" s="408">
        <v>0</v>
      </c>
      <c r="AX175" s="408"/>
      <c r="AY175" s="408"/>
      <c r="AZ175" s="408">
        <v>0</v>
      </c>
      <c r="BA175" s="408"/>
      <c r="BB175" s="408">
        <v>0</v>
      </c>
      <c r="BC175" s="408">
        <v>0</v>
      </c>
      <c r="BD175" s="408">
        <v>0</v>
      </c>
      <c r="BE175" s="408">
        <v>0</v>
      </c>
      <c r="BF175" s="408"/>
      <c r="BG175" s="408">
        <v>0</v>
      </c>
      <c r="BH175" s="408">
        <v>0</v>
      </c>
      <c r="BI175" s="408">
        <v>232.19</v>
      </c>
      <c r="BJ175" s="408">
        <v>1196.5899999999999</v>
      </c>
      <c r="BK175" s="408">
        <v>8083.72</v>
      </c>
      <c r="BL175" s="408">
        <v>7</v>
      </c>
      <c r="BM175" s="408"/>
      <c r="BN175" s="408"/>
      <c r="BO175" s="408"/>
      <c r="BP175" s="408"/>
      <c r="BQ175" s="408"/>
      <c r="BR175" s="408">
        <v>1166.3640000000014</v>
      </c>
      <c r="BS175" s="408"/>
      <c r="BT175" s="408"/>
      <c r="BU175" s="408"/>
      <c r="BV175" s="408">
        <v>0</v>
      </c>
      <c r="BW175" s="408"/>
      <c r="BX175" s="408"/>
      <c r="BY175" s="408"/>
      <c r="BZ175" s="408"/>
      <c r="CA175" s="408"/>
      <c r="CB175" s="408"/>
      <c r="CC175" s="408"/>
      <c r="CD175" s="408"/>
      <c r="CE175" s="408"/>
      <c r="CF175" s="408"/>
      <c r="CG175" s="408"/>
      <c r="CH175" s="408"/>
      <c r="CI175" s="408">
        <v>27992.735999999997</v>
      </c>
      <c r="CJ175" s="408">
        <v>-13179.72600000001</v>
      </c>
      <c r="CK175" s="408"/>
      <c r="CL175" s="408"/>
      <c r="CM175" s="408"/>
      <c r="CN175" s="408"/>
      <c r="CO175" s="408">
        <v>-13728.850000000002</v>
      </c>
      <c r="CP175" s="408">
        <v>0</v>
      </c>
      <c r="CQ175" s="408">
        <v>30</v>
      </c>
      <c r="CR175" s="408">
        <v>-102.14411309744901</v>
      </c>
      <c r="CS175" s="408">
        <v>0</v>
      </c>
      <c r="CT175" s="408">
        <v>0</v>
      </c>
      <c r="CU175" s="408">
        <v>0</v>
      </c>
      <c r="CV175" s="408">
        <v>0</v>
      </c>
      <c r="CW175" s="408"/>
      <c r="CX175" s="408"/>
      <c r="CY175" s="408"/>
      <c r="CZ175" s="408">
        <v>-102.14411309744901</v>
      </c>
      <c r="DA175" s="408">
        <v>0</v>
      </c>
      <c r="DB175" s="408">
        <v>0</v>
      </c>
      <c r="DC175" s="408"/>
      <c r="DD175" s="408"/>
      <c r="DE175" s="408">
        <v>0</v>
      </c>
      <c r="DF175" s="408">
        <v>0</v>
      </c>
      <c r="DG175" s="408">
        <v>0</v>
      </c>
      <c r="DH175" s="408">
        <v>0</v>
      </c>
      <c r="DI175" s="408">
        <v>0</v>
      </c>
      <c r="DJ175" s="408"/>
      <c r="DK175" s="408">
        <v>0</v>
      </c>
      <c r="DL175" s="408">
        <v>0</v>
      </c>
      <c r="DM175" s="408"/>
      <c r="DN175" s="408">
        <v>0</v>
      </c>
      <c r="DO175" s="408">
        <v>0</v>
      </c>
      <c r="DP175" s="408">
        <v>0</v>
      </c>
      <c r="DQ175" s="408">
        <v>0</v>
      </c>
      <c r="DR175" s="408">
        <v>0</v>
      </c>
      <c r="DS175" s="408"/>
      <c r="DT175" s="408"/>
      <c r="DU175" s="408">
        <v>20289.979857385195</v>
      </c>
      <c r="DV175" s="408"/>
      <c r="DW175" s="408">
        <v>0</v>
      </c>
      <c r="DX175" s="408">
        <v>0</v>
      </c>
      <c r="DY175" s="408">
        <v>-13728.849999999999</v>
      </c>
      <c r="DZ175" s="408"/>
      <c r="EA175" s="408">
        <v>0</v>
      </c>
      <c r="EB175" s="408"/>
      <c r="EC175" s="408">
        <v>-13628.265494708943</v>
      </c>
      <c r="ED175" s="408"/>
      <c r="EE175" s="408">
        <v>0</v>
      </c>
      <c r="EF175" s="408">
        <v>0</v>
      </c>
      <c r="EG175" s="408"/>
      <c r="EH175" s="408">
        <v>0</v>
      </c>
      <c r="EI175" s="408">
        <v>0</v>
      </c>
      <c r="EJ175" s="408">
        <v>0</v>
      </c>
      <c r="EK175" s="408">
        <v>0</v>
      </c>
      <c r="EL175" s="408">
        <v>0</v>
      </c>
      <c r="EM175" s="408"/>
      <c r="EN175" s="408"/>
      <c r="EO175" s="408">
        <v>0</v>
      </c>
      <c r="EP175" s="408">
        <v>0</v>
      </c>
      <c r="EQ175" s="408"/>
      <c r="ER175" s="408">
        <v>0</v>
      </c>
      <c r="ES175" s="408"/>
      <c r="ET175" s="408">
        <v>0</v>
      </c>
      <c r="EU175" s="408"/>
      <c r="EV175" s="408">
        <v>257</v>
      </c>
      <c r="EW175" s="408"/>
      <c r="EX175" s="408"/>
      <c r="EY175" s="408"/>
      <c r="EZ175" s="408"/>
      <c r="FA175" s="408">
        <v>0</v>
      </c>
      <c r="FB175" s="408"/>
      <c r="FC175" s="408"/>
      <c r="FD175" s="408"/>
      <c r="FE175" s="408"/>
      <c r="FF175" s="408">
        <v>0</v>
      </c>
      <c r="FG175" s="408">
        <v>0</v>
      </c>
      <c r="FH175" s="408">
        <v>0</v>
      </c>
      <c r="FI175" s="408">
        <v>0</v>
      </c>
    </row>
    <row r="176" spans="1:165">
      <c r="A176" s="408">
        <v>174</v>
      </c>
      <c r="B176" s="408" t="s">
        <v>1035</v>
      </c>
      <c r="C176" s="408" t="s">
        <v>2233</v>
      </c>
      <c r="D176" s="408" t="s">
        <v>1958</v>
      </c>
      <c r="E176" s="408" t="s">
        <v>2244</v>
      </c>
      <c r="F176" s="408" t="s">
        <v>1321</v>
      </c>
      <c r="G176" s="408" t="s">
        <v>1321</v>
      </c>
      <c r="H176" s="408" t="s">
        <v>1321</v>
      </c>
      <c r="I176" s="408" t="s">
        <v>1321</v>
      </c>
      <c r="J176" s="408" t="s">
        <v>2234</v>
      </c>
      <c r="K176" s="828">
        <v>44501</v>
      </c>
      <c r="L176" s="408">
        <v>0</v>
      </c>
      <c r="M176" s="408">
        <v>0</v>
      </c>
      <c r="N176" s="408">
        <v>194.83199999999999</v>
      </c>
      <c r="O176" s="408">
        <v>194.83199999999999</v>
      </c>
      <c r="P176" s="408">
        <v>194.83199999999999</v>
      </c>
      <c r="Q176" s="408">
        <v>194.83199999999999</v>
      </c>
      <c r="R176" s="408"/>
      <c r="S176" s="408">
        <v>710.91</v>
      </c>
      <c r="T176" s="408">
        <v>256.55</v>
      </c>
      <c r="U176" s="408"/>
      <c r="V176" s="408">
        <v>188492.16671999998</v>
      </c>
      <c r="W176" s="408">
        <v>188492.16671999998</v>
      </c>
      <c r="X176" s="408">
        <v>128672.89775999999</v>
      </c>
      <c r="Y176" s="408">
        <v>0</v>
      </c>
      <c r="Z176" s="408">
        <v>11977.235126128238</v>
      </c>
      <c r="AA176" s="408">
        <v>0</v>
      </c>
      <c r="AB176" s="408">
        <v>0</v>
      </c>
      <c r="AC176" s="408">
        <v>0</v>
      </c>
      <c r="AD176" s="408">
        <v>23980.466102970571</v>
      </c>
      <c r="AE176" s="408">
        <v>92917.341138270174</v>
      </c>
      <c r="AF176" s="408">
        <v>49984.64091409916</v>
      </c>
      <c r="AG176" s="408">
        <v>0</v>
      </c>
      <c r="AH176" s="408">
        <v>0</v>
      </c>
      <c r="AI176" s="408">
        <v>0</v>
      </c>
      <c r="AJ176" s="408">
        <v>0</v>
      </c>
      <c r="AK176" s="408">
        <v>0</v>
      </c>
      <c r="AL176" s="408">
        <v>1851.7347159963829</v>
      </c>
      <c r="AM176" s="408"/>
      <c r="AN176" s="408">
        <v>427.81301085145776</v>
      </c>
      <c r="AO176" s="408">
        <v>0</v>
      </c>
      <c r="AP176" s="408">
        <v>0</v>
      </c>
      <c r="AQ176" s="408">
        <v>0</v>
      </c>
      <c r="AR176" s="408">
        <v>0</v>
      </c>
      <c r="AS176" s="408">
        <v>0</v>
      </c>
      <c r="AT176" s="408">
        <v>0</v>
      </c>
      <c r="AU176" s="408">
        <v>0</v>
      </c>
      <c r="AV176" s="408">
        <v>0</v>
      </c>
      <c r="AW176" s="408">
        <v>0</v>
      </c>
      <c r="AX176" s="408">
        <v>0</v>
      </c>
      <c r="AY176" s="408">
        <v>0</v>
      </c>
      <c r="AZ176" s="408">
        <v>0</v>
      </c>
      <c r="BA176" s="408"/>
      <c r="BB176" s="408">
        <v>0</v>
      </c>
      <c r="BC176" s="408">
        <v>0</v>
      </c>
      <c r="BD176" s="408">
        <v>290.36209055706502</v>
      </c>
      <c r="BE176" s="408">
        <v>0</v>
      </c>
      <c r="BF176" s="408">
        <v>0</v>
      </c>
      <c r="BG176" s="408">
        <v>7063.3228720126399</v>
      </c>
      <c r="BH176" s="408">
        <v>0</v>
      </c>
      <c r="BI176" s="408">
        <v>320.67</v>
      </c>
      <c r="BJ176" s="408">
        <v>1655.7</v>
      </c>
      <c r="BK176" s="408">
        <v>63949.69</v>
      </c>
      <c r="BL176" s="408">
        <v>301</v>
      </c>
      <c r="BM176" s="408"/>
      <c r="BN176" s="408"/>
      <c r="BO176" s="408"/>
      <c r="BP176" s="408"/>
      <c r="BQ176" s="408"/>
      <c r="BR176" s="408"/>
      <c r="BS176" s="408"/>
      <c r="BT176" s="408"/>
      <c r="BU176" s="408"/>
      <c r="BV176" s="408">
        <v>57338.325876668867</v>
      </c>
      <c r="BW176" s="408"/>
      <c r="BX176" s="408"/>
      <c r="BY176" s="408"/>
      <c r="BZ176" s="408"/>
      <c r="CA176" s="408"/>
      <c r="CB176" s="408"/>
      <c r="CC176" s="408"/>
      <c r="CD176" s="408"/>
      <c r="CE176" s="408"/>
      <c r="CF176" s="408"/>
      <c r="CG176" s="408"/>
      <c r="CH176" s="408"/>
      <c r="CI176" s="408">
        <v>128671.57690000001</v>
      </c>
      <c r="CJ176" s="408">
        <v>-59820.619819999993</v>
      </c>
      <c r="CK176" s="408"/>
      <c r="CL176" s="408"/>
      <c r="CM176" s="408"/>
      <c r="CN176" s="408"/>
      <c r="CO176" s="408">
        <v>-62934.632639999996</v>
      </c>
      <c r="CP176" s="408">
        <v>3115.3636800000018</v>
      </c>
      <c r="CQ176" s="408">
        <v>30</v>
      </c>
      <c r="CR176" s="408">
        <v>2589.9575248984329</v>
      </c>
      <c r="CS176" s="408">
        <v>0</v>
      </c>
      <c r="CT176" s="408">
        <v>0</v>
      </c>
      <c r="CU176" s="408">
        <v>0</v>
      </c>
      <c r="CV176" s="408">
        <v>0</v>
      </c>
      <c r="CW176" s="408">
        <v>0</v>
      </c>
      <c r="CX176" s="408">
        <v>0</v>
      </c>
      <c r="CY176" s="408">
        <v>0</v>
      </c>
      <c r="CZ176" s="408">
        <v>-108.39321504301552</v>
      </c>
      <c r="DA176" s="408">
        <v>0</v>
      </c>
      <c r="DB176" s="408">
        <v>0</v>
      </c>
      <c r="DC176" s="408">
        <v>3113.9666108409001</v>
      </c>
      <c r="DD176" s="408">
        <v>0</v>
      </c>
      <c r="DE176" s="408">
        <v>0</v>
      </c>
      <c r="DF176" s="408">
        <v>18.089113746011435</v>
      </c>
      <c r="DG176" s="408">
        <v>440.03420216293307</v>
      </c>
      <c r="DH176" s="408">
        <v>0</v>
      </c>
      <c r="DI176" s="408">
        <v>-744.79063469666471</v>
      </c>
      <c r="DJ176" s="408"/>
      <c r="DK176" s="408">
        <v>0</v>
      </c>
      <c r="DL176" s="408">
        <v>0</v>
      </c>
      <c r="DM176" s="408">
        <v>0</v>
      </c>
      <c r="DN176" s="408">
        <v>0</v>
      </c>
      <c r="DO176" s="408">
        <v>-101.60966653152968</v>
      </c>
      <c r="DP176" s="408">
        <v>-27.338885580206295</v>
      </c>
      <c r="DQ176" s="408">
        <v>0</v>
      </c>
      <c r="DR176" s="408">
        <v>0</v>
      </c>
      <c r="DS176" s="408"/>
      <c r="DT176" s="408"/>
      <c r="DU176" s="408"/>
      <c r="DV176" s="408">
        <v>92917.341138270174</v>
      </c>
      <c r="DW176" s="408">
        <v>0</v>
      </c>
      <c r="DX176" s="408">
        <v>0</v>
      </c>
      <c r="DY176" s="408">
        <v>-62934.632639999982</v>
      </c>
      <c r="DZ176" s="408">
        <v>3115.3636800000022</v>
      </c>
      <c r="EA176" s="408">
        <v>0</v>
      </c>
      <c r="EB176" s="408">
        <v>0</v>
      </c>
      <c r="EC176" s="408">
        <v>-62410.224307535522</v>
      </c>
      <c r="ED176" s="408">
        <v>0</v>
      </c>
      <c r="EE176" s="408">
        <v>0</v>
      </c>
      <c r="EF176" s="408">
        <v>0</v>
      </c>
      <c r="EG176" s="408">
        <v>0</v>
      </c>
      <c r="EH176" s="408">
        <v>0</v>
      </c>
      <c r="EI176" s="408">
        <v>0</v>
      </c>
      <c r="EJ176" s="408">
        <v>0</v>
      </c>
      <c r="EK176" s="408">
        <v>0</v>
      </c>
      <c r="EL176" s="408">
        <v>0</v>
      </c>
      <c r="EM176" s="408">
        <v>0</v>
      </c>
      <c r="EN176" s="408">
        <v>0</v>
      </c>
      <c r="EO176" s="408">
        <v>0</v>
      </c>
      <c r="EP176" s="408">
        <v>0</v>
      </c>
      <c r="EQ176" s="408">
        <v>0</v>
      </c>
      <c r="ER176" s="408">
        <v>0</v>
      </c>
      <c r="ES176" s="408">
        <v>0</v>
      </c>
      <c r="ET176" s="408">
        <v>0</v>
      </c>
      <c r="EU176" s="408">
        <v>0</v>
      </c>
      <c r="EV176" s="408">
        <v>257</v>
      </c>
      <c r="EW176" s="408">
        <v>0</v>
      </c>
      <c r="EX176" s="408">
        <v>0</v>
      </c>
      <c r="EY176" s="408">
        <v>0</v>
      </c>
      <c r="EZ176" s="408"/>
      <c r="FA176" s="408">
        <v>0</v>
      </c>
      <c r="FB176" s="408"/>
      <c r="FC176" s="408"/>
      <c r="FD176" s="408"/>
      <c r="FE176" s="408"/>
      <c r="FF176" s="408">
        <v>0</v>
      </c>
      <c r="FG176" s="408">
        <v>0</v>
      </c>
      <c r="FH176" s="408">
        <v>0</v>
      </c>
      <c r="FI176" s="408">
        <v>0</v>
      </c>
    </row>
    <row r="177" spans="1:165">
      <c r="A177" s="408">
        <v>175</v>
      </c>
      <c r="B177" s="408" t="s">
        <v>1035</v>
      </c>
      <c r="C177" s="408" t="s">
        <v>2233</v>
      </c>
      <c r="D177" s="408" t="s">
        <v>2245</v>
      </c>
      <c r="E177" s="408" t="s">
        <v>2246</v>
      </c>
      <c r="F177" s="408" t="s">
        <v>2247</v>
      </c>
      <c r="G177" s="408" t="s">
        <v>1321</v>
      </c>
      <c r="H177" s="408" t="s">
        <v>1321</v>
      </c>
      <c r="I177" s="408" t="s">
        <v>1321</v>
      </c>
      <c r="J177" s="408" t="s">
        <v>2234</v>
      </c>
      <c r="K177" s="828">
        <v>44501</v>
      </c>
      <c r="L177" s="408">
        <v>0</v>
      </c>
      <c r="M177" s="408">
        <v>0</v>
      </c>
      <c r="N177" s="408">
        <v>182.41800000000001</v>
      </c>
      <c r="O177" s="408">
        <v>182.41800000000001</v>
      </c>
      <c r="P177" s="408">
        <v>182.41800000000001</v>
      </c>
      <c r="Q177" s="408">
        <v>182.41800000000001</v>
      </c>
      <c r="R177" s="408"/>
      <c r="S177" s="408">
        <v>391</v>
      </c>
      <c r="T177" s="408">
        <v>141.1</v>
      </c>
      <c r="U177" s="408"/>
      <c r="V177" s="408">
        <v>97064.617800000007</v>
      </c>
      <c r="W177" s="408">
        <v>97064.617800000007</v>
      </c>
      <c r="X177" s="408">
        <v>66259.690139999992</v>
      </c>
      <c r="Y177" s="408">
        <v>0</v>
      </c>
      <c r="Z177" s="408">
        <v>6167.7486371896621</v>
      </c>
      <c r="AA177" s="408">
        <v>0</v>
      </c>
      <c r="AB177" s="408">
        <v>0</v>
      </c>
      <c r="AC177" s="408">
        <v>0</v>
      </c>
      <c r="AD177" s="408">
        <v>12348.883992693332</v>
      </c>
      <c r="AE177" s="408">
        <v>47848.338797879798</v>
      </c>
      <c r="AF177" s="408">
        <v>25739.88885012468</v>
      </c>
      <c r="AG177" s="408">
        <v>0</v>
      </c>
      <c r="AH177" s="408">
        <v>0</v>
      </c>
      <c r="AI177" s="408">
        <v>0</v>
      </c>
      <c r="AJ177" s="408">
        <v>0</v>
      </c>
      <c r="AK177" s="408">
        <v>0</v>
      </c>
      <c r="AL177" s="408">
        <v>953.56183215511555</v>
      </c>
      <c r="AM177" s="408"/>
      <c r="AN177" s="408">
        <v>220.30486058463674</v>
      </c>
      <c r="AO177" s="408">
        <v>0</v>
      </c>
      <c r="AP177" s="408">
        <v>0</v>
      </c>
      <c r="AQ177" s="408">
        <v>0</v>
      </c>
      <c r="AR177" s="408">
        <v>0</v>
      </c>
      <c r="AS177" s="408">
        <v>0</v>
      </c>
      <c r="AT177" s="408">
        <v>0</v>
      </c>
      <c r="AU177" s="408">
        <v>0</v>
      </c>
      <c r="AV177" s="408">
        <v>0</v>
      </c>
      <c r="AW177" s="408">
        <v>0</v>
      </c>
      <c r="AX177" s="408">
        <v>0</v>
      </c>
      <c r="AY177" s="408">
        <v>0</v>
      </c>
      <c r="AZ177" s="408">
        <v>0</v>
      </c>
      <c r="BA177" s="408"/>
      <c r="BB177" s="408">
        <v>0</v>
      </c>
      <c r="BC177" s="408">
        <v>0</v>
      </c>
      <c r="BD177" s="408">
        <v>149.52368968845619</v>
      </c>
      <c r="BE177" s="408">
        <v>0</v>
      </c>
      <c r="BF177" s="408">
        <v>0</v>
      </c>
      <c r="BG177" s="408">
        <v>3637.3002248949988</v>
      </c>
      <c r="BH177" s="408">
        <v>0</v>
      </c>
      <c r="BI177" s="408">
        <v>168.27</v>
      </c>
      <c r="BJ177" s="408">
        <v>867.8</v>
      </c>
      <c r="BK177" s="408">
        <v>23299.599999999999</v>
      </c>
      <c r="BL177" s="408">
        <v>24</v>
      </c>
      <c r="BM177" s="408"/>
      <c r="BN177" s="408"/>
      <c r="BO177" s="408"/>
      <c r="BP177" s="408"/>
      <c r="BQ177" s="408"/>
      <c r="BR177" s="408"/>
      <c r="BS177" s="408"/>
      <c r="BT177" s="408"/>
      <c r="BU177" s="408"/>
      <c r="BV177" s="408">
        <v>29526.712764708136</v>
      </c>
      <c r="BW177" s="408"/>
      <c r="BX177" s="408"/>
      <c r="BY177" s="408"/>
      <c r="BZ177" s="408"/>
      <c r="CA177" s="408"/>
      <c r="CB177" s="408"/>
      <c r="CC177" s="408"/>
      <c r="CD177" s="408"/>
      <c r="CE177" s="408"/>
      <c r="CF177" s="408"/>
      <c r="CG177" s="408"/>
      <c r="CH177" s="408"/>
      <c r="CI177" s="408">
        <v>66260.416599999997</v>
      </c>
      <c r="CJ177" s="408">
        <v>-30804.231199999995</v>
      </c>
      <c r="CK177" s="408"/>
      <c r="CL177" s="408"/>
      <c r="CM177" s="408"/>
      <c r="CN177" s="408"/>
      <c r="CO177" s="408">
        <v>-32408.381880000001</v>
      </c>
      <c r="CP177" s="408">
        <v>1603.4542199999987</v>
      </c>
      <c r="CQ177" s="408">
        <v>30</v>
      </c>
      <c r="CR177" s="408">
        <v>1333.7140689276275</v>
      </c>
      <c r="CS177" s="408">
        <v>0</v>
      </c>
      <c r="CT177" s="408">
        <v>0</v>
      </c>
      <c r="CU177" s="408">
        <v>0</v>
      </c>
      <c r="CV177" s="408">
        <v>0</v>
      </c>
      <c r="CW177" s="408">
        <v>0</v>
      </c>
      <c r="CX177" s="408">
        <v>0</v>
      </c>
      <c r="CY177" s="408">
        <v>0</v>
      </c>
      <c r="CZ177" s="408">
        <v>-55.817732333220192</v>
      </c>
      <c r="DA177" s="408">
        <v>0</v>
      </c>
      <c r="DB177" s="408">
        <v>0</v>
      </c>
      <c r="DC177" s="408">
        <v>1603.5556719071465</v>
      </c>
      <c r="DD177" s="408">
        <v>0</v>
      </c>
      <c r="DE177" s="408">
        <v>0</v>
      </c>
      <c r="DF177" s="408">
        <v>9.3150969718830652</v>
      </c>
      <c r="DG177" s="408">
        <v>226.59823591393888</v>
      </c>
      <c r="DH177" s="408">
        <v>0</v>
      </c>
      <c r="DI177" s="408">
        <v>-383.53437782322271</v>
      </c>
      <c r="DJ177" s="408"/>
      <c r="DK177" s="408">
        <v>0</v>
      </c>
      <c r="DL177" s="408">
        <v>0</v>
      </c>
      <c r="DM177" s="408">
        <v>0</v>
      </c>
      <c r="DN177" s="408">
        <v>0</v>
      </c>
      <c r="DO177" s="408">
        <v>-52.324503583300611</v>
      </c>
      <c r="DP177" s="408">
        <v>-14.078322125594411</v>
      </c>
      <c r="DQ177" s="408">
        <v>0</v>
      </c>
      <c r="DR177" s="408">
        <v>0</v>
      </c>
      <c r="DS177" s="408"/>
      <c r="DT177" s="408"/>
      <c r="DU177" s="408"/>
      <c r="DV177" s="408">
        <v>47848.338797879798</v>
      </c>
      <c r="DW177" s="408">
        <v>0</v>
      </c>
      <c r="DX177" s="408">
        <v>0</v>
      </c>
      <c r="DY177" s="408">
        <v>-32408.381880000008</v>
      </c>
      <c r="DZ177" s="408">
        <v>1603.4542199999996</v>
      </c>
      <c r="EA177" s="408">
        <v>0</v>
      </c>
      <c r="EB177" s="408">
        <v>0</v>
      </c>
      <c r="EC177" s="408">
        <v>-32138.517100643599</v>
      </c>
      <c r="ED177" s="408">
        <v>0</v>
      </c>
      <c r="EE177" s="408">
        <v>0</v>
      </c>
      <c r="EF177" s="408">
        <v>0</v>
      </c>
      <c r="EG177" s="408">
        <v>0</v>
      </c>
      <c r="EH177" s="408">
        <v>0</v>
      </c>
      <c r="EI177" s="408">
        <v>0</v>
      </c>
      <c r="EJ177" s="408">
        <v>0</v>
      </c>
      <c r="EK177" s="408">
        <v>0</v>
      </c>
      <c r="EL177" s="408">
        <v>0</v>
      </c>
      <c r="EM177" s="408">
        <v>0</v>
      </c>
      <c r="EN177" s="408">
        <v>0</v>
      </c>
      <c r="EO177" s="408">
        <v>0</v>
      </c>
      <c r="EP177" s="408">
        <v>0</v>
      </c>
      <c r="EQ177" s="408">
        <v>0</v>
      </c>
      <c r="ER177" s="408">
        <v>0</v>
      </c>
      <c r="ES177" s="408">
        <v>0</v>
      </c>
      <c r="ET177" s="408">
        <v>0</v>
      </c>
      <c r="EU177" s="408">
        <v>0</v>
      </c>
      <c r="EV177" s="408">
        <v>257</v>
      </c>
      <c r="EW177" s="408">
        <v>0</v>
      </c>
      <c r="EX177" s="408">
        <v>0</v>
      </c>
      <c r="EY177" s="408">
        <v>0</v>
      </c>
      <c r="EZ177" s="408"/>
      <c r="FA177" s="408">
        <v>0</v>
      </c>
      <c r="FB177" s="408"/>
      <c r="FC177" s="408"/>
      <c r="FD177" s="408"/>
      <c r="FE177" s="408"/>
      <c r="FF177" s="408">
        <v>0</v>
      </c>
      <c r="FG177" s="408">
        <v>0</v>
      </c>
      <c r="FH177" s="408">
        <v>0</v>
      </c>
      <c r="FI177" s="408">
        <v>0</v>
      </c>
    </row>
    <row r="178" spans="1:165">
      <c r="A178" s="408">
        <v>176</v>
      </c>
      <c r="B178" s="408" t="s">
        <v>1035</v>
      </c>
      <c r="C178" s="408" t="s">
        <v>2233</v>
      </c>
      <c r="D178" s="408" t="s">
        <v>1958</v>
      </c>
      <c r="E178" s="408" t="s">
        <v>1000</v>
      </c>
      <c r="F178" s="408" t="s">
        <v>2248</v>
      </c>
      <c r="G178" s="408" t="s">
        <v>1321</v>
      </c>
      <c r="H178" s="408" t="s">
        <v>1321</v>
      </c>
      <c r="I178" s="408" t="s">
        <v>1321</v>
      </c>
      <c r="J178" s="408" t="s">
        <v>2234</v>
      </c>
      <c r="K178" s="828">
        <v>44501</v>
      </c>
      <c r="L178" s="408">
        <v>0</v>
      </c>
      <c r="M178" s="408">
        <v>0</v>
      </c>
      <c r="N178" s="408">
        <v>36.481999999999999</v>
      </c>
      <c r="O178" s="408">
        <v>34.293080000000003</v>
      </c>
      <c r="P178" s="408">
        <v>36.481999999999999</v>
      </c>
      <c r="Q178" s="408">
        <v>34.293080000000003</v>
      </c>
      <c r="R178" s="408"/>
      <c r="S178" s="408">
        <v>710.91</v>
      </c>
      <c r="T178" s="408">
        <v>256.55</v>
      </c>
      <c r="U178" s="408"/>
      <c r="V178" s="408">
        <v>35294.875719999996</v>
      </c>
      <c r="W178" s="408">
        <v>35294.875719999996</v>
      </c>
      <c r="X178" s="408">
        <v>24093.807260000001</v>
      </c>
      <c r="Y178" s="408">
        <v>0</v>
      </c>
      <c r="Z178" s="408">
        <v>2242.7193267605444</v>
      </c>
      <c r="AA178" s="408">
        <v>0</v>
      </c>
      <c r="AB178" s="408">
        <v>0</v>
      </c>
      <c r="AC178" s="408">
        <v>0</v>
      </c>
      <c r="AD178" s="408">
        <v>4490.3063376066166</v>
      </c>
      <c r="AE178" s="408">
        <v>17398.632870403078</v>
      </c>
      <c r="AF178" s="408">
        <v>9359.5490978287216</v>
      </c>
      <c r="AG178" s="408">
        <v>0</v>
      </c>
      <c r="AH178" s="408">
        <v>0</v>
      </c>
      <c r="AI178" s="408">
        <v>0</v>
      </c>
      <c r="AJ178" s="408">
        <v>0</v>
      </c>
      <c r="AK178" s="408">
        <v>0</v>
      </c>
      <c r="AL178" s="408">
        <v>346.73455032530615</v>
      </c>
      <c r="AM178" s="408"/>
      <c r="AN178" s="408">
        <v>80.107345106978741</v>
      </c>
      <c r="AO178" s="408">
        <v>0</v>
      </c>
      <c r="AP178" s="408">
        <v>0</v>
      </c>
      <c r="AQ178" s="408">
        <v>0</v>
      </c>
      <c r="AR178" s="408">
        <v>0</v>
      </c>
      <c r="AS178" s="408">
        <v>0</v>
      </c>
      <c r="AT178" s="408">
        <v>0</v>
      </c>
      <c r="AU178" s="408">
        <v>0</v>
      </c>
      <c r="AV178" s="408">
        <v>0</v>
      </c>
      <c r="AW178" s="408">
        <v>0</v>
      </c>
      <c r="AX178" s="408">
        <v>0</v>
      </c>
      <c r="AY178" s="408">
        <v>0</v>
      </c>
      <c r="AZ178" s="408">
        <v>0</v>
      </c>
      <c r="BA178" s="408"/>
      <c r="BB178" s="408">
        <v>0</v>
      </c>
      <c r="BC178" s="408">
        <v>0</v>
      </c>
      <c r="BD178" s="408">
        <v>54.369866283274028</v>
      </c>
      <c r="BE178" s="408">
        <v>0</v>
      </c>
      <c r="BF178" s="408">
        <v>0</v>
      </c>
      <c r="BG178" s="408">
        <v>1322.5966217909026</v>
      </c>
      <c r="BH178" s="408">
        <v>0</v>
      </c>
      <c r="BI178" s="408">
        <v>59.07</v>
      </c>
      <c r="BJ178" s="408">
        <v>304.63</v>
      </c>
      <c r="BK178" s="408">
        <v>12707.44</v>
      </c>
      <c r="BL178" s="408">
        <v>10</v>
      </c>
      <c r="BM178" s="408"/>
      <c r="BN178" s="408"/>
      <c r="BO178" s="408"/>
      <c r="BP178" s="408"/>
      <c r="BQ178" s="408">
        <v>1445.6284355999974</v>
      </c>
      <c r="BR178" s="408"/>
      <c r="BS178" s="408"/>
      <c r="BT178" s="408"/>
      <c r="BU178" s="408"/>
      <c r="BV178" s="408">
        <v>10736.515585902898</v>
      </c>
      <c r="BW178" s="408"/>
      <c r="BX178" s="408"/>
      <c r="BY178" s="408"/>
      <c r="BZ178" s="408"/>
      <c r="CA178" s="408"/>
      <c r="CB178" s="408"/>
      <c r="CC178" s="408"/>
      <c r="CD178" s="408"/>
      <c r="CE178" s="408"/>
      <c r="CF178" s="408"/>
      <c r="CG178" s="408"/>
      <c r="CH178" s="408"/>
      <c r="CI178" s="408">
        <v>22646.144699999997</v>
      </c>
      <c r="CJ178" s="408">
        <v>-10531.068476800006</v>
      </c>
      <c r="CK178" s="408"/>
      <c r="CL178" s="408"/>
      <c r="CM178" s="408"/>
      <c r="CN178" s="408"/>
      <c r="CO178" s="408">
        <v>-11784.415639999999</v>
      </c>
      <c r="CP178" s="408">
        <v>583.34718000000032</v>
      </c>
      <c r="CQ178" s="408">
        <v>30</v>
      </c>
      <c r="CR178" s="408">
        <v>484.96566489767793</v>
      </c>
      <c r="CS178" s="408">
        <v>0</v>
      </c>
      <c r="CT178" s="408">
        <v>0</v>
      </c>
      <c r="CU178" s="408">
        <v>0</v>
      </c>
      <c r="CV178" s="408">
        <v>0</v>
      </c>
      <c r="CW178" s="408">
        <v>0</v>
      </c>
      <c r="CX178" s="408">
        <v>0</v>
      </c>
      <c r="CY178" s="408">
        <v>0</v>
      </c>
      <c r="CZ178" s="408">
        <v>-20.296467064954413</v>
      </c>
      <c r="DA178" s="408">
        <v>0</v>
      </c>
      <c r="DB178" s="408">
        <v>0</v>
      </c>
      <c r="DC178" s="408">
        <v>583.08558089378494</v>
      </c>
      <c r="DD178" s="408">
        <v>0</v>
      </c>
      <c r="DE178" s="408">
        <v>0</v>
      </c>
      <c r="DF178" s="408">
        <v>3.3871594382955053</v>
      </c>
      <c r="DG178" s="408">
        <v>82.395744863821619</v>
      </c>
      <c r="DH178" s="408">
        <v>0</v>
      </c>
      <c r="DI178" s="408">
        <v>-139.46093010903633</v>
      </c>
      <c r="DJ178" s="408"/>
      <c r="DK178" s="408">
        <v>0</v>
      </c>
      <c r="DL178" s="408">
        <v>0</v>
      </c>
      <c r="DM178" s="408">
        <v>0</v>
      </c>
      <c r="DN178" s="408">
        <v>0</v>
      </c>
      <c r="DO178" s="408">
        <v>-19.026257772867211</v>
      </c>
      <c r="DP178" s="408">
        <v>-5.1191653513646855</v>
      </c>
      <c r="DQ178" s="408">
        <v>0</v>
      </c>
      <c r="DR178" s="408">
        <v>0</v>
      </c>
      <c r="DS178" s="408"/>
      <c r="DT178" s="408"/>
      <c r="DU178" s="408"/>
      <c r="DV178" s="408">
        <v>17398.632870403078</v>
      </c>
      <c r="DW178" s="408">
        <v>0</v>
      </c>
      <c r="DX178" s="408">
        <v>0</v>
      </c>
      <c r="DY178" s="408">
        <v>-11784.415639999997</v>
      </c>
      <c r="DZ178" s="408">
        <v>583.34718000000066</v>
      </c>
      <c r="EA178" s="408">
        <v>0</v>
      </c>
      <c r="EB178" s="408">
        <v>0</v>
      </c>
      <c r="EC178" s="408">
        <v>-11686.220965691011</v>
      </c>
      <c r="ED178" s="408">
        <v>0</v>
      </c>
      <c r="EE178" s="408">
        <v>0</v>
      </c>
      <c r="EF178" s="408">
        <v>0</v>
      </c>
      <c r="EG178" s="408">
        <v>0</v>
      </c>
      <c r="EH178" s="408">
        <v>0</v>
      </c>
      <c r="EI178" s="408">
        <v>0</v>
      </c>
      <c r="EJ178" s="408">
        <v>0</v>
      </c>
      <c r="EK178" s="408">
        <v>0</v>
      </c>
      <c r="EL178" s="408">
        <v>0</v>
      </c>
      <c r="EM178" s="408">
        <v>0</v>
      </c>
      <c r="EN178" s="408">
        <v>0</v>
      </c>
      <c r="EO178" s="408">
        <v>0</v>
      </c>
      <c r="EP178" s="408">
        <v>0</v>
      </c>
      <c r="EQ178" s="408">
        <v>0</v>
      </c>
      <c r="ER178" s="408">
        <v>0</v>
      </c>
      <c r="ES178" s="408">
        <v>0</v>
      </c>
      <c r="ET178" s="408">
        <v>0</v>
      </c>
      <c r="EU178" s="408">
        <v>0</v>
      </c>
      <c r="EV178" s="408">
        <v>257</v>
      </c>
      <c r="EW178" s="408">
        <v>0</v>
      </c>
      <c r="EX178" s="408">
        <v>0</v>
      </c>
      <c r="EY178" s="408">
        <v>0</v>
      </c>
      <c r="EZ178" s="408"/>
      <c r="FA178" s="408">
        <v>0</v>
      </c>
      <c r="FB178" s="408"/>
      <c r="FC178" s="408"/>
      <c r="FD178" s="408"/>
      <c r="FE178" s="408"/>
      <c r="FF178" s="408">
        <v>0</v>
      </c>
      <c r="FG178" s="408">
        <v>0</v>
      </c>
      <c r="FH178" s="408">
        <v>0</v>
      </c>
      <c r="FI178" s="408">
        <v>0</v>
      </c>
    </row>
    <row r="179" spans="1:165">
      <c r="A179" s="408">
        <v>177</v>
      </c>
      <c r="B179" s="408" t="s">
        <v>1035</v>
      </c>
      <c r="C179" s="408" t="s">
        <v>2241</v>
      </c>
      <c r="D179" s="408" t="s">
        <v>596</v>
      </c>
      <c r="E179" s="408" t="s">
        <v>1000</v>
      </c>
      <c r="F179" s="408" t="s">
        <v>2248</v>
      </c>
      <c r="G179" s="408" t="s">
        <v>1321</v>
      </c>
      <c r="H179" s="408" t="s">
        <v>1321</v>
      </c>
      <c r="I179" s="408" t="s">
        <v>972</v>
      </c>
      <c r="J179" s="408" t="s">
        <v>2234</v>
      </c>
      <c r="K179" s="828">
        <v>44501</v>
      </c>
      <c r="L179" s="408">
        <v>0</v>
      </c>
      <c r="M179" s="408">
        <v>0</v>
      </c>
      <c r="N179" s="408">
        <v>1.746</v>
      </c>
      <c r="O179" s="408">
        <v>1.64124</v>
      </c>
      <c r="P179" s="408">
        <v>1.746</v>
      </c>
      <c r="Q179" s="408">
        <v>1.64124</v>
      </c>
      <c r="R179" s="408"/>
      <c r="S179" s="408">
        <v>3130.62</v>
      </c>
      <c r="T179" s="408">
        <v>256.55</v>
      </c>
      <c r="U179" s="408"/>
      <c r="V179" s="408">
        <v>5913.9988199999998</v>
      </c>
      <c r="W179" s="408">
        <v>5913.9988199999998</v>
      </c>
      <c r="X179" s="408">
        <v>3112.4719799999998</v>
      </c>
      <c r="Y179" s="408">
        <v>0</v>
      </c>
      <c r="Z179" s="408">
        <v>93.381270537136189</v>
      </c>
      <c r="AA179" s="408">
        <v>0</v>
      </c>
      <c r="AB179" s="408">
        <v>0</v>
      </c>
      <c r="AC179" s="408">
        <v>0</v>
      </c>
      <c r="AD179" s="408">
        <v>1124.7973074983856</v>
      </c>
      <c r="AE179" s="408">
        <v>4197.6435656304584</v>
      </c>
      <c r="AF179" s="408">
        <v>447.94070294416281</v>
      </c>
      <c r="AG179" s="408">
        <v>0</v>
      </c>
      <c r="AH179" s="408">
        <v>0</v>
      </c>
      <c r="AI179" s="408">
        <v>0</v>
      </c>
      <c r="AJ179" s="408">
        <v>0</v>
      </c>
      <c r="AK179" s="408">
        <v>0</v>
      </c>
      <c r="AL179" s="408">
        <v>16.594444516966846</v>
      </c>
      <c r="AM179" s="408"/>
      <c r="AN179" s="408">
        <v>2.3554500209465186</v>
      </c>
      <c r="AO179" s="408">
        <v>0</v>
      </c>
      <c r="AP179" s="408">
        <v>0</v>
      </c>
      <c r="AQ179" s="408">
        <v>0</v>
      </c>
      <c r="AR179" s="408">
        <v>0</v>
      </c>
      <c r="AS179" s="408">
        <v>0</v>
      </c>
      <c r="AT179" s="408">
        <v>0</v>
      </c>
      <c r="AU179" s="408">
        <v>0</v>
      </c>
      <c r="AV179" s="408">
        <v>0</v>
      </c>
      <c r="AW179" s="408">
        <v>0</v>
      </c>
      <c r="AX179" s="408">
        <v>0</v>
      </c>
      <c r="AY179" s="408">
        <v>0</v>
      </c>
      <c r="AZ179" s="408">
        <v>0</v>
      </c>
      <c r="BA179" s="408"/>
      <c r="BB179" s="408">
        <v>0</v>
      </c>
      <c r="BC179" s="408">
        <v>0</v>
      </c>
      <c r="BD179" s="408">
        <v>2.151116029242095</v>
      </c>
      <c r="BE179" s="408">
        <v>0</v>
      </c>
      <c r="BF179" s="408">
        <v>0</v>
      </c>
      <c r="BG179" s="408">
        <v>29.139497193001393</v>
      </c>
      <c r="BH179" s="408">
        <v>0</v>
      </c>
      <c r="BI179" s="408">
        <v>0</v>
      </c>
      <c r="BJ179" s="408">
        <v>0</v>
      </c>
      <c r="BK179" s="408">
        <v>0</v>
      </c>
      <c r="BL179" s="408">
        <v>0</v>
      </c>
      <c r="BM179" s="408"/>
      <c r="BN179" s="408"/>
      <c r="BO179" s="408"/>
      <c r="BP179" s="408"/>
      <c r="BQ179" s="408">
        <v>186.74831879999994</v>
      </c>
      <c r="BR179" s="408"/>
      <c r="BS179" s="408"/>
      <c r="BT179" s="408"/>
      <c r="BU179" s="408"/>
      <c r="BV179" s="408">
        <v>479.23131616640626</v>
      </c>
      <c r="BW179" s="408"/>
      <c r="BX179" s="408"/>
      <c r="BY179" s="408"/>
      <c r="BZ179" s="408"/>
      <c r="CA179" s="408"/>
      <c r="CB179" s="408"/>
      <c r="CC179" s="408"/>
      <c r="CD179" s="408"/>
      <c r="CE179" s="408"/>
      <c r="CF179" s="408"/>
      <c r="CG179" s="408"/>
      <c r="CH179" s="408"/>
      <c r="CI179" s="408">
        <v>2923.5131999999999</v>
      </c>
      <c r="CJ179" s="408">
        <v>-2635.6756908000002</v>
      </c>
      <c r="CK179" s="408"/>
      <c r="CL179" s="408"/>
      <c r="CM179" s="408"/>
      <c r="CN179" s="408"/>
      <c r="CO179" s="408">
        <v>-2829.4453800000001</v>
      </c>
      <c r="CP179" s="408">
        <v>27.918540000000014</v>
      </c>
      <c r="CQ179" s="408">
        <v>30</v>
      </c>
      <c r="CR179" s="408">
        <v>17.903311474175098</v>
      </c>
      <c r="CS179" s="408">
        <v>0</v>
      </c>
      <c r="CT179" s="408">
        <v>0</v>
      </c>
      <c r="CU179" s="408">
        <v>0</v>
      </c>
      <c r="CV179" s="408">
        <v>0</v>
      </c>
      <c r="CW179" s="408">
        <v>0</v>
      </c>
      <c r="CX179" s="408">
        <v>0</v>
      </c>
      <c r="CY179" s="408">
        <v>0</v>
      </c>
      <c r="CZ179" s="408">
        <v>-5.0841545743098777</v>
      </c>
      <c r="DA179" s="408">
        <v>0</v>
      </c>
      <c r="DB179" s="408">
        <v>0</v>
      </c>
      <c r="DC179" s="408">
        <v>27.906020071283024</v>
      </c>
      <c r="DD179" s="408">
        <v>0</v>
      </c>
      <c r="DE179" s="408">
        <v>0</v>
      </c>
      <c r="DF179" s="408">
        <v>0.13401123562368866</v>
      </c>
      <c r="DG179" s="408">
        <v>1.8153460674377691</v>
      </c>
      <c r="DH179" s="408">
        <v>0</v>
      </c>
      <c r="DI179" s="408">
        <v>-5.8068072488961633</v>
      </c>
      <c r="DJ179" s="408"/>
      <c r="DK179" s="408">
        <v>0</v>
      </c>
      <c r="DL179" s="408">
        <v>0</v>
      </c>
      <c r="DM179" s="408">
        <v>0</v>
      </c>
      <c r="DN179" s="408">
        <v>0</v>
      </c>
      <c r="DO179" s="408">
        <v>-0.91058182312993097</v>
      </c>
      <c r="DP179" s="408">
        <v>-0.15052225383325801</v>
      </c>
      <c r="DQ179" s="408">
        <v>0</v>
      </c>
      <c r="DR179" s="408">
        <v>0</v>
      </c>
      <c r="DS179" s="408"/>
      <c r="DT179" s="408"/>
      <c r="DU179" s="408"/>
      <c r="DV179" s="408">
        <v>4197.6435656304584</v>
      </c>
      <c r="DW179" s="408">
        <v>0</v>
      </c>
      <c r="DX179" s="408">
        <v>0</v>
      </c>
      <c r="DY179" s="408">
        <v>-2829.4453799999997</v>
      </c>
      <c r="DZ179" s="408">
        <v>27.918540000000007</v>
      </c>
      <c r="EA179" s="408">
        <v>0</v>
      </c>
      <c r="EB179" s="408">
        <v>0</v>
      </c>
      <c r="EC179" s="408">
        <v>-2819.4508504524892</v>
      </c>
      <c r="ED179" s="408">
        <v>0</v>
      </c>
      <c r="EE179" s="408">
        <v>0</v>
      </c>
      <c r="EF179" s="408">
        <v>0</v>
      </c>
      <c r="EG179" s="408">
        <v>0</v>
      </c>
      <c r="EH179" s="408">
        <v>0</v>
      </c>
      <c r="EI179" s="408">
        <v>0</v>
      </c>
      <c r="EJ179" s="408">
        <v>0</v>
      </c>
      <c r="EK179" s="408">
        <v>0</v>
      </c>
      <c r="EL179" s="408">
        <v>0</v>
      </c>
      <c r="EM179" s="408">
        <v>0</v>
      </c>
      <c r="EN179" s="408">
        <v>0</v>
      </c>
      <c r="EO179" s="408">
        <v>0</v>
      </c>
      <c r="EP179" s="408">
        <v>0</v>
      </c>
      <c r="EQ179" s="408">
        <v>0</v>
      </c>
      <c r="ER179" s="408">
        <v>0</v>
      </c>
      <c r="ES179" s="408">
        <v>0</v>
      </c>
      <c r="ET179" s="408">
        <v>0</v>
      </c>
      <c r="EU179" s="408">
        <v>0</v>
      </c>
      <c r="EV179" s="408">
        <v>257</v>
      </c>
      <c r="EW179" s="408">
        <v>0</v>
      </c>
      <c r="EX179" s="408">
        <v>0</v>
      </c>
      <c r="EY179" s="408">
        <v>0</v>
      </c>
      <c r="EZ179" s="408"/>
      <c r="FA179" s="408">
        <v>0</v>
      </c>
      <c r="FB179" s="408"/>
      <c r="FC179" s="408"/>
      <c r="FD179" s="408"/>
      <c r="FE179" s="408"/>
      <c r="FF179" s="408">
        <v>0</v>
      </c>
      <c r="FG179" s="408">
        <v>0</v>
      </c>
      <c r="FH179" s="408">
        <v>0</v>
      </c>
      <c r="FI179" s="408">
        <v>0</v>
      </c>
    </row>
    <row r="180" spans="1:165">
      <c r="A180" s="408">
        <v>178</v>
      </c>
      <c r="B180" s="408" t="s">
        <v>1035</v>
      </c>
      <c r="C180" s="408" t="s">
        <v>2241</v>
      </c>
      <c r="D180" s="408" t="s">
        <v>596</v>
      </c>
      <c r="E180" s="408" t="s">
        <v>1000</v>
      </c>
      <c r="F180" s="408" t="s">
        <v>2248</v>
      </c>
      <c r="G180" s="408" t="s">
        <v>1321</v>
      </c>
      <c r="H180" s="408" t="s">
        <v>1321</v>
      </c>
      <c r="I180" s="408" t="s">
        <v>2242</v>
      </c>
      <c r="J180" s="408" t="s">
        <v>2234</v>
      </c>
      <c r="K180" s="828">
        <v>44501</v>
      </c>
      <c r="L180" s="408">
        <v>0</v>
      </c>
      <c r="M180" s="408">
        <v>0</v>
      </c>
      <c r="N180" s="408">
        <v>17.178000000000001</v>
      </c>
      <c r="O180" s="408">
        <v>16.147320000000001</v>
      </c>
      <c r="P180" s="408">
        <v>17.178000000000001</v>
      </c>
      <c r="Q180" s="408">
        <v>16.147320000000001</v>
      </c>
      <c r="R180" s="408"/>
      <c r="S180" s="408">
        <v>82.26</v>
      </c>
      <c r="T180" s="408">
        <v>256.55</v>
      </c>
      <c r="U180" s="408"/>
      <c r="V180" s="408">
        <v>5820.0781800000004</v>
      </c>
      <c r="W180" s="408">
        <v>5820.0781800000004</v>
      </c>
      <c r="X180" s="408">
        <v>6046.3124400000006</v>
      </c>
      <c r="Y180" s="408">
        <v>0</v>
      </c>
      <c r="Z180" s="408">
        <v>918.73050703718525</v>
      </c>
      <c r="AA180" s="408">
        <v>0</v>
      </c>
      <c r="AB180" s="408">
        <v>0</v>
      </c>
      <c r="AC180" s="408">
        <v>0</v>
      </c>
      <c r="AD180" s="408">
        <v>0</v>
      </c>
      <c r="AE180" s="408">
        <v>0</v>
      </c>
      <c r="AF180" s="408">
        <v>4407.0592183131894</v>
      </c>
      <c r="AG180" s="408">
        <v>0</v>
      </c>
      <c r="AH180" s="408">
        <v>0</v>
      </c>
      <c r="AI180" s="408">
        <v>0</v>
      </c>
      <c r="AJ180" s="408">
        <v>0</v>
      </c>
      <c r="AK180" s="408">
        <v>0</v>
      </c>
      <c r="AL180" s="408">
        <v>163.26424279063946</v>
      </c>
      <c r="AM180" s="408"/>
      <c r="AN180" s="408">
        <v>23.17406670092743</v>
      </c>
      <c r="AO180" s="408">
        <v>0</v>
      </c>
      <c r="AP180" s="408">
        <v>0</v>
      </c>
      <c r="AQ180" s="408">
        <v>0</v>
      </c>
      <c r="AR180" s="408">
        <v>0</v>
      </c>
      <c r="AS180" s="408">
        <v>0</v>
      </c>
      <c r="AT180" s="408">
        <v>0</v>
      </c>
      <c r="AU180" s="408">
        <v>0</v>
      </c>
      <c r="AV180" s="408">
        <v>0</v>
      </c>
      <c r="AW180" s="408">
        <v>0</v>
      </c>
      <c r="AX180" s="408">
        <v>0</v>
      </c>
      <c r="AY180" s="408">
        <v>0</v>
      </c>
      <c r="AZ180" s="408">
        <v>0</v>
      </c>
      <c r="BA180" s="408"/>
      <c r="BB180" s="408">
        <v>0</v>
      </c>
      <c r="BC180" s="408">
        <v>0</v>
      </c>
      <c r="BD180" s="408">
        <v>21.163729181168794</v>
      </c>
      <c r="BE180" s="408">
        <v>0</v>
      </c>
      <c r="BF180" s="408">
        <v>0</v>
      </c>
      <c r="BG180" s="408">
        <v>286.68859265829207</v>
      </c>
      <c r="BH180" s="408">
        <v>0</v>
      </c>
      <c r="BI180" s="408">
        <v>0</v>
      </c>
      <c r="BJ180" s="408">
        <v>0</v>
      </c>
      <c r="BK180" s="408">
        <v>0</v>
      </c>
      <c r="BL180" s="408">
        <v>0</v>
      </c>
      <c r="BM180" s="408"/>
      <c r="BN180" s="408"/>
      <c r="BO180" s="408"/>
      <c r="BP180" s="408"/>
      <c r="BQ180" s="408">
        <v>362.7787464000001</v>
      </c>
      <c r="BR180" s="408"/>
      <c r="BS180" s="408"/>
      <c r="BT180" s="408"/>
      <c r="BU180" s="408"/>
      <c r="BV180" s="408">
        <v>4714.9115401526496</v>
      </c>
      <c r="BW180" s="408"/>
      <c r="BX180" s="408"/>
      <c r="BY180" s="408"/>
      <c r="BZ180" s="408"/>
      <c r="CA180" s="408"/>
      <c r="CB180" s="408"/>
      <c r="CC180" s="408"/>
      <c r="CD180" s="408"/>
      <c r="CE180" s="408"/>
      <c r="CF180" s="408"/>
      <c r="CG180" s="408"/>
      <c r="CH180" s="408"/>
      <c r="CI180" s="408">
        <v>5684.4769999999999</v>
      </c>
      <c r="CJ180" s="408">
        <v>213.57351079999989</v>
      </c>
      <c r="CK180" s="408"/>
      <c r="CL180" s="408"/>
      <c r="CM180" s="408"/>
      <c r="CN180" s="408"/>
      <c r="CO180" s="408">
        <v>-48.44196000000013</v>
      </c>
      <c r="CP180" s="408">
        <v>274.67622000000017</v>
      </c>
      <c r="CQ180" s="408">
        <v>30</v>
      </c>
      <c r="CR180" s="408">
        <v>226.1619082364723</v>
      </c>
      <c r="CS180" s="408">
        <v>0</v>
      </c>
      <c r="CT180" s="408">
        <v>0</v>
      </c>
      <c r="CU180" s="408">
        <v>0</v>
      </c>
      <c r="CV180" s="408">
        <v>0</v>
      </c>
      <c r="CW180" s="408">
        <v>0</v>
      </c>
      <c r="CX180" s="408">
        <v>0</v>
      </c>
      <c r="CY180" s="408">
        <v>0</v>
      </c>
      <c r="CZ180" s="408">
        <v>0</v>
      </c>
      <c r="DA180" s="408">
        <v>0</v>
      </c>
      <c r="DB180" s="408">
        <v>0</v>
      </c>
      <c r="DC180" s="408">
        <v>274.55304283190162</v>
      </c>
      <c r="DD180" s="408">
        <v>0</v>
      </c>
      <c r="DE180" s="408">
        <v>0</v>
      </c>
      <c r="DF180" s="408">
        <v>1.3184679298646742</v>
      </c>
      <c r="DG180" s="408">
        <v>17.86026045042729</v>
      </c>
      <c r="DH180" s="408">
        <v>0</v>
      </c>
      <c r="DI180" s="408">
        <v>-57.130203276940506</v>
      </c>
      <c r="DJ180" s="408"/>
      <c r="DK180" s="408">
        <v>0</v>
      </c>
      <c r="DL180" s="408">
        <v>0</v>
      </c>
      <c r="DM180" s="408">
        <v>0</v>
      </c>
      <c r="DN180" s="408">
        <v>0</v>
      </c>
      <c r="DO180" s="408">
        <v>-8.9587483148487763</v>
      </c>
      <c r="DP180" s="408">
        <v>-1.4809113839333925</v>
      </c>
      <c r="DQ180" s="408">
        <v>0</v>
      </c>
      <c r="DR180" s="408">
        <v>0</v>
      </c>
      <c r="DS180" s="408"/>
      <c r="DT180" s="408"/>
      <c r="DU180" s="408"/>
      <c r="DV180" s="408">
        <v>0</v>
      </c>
      <c r="DW180" s="408">
        <v>0</v>
      </c>
      <c r="DX180" s="408">
        <v>0</v>
      </c>
      <c r="DY180" s="408">
        <v>-48.441960000000108</v>
      </c>
      <c r="DZ180" s="408">
        <v>274.67622000000028</v>
      </c>
      <c r="EA180" s="408">
        <v>0</v>
      </c>
      <c r="EB180" s="408">
        <v>0</v>
      </c>
      <c r="EC180" s="408">
        <v>0</v>
      </c>
      <c r="ED180" s="408">
        <v>0</v>
      </c>
      <c r="EE180" s="408">
        <v>0</v>
      </c>
      <c r="EF180" s="408">
        <v>0</v>
      </c>
      <c r="EG180" s="408">
        <v>0</v>
      </c>
      <c r="EH180" s="408">
        <v>0</v>
      </c>
      <c r="EI180" s="408">
        <v>0</v>
      </c>
      <c r="EJ180" s="408">
        <v>0</v>
      </c>
      <c r="EK180" s="408">
        <v>0</v>
      </c>
      <c r="EL180" s="408">
        <v>0</v>
      </c>
      <c r="EM180" s="408">
        <v>0</v>
      </c>
      <c r="EN180" s="408">
        <v>0</v>
      </c>
      <c r="EO180" s="408">
        <v>0</v>
      </c>
      <c r="EP180" s="408">
        <v>0</v>
      </c>
      <c r="EQ180" s="408">
        <v>0</v>
      </c>
      <c r="ER180" s="408">
        <v>0</v>
      </c>
      <c r="ES180" s="408">
        <v>0</v>
      </c>
      <c r="ET180" s="408">
        <v>0</v>
      </c>
      <c r="EU180" s="408">
        <v>0</v>
      </c>
      <c r="EV180" s="408">
        <v>257</v>
      </c>
      <c r="EW180" s="408">
        <v>0</v>
      </c>
      <c r="EX180" s="408">
        <v>0</v>
      </c>
      <c r="EY180" s="408">
        <v>0</v>
      </c>
      <c r="EZ180" s="408"/>
      <c r="FA180" s="408">
        <v>0</v>
      </c>
      <c r="FB180" s="408"/>
      <c r="FC180" s="408"/>
      <c r="FD180" s="408"/>
      <c r="FE180" s="408"/>
      <c r="FF180" s="408">
        <v>0</v>
      </c>
      <c r="FG180" s="408">
        <v>0</v>
      </c>
      <c r="FH180" s="408">
        <v>0</v>
      </c>
      <c r="FI180" s="408">
        <v>0</v>
      </c>
    </row>
    <row r="181" spans="1:165">
      <c r="A181" s="408">
        <v>179</v>
      </c>
      <c r="B181" s="408" t="s">
        <v>1035</v>
      </c>
      <c r="C181" s="408" t="s">
        <v>2241</v>
      </c>
      <c r="D181" s="408" t="s">
        <v>596</v>
      </c>
      <c r="E181" s="408" t="s">
        <v>1000</v>
      </c>
      <c r="F181" s="408" t="s">
        <v>2248</v>
      </c>
      <c r="G181" s="408" t="s">
        <v>1321</v>
      </c>
      <c r="H181" s="408" t="s">
        <v>1321</v>
      </c>
      <c r="I181" s="408" t="s">
        <v>1321</v>
      </c>
      <c r="J181" s="408" t="s">
        <v>2234</v>
      </c>
      <c r="K181" s="828">
        <v>44501</v>
      </c>
      <c r="L181" s="408">
        <v>79</v>
      </c>
      <c r="M181" s="408">
        <v>74.260000000000005</v>
      </c>
      <c r="N181" s="408">
        <v>0</v>
      </c>
      <c r="O181" s="408">
        <v>0</v>
      </c>
      <c r="P181" s="408">
        <v>0</v>
      </c>
      <c r="Q181" s="408">
        <v>0</v>
      </c>
      <c r="R181" s="408">
        <v>47.39</v>
      </c>
      <c r="S181" s="408"/>
      <c r="T181" s="408"/>
      <c r="U181" s="408">
        <v>3743.81</v>
      </c>
      <c r="V181" s="408"/>
      <c r="W181" s="408">
        <v>3743.81</v>
      </c>
      <c r="X181" s="408">
        <v>2545.38</v>
      </c>
      <c r="Y181" s="408">
        <v>0</v>
      </c>
      <c r="Z181" s="408">
        <v>0</v>
      </c>
      <c r="AA181" s="408">
        <v>0</v>
      </c>
      <c r="AB181" s="408">
        <v>0</v>
      </c>
      <c r="AC181" s="408">
        <v>0</v>
      </c>
      <c r="AD181" s="408">
        <v>1972.6379141777902</v>
      </c>
      <c r="AE181" s="408">
        <v>1771.1695124126304</v>
      </c>
      <c r="AF181" s="408"/>
      <c r="AG181" s="408"/>
      <c r="AH181" s="408"/>
      <c r="AI181" s="408">
        <v>0</v>
      </c>
      <c r="AJ181" s="408">
        <v>0</v>
      </c>
      <c r="AK181" s="408">
        <v>0</v>
      </c>
      <c r="AL181" s="408">
        <v>0</v>
      </c>
      <c r="AM181" s="408"/>
      <c r="AN181" s="408">
        <v>0</v>
      </c>
      <c r="AO181" s="408">
        <v>0</v>
      </c>
      <c r="AP181" s="408">
        <v>0</v>
      </c>
      <c r="AQ181" s="408">
        <v>0</v>
      </c>
      <c r="AR181" s="408">
        <v>0</v>
      </c>
      <c r="AS181" s="408"/>
      <c r="AT181" s="408"/>
      <c r="AU181" s="408">
        <v>0</v>
      </c>
      <c r="AV181" s="408">
        <v>0</v>
      </c>
      <c r="AW181" s="408">
        <v>0</v>
      </c>
      <c r="AX181" s="408"/>
      <c r="AY181" s="408"/>
      <c r="AZ181" s="408">
        <v>0</v>
      </c>
      <c r="BA181" s="408"/>
      <c r="BB181" s="408">
        <v>0</v>
      </c>
      <c r="BC181" s="408">
        <v>0</v>
      </c>
      <c r="BD181" s="408">
        <v>0</v>
      </c>
      <c r="BE181" s="408">
        <v>0</v>
      </c>
      <c r="BF181" s="408"/>
      <c r="BG181" s="408">
        <v>0</v>
      </c>
      <c r="BH181" s="408">
        <v>0</v>
      </c>
      <c r="BI181" s="408">
        <v>28.92</v>
      </c>
      <c r="BJ181" s="408">
        <v>148.97999999999999</v>
      </c>
      <c r="BK181" s="408">
        <v>6135.2</v>
      </c>
      <c r="BL181" s="408">
        <v>1</v>
      </c>
      <c r="BM181" s="408"/>
      <c r="BN181" s="408"/>
      <c r="BO181" s="408"/>
      <c r="BP181" s="408"/>
      <c r="BQ181" s="408">
        <v>152.72279999999984</v>
      </c>
      <c r="BR181" s="408"/>
      <c r="BS181" s="408"/>
      <c r="BT181" s="408"/>
      <c r="BU181" s="408"/>
      <c r="BV181" s="408">
        <v>0</v>
      </c>
      <c r="BW181" s="408"/>
      <c r="BX181" s="408"/>
      <c r="BY181" s="408"/>
      <c r="BZ181" s="408"/>
      <c r="CA181" s="408"/>
      <c r="CB181" s="408"/>
      <c r="CC181" s="408"/>
      <c r="CD181" s="408"/>
      <c r="CE181" s="408"/>
      <c r="CF181" s="408"/>
      <c r="CG181" s="408"/>
      <c r="CH181" s="408"/>
      <c r="CI181" s="408">
        <v>2392.6572000000001</v>
      </c>
      <c r="CJ181" s="408">
        <v>-1126.5542000000009</v>
      </c>
      <c r="CK181" s="408"/>
      <c r="CL181" s="408"/>
      <c r="CM181" s="408"/>
      <c r="CN181" s="408"/>
      <c r="CO181" s="408">
        <v>-1198.43</v>
      </c>
      <c r="CP181" s="408">
        <v>0</v>
      </c>
      <c r="CQ181" s="408">
        <v>30</v>
      </c>
      <c r="CR181" s="408">
        <v>-8.9164474416556914</v>
      </c>
      <c r="CS181" s="408">
        <v>0</v>
      </c>
      <c r="CT181" s="408">
        <v>0</v>
      </c>
      <c r="CU181" s="408">
        <v>0</v>
      </c>
      <c r="CV181" s="408">
        <v>0</v>
      </c>
      <c r="CW181" s="408"/>
      <c r="CX181" s="408"/>
      <c r="CY181" s="408"/>
      <c r="CZ181" s="408">
        <v>-8.9164474416556914</v>
      </c>
      <c r="DA181" s="408">
        <v>0</v>
      </c>
      <c r="DB181" s="408">
        <v>0</v>
      </c>
      <c r="DC181" s="408"/>
      <c r="DD181" s="408"/>
      <c r="DE181" s="408">
        <v>0</v>
      </c>
      <c r="DF181" s="408">
        <v>0</v>
      </c>
      <c r="DG181" s="408">
        <v>0</v>
      </c>
      <c r="DH181" s="408">
        <v>0</v>
      </c>
      <c r="DI181" s="408">
        <v>0</v>
      </c>
      <c r="DJ181" s="408"/>
      <c r="DK181" s="408">
        <v>0</v>
      </c>
      <c r="DL181" s="408">
        <v>0</v>
      </c>
      <c r="DM181" s="408"/>
      <c r="DN181" s="408">
        <v>0</v>
      </c>
      <c r="DO181" s="408">
        <v>0</v>
      </c>
      <c r="DP181" s="408">
        <v>0</v>
      </c>
      <c r="DQ181" s="408">
        <v>0</v>
      </c>
      <c r="DR181" s="408">
        <v>0</v>
      </c>
      <c r="DS181" s="408"/>
      <c r="DT181" s="408"/>
      <c r="DU181" s="408">
        <v>1771.1695124126304</v>
      </c>
      <c r="DV181" s="408"/>
      <c r="DW181" s="408">
        <v>0</v>
      </c>
      <c r="DX181" s="408">
        <v>0</v>
      </c>
      <c r="DY181" s="408">
        <v>-1198.4299999999998</v>
      </c>
      <c r="DZ181" s="408"/>
      <c r="EA181" s="408">
        <v>0</v>
      </c>
      <c r="EB181" s="408"/>
      <c r="EC181" s="408">
        <v>-1189.6496951182394</v>
      </c>
      <c r="ED181" s="408"/>
      <c r="EE181" s="408">
        <v>0</v>
      </c>
      <c r="EF181" s="408">
        <v>0</v>
      </c>
      <c r="EG181" s="408"/>
      <c r="EH181" s="408">
        <v>0</v>
      </c>
      <c r="EI181" s="408">
        <v>0</v>
      </c>
      <c r="EJ181" s="408">
        <v>0</v>
      </c>
      <c r="EK181" s="408">
        <v>0</v>
      </c>
      <c r="EL181" s="408">
        <v>0</v>
      </c>
      <c r="EM181" s="408"/>
      <c r="EN181" s="408"/>
      <c r="EO181" s="408">
        <v>0</v>
      </c>
      <c r="EP181" s="408">
        <v>0</v>
      </c>
      <c r="EQ181" s="408"/>
      <c r="ER181" s="408">
        <v>0</v>
      </c>
      <c r="ES181" s="408"/>
      <c r="ET181" s="408">
        <v>0</v>
      </c>
      <c r="EU181" s="408"/>
      <c r="EV181" s="408">
        <v>257</v>
      </c>
      <c r="EW181" s="408"/>
      <c r="EX181" s="408"/>
      <c r="EY181" s="408"/>
      <c r="EZ181" s="408"/>
      <c r="FA181" s="408">
        <v>0</v>
      </c>
      <c r="FB181" s="408"/>
      <c r="FC181" s="408"/>
      <c r="FD181" s="408"/>
      <c r="FE181" s="408"/>
      <c r="FF181" s="408">
        <v>0</v>
      </c>
      <c r="FG181" s="408">
        <v>0</v>
      </c>
      <c r="FH181" s="408">
        <v>0</v>
      </c>
      <c r="FI181" s="408">
        <v>0</v>
      </c>
    </row>
    <row r="182" spans="1:165">
      <c r="A182" s="408">
        <v>180</v>
      </c>
      <c r="B182" s="408" t="s">
        <v>1035</v>
      </c>
      <c r="C182" s="408" t="s">
        <v>2233</v>
      </c>
      <c r="D182" s="408" t="s">
        <v>1958</v>
      </c>
      <c r="E182" s="408" t="s">
        <v>2249</v>
      </c>
      <c r="F182" s="408" t="s">
        <v>1321</v>
      </c>
      <c r="G182" s="408" t="s">
        <v>1321</v>
      </c>
      <c r="H182" s="408" t="s">
        <v>1321</v>
      </c>
      <c r="I182" s="408" t="s">
        <v>1321</v>
      </c>
      <c r="J182" s="408" t="s">
        <v>2234</v>
      </c>
      <c r="K182" s="828">
        <v>44501</v>
      </c>
      <c r="L182" s="408">
        <v>0</v>
      </c>
      <c r="M182" s="408">
        <v>0</v>
      </c>
      <c r="N182" s="408">
        <v>0.77900000000000003</v>
      </c>
      <c r="O182" s="408">
        <v>0.77900000000000003</v>
      </c>
      <c r="P182" s="408">
        <v>0.77900000000000003</v>
      </c>
      <c r="Q182" s="408">
        <v>0.77900000000000003</v>
      </c>
      <c r="R182" s="408"/>
      <c r="S182" s="408">
        <v>710.91</v>
      </c>
      <c r="T182" s="408">
        <v>256.55</v>
      </c>
      <c r="U182" s="408"/>
      <c r="V182" s="408">
        <v>753.65134</v>
      </c>
      <c r="W182" s="408">
        <v>753.65134</v>
      </c>
      <c r="X182" s="408">
        <v>514.47496999999998</v>
      </c>
      <c r="Y182" s="408">
        <v>0</v>
      </c>
      <c r="Z182" s="408">
        <v>47.888776809014423</v>
      </c>
      <c r="AA182" s="408">
        <v>0</v>
      </c>
      <c r="AB182" s="408">
        <v>0</v>
      </c>
      <c r="AC182" s="408">
        <v>0</v>
      </c>
      <c r="AD182" s="408">
        <v>95.881493256826786</v>
      </c>
      <c r="AE182" s="408">
        <v>371.51293805284797</v>
      </c>
      <c r="AF182" s="408">
        <v>199.85441442926853</v>
      </c>
      <c r="AG182" s="408">
        <v>0</v>
      </c>
      <c r="AH182" s="408">
        <v>0</v>
      </c>
      <c r="AI182" s="408">
        <v>0</v>
      </c>
      <c r="AJ182" s="408">
        <v>0</v>
      </c>
      <c r="AK182" s="408">
        <v>0</v>
      </c>
      <c r="AL182" s="408">
        <v>7.4038214654737535</v>
      </c>
      <c r="AM182" s="408"/>
      <c r="AN182" s="408">
        <v>1.7105318194818389</v>
      </c>
      <c r="AO182" s="408">
        <v>0</v>
      </c>
      <c r="AP182" s="408">
        <v>0</v>
      </c>
      <c r="AQ182" s="408">
        <v>0</v>
      </c>
      <c r="AR182" s="408">
        <v>0</v>
      </c>
      <c r="AS182" s="408">
        <v>0</v>
      </c>
      <c r="AT182" s="408">
        <v>0</v>
      </c>
      <c r="AU182" s="408">
        <v>0</v>
      </c>
      <c r="AV182" s="408">
        <v>0</v>
      </c>
      <c r="AW182" s="408">
        <v>0</v>
      </c>
      <c r="AX182" s="408">
        <v>0</v>
      </c>
      <c r="AY182" s="408">
        <v>0</v>
      </c>
      <c r="AZ182" s="408">
        <v>0</v>
      </c>
      <c r="BA182" s="408"/>
      <c r="BB182" s="408">
        <v>0</v>
      </c>
      <c r="BC182" s="408">
        <v>0</v>
      </c>
      <c r="BD182" s="408">
        <v>1.1609595371599823</v>
      </c>
      <c r="BE182" s="408">
        <v>0</v>
      </c>
      <c r="BF182" s="408">
        <v>0</v>
      </c>
      <c r="BG182" s="408">
        <v>28.241400372104412</v>
      </c>
      <c r="BH182" s="408">
        <v>0</v>
      </c>
      <c r="BI182" s="408">
        <v>1.28</v>
      </c>
      <c r="BJ182" s="408">
        <v>6.73</v>
      </c>
      <c r="BK182" s="408">
        <v>271.27999999999997</v>
      </c>
      <c r="BL182" s="408">
        <v>5</v>
      </c>
      <c r="BM182" s="408"/>
      <c r="BN182" s="408"/>
      <c r="BO182" s="408"/>
      <c r="BP182" s="408"/>
      <c r="BQ182" s="408"/>
      <c r="BR182" s="408"/>
      <c r="BS182" s="408"/>
      <c r="BT182" s="408"/>
      <c r="BU182" s="408"/>
      <c r="BV182" s="408">
        <v>229.25677433853292</v>
      </c>
      <c r="BW182" s="408"/>
      <c r="BX182" s="408"/>
      <c r="BY182" s="408"/>
      <c r="BZ182" s="408"/>
      <c r="CA182" s="408"/>
      <c r="CB182" s="408"/>
      <c r="CC182" s="408"/>
      <c r="CD182" s="408"/>
      <c r="CE182" s="408"/>
      <c r="CF182" s="408"/>
      <c r="CG182" s="408"/>
      <c r="CH182" s="408"/>
      <c r="CI182" s="408">
        <v>515.1354</v>
      </c>
      <c r="CJ182" s="408">
        <v>-238.54593999999997</v>
      </c>
      <c r="CK182" s="408"/>
      <c r="CL182" s="408"/>
      <c r="CM182" s="408"/>
      <c r="CN182" s="408"/>
      <c r="CO182" s="408">
        <v>-251.63257999999999</v>
      </c>
      <c r="CP182" s="408">
        <v>12.456210000000008</v>
      </c>
      <c r="CQ182" s="408">
        <v>30</v>
      </c>
      <c r="CR182" s="408">
        <v>10.355469901740378</v>
      </c>
      <c r="CS182" s="408">
        <v>0</v>
      </c>
      <c r="CT182" s="408">
        <v>0</v>
      </c>
      <c r="CU182" s="408">
        <v>0</v>
      </c>
      <c r="CV182" s="408">
        <v>0</v>
      </c>
      <c r="CW182" s="408">
        <v>0</v>
      </c>
      <c r="CX182" s="408">
        <v>0</v>
      </c>
      <c r="CY182" s="408">
        <v>0</v>
      </c>
      <c r="CZ182" s="408">
        <v>-0.43339038001205665</v>
      </c>
      <c r="DA182" s="408">
        <v>0</v>
      </c>
      <c r="DB182" s="408">
        <v>0</v>
      </c>
      <c r="DC182" s="408">
        <v>12.450624075331888</v>
      </c>
      <c r="DD182" s="408">
        <v>0</v>
      </c>
      <c r="DE182" s="408">
        <v>0</v>
      </c>
      <c r="DF182" s="408">
        <v>7.2326001930601125E-2</v>
      </c>
      <c r="DG182" s="408">
        <v>1.7593960103315922</v>
      </c>
      <c r="DH182" s="408">
        <v>0</v>
      </c>
      <c r="DI182" s="408">
        <v>-2.9779086824992902</v>
      </c>
      <c r="DJ182" s="408"/>
      <c r="DK182" s="408">
        <v>0</v>
      </c>
      <c r="DL182" s="408">
        <v>0</v>
      </c>
      <c r="DM182" s="408">
        <v>0</v>
      </c>
      <c r="DN182" s="408">
        <v>0</v>
      </c>
      <c r="DO182" s="408">
        <v>-0.40626760608145229</v>
      </c>
      <c r="DP182" s="408">
        <v>-0.10930951726092597</v>
      </c>
      <c r="DQ182" s="408">
        <v>0</v>
      </c>
      <c r="DR182" s="408">
        <v>0</v>
      </c>
      <c r="DS182" s="408"/>
      <c r="DT182" s="408"/>
      <c r="DU182" s="408"/>
      <c r="DV182" s="408">
        <v>371.51293805284797</v>
      </c>
      <c r="DW182" s="408">
        <v>0</v>
      </c>
      <c r="DX182" s="408">
        <v>0</v>
      </c>
      <c r="DY182" s="408">
        <v>-251.63258000000002</v>
      </c>
      <c r="DZ182" s="408">
        <v>12.456210000000027</v>
      </c>
      <c r="EA182" s="408">
        <v>0</v>
      </c>
      <c r="EB182" s="408">
        <v>0</v>
      </c>
      <c r="EC182" s="408">
        <v>-249.53582951245269</v>
      </c>
      <c r="ED182" s="408">
        <v>0</v>
      </c>
      <c r="EE182" s="408">
        <v>0</v>
      </c>
      <c r="EF182" s="408">
        <v>0</v>
      </c>
      <c r="EG182" s="408">
        <v>0</v>
      </c>
      <c r="EH182" s="408">
        <v>0</v>
      </c>
      <c r="EI182" s="408">
        <v>0</v>
      </c>
      <c r="EJ182" s="408">
        <v>0</v>
      </c>
      <c r="EK182" s="408">
        <v>0</v>
      </c>
      <c r="EL182" s="408">
        <v>0</v>
      </c>
      <c r="EM182" s="408">
        <v>0</v>
      </c>
      <c r="EN182" s="408">
        <v>0</v>
      </c>
      <c r="EO182" s="408">
        <v>0</v>
      </c>
      <c r="EP182" s="408">
        <v>0</v>
      </c>
      <c r="EQ182" s="408">
        <v>0</v>
      </c>
      <c r="ER182" s="408">
        <v>0</v>
      </c>
      <c r="ES182" s="408">
        <v>0</v>
      </c>
      <c r="ET182" s="408">
        <v>0</v>
      </c>
      <c r="EU182" s="408">
        <v>0</v>
      </c>
      <c r="EV182" s="408">
        <v>257</v>
      </c>
      <c r="EW182" s="408">
        <v>0</v>
      </c>
      <c r="EX182" s="408">
        <v>0</v>
      </c>
      <c r="EY182" s="408">
        <v>0</v>
      </c>
      <c r="EZ182" s="408"/>
      <c r="FA182" s="408">
        <v>0</v>
      </c>
      <c r="FB182" s="408"/>
      <c r="FC182" s="408"/>
      <c r="FD182" s="408"/>
      <c r="FE182" s="408"/>
      <c r="FF182" s="408">
        <v>0</v>
      </c>
      <c r="FG182" s="408">
        <v>0</v>
      </c>
      <c r="FH182" s="408">
        <v>0</v>
      </c>
      <c r="FI182" s="408">
        <v>0</v>
      </c>
    </row>
    <row r="183" spans="1:165">
      <c r="A183" s="408">
        <v>181</v>
      </c>
      <c r="B183" s="408" t="s">
        <v>1035</v>
      </c>
      <c r="C183" s="408" t="s">
        <v>2233</v>
      </c>
      <c r="D183" s="408" t="s">
        <v>1955</v>
      </c>
      <c r="E183" s="408" t="s">
        <v>968</v>
      </c>
      <c r="F183" s="408" t="s">
        <v>968</v>
      </c>
      <c r="G183" s="408" t="s">
        <v>1321</v>
      </c>
      <c r="H183" s="408" t="s">
        <v>1321</v>
      </c>
      <c r="I183" s="408" t="s">
        <v>1321</v>
      </c>
      <c r="J183" s="408" t="s">
        <v>2234</v>
      </c>
      <c r="K183" s="828">
        <v>44531</v>
      </c>
      <c r="L183" s="408">
        <v>0</v>
      </c>
      <c r="M183" s="408">
        <v>0</v>
      </c>
      <c r="N183" s="408">
        <v>724.05600000000004</v>
      </c>
      <c r="O183" s="408">
        <v>724.05600000000004</v>
      </c>
      <c r="P183" s="408">
        <v>724.05600000000004</v>
      </c>
      <c r="Q183" s="408">
        <v>724.05600000000004</v>
      </c>
      <c r="R183" s="408"/>
      <c r="S183" s="408">
        <v>710.91</v>
      </c>
      <c r="T183" s="408">
        <v>256.55</v>
      </c>
      <c r="U183" s="408"/>
      <c r="V183" s="408">
        <v>700495.21776000003</v>
      </c>
      <c r="W183" s="408">
        <v>700495.21776000003</v>
      </c>
      <c r="X183" s="408">
        <v>478188.30408000003</v>
      </c>
      <c r="Y183" s="408">
        <v>0</v>
      </c>
      <c r="Z183" s="408">
        <v>44511.111914284658</v>
      </c>
      <c r="AA183" s="408">
        <v>0</v>
      </c>
      <c r="AB183" s="408">
        <v>0</v>
      </c>
      <c r="AC183" s="408">
        <v>0</v>
      </c>
      <c r="AD183" s="408">
        <v>89118.832453870316</v>
      </c>
      <c r="AE183" s="408">
        <v>345309.59162361088</v>
      </c>
      <c r="AF183" s="408">
        <v>185758.39267522265</v>
      </c>
      <c r="AG183" s="408">
        <v>0</v>
      </c>
      <c r="AH183" s="408">
        <v>0</v>
      </c>
      <c r="AI183" s="408">
        <v>0</v>
      </c>
      <c r="AJ183" s="408">
        <v>0</v>
      </c>
      <c r="AK183" s="408">
        <v>0</v>
      </c>
      <c r="AL183" s="408">
        <v>6881.6191976958462</v>
      </c>
      <c r="AM183" s="408"/>
      <c r="AN183" s="408">
        <v>1589.8855289945345</v>
      </c>
      <c r="AO183" s="408">
        <v>0</v>
      </c>
      <c r="AP183" s="408">
        <v>0</v>
      </c>
      <c r="AQ183" s="408">
        <v>0</v>
      </c>
      <c r="AR183" s="408">
        <v>0</v>
      </c>
      <c r="AS183" s="408">
        <v>0</v>
      </c>
      <c r="AT183" s="408">
        <v>0</v>
      </c>
      <c r="AU183" s="408">
        <v>0</v>
      </c>
      <c r="AV183" s="408">
        <v>0</v>
      </c>
      <c r="AW183" s="408">
        <v>0</v>
      </c>
      <c r="AX183" s="408">
        <v>0</v>
      </c>
      <c r="AY183" s="408">
        <v>0</v>
      </c>
      <c r="AZ183" s="408">
        <v>0</v>
      </c>
      <c r="BA183" s="408"/>
      <c r="BB183" s="408">
        <v>0</v>
      </c>
      <c r="BC183" s="408">
        <v>0</v>
      </c>
      <c r="BD183" s="408">
        <v>1079.0753769421158</v>
      </c>
      <c r="BE183" s="408">
        <v>0</v>
      </c>
      <c r="BF183" s="408">
        <v>0</v>
      </c>
      <c r="BG183" s="408">
        <v>26249.493437515317</v>
      </c>
      <c r="BH183" s="408">
        <v>0</v>
      </c>
      <c r="BI183" s="408">
        <v>782.02</v>
      </c>
      <c r="BJ183" s="408">
        <v>3709.71</v>
      </c>
      <c r="BK183" s="408">
        <v>240988.96</v>
      </c>
      <c r="BL183" s="408">
        <v>5320</v>
      </c>
      <c r="BM183" s="408"/>
      <c r="BN183" s="408"/>
      <c r="BO183" s="408"/>
      <c r="BP183" s="408"/>
      <c r="BQ183" s="408"/>
      <c r="BR183" s="408"/>
      <c r="BS183" s="408"/>
      <c r="BT183" s="408"/>
      <c r="BU183" s="408"/>
      <c r="BV183" s="408">
        <v>213086.96148968008</v>
      </c>
      <c r="BW183" s="408"/>
      <c r="BX183" s="408"/>
      <c r="BY183" s="408"/>
      <c r="BZ183" s="408"/>
      <c r="CA183" s="408"/>
      <c r="CB183" s="408"/>
      <c r="CC183" s="408"/>
      <c r="CD183" s="408"/>
      <c r="CE183" s="408"/>
      <c r="CF183" s="408"/>
      <c r="CG183" s="408"/>
      <c r="CH183" s="408"/>
      <c r="CI183" s="408">
        <v>478190.94579999999</v>
      </c>
      <c r="CJ183" s="408">
        <v>-222304.30196000007</v>
      </c>
      <c r="CK183" s="408"/>
      <c r="CL183" s="408"/>
      <c r="CM183" s="408"/>
      <c r="CN183" s="408"/>
      <c r="CO183" s="408">
        <v>-233884.56912</v>
      </c>
      <c r="CP183" s="408">
        <v>11577.655440000008</v>
      </c>
      <c r="CQ183" s="408"/>
      <c r="CR183" s="408">
        <v>9625.0835881572566</v>
      </c>
      <c r="CS183" s="408">
        <v>0</v>
      </c>
      <c r="CT183" s="408">
        <v>0</v>
      </c>
      <c r="CU183" s="408">
        <v>0</v>
      </c>
      <c r="CV183" s="408">
        <v>0</v>
      </c>
      <c r="CW183" s="408">
        <v>0</v>
      </c>
      <c r="CX183" s="408">
        <v>0</v>
      </c>
      <c r="CY183" s="408">
        <v>0</v>
      </c>
      <c r="CZ183" s="408">
        <v>-402.82272784340603</v>
      </c>
      <c r="DA183" s="408">
        <v>0</v>
      </c>
      <c r="DB183" s="408">
        <v>0</v>
      </c>
      <c r="DC183" s="408">
        <v>11572.463498701545</v>
      </c>
      <c r="DD183" s="408">
        <v>0</v>
      </c>
      <c r="DE183" s="408">
        <v>0</v>
      </c>
      <c r="DF183" s="408">
        <v>67.224744099952886</v>
      </c>
      <c r="DG183" s="408">
        <v>1635.3032575823527</v>
      </c>
      <c r="DH183" s="408">
        <v>0</v>
      </c>
      <c r="DI183" s="408">
        <v>-2767.8724634347964</v>
      </c>
      <c r="DJ183" s="408"/>
      <c r="DK183" s="408">
        <v>0</v>
      </c>
      <c r="DL183" s="408">
        <v>0</v>
      </c>
      <c r="DM183" s="408">
        <v>0</v>
      </c>
      <c r="DN183" s="408">
        <v>0</v>
      </c>
      <c r="DO183" s="408">
        <v>-377.61296250181294</v>
      </c>
      <c r="DP183" s="408">
        <v>-101.59975844656879</v>
      </c>
      <c r="DQ183" s="408">
        <v>0</v>
      </c>
      <c r="DR183" s="408">
        <v>0</v>
      </c>
      <c r="DS183" s="408"/>
      <c r="DT183" s="408"/>
      <c r="DU183" s="408"/>
      <c r="DV183" s="408">
        <v>345309.59162361088</v>
      </c>
      <c r="DW183" s="408">
        <v>0</v>
      </c>
      <c r="DX183" s="408">
        <v>0</v>
      </c>
      <c r="DY183" s="408">
        <v>-233884.56912</v>
      </c>
      <c r="DZ183" s="408">
        <v>11577.655440000002</v>
      </c>
      <c r="EA183" s="408">
        <v>0</v>
      </c>
      <c r="EB183" s="408">
        <v>0</v>
      </c>
      <c r="EC183" s="408">
        <v>-231935.70548583881</v>
      </c>
      <c r="ED183" s="408">
        <v>0</v>
      </c>
      <c r="EE183" s="408">
        <v>0</v>
      </c>
      <c r="EF183" s="408">
        <v>0</v>
      </c>
      <c r="EG183" s="408">
        <v>0</v>
      </c>
      <c r="EH183" s="408">
        <v>0</v>
      </c>
      <c r="EI183" s="408">
        <v>0</v>
      </c>
      <c r="EJ183" s="408">
        <v>0</v>
      </c>
      <c r="EK183" s="408">
        <v>0</v>
      </c>
      <c r="EL183" s="408">
        <v>0</v>
      </c>
      <c r="EM183" s="408">
        <v>0</v>
      </c>
      <c r="EN183" s="408">
        <v>0</v>
      </c>
      <c r="EO183" s="408">
        <v>0</v>
      </c>
      <c r="EP183" s="408">
        <v>0</v>
      </c>
      <c r="EQ183" s="408">
        <v>0</v>
      </c>
      <c r="ER183" s="408">
        <v>0</v>
      </c>
      <c r="ES183" s="408">
        <v>0</v>
      </c>
      <c r="ET183" s="408">
        <v>0</v>
      </c>
      <c r="EU183" s="408">
        <v>0</v>
      </c>
      <c r="EV183" s="408">
        <v>257</v>
      </c>
      <c r="EW183" s="408">
        <v>0</v>
      </c>
      <c r="EX183" s="408">
        <v>0</v>
      </c>
      <c r="EY183" s="408">
        <v>0</v>
      </c>
      <c r="EZ183" s="408"/>
      <c r="FA183" s="408">
        <v>0</v>
      </c>
      <c r="FB183" s="408"/>
      <c r="FC183" s="408"/>
      <c r="FD183" s="408"/>
      <c r="FE183" s="408"/>
      <c r="FF183" s="408">
        <v>0</v>
      </c>
      <c r="FG183" s="408">
        <v>0</v>
      </c>
      <c r="FH183" s="408">
        <v>0</v>
      </c>
      <c r="FI183" s="408">
        <v>0</v>
      </c>
    </row>
    <row r="184" spans="1:165">
      <c r="A184" s="408">
        <v>182</v>
      </c>
      <c r="B184" s="408" t="s">
        <v>2236</v>
      </c>
      <c r="C184" s="408" t="s">
        <v>2233</v>
      </c>
      <c r="D184" s="408" t="s">
        <v>1955</v>
      </c>
      <c r="E184" s="408" t="s">
        <v>968</v>
      </c>
      <c r="F184" s="408" t="s">
        <v>968</v>
      </c>
      <c r="G184" s="408" t="s">
        <v>1321</v>
      </c>
      <c r="H184" s="408" t="s">
        <v>1321</v>
      </c>
      <c r="I184" s="408" t="s">
        <v>1321</v>
      </c>
      <c r="J184" s="408" t="s">
        <v>2234</v>
      </c>
      <c r="K184" s="828">
        <v>44531</v>
      </c>
      <c r="L184" s="408">
        <v>0</v>
      </c>
      <c r="M184" s="408">
        <v>0</v>
      </c>
      <c r="N184" s="408">
        <v>6.2619999999999996</v>
      </c>
      <c r="O184" s="408">
        <v>6.2619999999999996</v>
      </c>
      <c r="P184" s="408">
        <v>6.2619999999999996</v>
      </c>
      <c r="Q184" s="408">
        <v>6.2619999999999996</v>
      </c>
      <c r="R184" s="408"/>
      <c r="S184" s="408">
        <v>710.91</v>
      </c>
      <c r="T184" s="408">
        <v>256.55</v>
      </c>
      <c r="U184" s="408"/>
      <c r="V184" s="408">
        <v>6058.2345199999991</v>
      </c>
      <c r="W184" s="408">
        <v>6058.2345199999991</v>
      </c>
      <c r="X184" s="408">
        <v>4135.6126599999998</v>
      </c>
      <c r="Y184" s="408">
        <v>0</v>
      </c>
      <c r="Z184" s="408">
        <v>384.95445491405434</v>
      </c>
      <c r="AA184" s="408">
        <v>0</v>
      </c>
      <c r="AB184" s="408">
        <v>0</v>
      </c>
      <c r="AC184" s="408">
        <v>0</v>
      </c>
      <c r="AD184" s="408">
        <v>770.74442974871533</v>
      </c>
      <c r="AE184" s="408">
        <v>2986.4108062733421</v>
      </c>
      <c r="AF184" s="408">
        <v>1606.5318910861097</v>
      </c>
      <c r="AG184" s="408">
        <v>0</v>
      </c>
      <c r="AH184" s="408">
        <v>0</v>
      </c>
      <c r="AI184" s="408">
        <v>0</v>
      </c>
      <c r="AJ184" s="408">
        <v>0</v>
      </c>
      <c r="AK184" s="408">
        <v>0</v>
      </c>
      <c r="AL184" s="408">
        <v>59.515699636452688</v>
      </c>
      <c r="AM184" s="408"/>
      <c r="AN184" s="408">
        <v>13.750128695244253</v>
      </c>
      <c r="AO184" s="408">
        <v>0</v>
      </c>
      <c r="AP184" s="408">
        <v>0</v>
      </c>
      <c r="AQ184" s="408">
        <v>0</v>
      </c>
      <c r="AR184" s="408">
        <v>0</v>
      </c>
      <c r="AS184" s="408">
        <v>0</v>
      </c>
      <c r="AT184" s="408">
        <v>0</v>
      </c>
      <c r="AU184" s="408">
        <v>0</v>
      </c>
      <c r="AV184" s="408">
        <v>0</v>
      </c>
      <c r="AW184" s="408">
        <v>0</v>
      </c>
      <c r="AX184" s="408">
        <v>0</v>
      </c>
      <c r="AY184" s="408">
        <v>0</v>
      </c>
      <c r="AZ184" s="408">
        <v>0</v>
      </c>
      <c r="BA184" s="408"/>
      <c r="BB184" s="408">
        <v>0</v>
      </c>
      <c r="BC184" s="408">
        <v>0</v>
      </c>
      <c r="BD184" s="408">
        <v>9.3323859071833226</v>
      </c>
      <c r="BE184" s="408">
        <v>0</v>
      </c>
      <c r="BF184" s="408">
        <v>0</v>
      </c>
      <c r="BG184" s="408">
        <v>227.01880504508063</v>
      </c>
      <c r="BH184" s="408">
        <v>0</v>
      </c>
      <c r="BI184" s="408">
        <v>6.6</v>
      </c>
      <c r="BJ184" s="408">
        <v>31.93</v>
      </c>
      <c r="BK184" s="408">
        <v>6292.74</v>
      </c>
      <c r="BL184" s="408">
        <v>101</v>
      </c>
      <c r="BM184" s="408"/>
      <c r="BN184" s="408"/>
      <c r="BO184" s="408"/>
      <c r="BP184" s="408"/>
      <c r="BQ184" s="408"/>
      <c r="BR184" s="408"/>
      <c r="BS184" s="408"/>
      <c r="BT184" s="408"/>
      <c r="BU184" s="408"/>
      <c r="BV184" s="408">
        <v>1842.8830820383737</v>
      </c>
      <c r="BW184" s="408"/>
      <c r="BX184" s="408"/>
      <c r="BY184" s="408"/>
      <c r="BZ184" s="408"/>
      <c r="CA184" s="408"/>
      <c r="CB184" s="408"/>
      <c r="CC184" s="408"/>
      <c r="CD184" s="408"/>
      <c r="CE184" s="408"/>
      <c r="CF184" s="408"/>
      <c r="CG184" s="408"/>
      <c r="CH184" s="408"/>
      <c r="CI184" s="408">
        <v>4134.2918</v>
      </c>
      <c r="CJ184" s="408">
        <v>-1923.9727199999998</v>
      </c>
      <c r="CK184" s="408"/>
      <c r="CL184" s="408"/>
      <c r="CM184" s="408"/>
      <c r="CN184" s="408"/>
      <c r="CO184" s="408">
        <v>-2022.7512399999998</v>
      </c>
      <c r="CP184" s="408">
        <v>100.12938000000005</v>
      </c>
      <c r="CQ184" s="408"/>
      <c r="CR184" s="408">
        <v>83.242557798071175</v>
      </c>
      <c r="CS184" s="408">
        <v>0</v>
      </c>
      <c r="CT184" s="408">
        <v>0</v>
      </c>
      <c r="CU184" s="408">
        <v>0</v>
      </c>
      <c r="CV184" s="408">
        <v>0</v>
      </c>
      <c r="CW184" s="408">
        <v>0</v>
      </c>
      <c r="CX184" s="408">
        <v>0</v>
      </c>
      <c r="CY184" s="408">
        <v>0</v>
      </c>
      <c r="CZ184" s="408">
        <v>-3.4838132986335495</v>
      </c>
      <c r="DA184" s="408">
        <v>0</v>
      </c>
      <c r="DB184" s="408">
        <v>0</v>
      </c>
      <c r="DC184" s="408">
        <v>100.08447748360481</v>
      </c>
      <c r="DD184" s="408">
        <v>0</v>
      </c>
      <c r="DE184" s="408">
        <v>0</v>
      </c>
      <c r="DF184" s="408">
        <v>0.58139335569887685</v>
      </c>
      <c r="DG184" s="408">
        <v>14.142924026567954</v>
      </c>
      <c r="DH184" s="408">
        <v>0</v>
      </c>
      <c r="DI184" s="408">
        <v>-23.937951437497588</v>
      </c>
      <c r="DJ184" s="408"/>
      <c r="DK184" s="408">
        <v>0</v>
      </c>
      <c r="DL184" s="408">
        <v>0</v>
      </c>
      <c r="DM184" s="408">
        <v>0</v>
      </c>
      <c r="DN184" s="408">
        <v>0</v>
      </c>
      <c r="DO184" s="408">
        <v>-3.2657865844442355</v>
      </c>
      <c r="DP184" s="408">
        <v>-0.87868574722454085</v>
      </c>
      <c r="DQ184" s="408">
        <v>0</v>
      </c>
      <c r="DR184" s="408">
        <v>0</v>
      </c>
      <c r="DS184" s="408"/>
      <c r="DT184" s="408"/>
      <c r="DU184" s="408"/>
      <c r="DV184" s="408">
        <v>2986.4108062733421</v>
      </c>
      <c r="DW184" s="408">
        <v>0</v>
      </c>
      <c r="DX184" s="408">
        <v>0</v>
      </c>
      <c r="DY184" s="408">
        <v>-2022.7512399999996</v>
      </c>
      <c r="DZ184" s="408">
        <v>100.12937999999986</v>
      </c>
      <c r="EA184" s="408">
        <v>0</v>
      </c>
      <c r="EB184" s="408">
        <v>0</v>
      </c>
      <c r="EC184" s="408">
        <v>-2005.896488327315</v>
      </c>
      <c r="ED184" s="408">
        <v>0</v>
      </c>
      <c r="EE184" s="408">
        <v>0</v>
      </c>
      <c r="EF184" s="408">
        <v>0</v>
      </c>
      <c r="EG184" s="408">
        <v>0</v>
      </c>
      <c r="EH184" s="408">
        <v>0</v>
      </c>
      <c r="EI184" s="408">
        <v>0</v>
      </c>
      <c r="EJ184" s="408">
        <v>0</v>
      </c>
      <c r="EK184" s="408">
        <v>0</v>
      </c>
      <c r="EL184" s="408">
        <v>0</v>
      </c>
      <c r="EM184" s="408">
        <v>0</v>
      </c>
      <c r="EN184" s="408">
        <v>0</v>
      </c>
      <c r="EO184" s="408">
        <v>0</v>
      </c>
      <c r="EP184" s="408">
        <v>0</v>
      </c>
      <c r="EQ184" s="408">
        <v>0</v>
      </c>
      <c r="ER184" s="408">
        <v>0</v>
      </c>
      <c r="ES184" s="408">
        <v>0</v>
      </c>
      <c r="ET184" s="408">
        <v>0</v>
      </c>
      <c r="EU184" s="408">
        <v>0</v>
      </c>
      <c r="EV184" s="408">
        <v>257</v>
      </c>
      <c r="EW184" s="408">
        <v>0</v>
      </c>
      <c r="EX184" s="408">
        <v>0</v>
      </c>
      <c r="EY184" s="408">
        <v>0</v>
      </c>
      <c r="EZ184" s="408"/>
      <c r="FA184" s="408">
        <v>0</v>
      </c>
      <c r="FB184" s="408"/>
      <c r="FC184" s="408"/>
      <c r="FD184" s="408"/>
      <c r="FE184" s="408"/>
      <c r="FF184" s="408">
        <v>0</v>
      </c>
      <c r="FG184" s="408">
        <v>0</v>
      </c>
      <c r="FH184" s="408">
        <v>0</v>
      </c>
      <c r="FI184" s="408">
        <v>0</v>
      </c>
    </row>
    <row r="185" spans="1:165">
      <c r="A185" s="408">
        <v>183</v>
      </c>
      <c r="B185" s="408" t="s">
        <v>1035</v>
      </c>
      <c r="C185" s="408" t="s">
        <v>2233</v>
      </c>
      <c r="D185" s="408" t="s">
        <v>1955</v>
      </c>
      <c r="E185" s="408" t="s">
        <v>968</v>
      </c>
      <c r="F185" s="408" t="s">
        <v>2237</v>
      </c>
      <c r="G185" s="408" t="s">
        <v>1321</v>
      </c>
      <c r="H185" s="408" t="s">
        <v>1321</v>
      </c>
      <c r="I185" s="408" t="s">
        <v>1321</v>
      </c>
      <c r="J185" s="408" t="s">
        <v>2234</v>
      </c>
      <c r="K185" s="828">
        <v>44531</v>
      </c>
      <c r="L185" s="408">
        <v>0</v>
      </c>
      <c r="M185" s="408">
        <v>0</v>
      </c>
      <c r="N185" s="408">
        <v>3.75</v>
      </c>
      <c r="O185" s="408">
        <v>3.75</v>
      </c>
      <c r="P185" s="408">
        <v>3.75</v>
      </c>
      <c r="Q185" s="408">
        <v>3.75</v>
      </c>
      <c r="R185" s="408"/>
      <c r="S185" s="408">
        <v>639.92999999999995</v>
      </c>
      <c r="T185" s="408">
        <v>256.55</v>
      </c>
      <c r="U185" s="408"/>
      <c r="V185" s="408">
        <v>3361.7999999999997</v>
      </c>
      <c r="W185" s="408">
        <v>3361.7999999999997</v>
      </c>
      <c r="X185" s="408">
        <v>2226.75</v>
      </c>
      <c r="Y185" s="408">
        <v>0</v>
      </c>
      <c r="Z185" s="408">
        <v>0</v>
      </c>
      <c r="AA185" s="408">
        <v>0</v>
      </c>
      <c r="AB185" s="408">
        <v>0</v>
      </c>
      <c r="AC185" s="408">
        <v>0</v>
      </c>
      <c r="AD185" s="408">
        <v>461.56046176264499</v>
      </c>
      <c r="AE185" s="408">
        <v>1788.4127313198712</v>
      </c>
      <c r="AF185" s="408">
        <v>962.07195649519508</v>
      </c>
      <c r="AG185" s="408">
        <v>0</v>
      </c>
      <c r="AH185" s="408">
        <v>0</v>
      </c>
      <c r="AI185" s="408">
        <v>0</v>
      </c>
      <c r="AJ185" s="408">
        <v>0</v>
      </c>
      <c r="AK185" s="408">
        <v>0</v>
      </c>
      <c r="AL185" s="408">
        <v>0</v>
      </c>
      <c r="AM185" s="408"/>
      <c r="AN185" s="408">
        <v>8.234267423693062</v>
      </c>
      <c r="AO185" s="408">
        <v>0</v>
      </c>
      <c r="AP185" s="408">
        <v>0</v>
      </c>
      <c r="AQ185" s="408">
        <v>0</v>
      </c>
      <c r="AR185" s="408">
        <v>0</v>
      </c>
      <c r="AS185" s="408">
        <v>0</v>
      </c>
      <c r="AT185" s="408">
        <v>0</v>
      </c>
      <c r="AU185" s="408">
        <v>0</v>
      </c>
      <c r="AV185" s="408">
        <v>0</v>
      </c>
      <c r="AW185" s="408">
        <v>0</v>
      </c>
      <c r="AX185" s="408">
        <v>0</v>
      </c>
      <c r="AY185" s="408">
        <v>0</v>
      </c>
      <c r="AZ185" s="408">
        <v>0</v>
      </c>
      <c r="BA185" s="408"/>
      <c r="BB185" s="408">
        <v>0</v>
      </c>
      <c r="BC185" s="408">
        <v>0</v>
      </c>
      <c r="BD185" s="408">
        <v>5.5887012379331624</v>
      </c>
      <c r="BE185" s="408">
        <v>0</v>
      </c>
      <c r="BF185" s="408">
        <v>0</v>
      </c>
      <c r="BG185" s="408">
        <v>135.95025853066949</v>
      </c>
      <c r="BH185" s="408">
        <v>0</v>
      </c>
      <c r="BI185" s="408">
        <v>1.21</v>
      </c>
      <c r="BJ185" s="408">
        <v>3.79</v>
      </c>
      <c r="BK185" s="408">
        <v>320.36</v>
      </c>
      <c r="BL185" s="408">
        <v>3</v>
      </c>
      <c r="BM185" s="408"/>
      <c r="BN185" s="408"/>
      <c r="BO185" s="408"/>
      <c r="BP185" s="408"/>
      <c r="BQ185" s="408"/>
      <c r="BR185" s="408"/>
      <c r="BS185" s="408"/>
      <c r="BT185" s="408">
        <v>1447.3875</v>
      </c>
      <c r="BU185" s="408"/>
      <c r="BV185" s="408">
        <v>1103.6109162637977</v>
      </c>
      <c r="BW185" s="408"/>
      <c r="BX185" s="408"/>
      <c r="BY185" s="408"/>
      <c r="BZ185" s="408"/>
      <c r="CA185" s="408"/>
      <c r="CB185" s="408"/>
      <c r="CC185" s="408"/>
      <c r="CD185" s="408"/>
      <c r="CE185" s="408"/>
      <c r="CF185" s="408"/>
      <c r="CG185" s="408"/>
      <c r="CH185" s="408"/>
      <c r="CI185" s="408">
        <v>779.36249999999995</v>
      </c>
      <c r="CJ185" s="408">
        <v>-397.30500000000006</v>
      </c>
      <c r="CK185" s="408"/>
      <c r="CL185" s="408"/>
      <c r="CM185" s="408"/>
      <c r="CN185" s="408"/>
      <c r="CO185" s="408">
        <v>-1195.0124999999998</v>
      </c>
      <c r="CP185" s="408">
        <v>59.962500000000034</v>
      </c>
      <c r="CQ185" s="408"/>
      <c r="CR185" s="408">
        <v>66.140787180621373</v>
      </c>
      <c r="CS185" s="408">
        <v>0</v>
      </c>
      <c r="CT185" s="408">
        <v>0</v>
      </c>
      <c r="CU185" s="408">
        <v>0</v>
      </c>
      <c r="CV185" s="408">
        <v>0</v>
      </c>
      <c r="CW185" s="408">
        <v>0</v>
      </c>
      <c r="CX185" s="408">
        <v>0</v>
      </c>
      <c r="CY185" s="408">
        <v>0</v>
      </c>
      <c r="CZ185" s="408">
        <v>-2.0862823171312357</v>
      </c>
      <c r="DA185" s="408">
        <v>0</v>
      </c>
      <c r="DB185" s="408">
        <v>0</v>
      </c>
      <c r="DC185" s="408">
        <v>59.935610118734985</v>
      </c>
      <c r="DD185" s="408">
        <v>0</v>
      </c>
      <c r="DE185" s="408">
        <v>0</v>
      </c>
      <c r="DF185" s="408">
        <v>0.34816753175835036</v>
      </c>
      <c r="DG185" s="408">
        <v>8.4694929894011466</v>
      </c>
      <c r="DH185" s="408">
        <v>0</v>
      </c>
      <c r="DI185" s="408">
        <v>0</v>
      </c>
      <c r="DJ185" s="408"/>
      <c r="DK185" s="408">
        <v>0</v>
      </c>
      <c r="DL185" s="408">
        <v>0</v>
      </c>
      <c r="DM185" s="408">
        <v>0</v>
      </c>
      <c r="DN185" s="408">
        <v>0</v>
      </c>
      <c r="DO185" s="408">
        <v>0</v>
      </c>
      <c r="DP185" s="408">
        <v>-0.52620114214181246</v>
      </c>
      <c r="DQ185" s="408">
        <v>0</v>
      </c>
      <c r="DR185" s="408">
        <v>0</v>
      </c>
      <c r="DS185" s="408"/>
      <c r="DT185" s="408"/>
      <c r="DU185" s="408"/>
      <c r="DV185" s="408">
        <v>1788.4127313198712</v>
      </c>
      <c r="DW185" s="408">
        <v>0</v>
      </c>
      <c r="DX185" s="408">
        <v>0</v>
      </c>
      <c r="DY185" s="408">
        <v>-1195.0124999999998</v>
      </c>
      <c r="DZ185" s="408">
        <v>59.962500000000091</v>
      </c>
      <c r="EA185" s="408">
        <v>0</v>
      </c>
      <c r="EB185" s="408">
        <v>0</v>
      </c>
      <c r="EC185" s="408">
        <v>-1201.2315284617425</v>
      </c>
      <c r="ED185" s="408">
        <v>0</v>
      </c>
      <c r="EE185" s="408">
        <v>0</v>
      </c>
      <c r="EF185" s="408">
        <v>0</v>
      </c>
      <c r="EG185" s="408">
        <v>0</v>
      </c>
      <c r="EH185" s="408">
        <v>0</v>
      </c>
      <c r="EI185" s="408">
        <v>0</v>
      </c>
      <c r="EJ185" s="408">
        <v>0</v>
      </c>
      <c r="EK185" s="408">
        <v>0</v>
      </c>
      <c r="EL185" s="408">
        <v>0</v>
      </c>
      <c r="EM185" s="408">
        <v>0</v>
      </c>
      <c r="EN185" s="408">
        <v>0</v>
      </c>
      <c r="EO185" s="408">
        <v>0</v>
      </c>
      <c r="EP185" s="408">
        <v>0</v>
      </c>
      <c r="EQ185" s="408">
        <v>0</v>
      </c>
      <c r="ER185" s="408">
        <v>0</v>
      </c>
      <c r="ES185" s="408">
        <v>0</v>
      </c>
      <c r="ET185" s="408">
        <v>0</v>
      </c>
      <c r="EU185" s="408">
        <v>0</v>
      </c>
      <c r="EV185" s="408">
        <v>257</v>
      </c>
      <c r="EW185" s="408">
        <v>0</v>
      </c>
      <c r="EX185" s="408">
        <v>0</v>
      </c>
      <c r="EY185" s="408">
        <v>0</v>
      </c>
      <c r="EZ185" s="408"/>
      <c r="FA185" s="408">
        <v>0</v>
      </c>
      <c r="FB185" s="408"/>
      <c r="FC185" s="408"/>
      <c r="FD185" s="408"/>
      <c r="FE185" s="408"/>
      <c r="FF185" s="408">
        <v>0</v>
      </c>
      <c r="FG185" s="408">
        <v>0</v>
      </c>
      <c r="FH185" s="408">
        <v>0</v>
      </c>
      <c r="FI185" s="408">
        <v>0</v>
      </c>
    </row>
    <row r="186" spans="1:165">
      <c r="A186" s="408">
        <v>184</v>
      </c>
      <c r="B186" s="408" t="s">
        <v>1035</v>
      </c>
      <c r="C186" s="408" t="s">
        <v>2233</v>
      </c>
      <c r="D186" s="408" t="s">
        <v>1955</v>
      </c>
      <c r="E186" s="408" t="s">
        <v>968</v>
      </c>
      <c r="F186" s="408" t="s">
        <v>2238</v>
      </c>
      <c r="G186" s="408" t="s">
        <v>1321</v>
      </c>
      <c r="H186" s="408" t="s">
        <v>1321</v>
      </c>
      <c r="I186" s="408" t="s">
        <v>1321</v>
      </c>
      <c r="J186" s="408" t="s">
        <v>2234</v>
      </c>
      <c r="K186" s="828">
        <v>44531</v>
      </c>
      <c r="L186" s="408">
        <v>0</v>
      </c>
      <c r="M186" s="408">
        <v>0</v>
      </c>
      <c r="N186" s="408">
        <v>7.6970000000000001</v>
      </c>
      <c r="O186" s="408">
        <v>7.6970000000000001</v>
      </c>
      <c r="P186" s="408">
        <v>7.6970000000000001</v>
      </c>
      <c r="Q186" s="408">
        <v>7.6970000000000001</v>
      </c>
      <c r="R186" s="408"/>
      <c r="S186" s="408">
        <v>639.92999999999995</v>
      </c>
      <c r="T186" s="408">
        <v>256.55</v>
      </c>
      <c r="U186" s="408"/>
      <c r="V186" s="408">
        <v>6900.2065599999996</v>
      </c>
      <c r="W186" s="408">
        <v>6900.2065599999996</v>
      </c>
      <c r="X186" s="408">
        <v>4570.4786000000004</v>
      </c>
      <c r="Y186" s="408">
        <v>0</v>
      </c>
      <c r="Z186" s="408">
        <v>0</v>
      </c>
      <c r="AA186" s="408">
        <v>0</v>
      </c>
      <c r="AB186" s="408">
        <v>0</v>
      </c>
      <c r="AC186" s="408">
        <v>0</v>
      </c>
      <c r="AD186" s="408">
        <v>947.36823311655428</v>
      </c>
      <c r="AE186" s="408">
        <v>3670.7767447917468</v>
      </c>
      <c r="AF186" s="408">
        <v>1974.6847597716044</v>
      </c>
      <c r="AG186" s="408">
        <v>0</v>
      </c>
      <c r="AH186" s="408">
        <v>0</v>
      </c>
      <c r="AI186" s="408">
        <v>0</v>
      </c>
      <c r="AJ186" s="408">
        <v>0</v>
      </c>
      <c r="AK186" s="408">
        <v>0</v>
      </c>
      <c r="AL186" s="408">
        <v>0</v>
      </c>
      <c r="AM186" s="408"/>
      <c r="AN186" s="408">
        <v>16.901108362710801</v>
      </c>
      <c r="AO186" s="408">
        <v>0</v>
      </c>
      <c r="AP186" s="408">
        <v>0</v>
      </c>
      <c r="AQ186" s="408">
        <v>0</v>
      </c>
      <c r="AR186" s="408">
        <v>0</v>
      </c>
      <c r="AS186" s="408">
        <v>0</v>
      </c>
      <c r="AT186" s="408">
        <v>0</v>
      </c>
      <c r="AU186" s="408">
        <v>0</v>
      </c>
      <c r="AV186" s="408">
        <v>0</v>
      </c>
      <c r="AW186" s="408">
        <v>0</v>
      </c>
      <c r="AX186" s="408">
        <v>0</v>
      </c>
      <c r="AY186" s="408">
        <v>0</v>
      </c>
      <c r="AZ186" s="408">
        <v>0</v>
      </c>
      <c r="BA186" s="408"/>
      <c r="BB186" s="408">
        <v>0</v>
      </c>
      <c r="BC186" s="408">
        <v>0</v>
      </c>
      <c r="BD186" s="408">
        <v>11.47099558089908</v>
      </c>
      <c r="BE186" s="408">
        <v>0</v>
      </c>
      <c r="BF186" s="408">
        <v>0</v>
      </c>
      <c r="BG186" s="408">
        <v>279.04243730948349</v>
      </c>
      <c r="BH186" s="408">
        <v>0</v>
      </c>
      <c r="BI186" s="408">
        <v>3.37</v>
      </c>
      <c r="BJ186" s="408">
        <v>18.64</v>
      </c>
      <c r="BK186" s="408">
        <v>1180.83</v>
      </c>
      <c r="BL186" s="408">
        <v>40</v>
      </c>
      <c r="BM186" s="408"/>
      <c r="BN186" s="408"/>
      <c r="BO186" s="408"/>
      <c r="BP186" s="408"/>
      <c r="BQ186" s="408"/>
      <c r="BR186" s="408"/>
      <c r="BS186" s="408"/>
      <c r="BT186" s="408">
        <v>1828.1914400000001</v>
      </c>
      <c r="BU186" s="408"/>
      <c r="BV186" s="408">
        <v>2265.1981926619869</v>
      </c>
      <c r="BW186" s="408"/>
      <c r="BX186" s="408"/>
      <c r="BY186" s="408"/>
      <c r="BZ186" s="408"/>
      <c r="CA186" s="408"/>
      <c r="CB186" s="408"/>
      <c r="CC186" s="408"/>
      <c r="CD186" s="408"/>
      <c r="CE186" s="408"/>
      <c r="CF186" s="408"/>
      <c r="CG186" s="408"/>
      <c r="CH186" s="408"/>
      <c r="CI186" s="408">
        <v>2743.3559999999998</v>
      </c>
      <c r="CJ186" s="408">
        <v>-1396.8133300000009</v>
      </c>
      <c r="CK186" s="408"/>
      <c r="CL186" s="408"/>
      <c r="CM186" s="408"/>
      <c r="CN186" s="408"/>
      <c r="CO186" s="408">
        <v>-2452.8029899999997</v>
      </c>
      <c r="CP186" s="408">
        <v>123.07503000000007</v>
      </c>
      <c r="CQ186" s="408"/>
      <c r="CR186" s="408">
        <v>135.7561703811316</v>
      </c>
      <c r="CS186" s="408">
        <v>0</v>
      </c>
      <c r="CT186" s="408">
        <v>0</v>
      </c>
      <c r="CU186" s="408">
        <v>0</v>
      </c>
      <c r="CV186" s="408">
        <v>0</v>
      </c>
      <c r="CW186" s="408">
        <v>0</v>
      </c>
      <c r="CX186" s="408">
        <v>0</v>
      </c>
      <c r="CY186" s="408">
        <v>0</v>
      </c>
      <c r="CZ186" s="408">
        <v>-4.2821639986558466</v>
      </c>
      <c r="DA186" s="408">
        <v>0</v>
      </c>
      <c r="DB186" s="408">
        <v>0</v>
      </c>
      <c r="DC186" s="408">
        <v>123.0198376223741</v>
      </c>
      <c r="DD186" s="408">
        <v>0</v>
      </c>
      <c r="DE186" s="408">
        <v>0</v>
      </c>
      <c r="DF186" s="408">
        <v>0.71462546451840581</v>
      </c>
      <c r="DG186" s="408">
        <v>17.383916677178775</v>
      </c>
      <c r="DH186" s="408">
        <v>0</v>
      </c>
      <c r="DI186" s="408">
        <v>0</v>
      </c>
      <c r="DJ186" s="408"/>
      <c r="DK186" s="408">
        <v>0</v>
      </c>
      <c r="DL186" s="408">
        <v>0</v>
      </c>
      <c r="DM186" s="408">
        <v>0</v>
      </c>
      <c r="DN186" s="408">
        <v>0</v>
      </c>
      <c r="DO186" s="408">
        <v>0</v>
      </c>
      <c r="DP186" s="408">
        <v>-1.0800453842841424</v>
      </c>
      <c r="DQ186" s="408">
        <v>0</v>
      </c>
      <c r="DR186" s="408">
        <v>0</v>
      </c>
      <c r="DS186" s="408"/>
      <c r="DT186" s="408"/>
      <c r="DU186" s="408"/>
      <c r="DV186" s="408">
        <v>3670.7767447917468</v>
      </c>
      <c r="DW186" s="408">
        <v>0</v>
      </c>
      <c r="DX186" s="408">
        <v>0</v>
      </c>
      <c r="DY186" s="408">
        <v>-2452.8029899999997</v>
      </c>
      <c r="DZ186" s="408">
        <v>123.07502999999997</v>
      </c>
      <c r="EA186" s="408">
        <v>0</v>
      </c>
      <c r="EB186" s="408">
        <v>0</v>
      </c>
      <c r="EC186" s="408">
        <v>-2465.5677532186755</v>
      </c>
      <c r="ED186" s="408">
        <v>0</v>
      </c>
      <c r="EE186" s="408">
        <v>0</v>
      </c>
      <c r="EF186" s="408">
        <v>0</v>
      </c>
      <c r="EG186" s="408">
        <v>0</v>
      </c>
      <c r="EH186" s="408">
        <v>0</v>
      </c>
      <c r="EI186" s="408">
        <v>0</v>
      </c>
      <c r="EJ186" s="408">
        <v>0</v>
      </c>
      <c r="EK186" s="408">
        <v>0</v>
      </c>
      <c r="EL186" s="408">
        <v>0</v>
      </c>
      <c r="EM186" s="408">
        <v>0</v>
      </c>
      <c r="EN186" s="408">
        <v>0</v>
      </c>
      <c r="EO186" s="408">
        <v>0</v>
      </c>
      <c r="EP186" s="408">
        <v>0</v>
      </c>
      <c r="EQ186" s="408">
        <v>0</v>
      </c>
      <c r="ER186" s="408">
        <v>0</v>
      </c>
      <c r="ES186" s="408">
        <v>0</v>
      </c>
      <c r="ET186" s="408">
        <v>0</v>
      </c>
      <c r="EU186" s="408">
        <v>0</v>
      </c>
      <c r="EV186" s="408">
        <v>257</v>
      </c>
      <c r="EW186" s="408">
        <v>0</v>
      </c>
      <c r="EX186" s="408">
        <v>0</v>
      </c>
      <c r="EY186" s="408">
        <v>0</v>
      </c>
      <c r="EZ186" s="408"/>
      <c r="FA186" s="408">
        <v>0</v>
      </c>
      <c r="FB186" s="408"/>
      <c r="FC186" s="408"/>
      <c r="FD186" s="408"/>
      <c r="FE186" s="408"/>
      <c r="FF186" s="408">
        <v>0</v>
      </c>
      <c r="FG186" s="408">
        <v>0</v>
      </c>
      <c r="FH186" s="408">
        <v>0</v>
      </c>
      <c r="FI186" s="408">
        <v>0</v>
      </c>
    </row>
    <row r="187" spans="1:165">
      <c r="A187" s="408">
        <v>185</v>
      </c>
      <c r="B187" s="408" t="s">
        <v>1035</v>
      </c>
      <c r="C187" s="408" t="s">
        <v>2233</v>
      </c>
      <c r="D187" s="408" t="s">
        <v>1955</v>
      </c>
      <c r="E187" s="408" t="s">
        <v>968</v>
      </c>
      <c r="F187" s="408" t="s">
        <v>2239</v>
      </c>
      <c r="G187" s="408" t="s">
        <v>1321</v>
      </c>
      <c r="H187" s="408" t="s">
        <v>1321</v>
      </c>
      <c r="I187" s="408" t="s">
        <v>1321</v>
      </c>
      <c r="J187" s="408" t="s">
        <v>2234</v>
      </c>
      <c r="K187" s="828">
        <v>44531</v>
      </c>
      <c r="L187" s="408">
        <v>0</v>
      </c>
      <c r="M187" s="408">
        <v>0</v>
      </c>
      <c r="N187" s="408">
        <v>4.8789999999999996</v>
      </c>
      <c r="O187" s="408">
        <v>4.8789999999999996</v>
      </c>
      <c r="P187" s="408">
        <v>4.8789999999999996</v>
      </c>
      <c r="Q187" s="408">
        <v>4.8789999999999996</v>
      </c>
      <c r="R187" s="408"/>
      <c r="S187" s="408">
        <v>639.92999999999995</v>
      </c>
      <c r="T187" s="408">
        <v>256.55</v>
      </c>
      <c r="U187" s="408"/>
      <c r="V187" s="408">
        <v>4373.9259199999997</v>
      </c>
      <c r="W187" s="408">
        <v>4373.9259199999997</v>
      </c>
      <c r="X187" s="408">
        <v>2897.1502</v>
      </c>
      <c r="Y187" s="408">
        <v>0</v>
      </c>
      <c r="Z187" s="408">
        <v>0</v>
      </c>
      <c r="AA187" s="408">
        <v>0</v>
      </c>
      <c r="AB187" s="408">
        <v>0</v>
      </c>
      <c r="AC187" s="408">
        <v>0</v>
      </c>
      <c r="AD187" s="408">
        <v>600.52093145065191</v>
      </c>
      <c r="AE187" s="408">
        <v>2326.8441909625735</v>
      </c>
      <c r="AF187" s="408">
        <v>1251.7197535306816</v>
      </c>
      <c r="AG187" s="408">
        <v>0</v>
      </c>
      <c r="AH187" s="408">
        <v>0</v>
      </c>
      <c r="AI187" s="408">
        <v>0</v>
      </c>
      <c r="AJ187" s="408">
        <v>0</v>
      </c>
      <c r="AK187" s="408">
        <v>0</v>
      </c>
      <c r="AL187" s="408">
        <v>0</v>
      </c>
      <c r="AM187" s="408"/>
      <c r="AN187" s="408">
        <v>10.713330869386253</v>
      </c>
      <c r="AO187" s="408">
        <v>0</v>
      </c>
      <c r="AP187" s="408">
        <v>0</v>
      </c>
      <c r="AQ187" s="408">
        <v>0</v>
      </c>
      <c r="AR187" s="408">
        <v>0</v>
      </c>
      <c r="AS187" s="408">
        <v>0</v>
      </c>
      <c r="AT187" s="408">
        <v>0</v>
      </c>
      <c r="AU187" s="408">
        <v>0</v>
      </c>
      <c r="AV187" s="408">
        <v>0</v>
      </c>
      <c r="AW187" s="408">
        <v>0</v>
      </c>
      <c r="AX187" s="408">
        <v>0</v>
      </c>
      <c r="AY187" s="408">
        <v>0</v>
      </c>
      <c r="AZ187" s="408">
        <v>0</v>
      </c>
      <c r="BA187" s="408"/>
      <c r="BB187" s="408">
        <v>0</v>
      </c>
      <c r="BC187" s="408">
        <v>0</v>
      </c>
      <c r="BD187" s="408">
        <v>7.271272890633572</v>
      </c>
      <c r="BE187" s="408">
        <v>0</v>
      </c>
      <c r="BF187" s="408">
        <v>0</v>
      </c>
      <c r="BG187" s="408">
        <v>176.88034969896972</v>
      </c>
      <c r="BH187" s="408">
        <v>0</v>
      </c>
      <c r="BI187" s="408">
        <v>3.35</v>
      </c>
      <c r="BJ187" s="408">
        <v>16.89</v>
      </c>
      <c r="BK187" s="408">
        <v>1133.8499999999999</v>
      </c>
      <c r="BL187" s="408">
        <v>69</v>
      </c>
      <c r="BM187" s="408"/>
      <c r="BN187" s="408"/>
      <c r="BO187" s="408"/>
      <c r="BP187" s="408"/>
      <c r="BQ187" s="408"/>
      <c r="BR187" s="408"/>
      <c r="BS187" s="408"/>
      <c r="BT187" s="408">
        <v>289.76381000000003</v>
      </c>
      <c r="BU187" s="408"/>
      <c r="BV187" s="408">
        <v>1435.8713761202848</v>
      </c>
      <c r="BW187" s="408"/>
      <c r="BX187" s="408"/>
      <c r="BY187" s="408"/>
      <c r="BZ187" s="408"/>
      <c r="CA187" s="408"/>
      <c r="CB187" s="408"/>
      <c r="CC187" s="408"/>
      <c r="CD187" s="408"/>
      <c r="CE187" s="408"/>
      <c r="CF187" s="408"/>
      <c r="CG187" s="408"/>
      <c r="CH187" s="408"/>
      <c r="CI187" s="408">
        <v>2607.9207999999999</v>
      </c>
      <c r="CJ187" s="408">
        <v>-1328.6815600000009</v>
      </c>
      <c r="CK187" s="408"/>
      <c r="CL187" s="408"/>
      <c r="CM187" s="408"/>
      <c r="CN187" s="408"/>
      <c r="CO187" s="408">
        <v>-1554.7909299999997</v>
      </c>
      <c r="CP187" s="408">
        <v>78.015210000000039</v>
      </c>
      <c r="CQ187" s="408"/>
      <c r="CR187" s="408">
        <v>86.053573507800365</v>
      </c>
      <c r="CS187" s="408">
        <v>0</v>
      </c>
      <c r="CT187" s="408">
        <v>0</v>
      </c>
      <c r="CU187" s="408">
        <v>0</v>
      </c>
      <c r="CV187" s="408">
        <v>0</v>
      </c>
      <c r="CW187" s="408">
        <v>0</v>
      </c>
      <c r="CX187" s="408">
        <v>0</v>
      </c>
      <c r="CY187" s="408">
        <v>0</v>
      </c>
      <c r="CZ187" s="408">
        <v>-2.7143923800755374</v>
      </c>
      <c r="DA187" s="408">
        <v>0</v>
      </c>
      <c r="DB187" s="408">
        <v>0</v>
      </c>
      <c r="DC187" s="408">
        <v>77.980224471815518</v>
      </c>
      <c r="DD187" s="408">
        <v>0</v>
      </c>
      <c r="DE187" s="408">
        <v>0</v>
      </c>
      <c r="DF187" s="408">
        <v>0.45298916998639793</v>
      </c>
      <c r="DG187" s="408">
        <v>11.019375012076807</v>
      </c>
      <c r="DH187" s="408">
        <v>0</v>
      </c>
      <c r="DI187" s="408">
        <v>0</v>
      </c>
      <c r="DJ187" s="408"/>
      <c r="DK187" s="408">
        <v>0</v>
      </c>
      <c r="DL187" s="408">
        <v>0</v>
      </c>
      <c r="DM187" s="408">
        <v>0</v>
      </c>
      <c r="DN187" s="408">
        <v>0</v>
      </c>
      <c r="DO187" s="408">
        <v>0</v>
      </c>
      <c r="DP187" s="408">
        <v>-0.68462276600264182</v>
      </c>
      <c r="DQ187" s="408">
        <v>0</v>
      </c>
      <c r="DR187" s="408">
        <v>0</v>
      </c>
      <c r="DS187" s="408"/>
      <c r="DT187" s="408"/>
      <c r="DU187" s="408"/>
      <c r="DV187" s="408">
        <v>2326.8441909625735</v>
      </c>
      <c r="DW187" s="408">
        <v>0</v>
      </c>
      <c r="DX187" s="408">
        <v>0</v>
      </c>
      <c r="DY187" s="408">
        <v>-1554.7909299999994</v>
      </c>
      <c r="DZ187" s="408">
        <v>78.015210000000025</v>
      </c>
      <c r="EA187" s="408">
        <v>0</v>
      </c>
      <c r="EB187" s="408">
        <v>0</v>
      </c>
      <c r="EC187" s="408">
        <v>-1562.8823006306243</v>
      </c>
      <c r="ED187" s="408">
        <v>0</v>
      </c>
      <c r="EE187" s="408">
        <v>0</v>
      </c>
      <c r="EF187" s="408">
        <v>0</v>
      </c>
      <c r="EG187" s="408">
        <v>0</v>
      </c>
      <c r="EH187" s="408">
        <v>0</v>
      </c>
      <c r="EI187" s="408">
        <v>0</v>
      </c>
      <c r="EJ187" s="408">
        <v>0</v>
      </c>
      <c r="EK187" s="408">
        <v>0</v>
      </c>
      <c r="EL187" s="408">
        <v>0</v>
      </c>
      <c r="EM187" s="408">
        <v>0</v>
      </c>
      <c r="EN187" s="408">
        <v>0</v>
      </c>
      <c r="EO187" s="408">
        <v>0</v>
      </c>
      <c r="EP187" s="408">
        <v>0</v>
      </c>
      <c r="EQ187" s="408">
        <v>0</v>
      </c>
      <c r="ER187" s="408">
        <v>0</v>
      </c>
      <c r="ES187" s="408">
        <v>0</v>
      </c>
      <c r="ET187" s="408">
        <v>0</v>
      </c>
      <c r="EU187" s="408">
        <v>0</v>
      </c>
      <c r="EV187" s="408">
        <v>257</v>
      </c>
      <c r="EW187" s="408">
        <v>0</v>
      </c>
      <c r="EX187" s="408">
        <v>0</v>
      </c>
      <c r="EY187" s="408">
        <v>0</v>
      </c>
      <c r="EZ187" s="408"/>
      <c r="FA187" s="408">
        <v>0</v>
      </c>
      <c r="FB187" s="408"/>
      <c r="FC187" s="408"/>
      <c r="FD187" s="408"/>
      <c r="FE187" s="408"/>
      <c r="FF187" s="408">
        <v>0</v>
      </c>
      <c r="FG187" s="408">
        <v>0</v>
      </c>
      <c r="FH187" s="408">
        <v>0</v>
      </c>
      <c r="FI187" s="408">
        <v>0</v>
      </c>
    </row>
    <row r="188" spans="1:165">
      <c r="A188" s="408">
        <v>186</v>
      </c>
      <c r="B188" s="408" t="s">
        <v>1035</v>
      </c>
      <c r="C188" s="408" t="s">
        <v>2233</v>
      </c>
      <c r="D188" s="408" t="s">
        <v>1955</v>
      </c>
      <c r="E188" s="408" t="s">
        <v>968</v>
      </c>
      <c r="F188" s="408" t="s">
        <v>2240</v>
      </c>
      <c r="G188" s="408" t="s">
        <v>1321</v>
      </c>
      <c r="H188" s="408" t="s">
        <v>1321</v>
      </c>
      <c r="I188" s="408" t="s">
        <v>1321</v>
      </c>
      <c r="J188" s="408" t="s">
        <v>2234</v>
      </c>
      <c r="K188" s="828">
        <v>44531</v>
      </c>
      <c r="L188" s="408">
        <v>0</v>
      </c>
      <c r="M188" s="408">
        <v>0</v>
      </c>
      <c r="N188" s="408">
        <v>1.0409999999999999</v>
      </c>
      <c r="O188" s="408">
        <v>1.0409999999999999</v>
      </c>
      <c r="P188" s="408">
        <v>1.0409999999999999</v>
      </c>
      <c r="Q188" s="408">
        <v>1.0409999999999999</v>
      </c>
      <c r="R188" s="408"/>
      <c r="S188" s="408">
        <v>639.92999999999995</v>
      </c>
      <c r="T188" s="408">
        <v>256.55</v>
      </c>
      <c r="U188" s="408"/>
      <c r="V188" s="408">
        <v>933.23568</v>
      </c>
      <c r="W188" s="408">
        <v>933.23568</v>
      </c>
      <c r="X188" s="408">
        <v>618.14580000000001</v>
      </c>
      <c r="Y188" s="408">
        <v>0</v>
      </c>
      <c r="Z188" s="408">
        <v>0</v>
      </c>
      <c r="AA188" s="408">
        <v>0</v>
      </c>
      <c r="AB188" s="408">
        <v>0</v>
      </c>
      <c r="AC188" s="408">
        <v>0</v>
      </c>
      <c r="AD188" s="408">
        <v>128.12918418531024</v>
      </c>
      <c r="AE188" s="408">
        <v>496.46337421439625</v>
      </c>
      <c r="AF188" s="408">
        <v>267.07117512306615</v>
      </c>
      <c r="AG188" s="408">
        <v>0</v>
      </c>
      <c r="AH188" s="408">
        <v>0</v>
      </c>
      <c r="AI188" s="408">
        <v>0</v>
      </c>
      <c r="AJ188" s="408">
        <v>0</v>
      </c>
      <c r="AK188" s="408">
        <v>0</v>
      </c>
      <c r="AL188" s="408">
        <v>0</v>
      </c>
      <c r="AM188" s="408"/>
      <c r="AN188" s="408">
        <v>2.2858326368171942</v>
      </c>
      <c r="AO188" s="408">
        <v>0</v>
      </c>
      <c r="AP188" s="408">
        <v>0</v>
      </c>
      <c r="AQ188" s="408">
        <v>0</v>
      </c>
      <c r="AR188" s="408">
        <v>0</v>
      </c>
      <c r="AS188" s="408">
        <v>0</v>
      </c>
      <c r="AT188" s="408">
        <v>0</v>
      </c>
      <c r="AU188" s="408">
        <v>0</v>
      </c>
      <c r="AV188" s="408">
        <v>0</v>
      </c>
      <c r="AW188" s="408">
        <v>0</v>
      </c>
      <c r="AX188" s="408">
        <v>0</v>
      </c>
      <c r="AY188" s="408">
        <v>0</v>
      </c>
      <c r="AZ188" s="408">
        <v>0</v>
      </c>
      <c r="BA188" s="408"/>
      <c r="BB188" s="408">
        <v>0</v>
      </c>
      <c r="BC188" s="408">
        <v>0</v>
      </c>
      <c r="BD188" s="408">
        <v>1.5514234636502457</v>
      </c>
      <c r="BE188" s="408">
        <v>0</v>
      </c>
      <c r="BF188" s="408">
        <v>0</v>
      </c>
      <c r="BG188" s="408">
        <v>37.739791768113854</v>
      </c>
      <c r="BH188" s="408">
        <v>0</v>
      </c>
      <c r="BI188" s="408">
        <v>0.78</v>
      </c>
      <c r="BJ188" s="408">
        <v>4.07</v>
      </c>
      <c r="BK188" s="408">
        <v>272.63</v>
      </c>
      <c r="BL188" s="408">
        <v>13</v>
      </c>
      <c r="BM188" s="408"/>
      <c r="BN188" s="408"/>
      <c r="BO188" s="408"/>
      <c r="BP188" s="408"/>
      <c r="BQ188" s="408"/>
      <c r="BR188" s="408"/>
      <c r="BS188" s="408"/>
      <c r="BT188" s="408"/>
      <c r="BU188" s="408"/>
      <c r="BV188" s="408">
        <v>306.36239035483021</v>
      </c>
      <c r="BW188" s="408"/>
      <c r="BX188" s="408"/>
      <c r="BY188" s="408"/>
      <c r="BZ188" s="408"/>
      <c r="CA188" s="408"/>
      <c r="CB188" s="408"/>
      <c r="CC188" s="408"/>
      <c r="CD188" s="408"/>
      <c r="CE188" s="408"/>
      <c r="CF188" s="408"/>
      <c r="CG188" s="408"/>
      <c r="CH188" s="408"/>
      <c r="CI188" s="408">
        <v>617.55200000000013</v>
      </c>
      <c r="CJ188" s="408">
        <v>-315.71367999999984</v>
      </c>
      <c r="CK188" s="408"/>
      <c r="CL188" s="408"/>
      <c r="CM188" s="408"/>
      <c r="CN188" s="408"/>
      <c r="CO188" s="408">
        <v>-331.73546999999991</v>
      </c>
      <c r="CP188" s="408">
        <v>16.645590000000009</v>
      </c>
      <c r="CQ188" s="408"/>
      <c r="CR188" s="408">
        <v>18.360682521340493</v>
      </c>
      <c r="CS188" s="408">
        <v>0</v>
      </c>
      <c r="CT188" s="408">
        <v>0</v>
      </c>
      <c r="CU188" s="408">
        <v>0</v>
      </c>
      <c r="CV188" s="408">
        <v>0</v>
      </c>
      <c r="CW188" s="408">
        <v>0</v>
      </c>
      <c r="CX188" s="408">
        <v>0</v>
      </c>
      <c r="CY188" s="408">
        <v>0</v>
      </c>
      <c r="CZ188" s="408">
        <v>-0.57915197123563189</v>
      </c>
      <c r="DA188" s="408">
        <v>0</v>
      </c>
      <c r="DB188" s="408">
        <v>0</v>
      </c>
      <c r="DC188" s="408">
        <v>16.6381253689608</v>
      </c>
      <c r="DD188" s="408">
        <v>0</v>
      </c>
      <c r="DE188" s="408">
        <v>0</v>
      </c>
      <c r="DF188" s="408">
        <v>9.6651306816117888E-2</v>
      </c>
      <c r="DG188" s="408">
        <v>2.3511312538577513</v>
      </c>
      <c r="DH188" s="408">
        <v>0</v>
      </c>
      <c r="DI188" s="408">
        <v>0</v>
      </c>
      <c r="DJ188" s="408"/>
      <c r="DK188" s="408">
        <v>0</v>
      </c>
      <c r="DL188" s="408">
        <v>0</v>
      </c>
      <c r="DM188" s="408">
        <v>0</v>
      </c>
      <c r="DN188" s="408">
        <v>0</v>
      </c>
      <c r="DO188" s="408">
        <v>0</v>
      </c>
      <c r="DP188" s="408">
        <v>-0.14607343705856746</v>
      </c>
      <c r="DQ188" s="408">
        <v>0</v>
      </c>
      <c r="DR188" s="408">
        <v>0</v>
      </c>
      <c r="DS188" s="408"/>
      <c r="DT188" s="408"/>
      <c r="DU188" s="408"/>
      <c r="DV188" s="408">
        <v>496.46337421439625</v>
      </c>
      <c r="DW188" s="408">
        <v>0</v>
      </c>
      <c r="DX188" s="408">
        <v>0</v>
      </c>
      <c r="DY188" s="408">
        <v>-331.73546999999996</v>
      </c>
      <c r="DZ188" s="408">
        <v>16.64558999999997</v>
      </c>
      <c r="EA188" s="408">
        <v>0</v>
      </c>
      <c r="EB188" s="408">
        <v>0</v>
      </c>
      <c r="EC188" s="408">
        <v>-333.46187230097973</v>
      </c>
      <c r="ED188" s="408">
        <v>0</v>
      </c>
      <c r="EE188" s="408">
        <v>0</v>
      </c>
      <c r="EF188" s="408">
        <v>0</v>
      </c>
      <c r="EG188" s="408">
        <v>0</v>
      </c>
      <c r="EH188" s="408">
        <v>0</v>
      </c>
      <c r="EI188" s="408">
        <v>0</v>
      </c>
      <c r="EJ188" s="408">
        <v>0</v>
      </c>
      <c r="EK188" s="408">
        <v>0</v>
      </c>
      <c r="EL188" s="408">
        <v>0</v>
      </c>
      <c r="EM188" s="408">
        <v>0</v>
      </c>
      <c r="EN188" s="408">
        <v>0</v>
      </c>
      <c r="EO188" s="408">
        <v>0</v>
      </c>
      <c r="EP188" s="408">
        <v>0</v>
      </c>
      <c r="EQ188" s="408">
        <v>0</v>
      </c>
      <c r="ER188" s="408">
        <v>0</v>
      </c>
      <c r="ES188" s="408">
        <v>0</v>
      </c>
      <c r="ET188" s="408">
        <v>0</v>
      </c>
      <c r="EU188" s="408">
        <v>0</v>
      </c>
      <c r="EV188" s="408">
        <v>257</v>
      </c>
      <c r="EW188" s="408">
        <v>0</v>
      </c>
      <c r="EX188" s="408">
        <v>0</v>
      </c>
      <c r="EY188" s="408">
        <v>0</v>
      </c>
      <c r="EZ188" s="408"/>
      <c r="FA188" s="408">
        <v>0</v>
      </c>
      <c r="FB188" s="408"/>
      <c r="FC188" s="408"/>
      <c r="FD188" s="408"/>
      <c r="FE188" s="408"/>
      <c r="FF188" s="408">
        <v>0</v>
      </c>
      <c r="FG188" s="408">
        <v>0</v>
      </c>
      <c r="FH188" s="408">
        <v>0</v>
      </c>
      <c r="FI188" s="408">
        <v>0</v>
      </c>
    </row>
    <row r="189" spans="1:165">
      <c r="A189" s="408">
        <v>187</v>
      </c>
      <c r="B189" s="408" t="s">
        <v>1035</v>
      </c>
      <c r="C189" s="408" t="s">
        <v>2233</v>
      </c>
      <c r="D189" s="408" t="s">
        <v>1958</v>
      </c>
      <c r="E189" s="408" t="s">
        <v>969</v>
      </c>
      <c r="F189" s="408" t="s">
        <v>1321</v>
      </c>
      <c r="G189" s="408" t="s">
        <v>1321</v>
      </c>
      <c r="H189" s="408" t="s">
        <v>1321</v>
      </c>
      <c r="I189" s="408" t="s">
        <v>1321</v>
      </c>
      <c r="J189" s="408" t="s">
        <v>2234</v>
      </c>
      <c r="K189" s="828">
        <v>44531</v>
      </c>
      <c r="L189" s="408">
        <v>0</v>
      </c>
      <c r="M189" s="408">
        <v>0</v>
      </c>
      <c r="N189" s="408">
        <v>62.302</v>
      </c>
      <c r="O189" s="408">
        <v>62.302</v>
      </c>
      <c r="P189" s="408">
        <v>62.302</v>
      </c>
      <c r="Q189" s="408">
        <v>62.302</v>
      </c>
      <c r="R189" s="408"/>
      <c r="S189" s="408">
        <v>710.91</v>
      </c>
      <c r="T189" s="408">
        <v>256.55</v>
      </c>
      <c r="U189" s="408"/>
      <c r="V189" s="408">
        <v>60274.692919999994</v>
      </c>
      <c r="W189" s="408">
        <v>60274.692919999994</v>
      </c>
      <c r="X189" s="408">
        <v>41146.109859999997</v>
      </c>
      <c r="Y189" s="408">
        <v>0</v>
      </c>
      <c r="Z189" s="408">
        <v>3829.9956004559908</v>
      </c>
      <c r="AA189" s="408">
        <v>0</v>
      </c>
      <c r="AB189" s="408">
        <v>0</v>
      </c>
      <c r="AC189" s="408">
        <v>0</v>
      </c>
      <c r="AD189" s="408">
        <v>7668.3039703296818</v>
      </c>
      <c r="AE189" s="408">
        <v>29712.450663117499</v>
      </c>
      <c r="AF189" s="408">
        <v>15983.735208950304</v>
      </c>
      <c r="AG189" s="408">
        <v>0</v>
      </c>
      <c r="AH189" s="408">
        <v>0</v>
      </c>
      <c r="AI189" s="408">
        <v>0</v>
      </c>
      <c r="AJ189" s="408">
        <v>0</v>
      </c>
      <c r="AK189" s="408">
        <v>0</v>
      </c>
      <c r="AL189" s="408">
        <v>592.13464049030267</v>
      </c>
      <c r="AM189" s="408"/>
      <c r="AN189" s="408">
        <v>136.80302107491337</v>
      </c>
      <c r="AO189" s="408">
        <v>0</v>
      </c>
      <c r="AP189" s="408">
        <v>0</v>
      </c>
      <c r="AQ189" s="408">
        <v>0</v>
      </c>
      <c r="AR189" s="408">
        <v>0</v>
      </c>
      <c r="AS189" s="408">
        <v>0</v>
      </c>
      <c r="AT189" s="408">
        <v>0</v>
      </c>
      <c r="AU189" s="408">
        <v>0</v>
      </c>
      <c r="AV189" s="408">
        <v>0</v>
      </c>
      <c r="AW189" s="408">
        <v>0</v>
      </c>
      <c r="AX189" s="408">
        <v>0</v>
      </c>
      <c r="AY189" s="408">
        <v>0</v>
      </c>
      <c r="AZ189" s="408">
        <v>0</v>
      </c>
      <c r="BA189" s="408"/>
      <c r="BB189" s="408">
        <v>0</v>
      </c>
      <c r="BC189" s="408">
        <v>0</v>
      </c>
      <c r="BD189" s="408">
        <v>92.849937206856495</v>
      </c>
      <c r="BE189" s="408">
        <v>0</v>
      </c>
      <c r="BF189" s="408">
        <v>0</v>
      </c>
      <c r="BG189" s="408">
        <v>2258.6594685274058</v>
      </c>
      <c r="BH189" s="408">
        <v>0</v>
      </c>
      <c r="BI189" s="408">
        <v>69.069999999999993</v>
      </c>
      <c r="BJ189" s="408">
        <v>319.56</v>
      </c>
      <c r="BK189" s="408">
        <v>11055.83</v>
      </c>
      <c r="BL189" s="408">
        <v>45</v>
      </c>
      <c r="BM189" s="408"/>
      <c r="BN189" s="408"/>
      <c r="BO189" s="408"/>
      <c r="BP189" s="408"/>
      <c r="BQ189" s="408"/>
      <c r="BR189" s="408"/>
      <c r="BS189" s="408"/>
      <c r="BT189" s="408"/>
      <c r="BU189" s="408"/>
      <c r="BV189" s="408">
        <v>18335.244614684565</v>
      </c>
      <c r="BW189" s="408"/>
      <c r="BX189" s="408"/>
      <c r="BY189" s="408"/>
      <c r="BZ189" s="408"/>
      <c r="CA189" s="408"/>
      <c r="CB189" s="408"/>
      <c r="CC189" s="408"/>
      <c r="CD189" s="408"/>
      <c r="CE189" s="408"/>
      <c r="CF189" s="408"/>
      <c r="CG189" s="408"/>
      <c r="CH189" s="408"/>
      <c r="CI189" s="408">
        <v>41144.789000000004</v>
      </c>
      <c r="CJ189" s="408">
        <v>-19129.933919999996</v>
      </c>
      <c r="CK189" s="408"/>
      <c r="CL189" s="408"/>
      <c r="CM189" s="408"/>
      <c r="CN189" s="408"/>
      <c r="CO189" s="408">
        <v>-20124.79204</v>
      </c>
      <c r="CP189" s="408">
        <v>996.20898000000057</v>
      </c>
      <c r="CQ189" s="408"/>
      <c r="CR189" s="408">
        <v>828.19831298874487</v>
      </c>
      <c r="CS189" s="408">
        <v>0</v>
      </c>
      <c r="CT189" s="408">
        <v>0</v>
      </c>
      <c r="CU189" s="408">
        <v>0</v>
      </c>
      <c r="CV189" s="408">
        <v>0</v>
      </c>
      <c r="CW189" s="408">
        <v>0</v>
      </c>
      <c r="CX189" s="408">
        <v>0</v>
      </c>
      <c r="CY189" s="408">
        <v>0</v>
      </c>
      <c r="CZ189" s="408">
        <v>-34.661216245842297</v>
      </c>
      <c r="DA189" s="408">
        <v>0</v>
      </c>
      <c r="DB189" s="408">
        <v>0</v>
      </c>
      <c r="DC189" s="408">
        <v>995.76223509798365</v>
      </c>
      <c r="DD189" s="408">
        <v>0</v>
      </c>
      <c r="DE189" s="408">
        <v>0</v>
      </c>
      <c r="DF189" s="408">
        <v>5.7844089502956706</v>
      </c>
      <c r="DG189" s="408">
        <v>140.71102726017807</v>
      </c>
      <c r="DH189" s="408">
        <v>0</v>
      </c>
      <c r="DI189" s="408">
        <v>-238.16388541344213</v>
      </c>
      <c r="DJ189" s="408"/>
      <c r="DK189" s="408">
        <v>0</v>
      </c>
      <c r="DL189" s="408">
        <v>0</v>
      </c>
      <c r="DM189" s="408">
        <v>0</v>
      </c>
      <c r="DN189" s="408">
        <v>0</v>
      </c>
      <c r="DO189" s="408">
        <v>-32.492021045040701</v>
      </c>
      <c r="DP189" s="408">
        <v>-8.7422356153917917</v>
      </c>
      <c r="DQ189" s="408">
        <v>0</v>
      </c>
      <c r="DR189" s="408">
        <v>0</v>
      </c>
      <c r="DS189" s="408"/>
      <c r="DT189" s="408"/>
      <c r="DU189" s="408"/>
      <c r="DV189" s="408">
        <v>29712.450663117499</v>
      </c>
      <c r="DW189" s="408">
        <v>0</v>
      </c>
      <c r="DX189" s="408">
        <v>0</v>
      </c>
      <c r="DY189" s="408">
        <v>-20124.792039999997</v>
      </c>
      <c r="DZ189" s="408">
        <v>996.20898000000125</v>
      </c>
      <c r="EA189" s="408">
        <v>0</v>
      </c>
      <c r="EB189" s="408">
        <v>0</v>
      </c>
      <c r="EC189" s="408">
        <v>-19957.100449659596</v>
      </c>
      <c r="ED189" s="408">
        <v>0</v>
      </c>
      <c r="EE189" s="408">
        <v>0</v>
      </c>
      <c r="EF189" s="408">
        <v>0</v>
      </c>
      <c r="EG189" s="408">
        <v>0</v>
      </c>
      <c r="EH189" s="408">
        <v>0</v>
      </c>
      <c r="EI189" s="408">
        <v>0</v>
      </c>
      <c r="EJ189" s="408">
        <v>0</v>
      </c>
      <c r="EK189" s="408">
        <v>0</v>
      </c>
      <c r="EL189" s="408">
        <v>0</v>
      </c>
      <c r="EM189" s="408">
        <v>0</v>
      </c>
      <c r="EN189" s="408">
        <v>0</v>
      </c>
      <c r="EO189" s="408">
        <v>0</v>
      </c>
      <c r="EP189" s="408">
        <v>0</v>
      </c>
      <c r="EQ189" s="408">
        <v>0</v>
      </c>
      <c r="ER189" s="408">
        <v>0</v>
      </c>
      <c r="ES189" s="408">
        <v>0</v>
      </c>
      <c r="ET189" s="408">
        <v>0</v>
      </c>
      <c r="EU189" s="408">
        <v>0</v>
      </c>
      <c r="EV189" s="408">
        <v>257</v>
      </c>
      <c r="EW189" s="408">
        <v>0</v>
      </c>
      <c r="EX189" s="408">
        <v>0</v>
      </c>
      <c r="EY189" s="408">
        <v>0</v>
      </c>
      <c r="EZ189" s="408"/>
      <c r="FA189" s="408">
        <v>0</v>
      </c>
      <c r="FB189" s="408"/>
      <c r="FC189" s="408"/>
      <c r="FD189" s="408"/>
      <c r="FE189" s="408"/>
      <c r="FF189" s="408">
        <v>0</v>
      </c>
      <c r="FG189" s="408">
        <v>0</v>
      </c>
      <c r="FH189" s="408">
        <v>0</v>
      </c>
      <c r="FI189" s="408">
        <v>0</v>
      </c>
    </row>
    <row r="190" spans="1:165">
      <c r="A190" s="408">
        <v>188</v>
      </c>
      <c r="B190" s="408" t="s">
        <v>2236</v>
      </c>
      <c r="C190" s="408" t="s">
        <v>2233</v>
      </c>
      <c r="D190" s="408" t="s">
        <v>1958</v>
      </c>
      <c r="E190" s="408" t="s">
        <v>969</v>
      </c>
      <c r="F190" s="408" t="s">
        <v>1321</v>
      </c>
      <c r="G190" s="408" t="s">
        <v>1321</v>
      </c>
      <c r="H190" s="408" t="s">
        <v>1321</v>
      </c>
      <c r="I190" s="408" t="s">
        <v>1321</v>
      </c>
      <c r="J190" s="408" t="s">
        <v>2234</v>
      </c>
      <c r="K190" s="828">
        <v>44531</v>
      </c>
      <c r="L190" s="408">
        <v>0</v>
      </c>
      <c r="M190" s="408">
        <v>0</v>
      </c>
      <c r="N190" s="408">
        <v>0.5</v>
      </c>
      <c r="O190" s="408">
        <v>0.5</v>
      </c>
      <c r="P190" s="408">
        <v>0.5</v>
      </c>
      <c r="Q190" s="408">
        <v>0.5</v>
      </c>
      <c r="R190" s="408"/>
      <c r="S190" s="408">
        <v>710.91</v>
      </c>
      <c r="T190" s="408">
        <v>256.55</v>
      </c>
      <c r="U190" s="408"/>
      <c r="V190" s="408">
        <v>483.73</v>
      </c>
      <c r="W190" s="408">
        <v>483.73</v>
      </c>
      <c r="X190" s="408">
        <v>330.21500000000003</v>
      </c>
      <c r="Y190" s="408">
        <v>0</v>
      </c>
      <c r="Z190" s="408">
        <v>30.737340698982301</v>
      </c>
      <c r="AA190" s="408">
        <v>0</v>
      </c>
      <c r="AB190" s="408">
        <v>0</v>
      </c>
      <c r="AC190" s="408">
        <v>0</v>
      </c>
      <c r="AD190" s="408">
        <v>61.541394901685997</v>
      </c>
      <c r="AE190" s="408">
        <v>238.45503084264951</v>
      </c>
      <c r="AF190" s="408">
        <v>128.27626086602601</v>
      </c>
      <c r="AG190" s="408">
        <v>0</v>
      </c>
      <c r="AH190" s="408">
        <v>0</v>
      </c>
      <c r="AI190" s="408">
        <v>0</v>
      </c>
      <c r="AJ190" s="408">
        <v>0</v>
      </c>
      <c r="AK190" s="408">
        <v>0</v>
      </c>
      <c r="AL190" s="408">
        <v>4.75213187771101</v>
      </c>
      <c r="AM190" s="408"/>
      <c r="AN190" s="408">
        <v>1.097902323159075</v>
      </c>
      <c r="AO190" s="408">
        <v>0</v>
      </c>
      <c r="AP190" s="408">
        <v>0</v>
      </c>
      <c r="AQ190" s="408">
        <v>0</v>
      </c>
      <c r="AR190" s="408">
        <v>0</v>
      </c>
      <c r="AS190" s="408">
        <v>0</v>
      </c>
      <c r="AT190" s="408">
        <v>0</v>
      </c>
      <c r="AU190" s="408">
        <v>0</v>
      </c>
      <c r="AV190" s="408">
        <v>0</v>
      </c>
      <c r="AW190" s="408">
        <v>0</v>
      </c>
      <c r="AX190" s="408">
        <v>0</v>
      </c>
      <c r="AY190" s="408">
        <v>0</v>
      </c>
      <c r="AZ190" s="408">
        <v>0</v>
      </c>
      <c r="BA190" s="408"/>
      <c r="BB190" s="408">
        <v>0</v>
      </c>
      <c r="BC190" s="408">
        <v>0</v>
      </c>
      <c r="BD190" s="408">
        <v>0.74516016505775495</v>
      </c>
      <c r="BE190" s="408">
        <v>0</v>
      </c>
      <c r="BF190" s="408">
        <v>0</v>
      </c>
      <c r="BG190" s="408">
        <v>18.1267011374226</v>
      </c>
      <c r="BH190" s="408">
        <v>0</v>
      </c>
      <c r="BI190" s="408">
        <v>1.86</v>
      </c>
      <c r="BJ190" s="408">
        <v>8.61</v>
      </c>
      <c r="BK190" s="408">
        <v>817.01</v>
      </c>
      <c r="BL190" s="408">
        <v>5</v>
      </c>
      <c r="BM190" s="408"/>
      <c r="BN190" s="408"/>
      <c r="BO190" s="408"/>
      <c r="BP190" s="408"/>
      <c r="BQ190" s="408"/>
      <c r="BR190" s="408"/>
      <c r="BS190" s="408"/>
      <c r="BT190" s="408"/>
      <c r="BU190" s="408"/>
      <c r="BV190" s="408">
        <v>147.14812216850638</v>
      </c>
      <c r="BW190" s="408"/>
      <c r="BX190" s="408"/>
      <c r="BY190" s="408"/>
      <c r="BZ190" s="408"/>
      <c r="CA190" s="408"/>
      <c r="CB190" s="408"/>
      <c r="CC190" s="408"/>
      <c r="CD190" s="408"/>
      <c r="CE190" s="408"/>
      <c r="CF190" s="408"/>
      <c r="CG190" s="408"/>
      <c r="CH190" s="408"/>
      <c r="CI190" s="408">
        <v>330.21500000000003</v>
      </c>
      <c r="CJ190" s="408">
        <v>-153.54499999999996</v>
      </c>
      <c r="CK190" s="408"/>
      <c r="CL190" s="408"/>
      <c r="CM190" s="408"/>
      <c r="CN190" s="408"/>
      <c r="CO190" s="408">
        <v>-161.51</v>
      </c>
      <c r="CP190" s="408">
        <v>7.9950000000000045</v>
      </c>
      <c r="CQ190" s="408"/>
      <c r="CR190" s="408">
        <v>6.6466430691529581</v>
      </c>
      <c r="CS190" s="408">
        <v>0</v>
      </c>
      <c r="CT190" s="408">
        <v>0</v>
      </c>
      <c r="CU190" s="408">
        <v>0</v>
      </c>
      <c r="CV190" s="408">
        <v>0</v>
      </c>
      <c r="CW190" s="408">
        <v>0</v>
      </c>
      <c r="CX190" s="408">
        <v>0</v>
      </c>
      <c r="CY190" s="408">
        <v>0</v>
      </c>
      <c r="CZ190" s="408">
        <v>-0.27817097561749904</v>
      </c>
      <c r="DA190" s="408">
        <v>0</v>
      </c>
      <c r="DB190" s="408">
        <v>0</v>
      </c>
      <c r="DC190" s="408">
        <v>7.9914146824980037</v>
      </c>
      <c r="DD190" s="408">
        <v>0</v>
      </c>
      <c r="DE190" s="408">
        <v>0</v>
      </c>
      <c r="DF190" s="408">
        <v>4.6422337567780025E-2</v>
      </c>
      <c r="DG190" s="408">
        <v>1.1292657319201496</v>
      </c>
      <c r="DH190" s="408">
        <v>0</v>
      </c>
      <c r="DI190" s="408">
        <v>-1.9113662917197018</v>
      </c>
      <c r="DJ190" s="408"/>
      <c r="DK190" s="408">
        <v>0</v>
      </c>
      <c r="DL190" s="408">
        <v>0</v>
      </c>
      <c r="DM190" s="408">
        <v>0</v>
      </c>
      <c r="DN190" s="408">
        <v>0</v>
      </c>
      <c r="DO190" s="408">
        <v>-0.26076226321017515</v>
      </c>
      <c r="DP190" s="408">
        <v>-7.0160152285575039E-2</v>
      </c>
      <c r="DQ190" s="408">
        <v>0</v>
      </c>
      <c r="DR190" s="408">
        <v>0</v>
      </c>
      <c r="DS190" s="408"/>
      <c r="DT190" s="408"/>
      <c r="DU190" s="408"/>
      <c r="DV190" s="408">
        <v>238.45503084264951</v>
      </c>
      <c r="DW190" s="408">
        <v>0</v>
      </c>
      <c r="DX190" s="408">
        <v>0</v>
      </c>
      <c r="DY190" s="408">
        <v>-161.51</v>
      </c>
      <c r="DZ190" s="408">
        <v>7.9950000000000045</v>
      </c>
      <c r="EA190" s="408">
        <v>0</v>
      </c>
      <c r="EB190" s="408">
        <v>0</v>
      </c>
      <c r="EC190" s="408">
        <v>-160.16420379489901</v>
      </c>
      <c r="ED190" s="408">
        <v>0</v>
      </c>
      <c r="EE190" s="408">
        <v>0</v>
      </c>
      <c r="EF190" s="408">
        <v>0</v>
      </c>
      <c r="EG190" s="408">
        <v>0</v>
      </c>
      <c r="EH190" s="408">
        <v>0</v>
      </c>
      <c r="EI190" s="408">
        <v>0</v>
      </c>
      <c r="EJ190" s="408">
        <v>0</v>
      </c>
      <c r="EK190" s="408">
        <v>0</v>
      </c>
      <c r="EL190" s="408">
        <v>0</v>
      </c>
      <c r="EM190" s="408">
        <v>0</v>
      </c>
      <c r="EN190" s="408">
        <v>0</v>
      </c>
      <c r="EO190" s="408">
        <v>0</v>
      </c>
      <c r="EP190" s="408">
        <v>0</v>
      </c>
      <c r="EQ190" s="408">
        <v>0</v>
      </c>
      <c r="ER190" s="408">
        <v>0</v>
      </c>
      <c r="ES190" s="408">
        <v>0</v>
      </c>
      <c r="ET190" s="408">
        <v>0</v>
      </c>
      <c r="EU190" s="408">
        <v>0</v>
      </c>
      <c r="EV190" s="408">
        <v>257</v>
      </c>
      <c r="EW190" s="408">
        <v>0</v>
      </c>
      <c r="EX190" s="408">
        <v>0</v>
      </c>
      <c r="EY190" s="408">
        <v>0</v>
      </c>
      <c r="EZ190" s="408"/>
      <c r="FA190" s="408">
        <v>0</v>
      </c>
      <c r="FB190" s="408"/>
      <c r="FC190" s="408"/>
      <c r="FD190" s="408"/>
      <c r="FE190" s="408"/>
      <c r="FF190" s="408">
        <v>0</v>
      </c>
      <c r="FG190" s="408">
        <v>0</v>
      </c>
      <c r="FH190" s="408">
        <v>0</v>
      </c>
      <c r="FI190" s="408">
        <v>0</v>
      </c>
    </row>
    <row r="191" spans="1:165">
      <c r="A191" s="408">
        <v>189</v>
      </c>
      <c r="B191" s="408" t="s">
        <v>1035</v>
      </c>
      <c r="C191" s="408" t="s">
        <v>2241</v>
      </c>
      <c r="D191" s="408" t="s">
        <v>596</v>
      </c>
      <c r="E191" s="408" t="s">
        <v>969</v>
      </c>
      <c r="F191" s="408" t="s">
        <v>1321</v>
      </c>
      <c r="G191" s="408" t="s">
        <v>1321</v>
      </c>
      <c r="H191" s="408" t="s">
        <v>1321</v>
      </c>
      <c r="I191" s="408" t="s">
        <v>972</v>
      </c>
      <c r="J191" s="408" t="s">
        <v>2234</v>
      </c>
      <c r="K191" s="828">
        <v>44531</v>
      </c>
      <c r="L191" s="408">
        <v>0</v>
      </c>
      <c r="M191" s="408">
        <v>0</v>
      </c>
      <c r="N191" s="408">
        <v>9.7650000000000006</v>
      </c>
      <c r="O191" s="408">
        <v>9.7650000000000006</v>
      </c>
      <c r="P191" s="408">
        <v>9.7650000000000006</v>
      </c>
      <c r="Q191" s="408">
        <v>9.7650000000000006</v>
      </c>
      <c r="R191" s="408"/>
      <c r="S191" s="408">
        <v>3130.62</v>
      </c>
      <c r="T191" s="408">
        <v>256.55</v>
      </c>
      <c r="U191" s="408"/>
      <c r="V191" s="408">
        <v>33075.715049999999</v>
      </c>
      <c r="W191" s="408">
        <v>33075.715049999999</v>
      </c>
      <c r="X191" s="408">
        <v>17407.381950000003</v>
      </c>
      <c r="Y191" s="408">
        <v>0</v>
      </c>
      <c r="Z191" s="408">
        <v>522.26122955047822</v>
      </c>
      <c r="AA191" s="408">
        <v>0</v>
      </c>
      <c r="AB191" s="408">
        <v>0</v>
      </c>
      <c r="AC191" s="408">
        <v>0</v>
      </c>
      <c r="AD191" s="408">
        <v>6290.7478280193218</v>
      </c>
      <c r="AE191" s="408">
        <v>23476.511694376532</v>
      </c>
      <c r="AF191" s="408">
        <v>2505.235374713488</v>
      </c>
      <c r="AG191" s="408">
        <v>0</v>
      </c>
      <c r="AH191" s="408">
        <v>0</v>
      </c>
      <c r="AI191" s="408">
        <v>0</v>
      </c>
      <c r="AJ191" s="408">
        <v>0</v>
      </c>
      <c r="AK191" s="408">
        <v>0</v>
      </c>
      <c r="AL191" s="408">
        <v>92.809135571696032</v>
      </c>
      <c r="AM191" s="408"/>
      <c r="AN191" s="408">
        <v>13.173522024365838</v>
      </c>
      <c r="AO191" s="408">
        <v>0</v>
      </c>
      <c r="AP191" s="408">
        <v>0</v>
      </c>
      <c r="AQ191" s="408">
        <v>0</v>
      </c>
      <c r="AR191" s="408">
        <v>0</v>
      </c>
      <c r="AS191" s="408">
        <v>0</v>
      </c>
      <c r="AT191" s="408">
        <v>0</v>
      </c>
      <c r="AU191" s="408">
        <v>0</v>
      </c>
      <c r="AV191" s="408">
        <v>0</v>
      </c>
      <c r="AW191" s="408">
        <v>0</v>
      </c>
      <c r="AX191" s="408">
        <v>0</v>
      </c>
      <c r="AY191" s="408">
        <v>0</v>
      </c>
      <c r="AZ191" s="408">
        <v>0</v>
      </c>
      <c r="BA191" s="408"/>
      <c r="BB191" s="408">
        <v>0</v>
      </c>
      <c r="BC191" s="408">
        <v>0</v>
      </c>
      <c r="BD191" s="408">
        <v>12.030726246018935</v>
      </c>
      <c r="BE191" s="408">
        <v>0</v>
      </c>
      <c r="BF191" s="408">
        <v>0</v>
      </c>
      <c r="BG191" s="408">
        <v>162.97089924951811</v>
      </c>
      <c r="BH191" s="408">
        <v>0</v>
      </c>
      <c r="BI191" s="408">
        <v>0</v>
      </c>
      <c r="BJ191" s="408">
        <v>0</v>
      </c>
      <c r="BK191" s="408">
        <v>0</v>
      </c>
      <c r="BL191" s="408">
        <v>0</v>
      </c>
      <c r="BM191" s="408"/>
      <c r="BN191" s="408"/>
      <c r="BO191" s="408"/>
      <c r="BP191" s="408"/>
      <c r="BQ191" s="408"/>
      <c r="BR191" s="408"/>
      <c r="BS191" s="408"/>
      <c r="BT191" s="408"/>
      <c r="BU191" s="408"/>
      <c r="BV191" s="408">
        <v>2680.2370002090247</v>
      </c>
      <c r="BW191" s="408"/>
      <c r="BX191" s="408"/>
      <c r="BY191" s="408"/>
      <c r="BZ191" s="408"/>
      <c r="CA191" s="408"/>
      <c r="CB191" s="408"/>
      <c r="CC191" s="408"/>
      <c r="CD191" s="408"/>
      <c r="CE191" s="408"/>
      <c r="CF191" s="408"/>
      <c r="CG191" s="408"/>
      <c r="CH191" s="408"/>
      <c r="CI191" s="408">
        <v>17416.295099999999</v>
      </c>
      <c r="CJ191" s="408">
        <v>-15659.449949999998</v>
      </c>
      <c r="CK191" s="408"/>
      <c r="CL191" s="408"/>
      <c r="CM191" s="408"/>
      <c r="CN191" s="408"/>
      <c r="CO191" s="408">
        <v>-15824.47545</v>
      </c>
      <c r="CP191" s="408">
        <v>156.14235000000011</v>
      </c>
      <c r="CQ191" s="408"/>
      <c r="CR191" s="408">
        <v>100.12934510041669</v>
      </c>
      <c r="CS191" s="408">
        <v>0</v>
      </c>
      <c r="CT191" s="408">
        <v>0</v>
      </c>
      <c r="CU191" s="408">
        <v>0</v>
      </c>
      <c r="CV191" s="408">
        <v>0</v>
      </c>
      <c r="CW191" s="408">
        <v>0</v>
      </c>
      <c r="CX191" s="408">
        <v>0</v>
      </c>
      <c r="CY191" s="408">
        <v>0</v>
      </c>
      <c r="CZ191" s="408">
        <v>-28.434575840856269</v>
      </c>
      <c r="DA191" s="408">
        <v>0</v>
      </c>
      <c r="DB191" s="408">
        <v>0</v>
      </c>
      <c r="DC191" s="408">
        <v>156.072328749186</v>
      </c>
      <c r="DD191" s="408">
        <v>0</v>
      </c>
      <c r="DE191" s="408">
        <v>0</v>
      </c>
      <c r="DF191" s="408">
        <v>0.74949582810155846</v>
      </c>
      <c r="DG191" s="408">
        <v>10.152837542113303</v>
      </c>
      <c r="DH191" s="408">
        <v>0</v>
      </c>
      <c r="DI191" s="408">
        <v>-32.476215799238844</v>
      </c>
      <c r="DJ191" s="408"/>
      <c r="DK191" s="408">
        <v>0</v>
      </c>
      <c r="DL191" s="408">
        <v>0</v>
      </c>
      <c r="DM191" s="408">
        <v>0</v>
      </c>
      <c r="DN191" s="408">
        <v>0</v>
      </c>
      <c r="DO191" s="408">
        <v>-5.0926870004947205</v>
      </c>
      <c r="DP191" s="408">
        <v>-0.84183837839734466</v>
      </c>
      <c r="DQ191" s="408">
        <v>0</v>
      </c>
      <c r="DR191" s="408">
        <v>0</v>
      </c>
      <c r="DS191" s="408"/>
      <c r="DT191" s="408"/>
      <c r="DU191" s="408"/>
      <c r="DV191" s="408">
        <v>23476.511694376532</v>
      </c>
      <c r="DW191" s="408">
        <v>0</v>
      </c>
      <c r="DX191" s="408">
        <v>0</v>
      </c>
      <c r="DY191" s="408">
        <v>-15824.47545</v>
      </c>
      <c r="DZ191" s="408">
        <v>156.14235000000008</v>
      </c>
      <c r="EA191" s="408">
        <v>0</v>
      </c>
      <c r="EB191" s="408">
        <v>0</v>
      </c>
      <c r="EC191" s="408">
        <v>-15768.578210004898</v>
      </c>
      <c r="ED191" s="408">
        <v>0</v>
      </c>
      <c r="EE191" s="408">
        <v>0</v>
      </c>
      <c r="EF191" s="408">
        <v>0</v>
      </c>
      <c r="EG191" s="408">
        <v>0</v>
      </c>
      <c r="EH191" s="408">
        <v>0</v>
      </c>
      <c r="EI191" s="408">
        <v>0</v>
      </c>
      <c r="EJ191" s="408">
        <v>0</v>
      </c>
      <c r="EK191" s="408">
        <v>0</v>
      </c>
      <c r="EL191" s="408">
        <v>0</v>
      </c>
      <c r="EM191" s="408">
        <v>0</v>
      </c>
      <c r="EN191" s="408">
        <v>0</v>
      </c>
      <c r="EO191" s="408">
        <v>0</v>
      </c>
      <c r="EP191" s="408">
        <v>0</v>
      </c>
      <c r="EQ191" s="408">
        <v>0</v>
      </c>
      <c r="ER191" s="408">
        <v>0</v>
      </c>
      <c r="ES191" s="408">
        <v>0</v>
      </c>
      <c r="ET191" s="408">
        <v>0</v>
      </c>
      <c r="EU191" s="408">
        <v>0</v>
      </c>
      <c r="EV191" s="408">
        <v>257</v>
      </c>
      <c r="EW191" s="408">
        <v>0</v>
      </c>
      <c r="EX191" s="408">
        <v>0</v>
      </c>
      <c r="EY191" s="408">
        <v>0</v>
      </c>
      <c r="EZ191" s="408"/>
      <c r="FA191" s="408">
        <v>0</v>
      </c>
      <c r="FB191" s="408"/>
      <c r="FC191" s="408"/>
      <c r="FD191" s="408"/>
      <c r="FE191" s="408"/>
      <c r="FF191" s="408">
        <v>0</v>
      </c>
      <c r="FG191" s="408">
        <v>0</v>
      </c>
      <c r="FH191" s="408">
        <v>0</v>
      </c>
      <c r="FI191" s="408">
        <v>0</v>
      </c>
    </row>
    <row r="192" spans="1:165">
      <c r="A192" s="408">
        <v>190</v>
      </c>
      <c r="B192" s="408" t="s">
        <v>2236</v>
      </c>
      <c r="C192" s="408" t="s">
        <v>2241</v>
      </c>
      <c r="D192" s="408" t="s">
        <v>596</v>
      </c>
      <c r="E192" s="408" t="s">
        <v>969</v>
      </c>
      <c r="F192" s="408" t="s">
        <v>1321</v>
      </c>
      <c r="G192" s="408" t="s">
        <v>1321</v>
      </c>
      <c r="H192" s="408" t="s">
        <v>1321</v>
      </c>
      <c r="I192" s="408" t="s">
        <v>972</v>
      </c>
      <c r="J192" s="408" t="s">
        <v>2234</v>
      </c>
      <c r="K192" s="828">
        <v>44531</v>
      </c>
      <c r="L192" s="408">
        <v>0</v>
      </c>
      <c r="M192" s="408">
        <v>0</v>
      </c>
      <c r="N192" s="408">
        <v>0.09</v>
      </c>
      <c r="O192" s="408">
        <v>0.09</v>
      </c>
      <c r="P192" s="408">
        <v>0.09</v>
      </c>
      <c r="Q192" s="408">
        <v>0.09</v>
      </c>
      <c r="R192" s="408"/>
      <c r="S192" s="408">
        <v>3130.62</v>
      </c>
      <c r="T192" s="408">
        <v>256.55</v>
      </c>
      <c r="U192" s="408"/>
      <c r="V192" s="408">
        <v>304.84529999999995</v>
      </c>
      <c r="W192" s="408">
        <v>304.84529999999995</v>
      </c>
      <c r="X192" s="408">
        <v>160.4367</v>
      </c>
      <c r="Y192" s="408">
        <v>0</v>
      </c>
      <c r="Z192" s="408">
        <v>4.8134675534606277</v>
      </c>
      <c r="AA192" s="408">
        <v>0</v>
      </c>
      <c r="AB192" s="408">
        <v>0</v>
      </c>
      <c r="AC192" s="408">
        <v>0</v>
      </c>
      <c r="AD192" s="408">
        <v>57.979242654555954</v>
      </c>
      <c r="AE192" s="408">
        <v>216.37337967167309</v>
      </c>
      <c r="AF192" s="408">
        <v>23.089726955884679</v>
      </c>
      <c r="AG192" s="408">
        <v>0</v>
      </c>
      <c r="AH192" s="408">
        <v>0</v>
      </c>
      <c r="AI192" s="408">
        <v>0</v>
      </c>
      <c r="AJ192" s="408">
        <v>0</v>
      </c>
      <c r="AK192" s="408">
        <v>0</v>
      </c>
      <c r="AL192" s="408">
        <v>0.85538373798798173</v>
      </c>
      <c r="AM192" s="408"/>
      <c r="AN192" s="408">
        <v>0.12141494953332568</v>
      </c>
      <c r="AO192" s="408">
        <v>0</v>
      </c>
      <c r="AP192" s="408">
        <v>0</v>
      </c>
      <c r="AQ192" s="408">
        <v>0</v>
      </c>
      <c r="AR192" s="408">
        <v>0</v>
      </c>
      <c r="AS192" s="408">
        <v>0</v>
      </c>
      <c r="AT192" s="408">
        <v>0</v>
      </c>
      <c r="AU192" s="408">
        <v>0</v>
      </c>
      <c r="AV192" s="408">
        <v>0</v>
      </c>
      <c r="AW192" s="408">
        <v>0</v>
      </c>
      <c r="AX192" s="408">
        <v>0</v>
      </c>
      <c r="AY192" s="408">
        <v>0</v>
      </c>
      <c r="AZ192" s="408">
        <v>0</v>
      </c>
      <c r="BA192" s="408"/>
      <c r="BB192" s="408">
        <v>0</v>
      </c>
      <c r="BC192" s="408">
        <v>0</v>
      </c>
      <c r="BD192" s="408">
        <v>0.1108822695485616</v>
      </c>
      <c r="BE192" s="408">
        <v>0</v>
      </c>
      <c r="BF192" s="408">
        <v>0</v>
      </c>
      <c r="BG192" s="408">
        <v>1.5020359377835768</v>
      </c>
      <c r="BH192" s="408">
        <v>0</v>
      </c>
      <c r="BI192" s="408">
        <v>0</v>
      </c>
      <c r="BJ192" s="408">
        <v>0</v>
      </c>
      <c r="BK192" s="408">
        <v>0</v>
      </c>
      <c r="BL192" s="408">
        <v>0</v>
      </c>
      <c r="BM192" s="408"/>
      <c r="BN192" s="408"/>
      <c r="BO192" s="408"/>
      <c r="BP192" s="408"/>
      <c r="BQ192" s="408"/>
      <c r="BR192" s="408"/>
      <c r="BS192" s="408"/>
      <c r="BT192" s="408"/>
      <c r="BU192" s="408"/>
      <c r="BV192" s="408">
        <v>24.702645163216818</v>
      </c>
      <c r="BW192" s="408"/>
      <c r="BX192" s="408"/>
      <c r="BY192" s="408"/>
      <c r="BZ192" s="408"/>
      <c r="CA192" s="408"/>
      <c r="CB192" s="408"/>
      <c r="CC192" s="408"/>
      <c r="CD192" s="408"/>
      <c r="CE192" s="408"/>
      <c r="CF192" s="408"/>
      <c r="CG192" s="408"/>
      <c r="CH192" s="408"/>
      <c r="CI192" s="408">
        <v>160.4367</v>
      </c>
      <c r="CJ192" s="408">
        <v>-144.43859999999992</v>
      </c>
      <c r="CK192" s="408"/>
      <c r="CL192" s="408"/>
      <c r="CM192" s="408"/>
      <c r="CN192" s="408"/>
      <c r="CO192" s="408">
        <v>-145.8477</v>
      </c>
      <c r="CP192" s="408">
        <v>1.4391000000000007</v>
      </c>
      <c r="CQ192" s="408"/>
      <c r="CR192" s="408">
        <v>0.92285110691626926</v>
      </c>
      <c r="CS192" s="408">
        <v>0</v>
      </c>
      <c r="CT192" s="408">
        <v>0</v>
      </c>
      <c r="CU192" s="408">
        <v>0</v>
      </c>
      <c r="CV192" s="408">
        <v>0</v>
      </c>
      <c r="CW192" s="408">
        <v>0</v>
      </c>
      <c r="CX192" s="408">
        <v>0</v>
      </c>
      <c r="CY192" s="408">
        <v>0</v>
      </c>
      <c r="CZ192" s="408">
        <v>-0.26206982341802387</v>
      </c>
      <c r="DA192" s="408">
        <v>0</v>
      </c>
      <c r="DB192" s="408">
        <v>0</v>
      </c>
      <c r="DC192" s="408">
        <v>1.4384546428496421</v>
      </c>
      <c r="DD192" s="408">
        <v>0</v>
      </c>
      <c r="DE192" s="408">
        <v>0</v>
      </c>
      <c r="DF192" s="408">
        <v>6.9077956507055949E-3</v>
      </c>
      <c r="DG192" s="408">
        <v>9.3574539558648029E-2</v>
      </c>
      <c r="DH192" s="408">
        <v>0</v>
      </c>
      <c r="DI192" s="408">
        <v>-0.29931996128330685</v>
      </c>
      <c r="DJ192" s="408"/>
      <c r="DK192" s="408">
        <v>0</v>
      </c>
      <c r="DL192" s="408">
        <v>0</v>
      </c>
      <c r="DM192" s="408">
        <v>0</v>
      </c>
      <c r="DN192" s="408">
        <v>0</v>
      </c>
      <c r="DO192" s="408">
        <v>-4.6937207377831469E-2</v>
      </c>
      <c r="DP192" s="408">
        <v>-7.7588790635699928E-3</v>
      </c>
      <c r="DQ192" s="408">
        <v>0</v>
      </c>
      <c r="DR192" s="408">
        <v>0</v>
      </c>
      <c r="DS192" s="408"/>
      <c r="DT192" s="408"/>
      <c r="DU192" s="408"/>
      <c r="DV192" s="408">
        <v>216.37337967167309</v>
      </c>
      <c r="DW192" s="408">
        <v>0</v>
      </c>
      <c r="DX192" s="408">
        <v>0</v>
      </c>
      <c r="DY192" s="408">
        <v>-145.84769999999997</v>
      </c>
      <c r="DZ192" s="408">
        <v>1.4390999999999998</v>
      </c>
      <c r="EA192" s="408">
        <v>0</v>
      </c>
      <c r="EB192" s="408">
        <v>0</v>
      </c>
      <c r="EC192" s="408">
        <v>-145.33251806456127</v>
      </c>
      <c r="ED192" s="408">
        <v>0</v>
      </c>
      <c r="EE192" s="408">
        <v>0</v>
      </c>
      <c r="EF192" s="408">
        <v>0</v>
      </c>
      <c r="EG192" s="408">
        <v>0</v>
      </c>
      <c r="EH192" s="408">
        <v>0</v>
      </c>
      <c r="EI192" s="408">
        <v>0</v>
      </c>
      <c r="EJ192" s="408">
        <v>0</v>
      </c>
      <c r="EK192" s="408">
        <v>0</v>
      </c>
      <c r="EL192" s="408">
        <v>0</v>
      </c>
      <c r="EM192" s="408">
        <v>0</v>
      </c>
      <c r="EN192" s="408">
        <v>0</v>
      </c>
      <c r="EO192" s="408">
        <v>0</v>
      </c>
      <c r="EP192" s="408">
        <v>0</v>
      </c>
      <c r="EQ192" s="408">
        <v>0</v>
      </c>
      <c r="ER192" s="408">
        <v>0</v>
      </c>
      <c r="ES192" s="408">
        <v>0</v>
      </c>
      <c r="ET192" s="408">
        <v>0</v>
      </c>
      <c r="EU192" s="408">
        <v>0</v>
      </c>
      <c r="EV192" s="408">
        <v>257</v>
      </c>
      <c r="EW192" s="408">
        <v>0</v>
      </c>
      <c r="EX192" s="408">
        <v>0</v>
      </c>
      <c r="EY192" s="408">
        <v>0</v>
      </c>
      <c r="EZ192" s="408"/>
      <c r="FA192" s="408">
        <v>0</v>
      </c>
      <c r="FB192" s="408"/>
      <c r="FC192" s="408"/>
      <c r="FD192" s="408"/>
      <c r="FE192" s="408"/>
      <c r="FF192" s="408">
        <v>0</v>
      </c>
      <c r="FG192" s="408">
        <v>0</v>
      </c>
      <c r="FH192" s="408">
        <v>0</v>
      </c>
      <c r="FI192" s="408">
        <v>0</v>
      </c>
    </row>
    <row r="193" spans="1:165">
      <c r="A193" s="408">
        <v>191</v>
      </c>
      <c r="B193" s="408" t="s">
        <v>1035</v>
      </c>
      <c r="C193" s="408" t="s">
        <v>2241</v>
      </c>
      <c r="D193" s="408" t="s">
        <v>596</v>
      </c>
      <c r="E193" s="408" t="s">
        <v>969</v>
      </c>
      <c r="F193" s="408" t="s">
        <v>1321</v>
      </c>
      <c r="G193" s="408" t="s">
        <v>1321</v>
      </c>
      <c r="H193" s="408" t="s">
        <v>1321</v>
      </c>
      <c r="I193" s="408" t="s">
        <v>2242</v>
      </c>
      <c r="J193" s="408" t="s">
        <v>2234</v>
      </c>
      <c r="K193" s="828">
        <v>44531</v>
      </c>
      <c r="L193" s="408">
        <v>0</v>
      </c>
      <c r="M193" s="408">
        <v>0</v>
      </c>
      <c r="N193" s="408">
        <v>177.20500000000001</v>
      </c>
      <c r="O193" s="408">
        <v>177.20500000000001</v>
      </c>
      <c r="P193" s="408">
        <v>177.20500000000001</v>
      </c>
      <c r="Q193" s="408">
        <v>177.20500000000001</v>
      </c>
      <c r="R193" s="408"/>
      <c r="S193" s="408">
        <v>82.26</v>
      </c>
      <c r="T193" s="408">
        <v>256.55</v>
      </c>
      <c r="U193" s="408"/>
      <c r="V193" s="408">
        <v>60038.826050000003</v>
      </c>
      <c r="W193" s="408">
        <v>60038.826050000003</v>
      </c>
      <c r="X193" s="408">
        <v>62372.615900000012</v>
      </c>
      <c r="Y193" s="408">
        <v>0</v>
      </c>
      <c r="Z193" s="408">
        <v>9477.450197899896</v>
      </c>
      <c r="AA193" s="408">
        <v>0</v>
      </c>
      <c r="AB193" s="408">
        <v>0</v>
      </c>
      <c r="AC193" s="408">
        <v>0</v>
      </c>
      <c r="AD193" s="408">
        <v>0</v>
      </c>
      <c r="AE193" s="408">
        <v>0</v>
      </c>
      <c r="AF193" s="408">
        <v>45462.389613528278</v>
      </c>
      <c r="AG193" s="408">
        <v>0</v>
      </c>
      <c r="AH193" s="408">
        <v>0</v>
      </c>
      <c r="AI193" s="408">
        <v>0</v>
      </c>
      <c r="AJ193" s="408">
        <v>0</v>
      </c>
      <c r="AK193" s="408">
        <v>0</v>
      </c>
      <c r="AL193" s="408">
        <v>1684.2030587795591</v>
      </c>
      <c r="AM193" s="408"/>
      <c r="AN193" s="408">
        <v>239.05929035614423</v>
      </c>
      <c r="AO193" s="408">
        <v>0</v>
      </c>
      <c r="AP193" s="408">
        <v>0</v>
      </c>
      <c r="AQ193" s="408">
        <v>0</v>
      </c>
      <c r="AR193" s="408">
        <v>0</v>
      </c>
      <c r="AS193" s="408">
        <v>0</v>
      </c>
      <c r="AT193" s="408">
        <v>0</v>
      </c>
      <c r="AU193" s="408">
        <v>0</v>
      </c>
      <c r="AV193" s="408">
        <v>0</v>
      </c>
      <c r="AW193" s="408">
        <v>0</v>
      </c>
      <c r="AX193" s="408">
        <v>0</v>
      </c>
      <c r="AY193" s="408">
        <v>0</v>
      </c>
      <c r="AZ193" s="408">
        <v>0</v>
      </c>
      <c r="BA193" s="408"/>
      <c r="BB193" s="408">
        <v>0</v>
      </c>
      <c r="BC193" s="408">
        <v>0</v>
      </c>
      <c r="BD193" s="408">
        <v>218.32102861503179</v>
      </c>
      <c r="BE193" s="408">
        <v>0</v>
      </c>
      <c r="BF193" s="408">
        <v>0</v>
      </c>
      <c r="BG193" s="408">
        <v>2957.4253150548752</v>
      </c>
      <c r="BH193" s="408">
        <v>0</v>
      </c>
      <c r="BI193" s="408">
        <v>0</v>
      </c>
      <c r="BJ193" s="408">
        <v>0</v>
      </c>
      <c r="BK193" s="408">
        <v>0</v>
      </c>
      <c r="BL193" s="408">
        <v>0</v>
      </c>
      <c r="BM193" s="408"/>
      <c r="BN193" s="408"/>
      <c r="BO193" s="408"/>
      <c r="BP193" s="408"/>
      <c r="BQ193" s="408"/>
      <c r="BR193" s="408"/>
      <c r="BS193" s="408"/>
      <c r="BT193" s="408"/>
      <c r="BU193" s="408"/>
      <c r="BV193" s="408">
        <v>48638.135957198188</v>
      </c>
      <c r="BW193" s="408"/>
      <c r="BX193" s="408"/>
      <c r="BY193" s="408"/>
      <c r="BZ193" s="408"/>
      <c r="CA193" s="408"/>
      <c r="CB193" s="408"/>
      <c r="CC193" s="408"/>
      <c r="CD193" s="408"/>
      <c r="CE193" s="408"/>
      <c r="CF193" s="408"/>
      <c r="CG193" s="408"/>
      <c r="CH193" s="408"/>
      <c r="CI193" s="408">
        <v>62374.375800000009</v>
      </c>
      <c r="CJ193" s="408">
        <v>2335.5197499999995</v>
      </c>
      <c r="CK193" s="408"/>
      <c r="CL193" s="408"/>
      <c r="CM193" s="408"/>
      <c r="CN193" s="408"/>
      <c r="CO193" s="408">
        <v>-499.71810000000136</v>
      </c>
      <c r="CP193" s="408">
        <v>2833.507950000002</v>
      </c>
      <c r="CQ193" s="408"/>
      <c r="CR193" s="408">
        <v>2333.0434828876387</v>
      </c>
      <c r="CS193" s="408">
        <v>0</v>
      </c>
      <c r="CT193" s="408">
        <v>0</v>
      </c>
      <c r="CU193" s="408">
        <v>0</v>
      </c>
      <c r="CV193" s="408">
        <v>0</v>
      </c>
      <c r="CW193" s="408">
        <v>0</v>
      </c>
      <c r="CX193" s="408">
        <v>0</v>
      </c>
      <c r="CY193" s="408">
        <v>0</v>
      </c>
      <c r="CZ193" s="408">
        <v>0</v>
      </c>
      <c r="DA193" s="408">
        <v>0</v>
      </c>
      <c r="DB193" s="408">
        <v>0</v>
      </c>
      <c r="DC193" s="408">
        <v>2832.2372776241173</v>
      </c>
      <c r="DD193" s="408">
        <v>0</v>
      </c>
      <c r="DE193" s="408">
        <v>0</v>
      </c>
      <c r="DF193" s="408">
        <v>13.601065869814278</v>
      </c>
      <c r="DG193" s="408">
        <v>184.24306980544679</v>
      </c>
      <c r="DH193" s="408">
        <v>0</v>
      </c>
      <c r="DI193" s="408">
        <v>-589.3443748800928</v>
      </c>
      <c r="DJ193" s="408"/>
      <c r="DK193" s="408">
        <v>0</v>
      </c>
      <c r="DL193" s="408">
        <v>0</v>
      </c>
      <c r="DM193" s="408">
        <v>0</v>
      </c>
      <c r="DN193" s="408">
        <v>0</v>
      </c>
      <c r="DO193" s="408">
        <v>-92.416753704318126</v>
      </c>
      <c r="DP193" s="408">
        <v>-15.276801827332463</v>
      </c>
      <c r="DQ193" s="408">
        <v>0</v>
      </c>
      <c r="DR193" s="408">
        <v>0</v>
      </c>
      <c r="DS193" s="408"/>
      <c r="DT193" s="408"/>
      <c r="DU193" s="408"/>
      <c r="DV193" s="408">
        <v>0</v>
      </c>
      <c r="DW193" s="408">
        <v>0</v>
      </c>
      <c r="DX193" s="408">
        <v>0</v>
      </c>
      <c r="DY193" s="408">
        <v>-499.71810000000005</v>
      </c>
      <c r="DZ193" s="408">
        <v>2833.5079500000065</v>
      </c>
      <c r="EA193" s="408">
        <v>0</v>
      </c>
      <c r="EB193" s="408">
        <v>0</v>
      </c>
      <c r="EC193" s="408">
        <v>0</v>
      </c>
      <c r="ED193" s="408">
        <v>0</v>
      </c>
      <c r="EE193" s="408">
        <v>0</v>
      </c>
      <c r="EF193" s="408">
        <v>0</v>
      </c>
      <c r="EG193" s="408">
        <v>0</v>
      </c>
      <c r="EH193" s="408">
        <v>0</v>
      </c>
      <c r="EI193" s="408">
        <v>0</v>
      </c>
      <c r="EJ193" s="408">
        <v>0</v>
      </c>
      <c r="EK193" s="408">
        <v>0</v>
      </c>
      <c r="EL193" s="408">
        <v>0</v>
      </c>
      <c r="EM193" s="408">
        <v>0</v>
      </c>
      <c r="EN193" s="408">
        <v>0</v>
      </c>
      <c r="EO193" s="408">
        <v>0</v>
      </c>
      <c r="EP193" s="408">
        <v>0</v>
      </c>
      <c r="EQ193" s="408">
        <v>0</v>
      </c>
      <c r="ER193" s="408">
        <v>0</v>
      </c>
      <c r="ES193" s="408">
        <v>0</v>
      </c>
      <c r="ET193" s="408">
        <v>0</v>
      </c>
      <c r="EU193" s="408">
        <v>0</v>
      </c>
      <c r="EV193" s="408">
        <v>257</v>
      </c>
      <c r="EW193" s="408">
        <v>0</v>
      </c>
      <c r="EX193" s="408">
        <v>0</v>
      </c>
      <c r="EY193" s="408">
        <v>0</v>
      </c>
      <c r="EZ193" s="408"/>
      <c r="FA193" s="408">
        <v>0</v>
      </c>
      <c r="FB193" s="408"/>
      <c r="FC193" s="408"/>
      <c r="FD193" s="408"/>
      <c r="FE193" s="408"/>
      <c r="FF193" s="408">
        <v>0</v>
      </c>
      <c r="FG193" s="408">
        <v>0</v>
      </c>
      <c r="FH193" s="408">
        <v>0</v>
      </c>
      <c r="FI193" s="408">
        <v>0</v>
      </c>
    </row>
    <row r="194" spans="1:165">
      <c r="A194" s="408">
        <v>192</v>
      </c>
      <c r="B194" s="408" t="s">
        <v>2236</v>
      </c>
      <c r="C194" s="408" t="s">
        <v>2241</v>
      </c>
      <c r="D194" s="408" t="s">
        <v>596</v>
      </c>
      <c r="E194" s="408" t="s">
        <v>969</v>
      </c>
      <c r="F194" s="408" t="s">
        <v>1321</v>
      </c>
      <c r="G194" s="408" t="s">
        <v>1321</v>
      </c>
      <c r="H194" s="408" t="s">
        <v>1321</v>
      </c>
      <c r="I194" s="408" t="s">
        <v>2242</v>
      </c>
      <c r="J194" s="408" t="s">
        <v>2234</v>
      </c>
      <c r="K194" s="828">
        <v>44531</v>
      </c>
      <c r="L194" s="408">
        <v>0</v>
      </c>
      <c r="M194" s="408">
        <v>0</v>
      </c>
      <c r="N194" s="408">
        <v>2.1549999999999998</v>
      </c>
      <c r="O194" s="408">
        <v>2.1549999999999998</v>
      </c>
      <c r="P194" s="408">
        <v>2.1549999999999998</v>
      </c>
      <c r="Q194" s="408">
        <v>2.1549999999999998</v>
      </c>
      <c r="R194" s="408"/>
      <c r="S194" s="408">
        <v>82.26</v>
      </c>
      <c r="T194" s="408">
        <v>256.55</v>
      </c>
      <c r="U194" s="408"/>
      <c r="V194" s="408">
        <v>730.13554999999997</v>
      </c>
      <c r="W194" s="408">
        <v>730.13554999999997</v>
      </c>
      <c r="X194" s="408">
        <v>758.51690000000008</v>
      </c>
      <c r="Y194" s="408">
        <v>0</v>
      </c>
      <c r="Z194" s="408">
        <v>115.25580641897392</v>
      </c>
      <c r="AA194" s="408">
        <v>0</v>
      </c>
      <c r="AB194" s="408">
        <v>0</v>
      </c>
      <c r="AC194" s="408">
        <v>0</v>
      </c>
      <c r="AD194" s="408">
        <v>0</v>
      </c>
      <c r="AE194" s="408">
        <v>0</v>
      </c>
      <c r="AF194" s="408">
        <v>552.87068433257207</v>
      </c>
      <c r="AG194" s="408">
        <v>0</v>
      </c>
      <c r="AH194" s="408">
        <v>0</v>
      </c>
      <c r="AI194" s="408">
        <v>0</v>
      </c>
      <c r="AJ194" s="408">
        <v>0</v>
      </c>
      <c r="AK194" s="408">
        <v>0</v>
      </c>
      <c r="AL194" s="408">
        <v>20.481688392934451</v>
      </c>
      <c r="AM194" s="408"/>
      <c r="AN194" s="408">
        <v>2.9072135138257429</v>
      </c>
      <c r="AO194" s="408">
        <v>0</v>
      </c>
      <c r="AP194" s="408">
        <v>0</v>
      </c>
      <c r="AQ194" s="408">
        <v>0</v>
      </c>
      <c r="AR194" s="408">
        <v>0</v>
      </c>
      <c r="AS194" s="408">
        <v>0</v>
      </c>
      <c r="AT194" s="408">
        <v>0</v>
      </c>
      <c r="AU194" s="408">
        <v>0</v>
      </c>
      <c r="AV194" s="408">
        <v>0</v>
      </c>
      <c r="AW194" s="408">
        <v>0</v>
      </c>
      <c r="AX194" s="408">
        <v>0</v>
      </c>
      <c r="AY194" s="408">
        <v>0</v>
      </c>
      <c r="AZ194" s="408">
        <v>0</v>
      </c>
      <c r="BA194" s="408"/>
      <c r="BB194" s="408">
        <v>0</v>
      </c>
      <c r="BC194" s="408">
        <v>0</v>
      </c>
      <c r="BD194" s="408">
        <v>2.6550143430794471</v>
      </c>
      <c r="BE194" s="408">
        <v>0</v>
      </c>
      <c r="BF194" s="408">
        <v>0</v>
      </c>
      <c r="BG194" s="408">
        <v>35.96541606581787</v>
      </c>
      <c r="BH194" s="408">
        <v>0</v>
      </c>
      <c r="BI194" s="408">
        <v>0</v>
      </c>
      <c r="BJ194" s="408">
        <v>0</v>
      </c>
      <c r="BK194" s="408">
        <v>0</v>
      </c>
      <c r="BL194" s="408">
        <v>0</v>
      </c>
      <c r="BM194" s="408"/>
      <c r="BN194" s="408"/>
      <c r="BO194" s="408"/>
      <c r="BP194" s="408"/>
      <c r="BQ194" s="408"/>
      <c r="BR194" s="408"/>
      <c r="BS194" s="408"/>
      <c r="BT194" s="408"/>
      <c r="BU194" s="408"/>
      <c r="BV194" s="408">
        <v>591.49111474146935</v>
      </c>
      <c r="BW194" s="408"/>
      <c r="BX194" s="408"/>
      <c r="BY194" s="408"/>
      <c r="BZ194" s="408"/>
      <c r="CA194" s="408"/>
      <c r="CB194" s="408"/>
      <c r="CC194" s="408"/>
      <c r="CD194" s="408"/>
      <c r="CE194" s="408"/>
      <c r="CF194" s="408"/>
      <c r="CG194" s="408"/>
      <c r="CH194" s="408"/>
      <c r="CI194" s="408">
        <v>760.27680000000009</v>
      </c>
      <c r="CJ194" s="408">
        <v>30.111250000000155</v>
      </c>
      <c r="CK194" s="408"/>
      <c r="CL194" s="408"/>
      <c r="CM194" s="408"/>
      <c r="CN194" s="408"/>
      <c r="CO194" s="408">
        <v>-6.0771000000000157</v>
      </c>
      <c r="CP194" s="408">
        <v>34.458450000000013</v>
      </c>
      <c r="CQ194" s="408"/>
      <c r="CR194" s="408">
        <v>28.372273387448672</v>
      </c>
      <c r="CS194" s="408">
        <v>0</v>
      </c>
      <c r="CT194" s="408">
        <v>0</v>
      </c>
      <c r="CU194" s="408">
        <v>0</v>
      </c>
      <c r="CV194" s="408">
        <v>0</v>
      </c>
      <c r="CW194" s="408">
        <v>0</v>
      </c>
      <c r="CX194" s="408">
        <v>0</v>
      </c>
      <c r="CY194" s="408">
        <v>0</v>
      </c>
      <c r="CZ194" s="408">
        <v>0</v>
      </c>
      <c r="DA194" s="408">
        <v>0</v>
      </c>
      <c r="DB194" s="408">
        <v>0</v>
      </c>
      <c r="DC194" s="408">
        <v>34.442997281566363</v>
      </c>
      <c r="DD194" s="408">
        <v>0</v>
      </c>
      <c r="DE194" s="408">
        <v>0</v>
      </c>
      <c r="DF194" s="408">
        <v>0.16540332919189549</v>
      </c>
      <c r="DG194" s="408">
        <v>2.2405903638765139</v>
      </c>
      <c r="DH194" s="408">
        <v>0</v>
      </c>
      <c r="DI194" s="408">
        <v>-7.1670501840614094</v>
      </c>
      <c r="DJ194" s="408"/>
      <c r="DK194" s="408">
        <v>0</v>
      </c>
      <c r="DL194" s="408">
        <v>0</v>
      </c>
      <c r="DM194" s="408">
        <v>0</v>
      </c>
      <c r="DN194" s="408">
        <v>0</v>
      </c>
      <c r="DO194" s="408">
        <v>-1.1238853544358562</v>
      </c>
      <c r="DP194" s="408">
        <v>-0.18578204868881532</v>
      </c>
      <c r="DQ194" s="408">
        <v>0</v>
      </c>
      <c r="DR194" s="408">
        <v>0</v>
      </c>
      <c r="DS194" s="408"/>
      <c r="DT194" s="408"/>
      <c r="DU194" s="408"/>
      <c r="DV194" s="408">
        <v>0</v>
      </c>
      <c r="DW194" s="408">
        <v>0</v>
      </c>
      <c r="DX194" s="408">
        <v>0</v>
      </c>
      <c r="DY194" s="408">
        <v>-6.0771000000000015</v>
      </c>
      <c r="DZ194" s="408">
        <v>34.458450000000084</v>
      </c>
      <c r="EA194" s="408">
        <v>0</v>
      </c>
      <c r="EB194" s="408">
        <v>0</v>
      </c>
      <c r="EC194" s="408">
        <v>0</v>
      </c>
      <c r="ED194" s="408">
        <v>0</v>
      </c>
      <c r="EE194" s="408">
        <v>0</v>
      </c>
      <c r="EF194" s="408">
        <v>0</v>
      </c>
      <c r="EG194" s="408">
        <v>0</v>
      </c>
      <c r="EH194" s="408">
        <v>0</v>
      </c>
      <c r="EI194" s="408">
        <v>0</v>
      </c>
      <c r="EJ194" s="408">
        <v>0</v>
      </c>
      <c r="EK194" s="408">
        <v>0</v>
      </c>
      <c r="EL194" s="408">
        <v>0</v>
      </c>
      <c r="EM194" s="408">
        <v>0</v>
      </c>
      <c r="EN194" s="408">
        <v>0</v>
      </c>
      <c r="EO194" s="408">
        <v>0</v>
      </c>
      <c r="EP194" s="408">
        <v>0</v>
      </c>
      <c r="EQ194" s="408">
        <v>0</v>
      </c>
      <c r="ER194" s="408">
        <v>0</v>
      </c>
      <c r="ES194" s="408">
        <v>0</v>
      </c>
      <c r="ET194" s="408">
        <v>0</v>
      </c>
      <c r="EU194" s="408">
        <v>0</v>
      </c>
      <c r="EV194" s="408">
        <v>257</v>
      </c>
      <c r="EW194" s="408">
        <v>0</v>
      </c>
      <c r="EX194" s="408">
        <v>0</v>
      </c>
      <c r="EY194" s="408">
        <v>0</v>
      </c>
      <c r="EZ194" s="408"/>
      <c r="FA194" s="408">
        <v>0</v>
      </c>
      <c r="FB194" s="408"/>
      <c r="FC194" s="408"/>
      <c r="FD194" s="408"/>
      <c r="FE194" s="408"/>
      <c r="FF194" s="408">
        <v>0</v>
      </c>
      <c r="FG194" s="408">
        <v>0</v>
      </c>
      <c r="FH194" s="408">
        <v>0</v>
      </c>
      <c r="FI194" s="408">
        <v>0</v>
      </c>
    </row>
    <row r="195" spans="1:165">
      <c r="A195" s="408">
        <v>193</v>
      </c>
      <c r="B195" s="408" t="s">
        <v>1035</v>
      </c>
      <c r="C195" s="408" t="s">
        <v>2241</v>
      </c>
      <c r="D195" s="408" t="s">
        <v>596</v>
      </c>
      <c r="E195" s="408" t="s">
        <v>969</v>
      </c>
      <c r="F195" s="408" t="s">
        <v>1321</v>
      </c>
      <c r="G195" s="408" t="s">
        <v>1321</v>
      </c>
      <c r="H195" s="408" t="s">
        <v>1321</v>
      </c>
      <c r="I195" s="408" t="s">
        <v>1321</v>
      </c>
      <c r="J195" s="408" t="s">
        <v>2234</v>
      </c>
      <c r="K195" s="828">
        <v>44531</v>
      </c>
      <c r="L195" s="408">
        <v>1473</v>
      </c>
      <c r="M195" s="408">
        <v>1473</v>
      </c>
      <c r="N195" s="408">
        <v>0</v>
      </c>
      <c r="O195" s="408">
        <v>0</v>
      </c>
      <c r="P195" s="408">
        <v>0</v>
      </c>
      <c r="Q195" s="408">
        <v>0</v>
      </c>
      <c r="R195" s="408">
        <v>47.39</v>
      </c>
      <c r="S195" s="408"/>
      <c r="T195" s="408"/>
      <c r="U195" s="408">
        <v>69805.47</v>
      </c>
      <c r="V195" s="408"/>
      <c r="W195" s="408">
        <v>69805.47</v>
      </c>
      <c r="X195" s="408">
        <v>47460.06</v>
      </c>
      <c r="Y195" s="408">
        <v>0</v>
      </c>
      <c r="Z195" s="408">
        <v>0</v>
      </c>
      <c r="AA195" s="408">
        <v>0</v>
      </c>
      <c r="AB195" s="408">
        <v>0</v>
      </c>
      <c r="AC195" s="408">
        <v>0</v>
      </c>
      <c r="AD195" s="408">
        <v>36780.957564352975</v>
      </c>
      <c r="AE195" s="408">
        <v>33024.464452959553</v>
      </c>
      <c r="AF195" s="408"/>
      <c r="AG195" s="408"/>
      <c r="AH195" s="408"/>
      <c r="AI195" s="408">
        <v>0</v>
      </c>
      <c r="AJ195" s="408">
        <v>0</v>
      </c>
      <c r="AK195" s="408">
        <v>0</v>
      </c>
      <c r="AL195" s="408">
        <v>0</v>
      </c>
      <c r="AM195" s="408"/>
      <c r="AN195" s="408">
        <v>0</v>
      </c>
      <c r="AO195" s="408">
        <v>0</v>
      </c>
      <c r="AP195" s="408">
        <v>0</v>
      </c>
      <c r="AQ195" s="408">
        <v>0</v>
      </c>
      <c r="AR195" s="408">
        <v>0</v>
      </c>
      <c r="AS195" s="408"/>
      <c r="AT195" s="408"/>
      <c r="AU195" s="408">
        <v>0</v>
      </c>
      <c r="AV195" s="408">
        <v>0</v>
      </c>
      <c r="AW195" s="408">
        <v>0</v>
      </c>
      <c r="AX195" s="408"/>
      <c r="AY195" s="408"/>
      <c r="AZ195" s="408">
        <v>0</v>
      </c>
      <c r="BA195" s="408"/>
      <c r="BB195" s="408">
        <v>0</v>
      </c>
      <c r="BC195" s="408">
        <v>0</v>
      </c>
      <c r="BD195" s="408">
        <v>0</v>
      </c>
      <c r="BE195" s="408">
        <v>0</v>
      </c>
      <c r="BF195" s="408"/>
      <c r="BG195" s="408">
        <v>0</v>
      </c>
      <c r="BH195" s="408">
        <v>0</v>
      </c>
      <c r="BI195" s="408">
        <v>216.55</v>
      </c>
      <c r="BJ195" s="408">
        <v>999.15</v>
      </c>
      <c r="BK195" s="408">
        <v>32460.2</v>
      </c>
      <c r="BL195" s="408">
        <v>11</v>
      </c>
      <c r="BM195" s="408"/>
      <c r="BN195" s="408"/>
      <c r="BO195" s="408"/>
      <c r="BP195" s="408"/>
      <c r="BQ195" s="408"/>
      <c r="BR195" s="408"/>
      <c r="BS195" s="408"/>
      <c r="BT195" s="408"/>
      <c r="BU195" s="408"/>
      <c r="BV195" s="408">
        <v>0</v>
      </c>
      <c r="BW195" s="408"/>
      <c r="BX195" s="408"/>
      <c r="BY195" s="408"/>
      <c r="BZ195" s="408"/>
      <c r="CA195" s="408"/>
      <c r="CB195" s="408"/>
      <c r="CC195" s="408"/>
      <c r="CD195" s="408"/>
      <c r="CE195" s="408"/>
      <c r="CF195" s="408"/>
      <c r="CG195" s="408"/>
      <c r="CH195" s="408"/>
      <c r="CI195" s="408">
        <v>47460.06</v>
      </c>
      <c r="CJ195" s="408">
        <v>-22345.439999999988</v>
      </c>
      <c r="CK195" s="408"/>
      <c r="CL195" s="408"/>
      <c r="CM195" s="408"/>
      <c r="CN195" s="408"/>
      <c r="CO195" s="408">
        <v>-22345.410000000003</v>
      </c>
      <c r="CP195" s="408">
        <v>0</v>
      </c>
      <c r="CQ195" s="408"/>
      <c r="CR195" s="408">
        <v>-166.25224153872114</v>
      </c>
      <c r="CS195" s="408">
        <v>0</v>
      </c>
      <c r="CT195" s="408">
        <v>0</v>
      </c>
      <c r="CU195" s="408">
        <v>0</v>
      </c>
      <c r="CV195" s="408">
        <v>0</v>
      </c>
      <c r="CW195" s="408"/>
      <c r="CX195" s="408"/>
      <c r="CY195" s="408"/>
      <c r="CZ195" s="408">
        <v>-166.25224153872114</v>
      </c>
      <c r="DA195" s="408">
        <v>0</v>
      </c>
      <c r="DB195" s="408">
        <v>0</v>
      </c>
      <c r="DC195" s="408"/>
      <c r="DD195" s="408"/>
      <c r="DE195" s="408">
        <v>0</v>
      </c>
      <c r="DF195" s="408">
        <v>0</v>
      </c>
      <c r="DG195" s="408">
        <v>0</v>
      </c>
      <c r="DH195" s="408">
        <v>0</v>
      </c>
      <c r="DI195" s="408">
        <v>0</v>
      </c>
      <c r="DJ195" s="408"/>
      <c r="DK195" s="408">
        <v>0</v>
      </c>
      <c r="DL195" s="408">
        <v>0</v>
      </c>
      <c r="DM195" s="408"/>
      <c r="DN195" s="408">
        <v>0</v>
      </c>
      <c r="DO195" s="408">
        <v>0</v>
      </c>
      <c r="DP195" s="408">
        <v>0</v>
      </c>
      <c r="DQ195" s="408">
        <v>0</v>
      </c>
      <c r="DR195" s="408">
        <v>0</v>
      </c>
      <c r="DS195" s="408"/>
      <c r="DT195" s="408"/>
      <c r="DU195" s="408">
        <v>33024.464452959553</v>
      </c>
      <c r="DV195" s="408"/>
      <c r="DW195" s="408">
        <v>0</v>
      </c>
      <c r="DX195" s="408">
        <v>0</v>
      </c>
      <c r="DY195" s="408">
        <v>-22345.410000000003</v>
      </c>
      <c r="DZ195" s="408"/>
      <c r="EA195" s="408">
        <v>0</v>
      </c>
      <c r="EB195" s="408"/>
      <c r="EC195" s="408">
        <v>-22181.696214040086</v>
      </c>
      <c r="ED195" s="408"/>
      <c r="EE195" s="408">
        <v>0</v>
      </c>
      <c r="EF195" s="408">
        <v>0</v>
      </c>
      <c r="EG195" s="408"/>
      <c r="EH195" s="408">
        <v>0</v>
      </c>
      <c r="EI195" s="408">
        <v>0</v>
      </c>
      <c r="EJ195" s="408">
        <v>0</v>
      </c>
      <c r="EK195" s="408">
        <v>0</v>
      </c>
      <c r="EL195" s="408">
        <v>0</v>
      </c>
      <c r="EM195" s="408"/>
      <c r="EN195" s="408"/>
      <c r="EO195" s="408">
        <v>0</v>
      </c>
      <c r="EP195" s="408">
        <v>0</v>
      </c>
      <c r="EQ195" s="408"/>
      <c r="ER195" s="408">
        <v>0</v>
      </c>
      <c r="ES195" s="408"/>
      <c r="ET195" s="408">
        <v>0</v>
      </c>
      <c r="EU195" s="408"/>
      <c r="EV195" s="408">
        <v>257</v>
      </c>
      <c r="EW195" s="408"/>
      <c r="EX195" s="408"/>
      <c r="EY195" s="408"/>
      <c r="EZ195" s="408"/>
      <c r="FA195" s="408">
        <v>0</v>
      </c>
      <c r="FB195" s="408"/>
      <c r="FC195" s="408"/>
      <c r="FD195" s="408"/>
      <c r="FE195" s="408"/>
      <c r="FF195" s="408">
        <v>0</v>
      </c>
      <c r="FG195" s="408">
        <v>0</v>
      </c>
      <c r="FH195" s="408">
        <v>0</v>
      </c>
      <c r="FI195" s="408">
        <v>0</v>
      </c>
    </row>
    <row r="196" spans="1:165">
      <c r="A196" s="408">
        <v>194</v>
      </c>
      <c r="B196" s="408" t="s">
        <v>2236</v>
      </c>
      <c r="C196" s="408" t="s">
        <v>2241</v>
      </c>
      <c r="D196" s="408" t="s">
        <v>596</v>
      </c>
      <c r="E196" s="408" t="s">
        <v>969</v>
      </c>
      <c r="F196" s="408" t="s">
        <v>1321</v>
      </c>
      <c r="G196" s="408" t="s">
        <v>1321</v>
      </c>
      <c r="H196" s="408" t="s">
        <v>1321</v>
      </c>
      <c r="I196" s="408" t="s">
        <v>1321</v>
      </c>
      <c r="J196" s="408" t="s">
        <v>2234</v>
      </c>
      <c r="K196" s="828">
        <v>44531</v>
      </c>
      <c r="L196" s="408">
        <v>677</v>
      </c>
      <c r="M196" s="408">
        <v>677</v>
      </c>
      <c r="N196" s="408">
        <v>0</v>
      </c>
      <c r="O196" s="408">
        <v>0</v>
      </c>
      <c r="P196" s="408">
        <v>0</v>
      </c>
      <c r="Q196" s="408">
        <v>0</v>
      </c>
      <c r="R196" s="408">
        <v>47.39</v>
      </c>
      <c r="S196" s="408"/>
      <c r="T196" s="408"/>
      <c r="U196" s="408">
        <v>32083.03</v>
      </c>
      <c r="V196" s="408"/>
      <c r="W196" s="408">
        <v>32083.03</v>
      </c>
      <c r="X196" s="408">
        <v>21812.94</v>
      </c>
      <c r="Y196" s="408">
        <v>0</v>
      </c>
      <c r="Z196" s="408">
        <v>0</v>
      </c>
      <c r="AA196" s="408">
        <v>0</v>
      </c>
      <c r="AB196" s="408">
        <v>0</v>
      </c>
      <c r="AC196" s="408">
        <v>0</v>
      </c>
      <c r="AD196" s="408">
        <v>16904.757821498279</v>
      </c>
      <c r="AE196" s="408">
        <v>15178.250125358871</v>
      </c>
      <c r="AF196" s="408"/>
      <c r="AG196" s="408"/>
      <c r="AH196" s="408"/>
      <c r="AI196" s="408">
        <v>0</v>
      </c>
      <c r="AJ196" s="408">
        <v>0</v>
      </c>
      <c r="AK196" s="408">
        <v>0</v>
      </c>
      <c r="AL196" s="408">
        <v>0</v>
      </c>
      <c r="AM196" s="408"/>
      <c r="AN196" s="408">
        <v>0</v>
      </c>
      <c r="AO196" s="408">
        <v>0</v>
      </c>
      <c r="AP196" s="408">
        <v>0</v>
      </c>
      <c r="AQ196" s="408">
        <v>0</v>
      </c>
      <c r="AR196" s="408">
        <v>0</v>
      </c>
      <c r="AS196" s="408"/>
      <c r="AT196" s="408"/>
      <c r="AU196" s="408">
        <v>0</v>
      </c>
      <c r="AV196" s="408">
        <v>0</v>
      </c>
      <c r="AW196" s="408">
        <v>0</v>
      </c>
      <c r="AX196" s="408"/>
      <c r="AY196" s="408"/>
      <c r="AZ196" s="408">
        <v>0</v>
      </c>
      <c r="BA196" s="408"/>
      <c r="BB196" s="408">
        <v>0</v>
      </c>
      <c r="BC196" s="408">
        <v>0</v>
      </c>
      <c r="BD196" s="408">
        <v>0</v>
      </c>
      <c r="BE196" s="408">
        <v>0</v>
      </c>
      <c r="BF196" s="408"/>
      <c r="BG196" s="408">
        <v>0</v>
      </c>
      <c r="BH196" s="408">
        <v>0</v>
      </c>
      <c r="BI196" s="408">
        <v>35.58</v>
      </c>
      <c r="BJ196" s="408">
        <v>164.22</v>
      </c>
      <c r="BK196" s="408">
        <v>4909.74</v>
      </c>
      <c r="BL196" s="408">
        <v>4</v>
      </c>
      <c r="BM196" s="408"/>
      <c r="BN196" s="408"/>
      <c r="BO196" s="408"/>
      <c r="BP196" s="408"/>
      <c r="BQ196" s="408"/>
      <c r="BR196" s="408"/>
      <c r="BS196" s="408"/>
      <c r="BT196" s="408"/>
      <c r="BU196" s="408"/>
      <c r="BV196" s="408">
        <v>0</v>
      </c>
      <c r="BW196" s="408"/>
      <c r="BX196" s="408"/>
      <c r="BY196" s="408"/>
      <c r="BZ196" s="408"/>
      <c r="CA196" s="408"/>
      <c r="CB196" s="408"/>
      <c r="CC196" s="408"/>
      <c r="CD196" s="408"/>
      <c r="CE196" s="408"/>
      <c r="CF196" s="408"/>
      <c r="CG196" s="408"/>
      <c r="CH196" s="408"/>
      <c r="CI196" s="408">
        <v>21812.94</v>
      </c>
      <c r="CJ196" s="408">
        <v>-10270.119999999995</v>
      </c>
      <c r="CK196" s="408"/>
      <c r="CL196" s="408"/>
      <c r="CM196" s="408"/>
      <c r="CN196" s="408"/>
      <c r="CO196" s="408">
        <v>-10270.090000000002</v>
      </c>
      <c r="CP196" s="408">
        <v>0</v>
      </c>
      <c r="CQ196" s="408"/>
      <c r="CR196" s="408">
        <v>-76.41056858229058</v>
      </c>
      <c r="CS196" s="408">
        <v>0</v>
      </c>
      <c r="CT196" s="408">
        <v>0</v>
      </c>
      <c r="CU196" s="408">
        <v>0</v>
      </c>
      <c r="CV196" s="408">
        <v>0</v>
      </c>
      <c r="CW196" s="408"/>
      <c r="CX196" s="408"/>
      <c r="CY196" s="408"/>
      <c r="CZ196" s="408">
        <v>-76.41056858229058</v>
      </c>
      <c r="DA196" s="408">
        <v>0</v>
      </c>
      <c r="DB196" s="408">
        <v>0</v>
      </c>
      <c r="DC196" s="408"/>
      <c r="DD196" s="408"/>
      <c r="DE196" s="408">
        <v>0</v>
      </c>
      <c r="DF196" s="408">
        <v>0</v>
      </c>
      <c r="DG196" s="408">
        <v>0</v>
      </c>
      <c r="DH196" s="408">
        <v>0</v>
      </c>
      <c r="DI196" s="408">
        <v>0</v>
      </c>
      <c r="DJ196" s="408"/>
      <c r="DK196" s="408">
        <v>0</v>
      </c>
      <c r="DL196" s="408">
        <v>0</v>
      </c>
      <c r="DM196" s="408"/>
      <c r="DN196" s="408">
        <v>0</v>
      </c>
      <c r="DO196" s="408">
        <v>0</v>
      </c>
      <c r="DP196" s="408">
        <v>0</v>
      </c>
      <c r="DQ196" s="408">
        <v>0</v>
      </c>
      <c r="DR196" s="408">
        <v>0</v>
      </c>
      <c r="DS196" s="408"/>
      <c r="DT196" s="408"/>
      <c r="DU196" s="408">
        <v>15178.250125358871</v>
      </c>
      <c r="DV196" s="408"/>
      <c r="DW196" s="408">
        <v>0</v>
      </c>
      <c r="DX196" s="408">
        <v>0</v>
      </c>
      <c r="DY196" s="408">
        <v>-10270.09</v>
      </c>
      <c r="DZ196" s="408"/>
      <c r="EA196" s="408">
        <v>0</v>
      </c>
      <c r="EB196" s="408"/>
      <c r="EC196" s="408">
        <v>-10194.846121456305</v>
      </c>
      <c r="ED196" s="408"/>
      <c r="EE196" s="408">
        <v>0</v>
      </c>
      <c r="EF196" s="408">
        <v>0</v>
      </c>
      <c r="EG196" s="408"/>
      <c r="EH196" s="408">
        <v>0</v>
      </c>
      <c r="EI196" s="408">
        <v>0</v>
      </c>
      <c r="EJ196" s="408">
        <v>0</v>
      </c>
      <c r="EK196" s="408">
        <v>0</v>
      </c>
      <c r="EL196" s="408">
        <v>0</v>
      </c>
      <c r="EM196" s="408"/>
      <c r="EN196" s="408"/>
      <c r="EO196" s="408">
        <v>0</v>
      </c>
      <c r="EP196" s="408">
        <v>0</v>
      </c>
      <c r="EQ196" s="408"/>
      <c r="ER196" s="408">
        <v>0</v>
      </c>
      <c r="ES196" s="408"/>
      <c r="ET196" s="408">
        <v>0</v>
      </c>
      <c r="EU196" s="408"/>
      <c r="EV196" s="408">
        <v>257</v>
      </c>
      <c r="EW196" s="408"/>
      <c r="EX196" s="408"/>
      <c r="EY196" s="408"/>
      <c r="EZ196" s="408"/>
      <c r="FA196" s="408">
        <v>0</v>
      </c>
      <c r="FB196" s="408"/>
      <c r="FC196" s="408"/>
      <c r="FD196" s="408"/>
      <c r="FE196" s="408"/>
      <c r="FF196" s="408">
        <v>0</v>
      </c>
      <c r="FG196" s="408">
        <v>0</v>
      </c>
      <c r="FH196" s="408">
        <v>0</v>
      </c>
      <c r="FI196" s="408">
        <v>0</v>
      </c>
    </row>
    <row r="197" spans="1:165">
      <c r="A197" s="408">
        <v>195</v>
      </c>
      <c r="B197" s="408" t="s">
        <v>1035</v>
      </c>
      <c r="C197" s="408" t="s">
        <v>2233</v>
      </c>
      <c r="D197" s="408" t="s">
        <v>1958</v>
      </c>
      <c r="E197" s="408" t="s">
        <v>997</v>
      </c>
      <c r="F197" s="408" t="s">
        <v>1321</v>
      </c>
      <c r="G197" s="408" t="s">
        <v>1321</v>
      </c>
      <c r="H197" s="408" t="s">
        <v>1321</v>
      </c>
      <c r="I197" s="408" t="s">
        <v>1321</v>
      </c>
      <c r="J197" s="408" t="s">
        <v>2234</v>
      </c>
      <c r="K197" s="828">
        <v>44531</v>
      </c>
      <c r="L197" s="408">
        <v>0</v>
      </c>
      <c r="M197" s="408">
        <v>0</v>
      </c>
      <c r="N197" s="408">
        <v>368.64299999999997</v>
      </c>
      <c r="O197" s="408">
        <v>368.64299999999997</v>
      </c>
      <c r="P197" s="408">
        <v>368.64299999999997</v>
      </c>
      <c r="Q197" s="408">
        <v>368.64299999999997</v>
      </c>
      <c r="R197" s="408"/>
      <c r="S197" s="408">
        <v>710.91</v>
      </c>
      <c r="T197" s="408">
        <v>256.55</v>
      </c>
      <c r="U197" s="408"/>
      <c r="V197" s="408">
        <v>356647.35677999997</v>
      </c>
      <c r="W197" s="408">
        <v>356647.35677999997</v>
      </c>
      <c r="X197" s="408">
        <v>243462.89648999998</v>
      </c>
      <c r="Y197" s="408">
        <v>0</v>
      </c>
      <c r="Z197" s="408">
        <v>22662.210974589863</v>
      </c>
      <c r="AA197" s="408">
        <v>0</v>
      </c>
      <c r="AB197" s="408">
        <v>0</v>
      </c>
      <c r="AC197" s="408">
        <v>0</v>
      </c>
      <c r="AD197" s="408">
        <v>45373.608881484455</v>
      </c>
      <c r="AE197" s="408">
        <v>175809.55586985368</v>
      </c>
      <c r="AF197" s="408">
        <v>94576.291268868838</v>
      </c>
      <c r="AG197" s="408">
        <v>0</v>
      </c>
      <c r="AH197" s="408">
        <v>0</v>
      </c>
      <c r="AI197" s="408">
        <v>0</v>
      </c>
      <c r="AJ197" s="408">
        <v>0</v>
      </c>
      <c r="AK197" s="408">
        <v>0</v>
      </c>
      <c r="AL197" s="408">
        <v>3503.6803035900393</v>
      </c>
      <c r="AM197" s="408"/>
      <c r="AN197" s="408">
        <v>809.46801223266175</v>
      </c>
      <c r="AO197" s="408">
        <v>0</v>
      </c>
      <c r="AP197" s="408">
        <v>0</v>
      </c>
      <c r="AQ197" s="408">
        <v>0</v>
      </c>
      <c r="AR197" s="408">
        <v>0</v>
      </c>
      <c r="AS197" s="408">
        <v>0</v>
      </c>
      <c r="AT197" s="408">
        <v>0</v>
      </c>
      <c r="AU197" s="408">
        <v>0</v>
      </c>
      <c r="AV197" s="408">
        <v>0</v>
      </c>
      <c r="AW197" s="408">
        <v>0</v>
      </c>
      <c r="AX197" s="408">
        <v>0</v>
      </c>
      <c r="AY197" s="408">
        <v>0</v>
      </c>
      <c r="AZ197" s="408">
        <v>0</v>
      </c>
      <c r="BA197" s="408"/>
      <c r="BB197" s="408">
        <v>0</v>
      </c>
      <c r="BC197" s="408">
        <v>0</v>
      </c>
      <c r="BD197" s="408">
        <v>549.39615745477192</v>
      </c>
      <c r="BE197" s="408">
        <v>0</v>
      </c>
      <c r="BF197" s="408">
        <v>0</v>
      </c>
      <c r="BG197" s="408">
        <v>13364.562974805758</v>
      </c>
      <c r="BH197" s="408">
        <v>0</v>
      </c>
      <c r="BI197" s="408">
        <v>406.41</v>
      </c>
      <c r="BJ197" s="408">
        <v>1891.52</v>
      </c>
      <c r="BK197" s="408">
        <v>127749.18</v>
      </c>
      <c r="BL197" s="408">
        <v>965</v>
      </c>
      <c r="BM197" s="408"/>
      <c r="BN197" s="408"/>
      <c r="BO197" s="408"/>
      <c r="BP197" s="408"/>
      <c r="BQ197" s="408"/>
      <c r="BR197" s="408"/>
      <c r="BS197" s="408"/>
      <c r="BT197" s="408"/>
      <c r="BU197" s="408"/>
      <c r="BV197" s="408">
        <v>108490.25040112936</v>
      </c>
      <c r="BW197" s="408"/>
      <c r="BX197" s="408"/>
      <c r="BY197" s="408"/>
      <c r="BZ197" s="408"/>
      <c r="CA197" s="408"/>
      <c r="CB197" s="408"/>
      <c r="CC197" s="408"/>
      <c r="CD197" s="408"/>
      <c r="CE197" s="408"/>
      <c r="CF197" s="408"/>
      <c r="CG197" s="408"/>
      <c r="CH197" s="408"/>
      <c r="CI197" s="408">
        <v>243460.91519999999</v>
      </c>
      <c r="CJ197" s="408">
        <v>-113186.47158000001</v>
      </c>
      <c r="CK197" s="408"/>
      <c r="CL197" s="408"/>
      <c r="CM197" s="408"/>
      <c r="CN197" s="408"/>
      <c r="CO197" s="408">
        <v>-119079.06185999999</v>
      </c>
      <c r="CP197" s="408">
        <v>5894.6015700000025</v>
      </c>
      <c r="CQ197" s="408"/>
      <c r="CR197" s="408">
        <v>4900.4768818835728</v>
      </c>
      <c r="CS197" s="408">
        <v>0</v>
      </c>
      <c r="CT197" s="408">
        <v>0</v>
      </c>
      <c r="CU197" s="408">
        <v>0</v>
      </c>
      <c r="CV197" s="408">
        <v>0</v>
      </c>
      <c r="CW197" s="408">
        <v>0</v>
      </c>
      <c r="CX197" s="408">
        <v>0</v>
      </c>
      <c r="CY197" s="408">
        <v>0</v>
      </c>
      <c r="CZ197" s="408">
        <v>-205.09156592912041</v>
      </c>
      <c r="DA197" s="408">
        <v>0</v>
      </c>
      <c r="DB197" s="408">
        <v>0</v>
      </c>
      <c r="DC197" s="408">
        <v>5891.9581656002265</v>
      </c>
      <c r="DD197" s="408">
        <v>0</v>
      </c>
      <c r="DE197" s="408">
        <v>0</v>
      </c>
      <c r="DF197" s="408">
        <v>34.226539575998231</v>
      </c>
      <c r="DG197" s="408">
        <v>832.5918144244788</v>
      </c>
      <c r="DH197" s="408">
        <v>0</v>
      </c>
      <c r="DI197" s="408">
        <v>-1409.2236077568523</v>
      </c>
      <c r="DJ197" s="408"/>
      <c r="DK197" s="408">
        <v>0</v>
      </c>
      <c r="DL197" s="408">
        <v>0</v>
      </c>
      <c r="DM197" s="408">
        <v>0</v>
      </c>
      <c r="DN197" s="408">
        <v>0</v>
      </c>
      <c r="DO197" s="408">
        <v>-192.25636599317704</v>
      </c>
      <c r="DP197" s="408">
        <v>-51.728098038022495</v>
      </c>
      <c r="DQ197" s="408">
        <v>0</v>
      </c>
      <c r="DR197" s="408">
        <v>0</v>
      </c>
      <c r="DS197" s="408"/>
      <c r="DT197" s="408"/>
      <c r="DU197" s="408"/>
      <c r="DV197" s="408">
        <v>175809.55586985368</v>
      </c>
      <c r="DW197" s="408">
        <v>0</v>
      </c>
      <c r="DX197" s="408">
        <v>0</v>
      </c>
      <c r="DY197" s="408">
        <v>-119079.06185999999</v>
      </c>
      <c r="DZ197" s="408">
        <v>5894.6015700000135</v>
      </c>
      <c r="EA197" s="408">
        <v>0</v>
      </c>
      <c r="EB197" s="408">
        <v>0</v>
      </c>
      <c r="EC197" s="408">
        <v>-118086.8251591259</v>
      </c>
      <c r="ED197" s="408">
        <v>0</v>
      </c>
      <c r="EE197" s="408">
        <v>0</v>
      </c>
      <c r="EF197" s="408">
        <v>0</v>
      </c>
      <c r="EG197" s="408">
        <v>0</v>
      </c>
      <c r="EH197" s="408">
        <v>0</v>
      </c>
      <c r="EI197" s="408">
        <v>0</v>
      </c>
      <c r="EJ197" s="408">
        <v>0</v>
      </c>
      <c r="EK197" s="408">
        <v>0</v>
      </c>
      <c r="EL197" s="408">
        <v>0</v>
      </c>
      <c r="EM197" s="408">
        <v>0</v>
      </c>
      <c r="EN197" s="408">
        <v>0</v>
      </c>
      <c r="EO197" s="408">
        <v>0</v>
      </c>
      <c r="EP197" s="408">
        <v>0</v>
      </c>
      <c r="EQ197" s="408">
        <v>0</v>
      </c>
      <c r="ER197" s="408">
        <v>0</v>
      </c>
      <c r="ES197" s="408">
        <v>0</v>
      </c>
      <c r="ET197" s="408">
        <v>0</v>
      </c>
      <c r="EU197" s="408">
        <v>0</v>
      </c>
      <c r="EV197" s="408">
        <v>257</v>
      </c>
      <c r="EW197" s="408">
        <v>0</v>
      </c>
      <c r="EX197" s="408">
        <v>0</v>
      </c>
      <c r="EY197" s="408">
        <v>0</v>
      </c>
      <c r="EZ197" s="408"/>
      <c r="FA197" s="408">
        <v>0</v>
      </c>
      <c r="FB197" s="408"/>
      <c r="FC197" s="408"/>
      <c r="FD197" s="408"/>
      <c r="FE197" s="408"/>
      <c r="FF197" s="408">
        <v>0</v>
      </c>
      <c r="FG197" s="408">
        <v>0</v>
      </c>
      <c r="FH197" s="408">
        <v>0</v>
      </c>
      <c r="FI197" s="408">
        <v>0</v>
      </c>
    </row>
    <row r="198" spans="1:165">
      <c r="A198" s="408">
        <v>196</v>
      </c>
      <c r="B198" s="408" t="s">
        <v>2236</v>
      </c>
      <c r="C198" s="408" t="s">
        <v>2233</v>
      </c>
      <c r="D198" s="408" t="s">
        <v>1958</v>
      </c>
      <c r="E198" s="408" t="s">
        <v>997</v>
      </c>
      <c r="F198" s="408" t="s">
        <v>1321</v>
      </c>
      <c r="G198" s="408" t="s">
        <v>1321</v>
      </c>
      <c r="H198" s="408" t="s">
        <v>1321</v>
      </c>
      <c r="I198" s="408" t="s">
        <v>1321</v>
      </c>
      <c r="J198" s="408" t="s">
        <v>2234</v>
      </c>
      <c r="K198" s="828">
        <v>44531</v>
      </c>
      <c r="L198" s="408">
        <v>0</v>
      </c>
      <c r="M198" s="408">
        <v>0</v>
      </c>
      <c r="N198" s="408">
        <v>9.2170000000000005</v>
      </c>
      <c r="O198" s="408">
        <v>9.2170000000000005</v>
      </c>
      <c r="P198" s="408">
        <v>9.2170000000000005</v>
      </c>
      <c r="Q198" s="408">
        <v>9.2170000000000005</v>
      </c>
      <c r="R198" s="408"/>
      <c r="S198" s="408">
        <v>710.91</v>
      </c>
      <c r="T198" s="408">
        <v>256.55</v>
      </c>
      <c r="U198" s="408"/>
      <c r="V198" s="408">
        <v>8917.0788200000006</v>
      </c>
      <c r="W198" s="408">
        <v>8917.0788200000006</v>
      </c>
      <c r="X198" s="408">
        <v>6087.1833100000003</v>
      </c>
      <c r="Y198" s="408">
        <v>0</v>
      </c>
      <c r="Z198" s="408">
        <v>566.61213844503982</v>
      </c>
      <c r="AA198" s="408">
        <v>0</v>
      </c>
      <c r="AB198" s="408">
        <v>0</v>
      </c>
      <c r="AC198" s="408">
        <v>0</v>
      </c>
      <c r="AD198" s="408">
        <v>1134.4540736176798</v>
      </c>
      <c r="AE198" s="408">
        <v>4395.6800385534016</v>
      </c>
      <c r="AF198" s="408">
        <v>2364.6445928043236</v>
      </c>
      <c r="AG198" s="408">
        <v>0</v>
      </c>
      <c r="AH198" s="408">
        <v>0</v>
      </c>
      <c r="AI198" s="408">
        <v>0</v>
      </c>
      <c r="AJ198" s="408">
        <v>0</v>
      </c>
      <c r="AK198" s="408">
        <v>0</v>
      </c>
      <c r="AL198" s="408">
        <v>87.600799033724769</v>
      </c>
      <c r="AM198" s="408"/>
      <c r="AN198" s="408">
        <v>20.238731425114391</v>
      </c>
      <c r="AO198" s="408">
        <v>0</v>
      </c>
      <c r="AP198" s="408">
        <v>0</v>
      </c>
      <c r="AQ198" s="408">
        <v>0</v>
      </c>
      <c r="AR198" s="408">
        <v>0</v>
      </c>
      <c r="AS198" s="408">
        <v>0</v>
      </c>
      <c r="AT198" s="408">
        <v>0</v>
      </c>
      <c r="AU198" s="408">
        <v>0</v>
      </c>
      <c r="AV198" s="408">
        <v>0</v>
      </c>
      <c r="AW198" s="408">
        <v>0</v>
      </c>
      <c r="AX198" s="408">
        <v>0</v>
      </c>
      <c r="AY198" s="408">
        <v>0</v>
      </c>
      <c r="AZ198" s="408">
        <v>0</v>
      </c>
      <c r="BA198" s="408"/>
      <c r="BB198" s="408">
        <v>0</v>
      </c>
      <c r="BC198" s="408">
        <v>0</v>
      </c>
      <c r="BD198" s="408">
        <v>13.736282482674655</v>
      </c>
      <c r="BE198" s="408">
        <v>0</v>
      </c>
      <c r="BF198" s="408">
        <v>0</v>
      </c>
      <c r="BG198" s="408">
        <v>334.14760876724824</v>
      </c>
      <c r="BH198" s="408">
        <v>0</v>
      </c>
      <c r="BI198" s="408">
        <v>10.32</v>
      </c>
      <c r="BJ198" s="408">
        <v>47.94</v>
      </c>
      <c r="BK198" s="408">
        <v>9911.5499999999993</v>
      </c>
      <c r="BL198" s="408">
        <v>42</v>
      </c>
      <c r="BM198" s="408"/>
      <c r="BN198" s="408"/>
      <c r="BO198" s="408"/>
      <c r="BP198" s="408"/>
      <c r="BQ198" s="408"/>
      <c r="BR198" s="408"/>
      <c r="BS198" s="408"/>
      <c r="BT198" s="408"/>
      <c r="BU198" s="408"/>
      <c r="BV198" s="408">
        <v>2712.5284840542463</v>
      </c>
      <c r="BW198" s="408"/>
      <c r="BX198" s="408"/>
      <c r="BY198" s="408"/>
      <c r="BZ198" s="408"/>
      <c r="CA198" s="408"/>
      <c r="CB198" s="408"/>
      <c r="CC198" s="408"/>
      <c r="CD198" s="408"/>
      <c r="CE198" s="408"/>
      <c r="CF198" s="408"/>
      <c r="CG198" s="408"/>
      <c r="CH198" s="408"/>
      <c r="CI198" s="408">
        <v>6089.1646000000001</v>
      </c>
      <c r="CJ198" s="408">
        <v>-2827.9442200000012</v>
      </c>
      <c r="CK198" s="408"/>
      <c r="CL198" s="408"/>
      <c r="CM198" s="408"/>
      <c r="CN198" s="408"/>
      <c r="CO198" s="408">
        <v>-2977.2753400000001</v>
      </c>
      <c r="CP198" s="408">
        <v>147.37983000000008</v>
      </c>
      <c r="CQ198" s="408"/>
      <c r="CR198" s="408">
        <v>122.52421833676635</v>
      </c>
      <c r="CS198" s="408">
        <v>0</v>
      </c>
      <c r="CT198" s="408">
        <v>0</v>
      </c>
      <c r="CU198" s="408">
        <v>0</v>
      </c>
      <c r="CV198" s="408">
        <v>0</v>
      </c>
      <c r="CW198" s="408">
        <v>0</v>
      </c>
      <c r="CX198" s="408">
        <v>0</v>
      </c>
      <c r="CY198" s="408">
        <v>0</v>
      </c>
      <c r="CZ198" s="408">
        <v>-5.1278037645329277</v>
      </c>
      <c r="DA198" s="408">
        <v>0</v>
      </c>
      <c r="DB198" s="408">
        <v>0</v>
      </c>
      <c r="DC198" s="408">
        <v>147.3137382571681</v>
      </c>
      <c r="DD198" s="408">
        <v>0</v>
      </c>
      <c r="DE198" s="408">
        <v>0</v>
      </c>
      <c r="DF198" s="408">
        <v>0.85574937072445678</v>
      </c>
      <c r="DG198" s="408">
        <v>20.816884502215999</v>
      </c>
      <c r="DH198" s="408">
        <v>0</v>
      </c>
      <c r="DI198" s="408">
        <v>-35.234126221561041</v>
      </c>
      <c r="DJ198" s="408"/>
      <c r="DK198" s="408">
        <v>0</v>
      </c>
      <c r="DL198" s="408">
        <v>0</v>
      </c>
      <c r="DM198" s="408">
        <v>0</v>
      </c>
      <c r="DN198" s="408">
        <v>0</v>
      </c>
      <c r="DO198" s="408">
        <v>-4.806891560016382</v>
      </c>
      <c r="DP198" s="408">
        <v>-1.2933322472322928</v>
      </c>
      <c r="DQ198" s="408">
        <v>0</v>
      </c>
      <c r="DR198" s="408">
        <v>0</v>
      </c>
      <c r="DS198" s="408"/>
      <c r="DT198" s="408"/>
      <c r="DU198" s="408"/>
      <c r="DV198" s="408">
        <v>4395.6800385534016</v>
      </c>
      <c r="DW198" s="408">
        <v>0</v>
      </c>
      <c r="DX198" s="408">
        <v>0</v>
      </c>
      <c r="DY198" s="408">
        <v>-2977.2753400000001</v>
      </c>
      <c r="DZ198" s="408">
        <v>147.37982999999986</v>
      </c>
      <c r="EA198" s="408">
        <v>0</v>
      </c>
      <c r="EB198" s="408">
        <v>0</v>
      </c>
      <c r="EC198" s="408">
        <v>-2952.4669327551687</v>
      </c>
      <c r="ED198" s="408">
        <v>0</v>
      </c>
      <c r="EE198" s="408">
        <v>0</v>
      </c>
      <c r="EF198" s="408">
        <v>0</v>
      </c>
      <c r="EG198" s="408">
        <v>0</v>
      </c>
      <c r="EH198" s="408">
        <v>0</v>
      </c>
      <c r="EI198" s="408">
        <v>0</v>
      </c>
      <c r="EJ198" s="408">
        <v>0</v>
      </c>
      <c r="EK198" s="408">
        <v>0</v>
      </c>
      <c r="EL198" s="408">
        <v>0</v>
      </c>
      <c r="EM198" s="408">
        <v>0</v>
      </c>
      <c r="EN198" s="408">
        <v>0</v>
      </c>
      <c r="EO198" s="408">
        <v>0</v>
      </c>
      <c r="EP198" s="408">
        <v>0</v>
      </c>
      <c r="EQ198" s="408">
        <v>0</v>
      </c>
      <c r="ER198" s="408">
        <v>0</v>
      </c>
      <c r="ES198" s="408">
        <v>0</v>
      </c>
      <c r="ET198" s="408">
        <v>0</v>
      </c>
      <c r="EU198" s="408">
        <v>0</v>
      </c>
      <c r="EV198" s="408">
        <v>257</v>
      </c>
      <c r="EW198" s="408">
        <v>0</v>
      </c>
      <c r="EX198" s="408">
        <v>0</v>
      </c>
      <c r="EY198" s="408">
        <v>0</v>
      </c>
      <c r="EZ198" s="408"/>
      <c r="FA198" s="408">
        <v>0</v>
      </c>
      <c r="FB198" s="408"/>
      <c r="FC198" s="408"/>
      <c r="FD198" s="408"/>
      <c r="FE198" s="408"/>
      <c r="FF198" s="408">
        <v>0</v>
      </c>
      <c r="FG198" s="408">
        <v>0</v>
      </c>
      <c r="FH198" s="408">
        <v>0</v>
      </c>
      <c r="FI198" s="408">
        <v>0</v>
      </c>
    </row>
    <row r="199" spans="1:165">
      <c r="A199" s="408">
        <v>197</v>
      </c>
      <c r="B199" s="408" t="s">
        <v>1035</v>
      </c>
      <c r="C199" s="408" t="s">
        <v>2241</v>
      </c>
      <c r="D199" s="408" t="s">
        <v>596</v>
      </c>
      <c r="E199" s="408" t="s">
        <v>997</v>
      </c>
      <c r="F199" s="408" t="s">
        <v>1321</v>
      </c>
      <c r="G199" s="408" t="s">
        <v>1321</v>
      </c>
      <c r="H199" s="408" t="s">
        <v>1321</v>
      </c>
      <c r="I199" s="408" t="s">
        <v>972</v>
      </c>
      <c r="J199" s="408" t="s">
        <v>2234</v>
      </c>
      <c r="K199" s="828">
        <v>44531</v>
      </c>
      <c r="L199" s="408">
        <v>0</v>
      </c>
      <c r="M199" s="408">
        <v>0</v>
      </c>
      <c r="N199" s="408">
        <v>15.417999999999999</v>
      </c>
      <c r="O199" s="408">
        <v>15.417999999999999</v>
      </c>
      <c r="P199" s="408">
        <v>15.417999999999999</v>
      </c>
      <c r="Q199" s="408">
        <v>15.417999999999999</v>
      </c>
      <c r="R199" s="408"/>
      <c r="S199" s="408">
        <v>3130.62</v>
      </c>
      <c r="T199" s="408">
        <v>256.55</v>
      </c>
      <c r="U199" s="408"/>
      <c r="V199" s="408">
        <v>52223.387059999994</v>
      </c>
      <c r="W199" s="408">
        <v>52223.387059999994</v>
      </c>
      <c r="X199" s="408">
        <v>27484.589339999999</v>
      </c>
      <c r="Y199" s="408">
        <v>0</v>
      </c>
      <c r="Z199" s="408">
        <v>824.60047488062173</v>
      </c>
      <c r="AA199" s="408">
        <v>0</v>
      </c>
      <c r="AB199" s="408">
        <v>0</v>
      </c>
      <c r="AC199" s="408">
        <v>0</v>
      </c>
      <c r="AD199" s="408">
        <v>9932.4884805327074</v>
      </c>
      <c r="AE199" s="408">
        <v>37067.16408642062</v>
      </c>
      <c r="AF199" s="408">
        <v>3955.5267800647775</v>
      </c>
      <c r="AG199" s="408">
        <v>0</v>
      </c>
      <c r="AH199" s="408">
        <v>0</v>
      </c>
      <c r="AI199" s="408">
        <v>0</v>
      </c>
      <c r="AJ199" s="408">
        <v>0</v>
      </c>
      <c r="AK199" s="408">
        <v>0</v>
      </c>
      <c r="AL199" s="408">
        <v>146.5367385810967</v>
      </c>
      <c r="AM199" s="408"/>
      <c r="AN199" s="408">
        <v>20.799729910053504</v>
      </c>
      <c r="AO199" s="408">
        <v>0</v>
      </c>
      <c r="AP199" s="408">
        <v>0</v>
      </c>
      <c r="AQ199" s="408">
        <v>0</v>
      </c>
      <c r="AR199" s="408">
        <v>0</v>
      </c>
      <c r="AS199" s="408">
        <v>0</v>
      </c>
      <c r="AT199" s="408">
        <v>0</v>
      </c>
      <c r="AU199" s="408">
        <v>0</v>
      </c>
      <c r="AV199" s="408">
        <v>0</v>
      </c>
      <c r="AW199" s="408">
        <v>0</v>
      </c>
      <c r="AX199" s="408">
        <v>0</v>
      </c>
      <c r="AY199" s="408">
        <v>0</v>
      </c>
      <c r="AZ199" s="408">
        <v>0</v>
      </c>
      <c r="BA199" s="408"/>
      <c r="BB199" s="408">
        <v>0</v>
      </c>
      <c r="BC199" s="408">
        <v>0</v>
      </c>
      <c r="BD199" s="408">
        <v>18.995364798885809</v>
      </c>
      <c r="BE199" s="408">
        <v>0</v>
      </c>
      <c r="BF199" s="408">
        <v>0</v>
      </c>
      <c r="BG199" s="408">
        <v>257.31544543052433</v>
      </c>
      <c r="BH199" s="408">
        <v>0</v>
      </c>
      <c r="BI199" s="408">
        <v>0</v>
      </c>
      <c r="BJ199" s="408">
        <v>0</v>
      </c>
      <c r="BK199" s="408">
        <v>0</v>
      </c>
      <c r="BL199" s="408">
        <v>0</v>
      </c>
      <c r="BM199" s="408"/>
      <c r="BN199" s="408"/>
      <c r="BO199" s="408"/>
      <c r="BP199" s="408"/>
      <c r="BQ199" s="408"/>
      <c r="BR199" s="408"/>
      <c r="BS199" s="408"/>
      <c r="BT199" s="408"/>
      <c r="BU199" s="408"/>
      <c r="BV199" s="408">
        <v>4231.837590294188</v>
      </c>
      <c r="BW199" s="408"/>
      <c r="BX199" s="408"/>
      <c r="BY199" s="408"/>
      <c r="BZ199" s="408"/>
      <c r="CA199" s="408"/>
      <c r="CB199" s="408"/>
      <c r="CC199" s="408"/>
      <c r="CD199" s="408"/>
      <c r="CE199" s="408"/>
      <c r="CF199" s="408"/>
      <c r="CG199" s="408"/>
      <c r="CH199" s="408"/>
      <c r="CI199" s="408">
        <v>27488.154599999998</v>
      </c>
      <c r="CJ199" s="408">
        <v>-24735.262460000002</v>
      </c>
      <c r="CK199" s="408"/>
      <c r="CL199" s="408"/>
      <c r="CM199" s="408"/>
      <c r="CN199" s="408"/>
      <c r="CO199" s="408">
        <v>-24985.331539999999</v>
      </c>
      <c r="CP199" s="408">
        <v>246.53382000000013</v>
      </c>
      <c r="CQ199" s="408"/>
      <c r="CR199" s="408">
        <v>158.09464851594385</v>
      </c>
      <c r="CS199" s="408">
        <v>0</v>
      </c>
      <c r="CT199" s="408">
        <v>0</v>
      </c>
      <c r="CU199" s="408">
        <v>0</v>
      </c>
      <c r="CV199" s="408">
        <v>0</v>
      </c>
      <c r="CW199" s="408">
        <v>0</v>
      </c>
      <c r="CX199" s="408">
        <v>0</v>
      </c>
      <c r="CY199" s="408">
        <v>0</v>
      </c>
      <c r="CZ199" s="408">
        <v>-44.895472638434512</v>
      </c>
      <c r="DA199" s="408">
        <v>0</v>
      </c>
      <c r="DB199" s="408">
        <v>0</v>
      </c>
      <c r="DC199" s="408">
        <v>246.42326314950833</v>
      </c>
      <c r="DD199" s="408">
        <v>0</v>
      </c>
      <c r="DE199" s="408">
        <v>0</v>
      </c>
      <c r="DF199" s="408">
        <v>1.1833821482508782</v>
      </c>
      <c r="DG199" s="408">
        <v>16.030358343502598</v>
      </c>
      <c r="DH199" s="408">
        <v>0</v>
      </c>
      <c r="DI199" s="408">
        <v>-51.276835145178097</v>
      </c>
      <c r="DJ199" s="408"/>
      <c r="DK199" s="408">
        <v>0</v>
      </c>
      <c r="DL199" s="408">
        <v>0</v>
      </c>
      <c r="DM199" s="408">
        <v>0</v>
      </c>
      <c r="DN199" s="408">
        <v>0</v>
      </c>
      <c r="DO199" s="408">
        <v>-8.0408651483489564</v>
      </c>
      <c r="DP199" s="408">
        <v>-1.3291821933569139</v>
      </c>
      <c r="DQ199" s="408">
        <v>0</v>
      </c>
      <c r="DR199" s="408">
        <v>0</v>
      </c>
      <c r="DS199" s="408"/>
      <c r="DT199" s="408"/>
      <c r="DU199" s="408"/>
      <c r="DV199" s="408">
        <v>37067.16408642062</v>
      </c>
      <c r="DW199" s="408">
        <v>0</v>
      </c>
      <c r="DX199" s="408">
        <v>0</v>
      </c>
      <c r="DY199" s="408">
        <v>-24985.331539999996</v>
      </c>
      <c r="DZ199" s="408">
        <v>246.53381999999965</v>
      </c>
      <c r="EA199" s="408">
        <v>0</v>
      </c>
      <c r="EB199" s="408">
        <v>0</v>
      </c>
      <c r="EC199" s="408">
        <v>-24897.07515021562</v>
      </c>
      <c r="ED199" s="408">
        <v>0</v>
      </c>
      <c r="EE199" s="408">
        <v>0</v>
      </c>
      <c r="EF199" s="408">
        <v>0</v>
      </c>
      <c r="EG199" s="408">
        <v>0</v>
      </c>
      <c r="EH199" s="408">
        <v>0</v>
      </c>
      <c r="EI199" s="408">
        <v>0</v>
      </c>
      <c r="EJ199" s="408">
        <v>0</v>
      </c>
      <c r="EK199" s="408">
        <v>0</v>
      </c>
      <c r="EL199" s="408">
        <v>0</v>
      </c>
      <c r="EM199" s="408">
        <v>0</v>
      </c>
      <c r="EN199" s="408">
        <v>0</v>
      </c>
      <c r="EO199" s="408">
        <v>0</v>
      </c>
      <c r="EP199" s="408">
        <v>0</v>
      </c>
      <c r="EQ199" s="408">
        <v>0</v>
      </c>
      <c r="ER199" s="408">
        <v>0</v>
      </c>
      <c r="ES199" s="408">
        <v>0</v>
      </c>
      <c r="ET199" s="408">
        <v>0</v>
      </c>
      <c r="EU199" s="408">
        <v>0</v>
      </c>
      <c r="EV199" s="408">
        <v>257</v>
      </c>
      <c r="EW199" s="408">
        <v>0</v>
      </c>
      <c r="EX199" s="408">
        <v>0</v>
      </c>
      <c r="EY199" s="408">
        <v>0</v>
      </c>
      <c r="EZ199" s="408"/>
      <c r="FA199" s="408">
        <v>0</v>
      </c>
      <c r="FB199" s="408"/>
      <c r="FC199" s="408"/>
      <c r="FD199" s="408"/>
      <c r="FE199" s="408"/>
      <c r="FF199" s="408">
        <v>0</v>
      </c>
      <c r="FG199" s="408">
        <v>0</v>
      </c>
      <c r="FH199" s="408">
        <v>0</v>
      </c>
      <c r="FI199" s="408">
        <v>0</v>
      </c>
    </row>
    <row r="200" spans="1:165">
      <c r="A200" s="408">
        <v>198</v>
      </c>
      <c r="B200" s="408" t="s">
        <v>1035</v>
      </c>
      <c r="C200" s="408" t="s">
        <v>2241</v>
      </c>
      <c r="D200" s="408" t="s">
        <v>596</v>
      </c>
      <c r="E200" s="408" t="s">
        <v>997</v>
      </c>
      <c r="F200" s="408" t="s">
        <v>1321</v>
      </c>
      <c r="G200" s="408" t="s">
        <v>1321</v>
      </c>
      <c r="H200" s="408" t="s">
        <v>1321</v>
      </c>
      <c r="I200" s="408" t="s">
        <v>2242</v>
      </c>
      <c r="J200" s="408" t="s">
        <v>2234</v>
      </c>
      <c r="K200" s="828">
        <v>44531</v>
      </c>
      <c r="L200" s="408">
        <v>0</v>
      </c>
      <c r="M200" s="408">
        <v>0</v>
      </c>
      <c r="N200" s="408">
        <v>129.09700000000001</v>
      </c>
      <c r="O200" s="408">
        <v>129.09700000000001</v>
      </c>
      <c r="P200" s="408">
        <v>129.09700000000001</v>
      </c>
      <c r="Q200" s="408">
        <v>129.09700000000001</v>
      </c>
      <c r="R200" s="408"/>
      <c r="S200" s="408">
        <v>82.26</v>
      </c>
      <c r="T200" s="408">
        <v>256.55</v>
      </c>
      <c r="U200" s="408"/>
      <c r="V200" s="408">
        <v>43739.354570000003</v>
      </c>
      <c r="W200" s="408">
        <v>43739.354570000003</v>
      </c>
      <c r="X200" s="408">
        <v>45439.562060000004</v>
      </c>
      <c r="Y200" s="408">
        <v>0</v>
      </c>
      <c r="Z200" s="408">
        <v>6904.4913416567415</v>
      </c>
      <c r="AA200" s="408">
        <v>0</v>
      </c>
      <c r="AB200" s="408">
        <v>0</v>
      </c>
      <c r="AC200" s="408">
        <v>0</v>
      </c>
      <c r="AD200" s="408">
        <v>0</v>
      </c>
      <c r="AE200" s="408">
        <v>0</v>
      </c>
      <c r="AF200" s="408">
        <v>33120.160898042719</v>
      </c>
      <c r="AG200" s="408">
        <v>0</v>
      </c>
      <c r="AH200" s="408">
        <v>0</v>
      </c>
      <c r="AI200" s="408">
        <v>0</v>
      </c>
      <c r="AJ200" s="408">
        <v>0</v>
      </c>
      <c r="AK200" s="408">
        <v>0</v>
      </c>
      <c r="AL200" s="408">
        <v>1226.9719380337167</v>
      </c>
      <c r="AM200" s="408"/>
      <c r="AN200" s="408">
        <v>174.15895266559718</v>
      </c>
      <c r="AO200" s="408">
        <v>0</v>
      </c>
      <c r="AP200" s="408">
        <v>0</v>
      </c>
      <c r="AQ200" s="408">
        <v>0</v>
      </c>
      <c r="AR200" s="408">
        <v>0</v>
      </c>
      <c r="AS200" s="408">
        <v>0</v>
      </c>
      <c r="AT200" s="408">
        <v>0</v>
      </c>
      <c r="AU200" s="408">
        <v>0</v>
      </c>
      <c r="AV200" s="408">
        <v>0</v>
      </c>
      <c r="AW200" s="408">
        <v>0</v>
      </c>
      <c r="AX200" s="408">
        <v>0</v>
      </c>
      <c r="AY200" s="408">
        <v>0</v>
      </c>
      <c r="AZ200" s="408">
        <v>0</v>
      </c>
      <c r="BA200" s="408"/>
      <c r="BB200" s="408">
        <v>0</v>
      </c>
      <c r="BC200" s="408">
        <v>0</v>
      </c>
      <c r="BD200" s="408">
        <v>159.05075946567399</v>
      </c>
      <c r="BE200" s="408">
        <v>0</v>
      </c>
      <c r="BF200" s="408">
        <v>0</v>
      </c>
      <c r="BG200" s="408">
        <v>2154.5370384449607</v>
      </c>
      <c r="BH200" s="408">
        <v>0</v>
      </c>
      <c r="BI200" s="408">
        <v>0</v>
      </c>
      <c r="BJ200" s="408">
        <v>0</v>
      </c>
      <c r="BK200" s="408">
        <v>0</v>
      </c>
      <c r="BL200" s="408">
        <v>0</v>
      </c>
      <c r="BM200" s="408"/>
      <c r="BN200" s="408"/>
      <c r="BO200" s="408"/>
      <c r="BP200" s="408"/>
      <c r="BQ200" s="408"/>
      <c r="BR200" s="408"/>
      <c r="BS200" s="408"/>
      <c r="BT200" s="408"/>
      <c r="BU200" s="408"/>
      <c r="BV200" s="408">
        <v>35433.748695953356</v>
      </c>
      <c r="BW200" s="408"/>
      <c r="BX200" s="408"/>
      <c r="BY200" s="408"/>
      <c r="BZ200" s="408"/>
      <c r="CA200" s="408"/>
      <c r="CB200" s="408"/>
      <c r="CC200" s="408"/>
      <c r="CD200" s="408"/>
      <c r="CE200" s="408"/>
      <c r="CF200" s="408"/>
      <c r="CG200" s="408"/>
      <c r="CH200" s="408"/>
      <c r="CI200" s="408">
        <v>45440.618000000002</v>
      </c>
      <c r="CJ200" s="408">
        <v>1701.2334300000002</v>
      </c>
      <c r="CK200" s="408"/>
      <c r="CL200" s="408"/>
      <c r="CM200" s="408"/>
      <c r="CN200" s="408"/>
      <c r="CO200" s="408">
        <v>-364.05354000000096</v>
      </c>
      <c r="CP200" s="408">
        <v>2064.2610300000015</v>
      </c>
      <c r="CQ200" s="408"/>
      <c r="CR200" s="408">
        <v>1699.6637482596125</v>
      </c>
      <c r="CS200" s="408">
        <v>0</v>
      </c>
      <c r="CT200" s="408">
        <v>0</v>
      </c>
      <c r="CU200" s="408">
        <v>0</v>
      </c>
      <c r="CV200" s="408">
        <v>0</v>
      </c>
      <c r="CW200" s="408">
        <v>0</v>
      </c>
      <c r="CX200" s="408">
        <v>0</v>
      </c>
      <c r="CY200" s="408">
        <v>0</v>
      </c>
      <c r="CZ200" s="408">
        <v>0</v>
      </c>
      <c r="DA200" s="408">
        <v>0</v>
      </c>
      <c r="DB200" s="408">
        <v>0</v>
      </c>
      <c r="DC200" s="408">
        <v>2063.3353225328901</v>
      </c>
      <c r="DD200" s="408">
        <v>0</v>
      </c>
      <c r="DE200" s="408">
        <v>0</v>
      </c>
      <c r="DF200" s="408">
        <v>9.9086188346571191</v>
      </c>
      <c r="DG200" s="408">
        <v>134.22435926003072</v>
      </c>
      <c r="DH200" s="408">
        <v>0</v>
      </c>
      <c r="DI200" s="408">
        <v>-429.34787824212344</v>
      </c>
      <c r="DJ200" s="408"/>
      <c r="DK200" s="408">
        <v>0</v>
      </c>
      <c r="DL200" s="408">
        <v>0</v>
      </c>
      <c r="DM200" s="408">
        <v>0</v>
      </c>
      <c r="DN200" s="408">
        <v>0</v>
      </c>
      <c r="DO200" s="408">
        <v>-67.327251787288105</v>
      </c>
      <c r="DP200" s="408">
        <v>-11.12942233855216</v>
      </c>
      <c r="DQ200" s="408">
        <v>0</v>
      </c>
      <c r="DR200" s="408">
        <v>0</v>
      </c>
      <c r="DS200" s="408"/>
      <c r="DT200" s="408"/>
      <c r="DU200" s="408"/>
      <c r="DV200" s="408">
        <v>0</v>
      </c>
      <c r="DW200" s="408">
        <v>0</v>
      </c>
      <c r="DX200" s="408">
        <v>0</v>
      </c>
      <c r="DY200" s="408">
        <v>-364.05354000000079</v>
      </c>
      <c r="DZ200" s="408">
        <v>2064.2610300000015</v>
      </c>
      <c r="EA200" s="408">
        <v>0</v>
      </c>
      <c r="EB200" s="408">
        <v>0</v>
      </c>
      <c r="EC200" s="408">
        <v>0</v>
      </c>
      <c r="ED200" s="408">
        <v>0</v>
      </c>
      <c r="EE200" s="408">
        <v>0</v>
      </c>
      <c r="EF200" s="408">
        <v>0</v>
      </c>
      <c r="EG200" s="408">
        <v>0</v>
      </c>
      <c r="EH200" s="408">
        <v>0</v>
      </c>
      <c r="EI200" s="408">
        <v>0</v>
      </c>
      <c r="EJ200" s="408">
        <v>0</v>
      </c>
      <c r="EK200" s="408">
        <v>0</v>
      </c>
      <c r="EL200" s="408">
        <v>0</v>
      </c>
      <c r="EM200" s="408">
        <v>0</v>
      </c>
      <c r="EN200" s="408">
        <v>0</v>
      </c>
      <c r="EO200" s="408">
        <v>0</v>
      </c>
      <c r="EP200" s="408">
        <v>0</v>
      </c>
      <c r="EQ200" s="408">
        <v>0</v>
      </c>
      <c r="ER200" s="408">
        <v>0</v>
      </c>
      <c r="ES200" s="408">
        <v>0</v>
      </c>
      <c r="ET200" s="408">
        <v>0</v>
      </c>
      <c r="EU200" s="408">
        <v>0</v>
      </c>
      <c r="EV200" s="408">
        <v>257</v>
      </c>
      <c r="EW200" s="408">
        <v>0</v>
      </c>
      <c r="EX200" s="408">
        <v>0</v>
      </c>
      <c r="EY200" s="408">
        <v>0</v>
      </c>
      <c r="EZ200" s="408"/>
      <c r="FA200" s="408">
        <v>0</v>
      </c>
      <c r="FB200" s="408"/>
      <c r="FC200" s="408"/>
      <c r="FD200" s="408"/>
      <c r="FE200" s="408"/>
      <c r="FF200" s="408">
        <v>0</v>
      </c>
      <c r="FG200" s="408">
        <v>0</v>
      </c>
      <c r="FH200" s="408">
        <v>0</v>
      </c>
      <c r="FI200" s="408">
        <v>0</v>
      </c>
    </row>
    <row r="201" spans="1:165">
      <c r="A201" s="408">
        <v>199</v>
      </c>
      <c r="B201" s="408" t="s">
        <v>1035</v>
      </c>
      <c r="C201" s="408" t="s">
        <v>2241</v>
      </c>
      <c r="D201" s="408" t="s">
        <v>596</v>
      </c>
      <c r="E201" s="408" t="s">
        <v>997</v>
      </c>
      <c r="F201" s="408" t="s">
        <v>1321</v>
      </c>
      <c r="G201" s="408" t="s">
        <v>1321</v>
      </c>
      <c r="H201" s="408" t="s">
        <v>1321</v>
      </c>
      <c r="I201" s="408" t="s">
        <v>1321</v>
      </c>
      <c r="J201" s="408" t="s">
        <v>2234</v>
      </c>
      <c r="K201" s="828">
        <v>44531</v>
      </c>
      <c r="L201" s="408">
        <v>861</v>
      </c>
      <c r="M201" s="408">
        <v>861</v>
      </c>
      <c r="N201" s="408">
        <v>0</v>
      </c>
      <c r="O201" s="408">
        <v>0</v>
      </c>
      <c r="P201" s="408">
        <v>0</v>
      </c>
      <c r="Q201" s="408">
        <v>0</v>
      </c>
      <c r="R201" s="408">
        <v>47.39</v>
      </c>
      <c r="S201" s="408"/>
      <c r="T201" s="408"/>
      <c r="U201" s="408">
        <v>40802.79</v>
      </c>
      <c r="V201" s="408"/>
      <c r="W201" s="408">
        <v>40802.79</v>
      </c>
      <c r="X201" s="408">
        <v>27741.42</v>
      </c>
      <c r="Y201" s="408">
        <v>0</v>
      </c>
      <c r="Z201" s="408">
        <v>0</v>
      </c>
      <c r="AA201" s="408">
        <v>0</v>
      </c>
      <c r="AB201" s="408">
        <v>0</v>
      </c>
      <c r="AC201" s="408">
        <v>0</v>
      </c>
      <c r="AD201" s="408">
        <v>21499.256254519969</v>
      </c>
      <c r="AE201" s="408">
        <v>19303.505698573099</v>
      </c>
      <c r="AF201" s="408"/>
      <c r="AG201" s="408"/>
      <c r="AH201" s="408"/>
      <c r="AI201" s="408">
        <v>0</v>
      </c>
      <c r="AJ201" s="408">
        <v>0</v>
      </c>
      <c r="AK201" s="408">
        <v>0</v>
      </c>
      <c r="AL201" s="408">
        <v>0</v>
      </c>
      <c r="AM201" s="408"/>
      <c r="AN201" s="408">
        <v>0</v>
      </c>
      <c r="AO201" s="408">
        <v>0</v>
      </c>
      <c r="AP201" s="408">
        <v>0</v>
      </c>
      <c r="AQ201" s="408">
        <v>0</v>
      </c>
      <c r="AR201" s="408">
        <v>0</v>
      </c>
      <c r="AS201" s="408"/>
      <c r="AT201" s="408"/>
      <c r="AU201" s="408">
        <v>0</v>
      </c>
      <c r="AV201" s="408">
        <v>0</v>
      </c>
      <c r="AW201" s="408">
        <v>0</v>
      </c>
      <c r="AX201" s="408"/>
      <c r="AY201" s="408"/>
      <c r="AZ201" s="408">
        <v>0</v>
      </c>
      <c r="BA201" s="408"/>
      <c r="BB201" s="408">
        <v>0</v>
      </c>
      <c r="BC201" s="408">
        <v>0</v>
      </c>
      <c r="BD201" s="408">
        <v>0</v>
      </c>
      <c r="BE201" s="408">
        <v>0</v>
      </c>
      <c r="BF201" s="408"/>
      <c r="BG201" s="408">
        <v>0</v>
      </c>
      <c r="BH201" s="408">
        <v>0</v>
      </c>
      <c r="BI201" s="408">
        <v>174.94</v>
      </c>
      <c r="BJ201" s="408">
        <v>807.21</v>
      </c>
      <c r="BK201" s="408">
        <v>52674.91</v>
      </c>
      <c r="BL201" s="408">
        <v>11</v>
      </c>
      <c r="BM201" s="408"/>
      <c r="BN201" s="408"/>
      <c r="BO201" s="408"/>
      <c r="BP201" s="408"/>
      <c r="BQ201" s="408"/>
      <c r="BR201" s="408"/>
      <c r="BS201" s="408"/>
      <c r="BT201" s="408"/>
      <c r="BU201" s="408"/>
      <c r="BV201" s="408">
        <v>0</v>
      </c>
      <c r="BW201" s="408"/>
      <c r="BX201" s="408"/>
      <c r="BY201" s="408"/>
      <c r="BZ201" s="408"/>
      <c r="CA201" s="408"/>
      <c r="CB201" s="408"/>
      <c r="CC201" s="408"/>
      <c r="CD201" s="408"/>
      <c r="CE201" s="408"/>
      <c r="CF201" s="408"/>
      <c r="CG201" s="408"/>
      <c r="CH201" s="408"/>
      <c r="CI201" s="408">
        <v>27741.42</v>
      </c>
      <c r="CJ201" s="408">
        <v>-13061.400000000009</v>
      </c>
      <c r="CK201" s="408"/>
      <c r="CL201" s="408"/>
      <c r="CM201" s="408"/>
      <c r="CN201" s="408"/>
      <c r="CO201" s="408">
        <v>-13061.37</v>
      </c>
      <c r="CP201" s="408">
        <v>0</v>
      </c>
      <c r="CQ201" s="408"/>
      <c r="CR201" s="408">
        <v>-97.177990471718658</v>
      </c>
      <c r="CS201" s="408">
        <v>0</v>
      </c>
      <c r="CT201" s="408">
        <v>0</v>
      </c>
      <c r="CU201" s="408">
        <v>0</v>
      </c>
      <c r="CV201" s="408">
        <v>0</v>
      </c>
      <c r="CW201" s="408"/>
      <c r="CX201" s="408"/>
      <c r="CY201" s="408"/>
      <c r="CZ201" s="408">
        <v>-97.177990471718658</v>
      </c>
      <c r="DA201" s="408">
        <v>0</v>
      </c>
      <c r="DB201" s="408">
        <v>0</v>
      </c>
      <c r="DC201" s="408"/>
      <c r="DD201" s="408"/>
      <c r="DE201" s="408">
        <v>0</v>
      </c>
      <c r="DF201" s="408">
        <v>0</v>
      </c>
      <c r="DG201" s="408">
        <v>0</v>
      </c>
      <c r="DH201" s="408">
        <v>0</v>
      </c>
      <c r="DI201" s="408">
        <v>0</v>
      </c>
      <c r="DJ201" s="408"/>
      <c r="DK201" s="408">
        <v>0</v>
      </c>
      <c r="DL201" s="408">
        <v>0</v>
      </c>
      <c r="DM201" s="408"/>
      <c r="DN201" s="408">
        <v>0</v>
      </c>
      <c r="DO201" s="408">
        <v>0</v>
      </c>
      <c r="DP201" s="408">
        <v>0</v>
      </c>
      <c r="DQ201" s="408">
        <v>0</v>
      </c>
      <c r="DR201" s="408">
        <v>0</v>
      </c>
      <c r="DS201" s="408"/>
      <c r="DT201" s="408"/>
      <c r="DU201" s="408">
        <v>19303.505698573099</v>
      </c>
      <c r="DV201" s="408"/>
      <c r="DW201" s="408">
        <v>0</v>
      </c>
      <c r="DX201" s="408">
        <v>0</v>
      </c>
      <c r="DY201" s="408">
        <v>-13061.370000000003</v>
      </c>
      <c r="DZ201" s="408"/>
      <c r="EA201" s="408">
        <v>0</v>
      </c>
      <c r="EB201" s="408"/>
      <c r="EC201" s="408">
        <v>-12965.675791098787</v>
      </c>
      <c r="ED201" s="408"/>
      <c r="EE201" s="408">
        <v>0</v>
      </c>
      <c r="EF201" s="408">
        <v>0</v>
      </c>
      <c r="EG201" s="408"/>
      <c r="EH201" s="408">
        <v>0</v>
      </c>
      <c r="EI201" s="408">
        <v>0</v>
      </c>
      <c r="EJ201" s="408">
        <v>0</v>
      </c>
      <c r="EK201" s="408">
        <v>0</v>
      </c>
      <c r="EL201" s="408">
        <v>0</v>
      </c>
      <c r="EM201" s="408"/>
      <c r="EN201" s="408"/>
      <c r="EO201" s="408">
        <v>0</v>
      </c>
      <c r="EP201" s="408">
        <v>0</v>
      </c>
      <c r="EQ201" s="408"/>
      <c r="ER201" s="408">
        <v>0</v>
      </c>
      <c r="ES201" s="408"/>
      <c r="ET201" s="408">
        <v>0</v>
      </c>
      <c r="EU201" s="408"/>
      <c r="EV201" s="408">
        <v>257</v>
      </c>
      <c r="EW201" s="408"/>
      <c r="EX201" s="408"/>
      <c r="EY201" s="408"/>
      <c r="EZ201" s="408"/>
      <c r="FA201" s="408">
        <v>0</v>
      </c>
      <c r="FB201" s="408"/>
      <c r="FC201" s="408"/>
      <c r="FD201" s="408"/>
      <c r="FE201" s="408"/>
      <c r="FF201" s="408">
        <v>0</v>
      </c>
      <c r="FG201" s="408">
        <v>0</v>
      </c>
      <c r="FH201" s="408">
        <v>0</v>
      </c>
      <c r="FI201" s="408">
        <v>0</v>
      </c>
    </row>
    <row r="202" spans="1:165">
      <c r="A202" s="408">
        <v>200</v>
      </c>
      <c r="B202" s="408" t="s">
        <v>2236</v>
      </c>
      <c r="C202" s="408" t="s">
        <v>2241</v>
      </c>
      <c r="D202" s="408" t="s">
        <v>596</v>
      </c>
      <c r="E202" s="408" t="s">
        <v>997</v>
      </c>
      <c r="F202" s="408" t="s">
        <v>1321</v>
      </c>
      <c r="G202" s="408" t="s">
        <v>1321</v>
      </c>
      <c r="H202" s="408" t="s">
        <v>1321</v>
      </c>
      <c r="I202" s="408" t="s">
        <v>1321</v>
      </c>
      <c r="J202" s="408" t="s">
        <v>2234</v>
      </c>
      <c r="K202" s="828">
        <v>44531</v>
      </c>
      <c r="L202" s="408">
        <v>121</v>
      </c>
      <c r="M202" s="408">
        <v>121</v>
      </c>
      <c r="N202" s="408">
        <v>0</v>
      </c>
      <c r="O202" s="408">
        <v>0</v>
      </c>
      <c r="P202" s="408">
        <v>0</v>
      </c>
      <c r="Q202" s="408">
        <v>0</v>
      </c>
      <c r="R202" s="408">
        <v>47.39</v>
      </c>
      <c r="S202" s="408"/>
      <c r="T202" s="408"/>
      <c r="U202" s="408">
        <v>5734.1900000000005</v>
      </c>
      <c r="V202" s="408"/>
      <c r="W202" s="408">
        <v>5734.1900000000005</v>
      </c>
      <c r="X202" s="408">
        <v>3898.62</v>
      </c>
      <c r="Y202" s="408">
        <v>0</v>
      </c>
      <c r="Z202" s="408">
        <v>0</v>
      </c>
      <c r="AA202" s="408">
        <v>0</v>
      </c>
      <c r="AB202" s="408">
        <v>0</v>
      </c>
      <c r="AC202" s="408">
        <v>0</v>
      </c>
      <c r="AD202" s="408">
        <v>3021.3821217153495</v>
      </c>
      <c r="AE202" s="408">
        <v>2712.8039367332694</v>
      </c>
      <c r="AF202" s="408"/>
      <c r="AG202" s="408"/>
      <c r="AH202" s="408"/>
      <c r="AI202" s="408">
        <v>0</v>
      </c>
      <c r="AJ202" s="408">
        <v>0</v>
      </c>
      <c r="AK202" s="408">
        <v>0</v>
      </c>
      <c r="AL202" s="408">
        <v>0</v>
      </c>
      <c r="AM202" s="408"/>
      <c r="AN202" s="408">
        <v>0</v>
      </c>
      <c r="AO202" s="408">
        <v>0</v>
      </c>
      <c r="AP202" s="408">
        <v>0</v>
      </c>
      <c r="AQ202" s="408">
        <v>0</v>
      </c>
      <c r="AR202" s="408">
        <v>0</v>
      </c>
      <c r="AS202" s="408"/>
      <c r="AT202" s="408"/>
      <c r="AU202" s="408">
        <v>0</v>
      </c>
      <c r="AV202" s="408">
        <v>0</v>
      </c>
      <c r="AW202" s="408">
        <v>0</v>
      </c>
      <c r="AX202" s="408"/>
      <c r="AY202" s="408"/>
      <c r="AZ202" s="408">
        <v>0</v>
      </c>
      <c r="BA202" s="408"/>
      <c r="BB202" s="408">
        <v>0</v>
      </c>
      <c r="BC202" s="408">
        <v>0</v>
      </c>
      <c r="BD202" s="408">
        <v>0</v>
      </c>
      <c r="BE202" s="408">
        <v>0</v>
      </c>
      <c r="BF202" s="408"/>
      <c r="BG202" s="408">
        <v>0</v>
      </c>
      <c r="BH202" s="408">
        <v>0</v>
      </c>
      <c r="BI202" s="408">
        <v>6.85</v>
      </c>
      <c r="BJ202" s="408">
        <v>31.64</v>
      </c>
      <c r="BK202" s="408">
        <v>3142.14</v>
      </c>
      <c r="BL202" s="408">
        <v>2</v>
      </c>
      <c r="BM202" s="408"/>
      <c r="BN202" s="408"/>
      <c r="BO202" s="408"/>
      <c r="BP202" s="408"/>
      <c r="BQ202" s="408"/>
      <c r="BR202" s="408"/>
      <c r="BS202" s="408"/>
      <c r="BT202" s="408"/>
      <c r="BU202" s="408"/>
      <c r="BV202" s="408">
        <v>0</v>
      </c>
      <c r="BW202" s="408"/>
      <c r="BX202" s="408"/>
      <c r="BY202" s="408"/>
      <c r="BZ202" s="408"/>
      <c r="CA202" s="408"/>
      <c r="CB202" s="408"/>
      <c r="CC202" s="408"/>
      <c r="CD202" s="408"/>
      <c r="CE202" s="408"/>
      <c r="CF202" s="408"/>
      <c r="CG202" s="408"/>
      <c r="CH202" s="408"/>
      <c r="CI202" s="408">
        <v>3898.62</v>
      </c>
      <c r="CJ202" s="408">
        <v>-1835.6000000000013</v>
      </c>
      <c r="CK202" s="408"/>
      <c r="CL202" s="408"/>
      <c r="CM202" s="408"/>
      <c r="CN202" s="408"/>
      <c r="CO202" s="408">
        <v>-1835.5700000000002</v>
      </c>
      <c r="CP202" s="408">
        <v>0</v>
      </c>
      <c r="CQ202" s="408"/>
      <c r="CR202" s="408">
        <v>-13.656837220763919</v>
      </c>
      <c r="CS202" s="408">
        <v>0</v>
      </c>
      <c r="CT202" s="408">
        <v>0</v>
      </c>
      <c r="CU202" s="408">
        <v>0</v>
      </c>
      <c r="CV202" s="408">
        <v>0</v>
      </c>
      <c r="CW202" s="408"/>
      <c r="CX202" s="408"/>
      <c r="CY202" s="408"/>
      <c r="CZ202" s="408">
        <v>-13.656837220763919</v>
      </c>
      <c r="DA202" s="408">
        <v>0</v>
      </c>
      <c r="DB202" s="408">
        <v>0</v>
      </c>
      <c r="DC202" s="408"/>
      <c r="DD202" s="408"/>
      <c r="DE202" s="408">
        <v>0</v>
      </c>
      <c r="DF202" s="408">
        <v>0</v>
      </c>
      <c r="DG202" s="408">
        <v>0</v>
      </c>
      <c r="DH202" s="408">
        <v>0</v>
      </c>
      <c r="DI202" s="408">
        <v>0</v>
      </c>
      <c r="DJ202" s="408"/>
      <c r="DK202" s="408">
        <v>0</v>
      </c>
      <c r="DL202" s="408">
        <v>0</v>
      </c>
      <c r="DM202" s="408"/>
      <c r="DN202" s="408">
        <v>0</v>
      </c>
      <c r="DO202" s="408">
        <v>0</v>
      </c>
      <c r="DP202" s="408">
        <v>0</v>
      </c>
      <c r="DQ202" s="408">
        <v>0</v>
      </c>
      <c r="DR202" s="408">
        <v>0</v>
      </c>
      <c r="DS202" s="408"/>
      <c r="DT202" s="408"/>
      <c r="DU202" s="408">
        <v>2712.8039367332694</v>
      </c>
      <c r="DV202" s="408"/>
      <c r="DW202" s="408">
        <v>0</v>
      </c>
      <c r="DX202" s="408">
        <v>0</v>
      </c>
      <c r="DY202" s="408">
        <v>-1835.5700000000006</v>
      </c>
      <c r="DZ202" s="408"/>
      <c r="EA202" s="408">
        <v>0</v>
      </c>
      <c r="EB202" s="408"/>
      <c r="EC202" s="408">
        <v>-1822.1216849279363</v>
      </c>
      <c r="ED202" s="408"/>
      <c r="EE202" s="408">
        <v>0</v>
      </c>
      <c r="EF202" s="408">
        <v>0</v>
      </c>
      <c r="EG202" s="408"/>
      <c r="EH202" s="408">
        <v>0</v>
      </c>
      <c r="EI202" s="408">
        <v>0</v>
      </c>
      <c r="EJ202" s="408">
        <v>0</v>
      </c>
      <c r="EK202" s="408">
        <v>0</v>
      </c>
      <c r="EL202" s="408">
        <v>0</v>
      </c>
      <c r="EM202" s="408"/>
      <c r="EN202" s="408"/>
      <c r="EO202" s="408">
        <v>0</v>
      </c>
      <c r="EP202" s="408">
        <v>0</v>
      </c>
      <c r="EQ202" s="408"/>
      <c r="ER202" s="408">
        <v>0</v>
      </c>
      <c r="ES202" s="408"/>
      <c r="ET202" s="408">
        <v>0</v>
      </c>
      <c r="EU202" s="408"/>
      <c r="EV202" s="408">
        <v>257</v>
      </c>
      <c r="EW202" s="408"/>
      <c r="EX202" s="408"/>
      <c r="EY202" s="408"/>
      <c r="EZ202" s="408"/>
      <c r="FA202" s="408">
        <v>0</v>
      </c>
      <c r="FB202" s="408"/>
      <c r="FC202" s="408"/>
      <c r="FD202" s="408"/>
      <c r="FE202" s="408"/>
      <c r="FF202" s="408">
        <v>0</v>
      </c>
      <c r="FG202" s="408">
        <v>0</v>
      </c>
      <c r="FH202" s="408">
        <v>0</v>
      </c>
      <c r="FI202" s="408">
        <v>0</v>
      </c>
    </row>
    <row r="203" spans="1:165">
      <c r="A203" s="408">
        <v>201</v>
      </c>
      <c r="B203" s="408" t="s">
        <v>1035</v>
      </c>
      <c r="C203" s="408" t="s">
        <v>2233</v>
      </c>
      <c r="D203" s="408" t="s">
        <v>2243</v>
      </c>
      <c r="E203" s="408" t="s">
        <v>973</v>
      </c>
      <c r="F203" s="408" t="s">
        <v>1321</v>
      </c>
      <c r="G203" s="408" t="s">
        <v>1321</v>
      </c>
      <c r="H203" s="408" t="s">
        <v>1321</v>
      </c>
      <c r="I203" s="408" t="s">
        <v>1321</v>
      </c>
      <c r="J203" s="408" t="s">
        <v>2234</v>
      </c>
      <c r="K203" s="828">
        <v>44531</v>
      </c>
      <c r="L203" s="408">
        <v>0</v>
      </c>
      <c r="M203" s="408">
        <v>0</v>
      </c>
      <c r="N203" s="408">
        <v>2744.145</v>
      </c>
      <c r="O203" s="408">
        <v>2744.145</v>
      </c>
      <c r="P203" s="408">
        <v>2744.145</v>
      </c>
      <c r="Q203" s="408">
        <v>2744.145</v>
      </c>
      <c r="R203" s="408"/>
      <c r="S203" s="408">
        <v>710.91</v>
      </c>
      <c r="T203" s="408">
        <v>256.55</v>
      </c>
      <c r="U203" s="408"/>
      <c r="V203" s="408">
        <v>2654850.5216999999</v>
      </c>
      <c r="W203" s="408">
        <v>2654850.5216999999</v>
      </c>
      <c r="X203" s="408">
        <v>1812315.6823499999</v>
      </c>
      <c r="Y203" s="408">
        <v>0</v>
      </c>
      <c r="Z203" s="408">
        <v>168695.43958481756</v>
      </c>
      <c r="AA203" s="408">
        <v>0</v>
      </c>
      <c r="AB203" s="408">
        <v>0</v>
      </c>
      <c r="AC203" s="408">
        <v>0</v>
      </c>
      <c r="AD203" s="408">
        <v>337757.02222497424</v>
      </c>
      <c r="AE203" s="408">
        <v>1308710.3612234048</v>
      </c>
      <c r="AF203" s="408">
        <v>704017.31974840187</v>
      </c>
      <c r="AG203" s="408">
        <v>0</v>
      </c>
      <c r="AH203" s="408">
        <v>0</v>
      </c>
      <c r="AI203" s="408">
        <v>0</v>
      </c>
      <c r="AJ203" s="408">
        <v>0</v>
      </c>
      <c r="AK203" s="408">
        <v>0</v>
      </c>
      <c r="AL203" s="408">
        <v>26081.077863122558</v>
      </c>
      <c r="AM203" s="408"/>
      <c r="AN203" s="408">
        <v>6025.60634117072</v>
      </c>
      <c r="AO203" s="408">
        <v>0</v>
      </c>
      <c r="AP203" s="408">
        <v>0</v>
      </c>
      <c r="AQ203" s="408">
        <v>0</v>
      </c>
      <c r="AR203" s="408">
        <v>0</v>
      </c>
      <c r="AS203" s="408">
        <v>0</v>
      </c>
      <c r="AT203" s="408">
        <v>0</v>
      </c>
      <c r="AU203" s="408">
        <v>0</v>
      </c>
      <c r="AV203" s="408">
        <v>0</v>
      </c>
      <c r="AW203" s="408">
        <v>0</v>
      </c>
      <c r="AX203" s="408">
        <v>0</v>
      </c>
      <c r="AY203" s="408">
        <v>0</v>
      </c>
      <c r="AZ203" s="408">
        <v>0</v>
      </c>
      <c r="BA203" s="408"/>
      <c r="BB203" s="408">
        <v>0</v>
      </c>
      <c r="BC203" s="408">
        <v>0</v>
      </c>
      <c r="BD203" s="408">
        <v>4089.6550822848258</v>
      </c>
      <c r="BE203" s="408">
        <v>0</v>
      </c>
      <c r="BF203" s="408">
        <v>0</v>
      </c>
      <c r="BG203" s="408">
        <v>99484.592585505088</v>
      </c>
      <c r="BH203" s="408">
        <v>0</v>
      </c>
      <c r="BI203" s="408">
        <v>2715.29</v>
      </c>
      <c r="BJ203" s="408">
        <v>12671.47</v>
      </c>
      <c r="BK203" s="408">
        <v>152178.45000000001</v>
      </c>
      <c r="BL203" s="408">
        <v>8884</v>
      </c>
      <c r="BM203" s="408"/>
      <c r="BN203" s="408"/>
      <c r="BO203" s="408"/>
      <c r="BP203" s="408"/>
      <c r="BQ203" s="408"/>
      <c r="BR203" s="408">
        <v>217473.4912499999</v>
      </c>
      <c r="BS203" s="408"/>
      <c r="BT203" s="408"/>
      <c r="BU203" s="408"/>
      <c r="BV203" s="408">
        <v>807591.5674161918</v>
      </c>
      <c r="BW203" s="408"/>
      <c r="BX203" s="408"/>
      <c r="BY203" s="408"/>
      <c r="BZ203" s="408"/>
      <c r="CA203" s="408"/>
      <c r="CB203" s="408"/>
      <c r="CC203" s="408"/>
      <c r="CD203" s="408"/>
      <c r="CE203" s="408"/>
      <c r="CF203" s="408"/>
      <c r="CG203" s="408"/>
      <c r="CH203" s="408"/>
      <c r="CI203" s="408">
        <v>1594845.0970000001</v>
      </c>
      <c r="CJ203" s="408">
        <v>-741437.66164999967</v>
      </c>
      <c r="CK203" s="408"/>
      <c r="CL203" s="408"/>
      <c r="CM203" s="408"/>
      <c r="CN203" s="408"/>
      <c r="CO203" s="408">
        <v>-886413.71789999993</v>
      </c>
      <c r="CP203" s="408">
        <v>43878.878550000023</v>
      </c>
      <c r="CQ203" s="408"/>
      <c r="CR203" s="408">
        <v>36478.704690001672</v>
      </c>
      <c r="CS203" s="408">
        <v>0</v>
      </c>
      <c r="CT203" s="408">
        <v>0</v>
      </c>
      <c r="CU203" s="408">
        <v>0</v>
      </c>
      <c r="CV203" s="408">
        <v>0</v>
      </c>
      <c r="CW203" s="408">
        <v>0</v>
      </c>
      <c r="CX203" s="408">
        <v>0</v>
      </c>
      <c r="CY203" s="408">
        <v>0</v>
      </c>
      <c r="CZ203" s="408">
        <v>-1526.6829837717814</v>
      </c>
      <c r="DA203" s="408">
        <v>0</v>
      </c>
      <c r="DB203" s="408">
        <v>0</v>
      </c>
      <c r="DC203" s="408">
        <v>43859.201287806965</v>
      </c>
      <c r="DD203" s="408">
        <v>0</v>
      </c>
      <c r="DE203" s="408">
        <v>0</v>
      </c>
      <c r="DF203" s="408">
        <v>254.77925104987116</v>
      </c>
      <c r="DG203" s="408">
        <v>6197.737823840027</v>
      </c>
      <c r="DH203" s="408">
        <v>0</v>
      </c>
      <c r="DI203" s="408">
        <v>-10490.132505182322</v>
      </c>
      <c r="DJ203" s="408"/>
      <c r="DK203" s="408">
        <v>0</v>
      </c>
      <c r="DL203" s="408">
        <v>0</v>
      </c>
      <c r="DM203" s="408">
        <v>0</v>
      </c>
      <c r="DN203" s="408">
        <v>0</v>
      </c>
      <c r="DO203" s="408">
        <v>-1431.1389215537711</v>
      </c>
      <c r="DP203" s="408">
        <v>-385.05926218739933</v>
      </c>
      <c r="DQ203" s="408">
        <v>0</v>
      </c>
      <c r="DR203" s="408">
        <v>0</v>
      </c>
      <c r="DS203" s="408"/>
      <c r="DT203" s="408"/>
      <c r="DU203" s="408"/>
      <c r="DV203" s="408">
        <v>1308710.3612234048</v>
      </c>
      <c r="DW203" s="408">
        <v>0</v>
      </c>
      <c r="DX203" s="408">
        <v>0</v>
      </c>
      <c r="DY203" s="408">
        <v>-886413.71789999981</v>
      </c>
      <c r="DZ203" s="408">
        <v>43878.878550000023</v>
      </c>
      <c r="EA203" s="408">
        <v>0</v>
      </c>
      <c r="EB203" s="408">
        <v>0</v>
      </c>
      <c r="EC203" s="408">
        <v>-879027.59804550617</v>
      </c>
      <c r="ED203" s="408">
        <v>0</v>
      </c>
      <c r="EE203" s="408">
        <v>0</v>
      </c>
      <c r="EF203" s="408">
        <v>0</v>
      </c>
      <c r="EG203" s="408">
        <v>0</v>
      </c>
      <c r="EH203" s="408">
        <v>0</v>
      </c>
      <c r="EI203" s="408">
        <v>0</v>
      </c>
      <c r="EJ203" s="408">
        <v>0</v>
      </c>
      <c r="EK203" s="408">
        <v>0</v>
      </c>
      <c r="EL203" s="408">
        <v>0</v>
      </c>
      <c r="EM203" s="408">
        <v>0</v>
      </c>
      <c r="EN203" s="408">
        <v>0</v>
      </c>
      <c r="EO203" s="408">
        <v>0</v>
      </c>
      <c r="EP203" s="408">
        <v>0</v>
      </c>
      <c r="EQ203" s="408">
        <v>0</v>
      </c>
      <c r="ER203" s="408">
        <v>0</v>
      </c>
      <c r="ES203" s="408">
        <v>0</v>
      </c>
      <c r="ET203" s="408">
        <v>0</v>
      </c>
      <c r="EU203" s="408">
        <v>0</v>
      </c>
      <c r="EV203" s="408">
        <v>257</v>
      </c>
      <c r="EW203" s="408">
        <v>0</v>
      </c>
      <c r="EX203" s="408">
        <v>0</v>
      </c>
      <c r="EY203" s="408">
        <v>0</v>
      </c>
      <c r="EZ203" s="408"/>
      <c r="FA203" s="408">
        <v>0</v>
      </c>
      <c r="FB203" s="408"/>
      <c r="FC203" s="408"/>
      <c r="FD203" s="408"/>
      <c r="FE203" s="408"/>
      <c r="FF203" s="408">
        <v>0</v>
      </c>
      <c r="FG203" s="408">
        <v>0</v>
      </c>
      <c r="FH203" s="408">
        <v>0</v>
      </c>
      <c r="FI203" s="408">
        <v>0</v>
      </c>
    </row>
    <row r="204" spans="1:165">
      <c r="A204" s="408">
        <v>202</v>
      </c>
      <c r="B204" s="408" t="s">
        <v>2236</v>
      </c>
      <c r="C204" s="408" t="s">
        <v>2233</v>
      </c>
      <c r="D204" s="408" t="s">
        <v>2243</v>
      </c>
      <c r="E204" s="408" t="s">
        <v>973</v>
      </c>
      <c r="F204" s="408" t="s">
        <v>1321</v>
      </c>
      <c r="G204" s="408" t="s">
        <v>1321</v>
      </c>
      <c r="H204" s="408" t="s">
        <v>1321</v>
      </c>
      <c r="I204" s="408" t="s">
        <v>1321</v>
      </c>
      <c r="J204" s="408" t="s">
        <v>2234</v>
      </c>
      <c r="K204" s="828">
        <v>44531</v>
      </c>
      <c r="L204" s="408">
        <v>0</v>
      </c>
      <c r="M204" s="408">
        <v>0</v>
      </c>
      <c r="N204" s="408">
        <v>69.783000000000001</v>
      </c>
      <c r="O204" s="408">
        <v>69.783000000000001</v>
      </c>
      <c r="P204" s="408">
        <v>69.783000000000001</v>
      </c>
      <c r="Q204" s="408">
        <v>69.783000000000001</v>
      </c>
      <c r="R204" s="408"/>
      <c r="S204" s="408">
        <v>710.91</v>
      </c>
      <c r="T204" s="408">
        <v>256.55</v>
      </c>
      <c r="U204" s="408"/>
      <c r="V204" s="408">
        <v>67512.261180000001</v>
      </c>
      <c r="W204" s="408">
        <v>67512.261180000001</v>
      </c>
      <c r="X204" s="408">
        <v>46086.786690000001</v>
      </c>
      <c r="Y204" s="408">
        <v>0</v>
      </c>
      <c r="Z204" s="408">
        <v>4289.887691994164</v>
      </c>
      <c r="AA204" s="408">
        <v>0</v>
      </c>
      <c r="AB204" s="408">
        <v>0</v>
      </c>
      <c r="AC204" s="408">
        <v>0</v>
      </c>
      <c r="AD204" s="408">
        <v>8589.0863208487081</v>
      </c>
      <c r="AE204" s="408">
        <v>33280.214834585218</v>
      </c>
      <c r="AF204" s="408">
        <v>17903.004624027784</v>
      </c>
      <c r="AG204" s="408">
        <v>0</v>
      </c>
      <c r="AH204" s="408">
        <v>0</v>
      </c>
      <c r="AI204" s="408">
        <v>0</v>
      </c>
      <c r="AJ204" s="408">
        <v>0</v>
      </c>
      <c r="AK204" s="408">
        <v>0</v>
      </c>
      <c r="AL204" s="408">
        <v>663.23603764461484</v>
      </c>
      <c r="AM204" s="408"/>
      <c r="AN204" s="408">
        <v>153.22983563401945</v>
      </c>
      <c r="AO204" s="408">
        <v>0</v>
      </c>
      <c r="AP204" s="408">
        <v>0</v>
      </c>
      <c r="AQ204" s="408">
        <v>0</v>
      </c>
      <c r="AR204" s="408">
        <v>0</v>
      </c>
      <c r="AS204" s="408">
        <v>0</v>
      </c>
      <c r="AT204" s="408">
        <v>0</v>
      </c>
      <c r="AU204" s="408">
        <v>0</v>
      </c>
      <c r="AV204" s="408">
        <v>0</v>
      </c>
      <c r="AW204" s="408">
        <v>0</v>
      </c>
      <c r="AX204" s="408">
        <v>0</v>
      </c>
      <c r="AY204" s="408">
        <v>0</v>
      </c>
      <c r="AZ204" s="408">
        <v>0</v>
      </c>
      <c r="BA204" s="408"/>
      <c r="BB204" s="408">
        <v>0</v>
      </c>
      <c r="BC204" s="408">
        <v>0</v>
      </c>
      <c r="BD204" s="408">
        <v>103.99902359645063</v>
      </c>
      <c r="BE204" s="408">
        <v>0</v>
      </c>
      <c r="BF204" s="408">
        <v>0</v>
      </c>
      <c r="BG204" s="408">
        <v>2529.8711709455229</v>
      </c>
      <c r="BH204" s="408">
        <v>0</v>
      </c>
      <c r="BI204" s="408">
        <v>71.19</v>
      </c>
      <c r="BJ204" s="408">
        <v>329.37</v>
      </c>
      <c r="BK204" s="408">
        <v>2395.12</v>
      </c>
      <c r="BL204" s="408">
        <v>169</v>
      </c>
      <c r="BM204" s="408"/>
      <c r="BN204" s="408"/>
      <c r="BO204" s="408"/>
      <c r="BP204" s="408"/>
      <c r="BQ204" s="408"/>
      <c r="BR204" s="408">
        <v>5530.302749999998</v>
      </c>
      <c r="BS204" s="408"/>
      <c r="BT204" s="408"/>
      <c r="BU204" s="408"/>
      <c r="BV204" s="408">
        <v>20536.874818569759</v>
      </c>
      <c r="BW204" s="408"/>
      <c r="BX204" s="408"/>
      <c r="BY204" s="408"/>
      <c r="BZ204" s="408"/>
      <c r="CA204" s="408"/>
      <c r="CB204" s="408"/>
      <c r="CC204" s="408"/>
      <c r="CD204" s="408"/>
      <c r="CE204" s="408"/>
      <c r="CF204" s="408"/>
      <c r="CG204" s="408"/>
      <c r="CH204" s="408"/>
      <c r="CI204" s="408">
        <v>40554.740400000002</v>
      </c>
      <c r="CJ204" s="408">
        <v>-18856.442310000006</v>
      </c>
      <c r="CK204" s="408"/>
      <c r="CL204" s="408"/>
      <c r="CM204" s="408"/>
      <c r="CN204" s="408"/>
      <c r="CO204" s="408">
        <v>-22541.304659999998</v>
      </c>
      <c r="CP204" s="408">
        <v>1115.8301700000006</v>
      </c>
      <c r="CQ204" s="408"/>
      <c r="CR204" s="408">
        <v>927.64538658940728</v>
      </c>
      <c r="CS204" s="408">
        <v>0</v>
      </c>
      <c r="CT204" s="408">
        <v>0</v>
      </c>
      <c r="CU204" s="408">
        <v>0</v>
      </c>
      <c r="CV204" s="408">
        <v>0</v>
      </c>
      <c r="CW204" s="408">
        <v>0</v>
      </c>
      <c r="CX204" s="408">
        <v>0</v>
      </c>
      <c r="CY204" s="408">
        <v>0</v>
      </c>
      <c r="CZ204" s="408">
        <v>-38.823210383032347</v>
      </c>
      <c r="DA204" s="408">
        <v>0</v>
      </c>
      <c r="DB204" s="408">
        <v>0</v>
      </c>
      <c r="DC204" s="408">
        <v>1115.3297815775186</v>
      </c>
      <c r="DD204" s="408">
        <v>0</v>
      </c>
      <c r="DE204" s="408">
        <v>0</v>
      </c>
      <c r="DF204" s="408">
        <v>6.4789799649847879</v>
      </c>
      <c r="DG204" s="408">
        <v>157.60710114116728</v>
      </c>
      <c r="DH204" s="408">
        <v>0</v>
      </c>
      <c r="DI204" s="408">
        <v>-266.76174787015225</v>
      </c>
      <c r="DJ204" s="408"/>
      <c r="DK204" s="408">
        <v>0</v>
      </c>
      <c r="DL204" s="408">
        <v>0</v>
      </c>
      <c r="DM204" s="408">
        <v>0</v>
      </c>
      <c r="DN204" s="408">
        <v>0</v>
      </c>
      <c r="DO204" s="408">
        <v>-36.393546027191292</v>
      </c>
      <c r="DP204" s="408">
        <v>-9.7919718138885514</v>
      </c>
      <c r="DQ204" s="408">
        <v>0</v>
      </c>
      <c r="DR204" s="408">
        <v>0</v>
      </c>
      <c r="DS204" s="408"/>
      <c r="DT204" s="408"/>
      <c r="DU204" s="408"/>
      <c r="DV204" s="408">
        <v>33280.214834585218</v>
      </c>
      <c r="DW204" s="408">
        <v>0</v>
      </c>
      <c r="DX204" s="408">
        <v>0</v>
      </c>
      <c r="DY204" s="408">
        <v>-22541.304659999998</v>
      </c>
      <c r="DZ204" s="408">
        <v>1115.8301700000011</v>
      </c>
      <c r="EA204" s="408">
        <v>0</v>
      </c>
      <c r="EB204" s="408">
        <v>0</v>
      </c>
      <c r="EC204" s="408">
        <v>-22353.477266838872</v>
      </c>
      <c r="ED204" s="408">
        <v>0</v>
      </c>
      <c r="EE204" s="408">
        <v>0</v>
      </c>
      <c r="EF204" s="408">
        <v>0</v>
      </c>
      <c r="EG204" s="408">
        <v>0</v>
      </c>
      <c r="EH204" s="408">
        <v>0</v>
      </c>
      <c r="EI204" s="408">
        <v>0</v>
      </c>
      <c r="EJ204" s="408">
        <v>0</v>
      </c>
      <c r="EK204" s="408">
        <v>0</v>
      </c>
      <c r="EL204" s="408">
        <v>0</v>
      </c>
      <c r="EM204" s="408">
        <v>0</v>
      </c>
      <c r="EN204" s="408">
        <v>0</v>
      </c>
      <c r="EO204" s="408">
        <v>0</v>
      </c>
      <c r="EP204" s="408">
        <v>0</v>
      </c>
      <c r="EQ204" s="408">
        <v>0</v>
      </c>
      <c r="ER204" s="408">
        <v>0</v>
      </c>
      <c r="ES204" s="408">
        <v>0</v>
      </c>
      <c r="ET204" s="408">
        <v>0</v>
      </c>
      <c r="EU204" s="408">
        <v>0</v>
      </c>
      <c r="EV204" s="408">
        <v>257</v>
      </c>
      <c r="EW204" s="408">
        <v>0</v>
      </c>
      <c r="EX204" s="408">
        <v>0</v>
      </c>
      <c r="EY204" s="408">
        <v>0</v>
      </c>
      <c r="EZ204" s="408"/>
      <c r="FA204" s="408">
        <v>0</v>
      </c>
      <c r="FB204" s="408"/>
      <c r="FC204" s="408"/>
      <c r="FD204" s="408"/>
      <c r="FE204" s="408"/>
      <c r="FF204" s="408">
        <v>0</v>
      </c>
      <c r="FG204" s="408">
        <v>0</v>
      </c>
      <c r="FH204" s="408">
        <v>0</v>
      </c>
      <c r="FI204" s="408">
        <v>0</v>
      </c>
    </row>
    <row r="205" spans="1:165">
      <c r="A205" s="408">
        <v>203</v>
      </c>
      <c r="B205" s="408" t="s">
        <v>2236</v>
      </c>
      <c r="C205" s="408" t="s">
        <v>2233</v>
      </c>
      <c r="D205" s="408" t="s">
        <v>2243</v>
      </c>
      <c r="E205" s="408" t="s">
        <v>973</v>
      </c>
      <c r="F205" s="408" t="s">
        <v>1321</v>
      </c>
      <c r="G205" s="408" t="s">
        <v>1321</v>
      </c>
      <c r="H205" s="408" t="s">
        <v>1321</v>
      </c>
      <c r="I205" s="408" t="s">
        <v>1321</v>
      </c>
      <c r="J205" s="408" t="s">
        <v>2234</v>
      </c>
      <c r="K205" s="828">
        <v>44531</v>
      </c>
      <c r="L205" s="408">
        <v>0</v>
      </c>
      <c r="M205" s="408">
        <v>0</v>
      </c>
      <c r="N205" s="408">
        <v>-4.891</v>
      </c>
      <c r="O205" s="408">
        <v>-4.891</v>
      </c>
      <c r="P205" s="408">
        <v>-4.891</v>
      </c>
      <c r="Q205" s="408">
        <v>-4.891</v>
      </c>
      <c r="R205" s="408"/>
      <c r="S205" s="408">
        <v>710.91</v>
      </c>
      <c r="T205" s="408">
        <v>256.55</v>
      </c>
      <c r="U205" s="408"/>
      <c r="V205" s="408">
        <v>-4731.8468599999997</v>
      </c>
      <c r="W205" s="408">
        <v>-4731.8468599999997</v>
      </c>
      <c r="X205" s="408">
        <v>-3230.1631299999999</v>
      </c>
      <c r="Y205" s="408">
        <v>0</v>
      </c>
      <c r="Z205" s="408">
        <v>-300.67266671744488</v>
      </c>
      <c r="AA205" s="408">
        <v>0</v>
      </c>
      <c r="AB205" s="408">
        <v>0</v>
      </c>
      <c r="AC205" s="408">
        <v>0</v>
      </c>
      <c r="AD205" s="408">
        <v>-601.99792492829238</v>
      </c>
      <c r="AE205" s="408">
        <v>-2332.5671117027973</v>
      </c>
      <c r="AF205" s="408">
        <v>-1254.7983837914664</v>
      </c>
      <c r="AG205" s="408">
        <v>0</v>
      </c>
      <c r="AH205" s="408">
        <v>0</v>
      </c>
      <c r="AI205" s="408">
        <v>0</v>
      </c>
      <c r="AJ205" s="408">
        <v>0</v>
      </c>
      <c r="AK205" s="408">
        <v>0</v>
      </c>
      <c r="AL205" s="408">
        <v>-46.485354027769098</v>
      </c>
      <c r="AM205" s="408"/>
      <c r="AN205" s="408">
        <v>-10.739680525142072</v>
      </c>
      <c r="AO205" s="408">
        <v>0</v>
      </c>
      <c r="AP205" s="408">
        <v>0</v>
      </c>
      <c r="AQ205" s="408">
        <v>0</v>
      </c>
      <c r="AR205" s="408">
        <v>0</v>
      </c>
      <c r="AS205" s="408">
        <v>0</v>
      </c>
      <c r="AT205" s="408">
        <v>0</v>
      </c>
      <c r="AU205" s="408">
        <v>0</v>
      </c>
      <c r="AV205" s="408">
        <v>0</v>
      </c>
      <c r="AW205" s="408">
        <v>0</v>
      </c>
      <c r="AX205" s="408">
        <v>0</v>
      </c>
      <c r="AY205" s="408">
        <v>0</v>
      </c>
      <c r="AZ205" s="408">
        <v>0</v>
      </c>
      <c r="BA205" s="408"/>
      <c r="BB205" s="408">
        <v>0</v>
      </c>
      <c r="BC205" s="408">
        <v>0</v>
      </c>
      <c r="BD205" s="408">
        <v>-7.2891567345949593</v>
      </c>
      <c r="BE205" s="408">
        <v>0</v>
      </c>
      <c r="BF205" s="408">
        <v>0</v>
      </c>
      <c r="BG205" s="408">
        <v>-177.31539052626786</v>
      </c>
      <c r="BH205" s="408">
        <v>0</v>
      </c>
      <c r="BI205" s="408">
        <v>-6.36</v>
      </c>
      <c r="BJ205" s="408">
        <v>-31.56</v>
      </c>
      <c r="BK205" s="408">
        <v>-1.43</v>
      </c>
      <c r="BL205" s="408">
        <v>2</v>
      </c>
      <c r="BM205" s="408"/>
      <c r="BN205" s="408"/>
      <c r="BO205" s="408"/>
      <c r="BP205" s="408"/>
      <c r="BQ205" s="408"/>
      <c r="BR205" s="408">
        <v>-387.61174999999986</v>
      </c>
      <c r="BS205" s="408"/>
      <c r="BT205" s="408"/>
      <c r="BU205" s="408"/>
      <c r="BV205" s="408">
        <v>-1439.4029310523294</v>
      </c>
      <c r="BW205" s="408"/>
      <c r="BX205" s="408"/>
      <c r="BY205" s="408"/>
      <c r="BZ205" s="408"/>
      <c r="CA205" s="408"/>
      <c r="CB205" s="408"/>
      <c r="CC205" s="408"/>
      <c r="CD205" s="408"/>
      <c r="CE205" s="408"/>
      <c r="CF205" s="408"/>
      <c r="CG205" s="408"/>
      <c r="CH205" s="408"/>
      <c r="CI205" s="408">
        <v>-2841.9701999999997</v>
      </c>
      <c r="CJ205" s="408">
        <v>1322.0504700000001</v>
      </c>
      <c r="CK205" s="408"/>
      <c r="CL205" s="408"/>
      <c r="CM205" s="408"/>
      <c r="CN205" s="408"/>
      <c r="CO205" s="408">
        <v>1579.8908199999998</v>
      </c>
      <c r="CP205" s="408">
        <v>-78.207090000000051</v>
      </c>
      <c r="CQ205" s="408"/>
      <c r="CR205" s="408">
        <v>-65.017462502454237</v>
      </c>
      <c r="CS205" s="408">
        <v>0</v>
      </c>
      <c r="CT205" s="408">
        <v>0</v>
      </c>
      <c r="CU205" s="408">
        <v>0</v>
      </c>
      <c r="CV205" s="408">
        <v>0</v>
      </c>
      <c r="CW205" s="408">
        <v>0</v>
      </c>
      <c r="CX205" s="408">
        <v>0</v>
      </c>
      <c r="CY205" s="408">
        <v>0</v>
      </c>
      <c r="CZ205" s="408">
        <v>2.721068483490285</v>
      </c>
      <c r="DA205" s="408">
        <v>0</v>
      </c>
      <c r="DB205" s="408">
        <v>0</v>
      </c>
      <c r="DC205" s="408">
        <v>-78.172018424195358</v>
      </c>
      <c r="DD205" s="408">
        <v>0</v>
      </c>
      <c r="DE205" s="408">
        <v>0</v>
      </c>
      <c r="DF205" s="408">
        <v>-0.45410330608802418</v>
      </c>
      <c r="DG205" s="408">
        <v>-11.046477389642916</v>
      </c>
      <c r="DH205" s="408">
        <v>0</v>
      </c>
      <c r="DI205" s="408">
        <v>18.696985065602121</v>
      </c>
      <c r="DJ205" s="408"/>
      <c r="DK205" s="408">
        <v>0</v>
      </c>
      <c r="DL205" s="408">
        <v>0</v>
      </c>
      <c r="DM205" s="408">
        <v>0</v>
      </c>
      <c r="DN205" s="408">
        <v>0</v>
      </c>
      <c r="DO205" s="408">
        <v>2.5507764587219341</v>
      </c>
      <c r="DP205" s="408">
        <v>0.68630660965749613</v>
      </c>
      <c r="DQ205" s="408">
        <v>0</v>
      </c>
      <c r="DR205" s="408">
        <v>0</v>
      </c>
      <c r="DS205" s="408"/>
      <c r="DT205" s="408"/>
      <c r="DU205" s="408"/>
      <c r="DV205" s="408">
        <v>-2332.5671117027973</v>
      </c>
      <c r="DW205" s="408">
        <v>0</v>
      </c>
      <c r="DX205" s="408">
        <v>0</v>
      </c>
      <c r="DY205" s="408">
        <v>1579.8908200000001</v>
      </c>
      <c r="DZ205" s="408">
        <v>-78.20708999999988</v>
      </c>
      <c r="EA205" s="408">
        <v>0</v>
      </c>
      <c r="EB205" s="408">
        <v>0</v>
      </c>
      <c r="EC205" s="408">
        <v>1566.7262415217019</v>
      </c>
      <c r="ED205" s="408">
        <v>0</v>
      </c>
      <c r="EE205" s="408">
        <v>0</v>
      </c>
      <c r="EF205" s="408">
        <v>0</v>
      </c>
      <c r="EG205" s="408">
        <v>0</v>
      </c>
      <c r="EH205" s="408">
        <v>0</v>
      </c>
      <c r="EI205" s="408">
        <v>0</v>
      </c>
      <c r="EJ205" s="408">
        <v>0</v>
      </c>
      <c r="EK205" s="408">
        <v>0</v>
      </c>
      <c r="EL205" s="408">
        <v>0</v>
      </c>
      <c r="EM205" s="408">
        <v>0</v>
      </c>
      <c r="EN205" s="408">
        <v>0</v>
      </c>
      <c r="EO205" s="408">
        <v>0</v>
      </c>
      <c r="EP205" s="408">
        <v>0</v>
      </c>
      <c r="EQ205" s="408">
        <v>0</v>
      </c>
      <c r="ER205" s="408">
        <v>0</v>
      </c>
      <c r="ES205" s="408">
        <v>0</v>
      </c>
      <c r="ET205" s="408">
        <v>0</v>
      </c>
      <c r="EU205" s="408">
        <v>0</v>
      </c>
      <c r="EV205" s="408">
        <v>257</v>
      </c>
      <c r="EW205" s="408">
        <v>0</v>
      </c>
      <c r="EX205" s="408">
        <v>0</v>
      </c>
      <c r="EY205" s="408">
        <v>0</v>
      </c>
      <c r="EZ205" s="408"/>
      <c r="FA205" s="408">
        <v>0</v>
      </c>
      <c r="FB205" s="408"/>
      <c r="FC205" s="408"/>
      <c r="FD205" s="408"/>
      <c r="FE205" s="408"/>
      <c r="FF205" s="408">
        <v>0</v>
      </c>
      <c r="FG205" s="408">
        <v>0</v>
      </c>
      <c r="FH205" s="408">
        <v>0</v>
      </c>
      <c r="FI205" s="408">
        <v>0</v>
      </c>
    </row>
    <row r="206" spans="1:165">
      <c r="A206" s="408">
        <v>204</v>
      </c>
      <c r="B206" s="408" t="s">
        <v>1035</v>
      </c>
      <c r="C206" s="408" t="s">
        <v>2241</v>
      </c>
      <c r="D206" s="408" t="s">
        <v>596</v>
      </c>
      <c r="E206" s="408" t="s">
        <v>973</v>
      </c>
      <c r="F206" s="408" t="s">
        <v>1321</v>
      </c>
      <c r="G206" s="408" t="s">
        <v>1321</v>
      </c>
      <c r="H206" s="408" t="s">
        <v>1321</v>
      </c>
      <c r="I206" s="408" t="s">
        <v>972</v>
      </c>
      <c r="J206" s="408" t="s">
        <v>2234</v>
      </c>
      <c r="K206" s="828">
        <v>44531</v>
      </c>
      <c r="L206" s="408">
        <v>0</v>
      </c>
      <c r="M206" s="408">
        <v>0</v>
      </c>
      <c r="N206" s="408">
        <v>18.033999999999999</v>
      </c>
      <c r="O206" s="408">
        <v>17.312639999999998</v>
      </c>
      <c r="P206" s="408">
        <v>18.033999999999999</v>
      </c>
      <c r="Q206" s="408">
        <v>17.312639999999998</v>
      </c>
      <c r="R206" s="408"/>
      <c r="S206" s="408">
        <v>3130.62</v>
      </c>
      <c r="T206" s="408">
        <v>256.55</v>
      </c>
      <c r="U206" s="408"/>
      <c r="V206" s="408">
        <v>61084.223779999993</v>
      </c>
      <c r="W206" s="408">
        <v>61084.223779999993</v>
      </c>
      <c r="X206" s="408">
        <v>32147.949419999997</v>
      </c>
      <c r="Y206" s="408">
        <v>0</v>
      </c>
      <c r="Z206" s="408">
        <v>964.51193176787729</v>
      </c>
      <c r="AA206" s="408">
        <v>0</v>
      </c>
      <c r="AB206" s="408">
        <v>0</v>
      </c>
      <c r="AC206" s="408">
        <v>0</v>
      </c>
      <c r="AD206" s="408">
        <v>11617.751800358466</v>
      </c>
      <c r="AE206" s="408">
        <v>43356.416988877252</v>
      </c>
      <c r="AF206" s="408">
        <v>4626.6681769158258</v>
      </c>
      <c r="AG206" s="408">
        <v>0</v>
      </c>
      <c r="AH206" s="408">
        <v>0</v>
      </c>
      <c r="AI206" s="408">
        <v>0</v>
      </c>
      <c r="AJ206" s="408">
        <v>0</v>
      </c>
      <c r="AK206" s="408">
        <v>0</v>
      </c>
      <c r="AL206" s="408">
        <v>171.39989256528071</v>
      </c>
      <c r="AM206" s="408"/>
      <c r="AN206" s="408">
        <v>24.328857776488839</v>
      </c>
      <c r="AO206" s="408">
        <v>0</v>
      </c>
      <c r="AP206" s="408">
        <v>0</v>
      </c>
      <c r="AQ206" s="408">
        <v>0</v>
      </c>
      <c r="AR206" s="408">
        <v>0</v>
      </c>
      <c r="AS206" s="408">
        <v>0</v>
      </c>
      <c r="AT206" s="408">
        <v>0</v>
      </c>
      <c r="AU206" s="408">
        <v>0</v>
      </c>
      <c r="AV206" s="408">
        <v>0</v>
      </c>
      <c r="AW206" s="408">
        <v>0</v>
      </c>
      <c r="AX206" s="408">
        <v>0</v>
      </c>
      <c r="AY206" s="408">
        <v>0</v>
      </c>
      <c r="AZ206" s="408">
        <v>0</v>
      </c>
      <c r="BA206" s="408"/>
      <c r="BB206" s="408">
        <v>0</v>
      </c>
      <c r="BC206" s="408">
        <v>0</v>
      </c>
      <c r="BD206" s="408">
        <v>22.218342767097333</v>
      </c>
      <c r="BE206" s="408">
        <v>0</v>
      </c>
      <c r="BF206" s="408">
        <v>0</v>
      </c>
      <c r="BG206" s="408">
        <v>300.97462335543361</v>
      </c>
      <c r="BH206" s="408">
        <v>0</v>
      </c>
      <c r="BI206" s="408">
        <v>0</v>
      </c>
      <c r="BJ206" s="408">
        <v>0</v>
      </c>
      <c r="BK206" s="408">
        <v>0</v>
      </c>
      <c r="BL206" s="408">
        <v>0</v>
      </c>
      <c r="BM206" s="408"/>
      <c r="BN206" s="408"/>
      <c r="BO206" s="408"/>
      <c r="BP206" s="408"/>
      <c r="BQ206" s="408"/>
      <c r="BR206" s="408">
        <v>1285.9179768000013</v>
      </c>
      <c r="BS206" s="408"/>
      <c r="BT206" s="408"/>
      <c r="BU206" s="408"/>
      <c r="BV206" s="408">
        <v>4949.8611430383562</v>
      </c>
      <c r="BW206" s="408"/>
      <c r="BX206" s="408"/>
      <c r="BY206" s="408"/>
      <c r="BZ206" s="408"/>
      <c r="CA206" s="408"/>
      <c r="CB206" s="408"/>
      <c r="CC206" s="408"/>
      <c r="CD206" s="408"/>
      <c r="CE206" s="408"/>
      <c r="CF206" s="408"/>
      <c r="CG206" s="408"/>
      <c r="CH206" s="408"/>
      <c r="CI206" s="408">
        <v>30857.325299999997</v>
      </c>
      <c r="CJ206" s="408">
        <v>-27783.559528800004</v>
      </c>
      <c r="CK206" s="408"/>
      <c r="CL206" s="408"/>
      <c r="CM206" s="408"/>
      <c r="CN206" s="408"/>
      <c r="CO206" s="408">
        <v>-29224.638019999999</v>
      </c>
      <c r="CP206" s="408">
        <v>288.36366000000015</v>
      </c>
      <c r="CQ206" s="408"/>
      <c r="CR206" s="408">
        <v>184.91885402364278</v>
      </c>
      <c r="CS206" s="408">
        <v>0</v>
      </c>
      <c r="CT206" s="408">
        <v>0</v>
      </c>
      <c r="CU206" s="408">
        <v>0</v>
      </c>
      <c r="CV206" s="408">
        <v>0</v>
      </c>
      <c r="CW206" s="408">
        <v>0</v>
      </c>
      <c r="CX206" s="408">
        <v>0</v>
      </c>
      <c r="CY206" s="408">
        <v>0</v>
      </c>
      <c r="CZ206" s="408">
        <v>-52.512968839117093</v>
      </c>
      <c r="DA206" s="408">
        <v>0</v>
      </c>
      <c r="DB206" s="408">
        <v>0</v>
      </c>
      <c r="DC206" s="408">
        <v>288.23434476833791</v>
      </c>
      <c r="DD206" s="408">
        <v>0</v>
      </c>
      <c r="DE206" s="408">
        <v>0</v>
      </c>
      <c r="DF206" s="408">
        <v>1.3841687418313846</v>
      </c>
      <c r="DG206" s="408">
        <v>18.750258293340607</v>
      </c>
      <c r="DH206" s="408">
        <v>0</v>
      </c>
      <c r="DI206" s="408">
        <v>-59.97706868647947</v>
      </c>
      <c r="DJ206" s="408"/>
      <c r="DK206" s="408">
        <v>0</v>
      </c>
      <c r="DL206" s="408">
        <v>0</v>
      </c>
      <c r="DM206" s="408">
        <v>0</v>
      </c>
      <c r="DN206" s="408">
        <v>0</v>
      </c>
      <c r="DO206" s="408">
        <v>-9.4051733094646011</v>
      </c>
      <c r="DP206" s="408">
        <v>-1.554706944804682</v>
      </c>
      <c r="DQ206" s="408">
        <v>0</v>
      </c>
      <c r="DR206" s="408">
        <v>0</v>
      </c>
      <c r="DS206" s="408"/>
      <c r="DT206" s="408"/>
      <c r="DU206" s="408"/>
      <c r="DV206" s="408">
        <v>43356.416988877252</v>
      </c>
      <c r="DW206" s="408">
        <v>0</v>
      </c>
      <c r="DX206" s="408">
        <v>0</v>
      </c>
      <c r="DY206" s="408">
        <v>-29224.638019999995</v>
      </c>
      <c r="DZ206" s="408">
        <v>288.36365999999998</v>
      </c>
      <c r="EA206" s="408">
        <v>0</v>
      </c>
      <c r="EB206" s="408">
        <v>0</v>
      </c>
      <c r="EC206" s="408">
        <v>-29121.407008625534</v>
      </c>
      <c r="ED206" s="408">
        <v>0</v>
      </c>
      <c r="EE206" s="408">
        <v>0</v>
      </c>
      <c r="EF206" s="408">
        <v>0</v>
      </c>
      <c r="EG206" s="408">
        <v>0</v>
      </c>
      <c r="EH206" s="408">
        <v>0</v>
      </c>
      <c r="EI206" s="408">
        <v>0</v>
      </c>
      <c r="EJ206" s="408">
        <v>0</v>
      </c>
      <c r="EK206" s="408">
        <v>0</v>
      </c>
      <c r="EL206" s="408">
        <v>0</v>
      </c>
      <c r="EM206" s="408">
        <v>0</v>
      </c>
      <c r="EN206" s="408">
        <v>0</v>
      </c>
      <c r="EO206" s="408">
        <v>0</v>
      </c>
      <c r="EP206" s="408">
        <v>0</v>
      </c>
      <c r="EQ206" s="408">
        <v>0</v>
      </c>
      <c r="ER206" s="408">
        <v>0</v>
      </c>
      <c r="ES206" s="408">
        <v>0</v>
      </c>
      <c r="ET206" s="408">
        <v>0</v>
      </c>
      <c r="EU206" s="408">
        <v>0</v>
      </c>
      <c r="EV206" s="408">
        <v>257</v>
      </c>
      <c r="EW206" s="408">
        <v>0</v>
      </c>
      <c r="EX206" s="408">
        <v>0</v>
      </c>
      <c r="EY206" s="408">
        <v>0</v>
      </c>
      <c r="EZ206" s="408"/>
      <c r="FA206" s="408">
        <v>0</v>
      </c>
      <c r="FB206" s="408"/>
      <c r="FC206" s="408"/>
      <c r="FD206" s="408"/>
      <c r="FE206" s="408"/>
      <c r="FF206" s="408">
        <v>0</v>
      </c>
      <c r="FG206" s="408">
        <v>0</v>
      </c>
      <c r="FH206" s="408">
        <v>0</v>
      </c>
      <c r="FI206" s="408">
        <v>0</v>
      </c>
    </row>
    <row r="207" spans="1:165">
      <c r="A207" s="408">
        <v>205</v>
      </c>
      <c r="B207" s="408" t="s">
        <v>1035</v>
      </c>
      <c r="C207" s="408" t="s">
        <v>2241</v>
      </c>
      <c r="D207" s="408" t="s">
        <v>596</v>
      </c>
      <c r="E207" s="408" t="s">
        <v>973</v>
      </c>
      <c r="F207" s="408" t="s">
        <v>1321</v>
      </c>
      <c r="G207" s="408" t="s">
        <v>1321</v>
      </c>
      <c r="H207" s="408" t="s">
        <v>1321</v>
      </c>
      <c r="I207" s="408" t="s">
        <v>2242</v>
      </c>
      <c r="J207" s="408" t="s">
        <v>2234</v>
      </c>
      <c r="K207" s="828">
        <v>44531</v>
      </c>
      <c r="L207" s="408">
        <v>0</v>
      </c>
      <c r="M207" s="408">
        <v>0</v>
      </c>
      <c r="N207" s="408">
        <v>161.262</v>
      </c>
      <c r="O207" s="408">
        <v>154.81152</v>
      </c>
      <c r="P207" s="408">
        <v>161.262</v>
      </c>
      <c r="Q207" s="408">
        <v>154.81152</v>
      </c>
      <c r="R207" s="408"/>
      <c r="S207" s="408">
        <v>82.26</v>
      </c>
      <c r="T207" s="408">
        <v>256.55</v>
      </c>
      <c r="U207" s="408"/>
      <c r="V207" s="408">
        <v>54637.178220000002</v>
      </c>
      <c r="W207" s="408">
        <v>54637.178220000002</v>
      </c>
      <c r="X207" s="408">
        <v>56760.998760000002</v>
      </c>
      <c r="Y207" s="408">
        <v>0</v>
      </c>
      <c r="Z207" s="408">
        <v>8624.7711622907536</v>
      </c>
      <c r="AA207" s="408">
        <v>0</v>
      </c>
      <c r="AB207" s="408">
        <v>0</v>
      </c>
      <c r="AC207" s="408">
        <v>0</v>
      </c>
      <c r="AD207" s="408">
        <v>0</v>
      </c>
      <c r="AE207" s="408">
        <v>0</v>
      </c>
      <c r="AF207" s="408">
        <v>41372.172759554174</v>
      </c>
      <c r="AG207" s="408">
        <v>0</v>
      </c>
      <c r="AH207" s="408">
        <v>0</v>
      </c>
      <c r="AI207" s="408">
        <v>0</v>
      </c>
      <c r="AJ207" s="408">
        <v>0</v>
      </c>
      <c r="AK207" s="408">
        <v>0</v>
      </c>
      <c r="AL207" s="408">
        <v>1532.6765817268658</v>
      </c>
      <c r="AM207" s="408"/>
      <c r="AN207" s="408">
        <v>217.55130657381298</v>
      </c>
      <c r="AO207" s="408">
        <v>0</v>
      </c>
      <c r="AP207" s="408">
        <v>0</v>
      </c>
      <c r="AQ207" s="408">
        <v>0</v>
      </c>
      <c r="AR207" s="408">
        <v>0</v>
      </c>
      <c r="AS207" s="408">
        <v>0</v>
      </c>
      <c r="AT207" s="408">
        <v>0</v>
      </c>
      <c r="AU207" s="408">
        <v>0</v>
      </c>
      <c r="AV207" s="408">
        <v>0</v>
      </c>
      <c r="AW207" s="408">
        <v>0</v>
      </c>
      <c r="AX207" s="408">
        <v>0</v>
      </c>
      <c r="AY207" s="408">
        <v>0</v>
      </c>
      <c r="AZ207" s="408">
        <v>0</v>
      </c>
      <c r="BA207" s="408"/>
      <c r="BB207" s="408">
        <v>0</v>
      </c>
      <c r="BC207" s="408">
        <v>0</v>
      </c>
      <c r="BD207" s="408">
        <v>198.67885057711268</v>
      </c>
      <c r="BE207" s="408">
        <v>0</v>
      </c>
      <c r="BF207" s="408">
        <v>0</v>
      </c>
      <c r="BG207" s="408">
        <v>2691.3479933206131</v>
      </c>
      <c r="BH207" s="408">
        <v>0</v>
      </c>
      <c r="BI207" s="408">
        <v>0</v>
      </c>
      <c r="BJ207" s="408">
        <v>0</v>
      </c>
      <c r="BK207" s="408">
        <v>0</v>
      </c>
      <c r="BL207" s="408">
        <v>0</v>
      </c>
      <c r="BM207" s="408"/>
      <c r="BN207" s="408"/>
      <c r="BO207" s="408"/>
      <c r="BP207" s="408"/>
      <c r="BQ207" s="408"/>
      <c r="BR207" s="408">
        <v>2270.4399503999994</v>
      </c>
      <c r="BS207" s="408"/>
      <c r="BT207" s="408"/>
      <c r="BU207" s="408"/>
      <c r="BV207" s="408">
        <v>44262.199603451896</v>
      </c>
      <c r="BW207" s="408"/>
      <c r="BX207" s="408"/>
      <c r="BY207" s="408"/>
      <c r="BZ207" s="408"/>
      <c r="CA207" s="408"/>
      <c r="CB207" s="408"/>
      <c r="CC207" s="408"/>
      <c r="CD207" s="408"/>
      <c r="CE207" s="408"/>
      <c r="CF207" s="408"/>
      <c r="CG207" s="408"/>
      <c r="CH207" s="408"/>
      <c r="CI207" s="408">
        <v>54490.02380000001</v>
      </c>
      <c r="CJ207" s="408">
        <v>2038.3027088000017</v>
      </c>
      <c r="CK207" s="408"/>
      <c r="CL207" s="408"/>
      <c r="CM207" s="408"/>
      <c r="CN207" s="408"/>
      <c r="CO207" s="408">
        <v>-454.75884000000121</v>
      </c>
      <c r="CP207" s="408">
        <v>2578.5793800000015</v>
      </c>
      <c r="CQ207" s="408"/>
      <c r="CR207" s="408">
        <v>2123.1413229729878</v>
      </c>
      <c r="CS207" s="408">
        <v>0</v>
      </c>
      <c r="CT207" s="408">
        <v>0</v>
      </c>
      <c r="CU207" s="408">
        <v>0</v>
      </c>
      <c r="CV207" s="408">
        <v>0</v>
      </c>
      <c r="CW207" s="408">
        <v>0</v>
      </c>
      <c r="CX207" s="408">
        <v>0</v>
      </c>
      <c r="CY207" s="408">
        <v>0</v>
      </c>
      <c r="CZ207" s="408">
        <v>0</v>
      </c>
      <c r="DA207" s="408">
        <v>0</v>
      </c>
      <c r="DB207" s="408">
        <v>0</v>
      </c>
      <c r="DC207" s="408">
        <v>2577.4230290579872</v>
      </c>
      <c r="DD207" s="408">
        <v>0</v>
      </c>
      <c r="DE207" s="408">
        <v>0</v>
      </c>
      <c r="DF207" s="408">
        <v>12.377388246934288</v>
      </c>
      <c r="DG207" s="408">
        <v>167.66685998118555</v>
      </c>
      <c r="DH207" s="408">
        <v>0</v>
      </c>
      <c r="DI207" s="408">
        <v>-536.3215066274297</v>
      </c>
      <c r="DJ207" s="408"/>
      <c r="DK207" s="408">
        <v>0</v>
      </c>
      <c r="DL207" s="408">
        <v>0</v>
      </c>
      <c r="DM207" s="408">
        <v>0</v>
      </c>
      <c r="DN207" s="408">
        <v>0</v>
      </c>
      <c r="DO207" s="408">
        <v>-84.102088179598468</v>
      </c>
      <c r="DP207" s="408">
        <v>-13.902359506104744</v>
      </c>
      <c r="DQ207" s="408">
        <v>0</v>
      </c>
      <c r="DR207" s="408">
        <v>0</v>
      </c>
      <c r="DS207" s="408"/>
      <c r="DT207" s="408"/>
      <c r="DU207" s="408"/>
      <c r="DV207" s="408">
        <v>0</v>
      </c>
      <c r="DW207" s="408">
        <v>0</v>
      </c>
      <c r="DX207" s="408">
        <v>0</v>
      </c>
      <c r="DY207" s="408">
        <v>-454.75884000000042</v>
      </c>
      <c r="DZ207" s="408">
        <v>2578.5793800000029</v>
      </c>
      <c r="EA207" s="408">
        <v>0</v>
      </c>
      <c r="EB207" s="408">
        <v>0</v>
      </c>
      <c r="EC207" s="408">
        <v>0</v>
      </c>
      <c r="ED207" s="408">
        <v>0</v>
      </c>
      <c r="EE207" s="408">
        <v>0</v>
      </c>
      <c r="EF207" s="408">
        <v>0</v>
      </c>
      <c r="EG207" s="408">
        <v>0</v>
      </c>
      <c r="EH207" s="408">
        <v>0</v>
      </c>
      <c r="EI207" s="408">
        <v>0</v>
      </c>
      <c r="EJ207" s="408">
        <v>0</v>
      </c>
      <c r="EK207" s="408">
        <v>0</v>
      </c>
      <c r="EL207" s="408">
        <v>0</v>
      </c>
      <c r="EM207" s="408">
        <v>0</v>
      </c>
      <c r="EN207" s="408">
        <v>0</v>
      </c>
      <c r="EO207" s="408">
        <v>0</v>
      </c>
      <c r="EP207" s="408">
        <v>0</v>
      </c>
      <c r="EQ207" s="408">
        <v>0</v>
      </c>
      <c r="ER207" s="408">
        <v>0</v>
      </c>
      <c r="ES207" s="408">
        <v>0</v>
      </c>
      <c r="ET207" s="408">
        <v>0</v>
      </c>
      <c r="EU207" s="408">
        <v>0</v>
      </c>
      <c r="EV207" s="408">
        <v>257</v>
      </c>
      <c r="EW207" s="408">
        <v>0</v>
      </c>
      <c r="EX207" s="408">
        <v>0</v>
      </c>
      <c r="EY207" s="408">
        <v>0</v>
      </c>
      <c r="EZ207" s="408"/>
      <c r="FA207" s="408">
        <v>0</v>
      </c>
      <c r="FB207" s="408"/>
      <c r="FC207" s="408"/>
      <c r="FD207" s="408"/>
      <c r="FE207" s="408"/>
      <c r="FF207" s="408">
        <v>0</v>
      </c>
      <c r="FG207" s="408">
        <v>0</v>
      </c>
      <c r="FH207" s="408">
        <v>0</v>
      </c>
      <c r="FI207" s="408">
        <v>0</v>
      </c>
    </row>
    <row r="208" spans="1:165">
      <c r="A208" s="408">
        <v>206</v>
      </c>
      <c r="B208" s="408" t="s">
        <v>1035</v>
      </c>
      <c r="C208" s="408" t="s">
        <v>2241</v>
      </c>
      <c r="D208" s="408" t="s">
        <v>596</v>
      </c>
      <c r="E208" s="408" t="s">
        <v>973</v>
      </c>
      <c r="F208" s="408" t="s">
        <v>1321</v>
      </c>
      <c r="G208" s="408" t="s">
        <v>1321</v>
      </c>
      <c r="H208" s="408" t="s">
        <v>1321</v>
      </c>
      <c r="I208" s="408" t="s">
        <v>1321</v>
      </c>
      <c r="J208" s="408" t="s">
        <v>2234</v>
      </c>
      <c r="K208" s="828">
        <v>44531</v>
      </c>
      <c r="L208" s="408">
        <v>728</v>
      </c>
      <c r="M208" s="408">
        <v>698.88</v>
      </c>
      <c r="N208" s="408">
        <v>0</v>
      </c>
      <c r="O208" s="408">
        <v>0</v>
      </c>
      <c r="P208" s="408">
        <v>0</v>
      </c>
      <c r="Q208" s="408">
        <v>0</v>
      </c>
      <c r="R208" s="408">
        <v>47.39</v>
      </c>
      <c r="S208" s="408"/>
      <c r="T208" s="408"/>
      <c r="U208" s="408">
        <v>34499.919999999998</v>
      </c>
      <c r="V208" s="408"/>
      <c r="W208" s="408">
        <v>34499.919999999998</v>
      </c>
      <c r="X208" s="408">
        <v>23456.16</v>
      </c>
      <c r="Y208" s="408">
        <v>0</v>
      </c>
      <c r="Z208" s="408">
        <v>0</v>
      </c>
      <c r="AA208" s="408">
        <v>0</v>
      </c>
      <c r="AB208" s="408">
        <v>0</v>
      </c>
      <c r="AC208" s="408">
        <v>0</v>
      </c>
      <c r="AD208" s="408">
        <v>18178.232930651029</v>
      </c>
      <c r="AE208" s="408">
        <v>16321.663354891076</v>
      </c>
      <c r="AF208" s="408"/>
      <c r="AG208" s="408"/>
      <c r="AH208" s="408"/>
      <c r="AI208" s="408">
        <v>0</v>
      </c>
      <c r="AJ208" s="408">
        <v>0</v>
      </c>
      <c r="AK208" s="408">
        <v>0</v>
      </c>
      <c r="AL208" s="408">
        <v>0</v>
      </c>
      <c r="AM208" s="408"/>
      <c r="AN208" s="408">
        <v>0</v>
      </c>
      <c r="AO208" s="408">
        <v>0</v>
      </c>
      <c r="AP208" s="408">
        <v>0</v>
      </c>
      <c r="AQ208" s="408">
        <v>0</v>
      </c>
      <c r="AR208" s="408">
        <v>0</v>
      </c>
      <c r="AS208" s="408"/>
      <c r="AT208" s="408"/>
      <c r="AU208" s="408">
        <v>0</v>
      </c>
      <c r="AV208" s="408">
        <v>0</v>
      </c>
      <c r="AW208" s="408">
        <v>0</v>
      </c>
      <c r="AX208" s="408"/>
      <c r="AY208" s="408"/>
      <c r="AZ208" s="408">
        <v>0</v>
      </c>
      <c r="BA208" s="408"/>
      <c r="BB208" s="408">
        <v>0</v>
      </c>
      <c r="BC208" s="408">
        <v>0</v>
      </c>
      <c r="BD208" s="408">
        <v>0</v>
      </c>
      <c r="BE208" s="408">
        <v>0</v>
      </c>
      <c r="BF208" s="408"/>
      <c r="BG208" s="408">
        <v>0</v>
      </c>
      <c r="BH208" s="408">
        <v>0</v>
      </c>
      <c r="BI208" s="408">
        <v>192.18</v>
      </c>
      <c r="BJ208" s="408">
        <v>886.67</v>
      </c>
      <c r="BK208" s="408">
        <v>1374.81</v>
      </c>
      <c r="BL208" s="408">
        <v>6</v>
      </c>
      <c r="BM208" s="408"/>
      <c r="BN208" s="408"/>
      <c r="BO208" s="408"/>
      <c r="BP208" s="408"/>
      <c r="BQ208" s="408"/>
      <c r="BR208" s="408">
        <v>938.24640000000011</v>
      </c>
      <c r="BS208" s="408"/>
      <c r="BT208" s="408"/>
      <c r="BU208" s="408"/>
      <c r="BV208" s="408">
        <v>0</v>
      </c>
      <c r="BW208" s="408"/>
      <c r="BX208" s="408"/>
      <c r="BY208" s="408"/>
      <c r="BZ208" s="408"/>
      <c r="CA208" s="408"/>
      <c r="CB208" s="408"/>
      <c r="CC208" s="408"/>
      <c r="CD208" s="408"/>
      <c r="CE208" s="408"/>
      <c r="CF208" s="408"/>
      <c r="CG208" s="408"/>
      <c r="CH208" s="408"/>
      <c r="CI208" s="408">
        <v>22517.9136</v>
      </c>
      <c r="CJ208" s="408">
        <v>-10602.039600000004</v>
      </c>
      <c r="CK208" s="408"/>
      <c r="CL208" s="408"/>
      <c r="CM208" s="408"/>
      <c r="CN208" s="408"/>
      <c r="CO208" s="408">
        <v>-11043.760000000002</v>
      </c>
      <c r="CP208" s="408">
        <v>0</v>
      </c>
      <c r="CQ208" s="408"/>
      <c r="CR208" s="408">
        <v>-82.166756171209272</v>
      </c>
      <c r="CS208" s="408">
        <v>0</v>
      </c>
      <c r="CT208" s="408">
        <v>0</v>
      </c>
      <c r="CU208" s="408">
        <v>0</v>
      </c>
      <c r="CV208" s="408">
        <v>0</v>
      </c>
      <c r="CW208" s="408"/>
      <c r="CX208" s="408"/>
      <c r="CY208" s="408"/>
      <c r="CZ208" s="408">
        <v>-82.166756171209272</v>
      </c>
      <c r="DA208" s="408">
        <v>0</v>
      </c>
      <c r="DB208" s="408">
        <v>0</v>
      </c>
      <c r="DC208" s="408"/>
      <c r="DD208" s="408"/>
      <c r="DE208" s="408">
        <v>0</v>
      </c>
      <c r="DF208" s="408">
        <v>0</v>
      </c>
      <c r="DG208" s="408">
        <v>0</v>
      </c>
      <c r="DH208" s="408">
        <v>0</v>
      </c>
      <c r="DI208" s="408">
        <v>0</v>
      </c>
      <c r="DJ208" s="408"/>
      <c r="DK208" s="408">
        <v>0</v>
      </c>
      <c r="DL208" s="408">
        <v>0</v>
      </c>
      <c r="DM208" s="408"/>
      <c r="DN208" s="408">
        <v>0</v>
      </c>
      <c r="DO208" s="408">
        <v>0</v>
      </c>
      <c r="DP208" s="408">
        <v>0</v>
      </c>
      <c r="DQ208" s="408">
        <v>0</v>
      </c>
      <c r="DR208" s="408">
        <v>0</v>
      </c>
      <c r="DS208" s="408"/>
      <c r="DT208" s="408"/>
      <c r="DU208" s="408">
        <v>16321.663354891076</v>
      </c>
      <c r="DV208" s="408"/>
      <c r="DW208" s="408">
        <v>0</v>
      </c>
      <c r="DX208" s="408">
        <v>0</v>
      </c>
      <c r="DY208" s="408">
        <v>-11043.759999999998</v>
      </c>
      <c r="DZ208" s="408"/>
      <c r="EA208" s="408">
        <v>0</v>
      </c>
      <c r="EB208" s="408"/>
      <c r="EC208" s="408">
        <v>-10962.84782336808</v>
      </c>
      <c r="ED208" s="408"/>
      <c r="EE208" s="408">
        <v>0</v>
      </c>
      <c r="EF208" s="408">
        <v>0</v>
      </c>
      <c r="EG208" s="408"/>
      <c r="EH208" s="408">
        <v>0</v>
      </c>
      <c r="EI208" s="408">
        <v>0</v>
      </c>
      <c r="EJ208" s="408">
        <v>0</v>
      </c>
      <c r="EK208" s="408">
        <v>0</v>
      </c>
      <c r="EL208" s="408">
        <v>0</v>
      </c>
      <c r="EM208" s="408"/>
      <c r="EN208" s="408"/>
      <c r="EO208" s="408">
        <v>0</v>
      </c>
      <c r="EP208" s="408">
        <v>0</v>
      </c>
      <c r="EQ208" s="408"/>
      <c r="ER208" s="408">
        <v>0</v>
      </c>
      <c r="ES208" s="408"/>
      <c r="ET208" s="408">
        <v>0</v>
      </c>
      <c r="EU208" s="408"/>
      <c r="EV208" s="408">
        <v>257</v>
      </c>
      <c r="EW208" s="408"/>
      <c r="EX208" s="408"/>
      <c r="EY208" s="408"/>
      <c r="EZ208" s="408"/>
      <c r="FA208" s="408">
        <v>0</v>
      </c>
      <c r="FB208" s="408"/>
      <c r="FC208" s="408"/>
      <c r="FD208" s="408"/>
      <c r="FE208" s="408"/>
      <c r="FF208" s="408">
        <v>0</v>
      </c>
      <c r="FG208" s="408">
        <v>0</v>
      </c>
      <c r="FH208" s="408">
        <v>0</v>
      </c>
      <c r="FI208" s="408">
        <v>0</v>
      </c>
    </row>
    <row r="209" spans="1:165">
      <c r="A209" s="408">
        <v>207</v>
      </c>
      <c r="B209" s="408" t="s">
        <v>1035</v>
      </c>
      <c r="C209" s="408" t="s">
        <v>2233</v>
      </c>
      <c r="D209" s="408" t="s">
        <v>1958</v>
      </c>
      <c r="E209" s="408" t="s">
        <v>2244</v>
      </c>
      <c r="F209" s="408" t="s">
        <v>1321</v>
      </c>
      <c r="G209" s="408" t="s">
        <v>1321</v>
      </c>
      <c r="H209" s="408" t="s">
        <v>1321</v>
      </c>
      <c r="I209" s="408" t="s">
        <v>1321</v>
      </c>
      <c r="J209" s="408" t="s">
        <v>2234</v>
      </c>
      <c r="K209" s="828">
        <v>44531</v>
      </c>
      <c r="L209" s="408">
        <v>0</v>
      </c>
      <c r="M209" s="408">
        <v>0</v>
      </c>
      <c r="N209" s="408">
        <v>188.33600000000001</v>
      </c>
      <c r="O209" s="408">
        <v>188.33600000000001</v>
      </c>
      <c r="P209" s="408">
        <v>188.33600000000001</v>
      </c>
      <c r="Q209" s="408">
        <v>188.33600000000001</v>
      </c>
      <c r="R209" s="408"/>
      <c r="S209" s="408">
        <v>710.91</v>
      </c>
      <c r="T209" s="408">
        <v>256.55</v>
      </c>
      <c r="U209" s="408"/>
      <c r="V209" s="408">
        <v>182207.54656000002</v>
      </c>
      <c r="W209" s="408">
        <v>182207.54656000002</v>
      </c>
      <c r="X209" s="408">
        <v>124382.74447999999</v>
      </c>
      <c r="Y209" s="408">
        <v>0</v>
      </c>
      <c r="Z209" s="408">
        <v>11577.895595767062</v>
      </c>
      <c r="AA209" s="408">
        <v>0</v>
      </c>
      <c r="AB209" s="408">
        <v>0</v>
      </c>
      <c r="AC209" s="408">
        <v>0</v>
      </c>
      <c r="AD209" s="408">
        <v>23180.92030040787</v>
      </c>
      <c r="AE209" s="408">
        <v>89819.333377562478</v>
      </c>
      <c r="AF209" s="408">
        <v>48318.075732927755</v>
      </c>
      <c r="AG209" s="408">
        <v>0</v>
      </c>
      <c r="AH209" s="408">
        <v>0</v>
      </c>
      <c r="AI209" s="408">
        <v>0</v>
      </c>
      <c r="AJ209" s="408">
        <v>0</v>
      </c>
      <c r="AK209" s="408">
        <v>0</v>
      </c>
      <c r="AL209" s="408">
        <v>1789.9950186411618</v>
      </c>
      <c r="AM209" s="408"/>
      <c r="AN209" s="408">
        <v>413.54906386897511</v>
      </c>
      <c r="AO209" s="408">
        <v>0</v>
      </c>
      <c r="AP209" s="408">
        <v>0</v>
      </c>
      <c r="AQ209" s="408">
        <v>0</v>
      </c>
      <c r="AR209" s="408">
        <v>0</v>
      </c>
      <c r="AS209" s="408">
        <v>0</v>
      </c>
      <c r="AT209" s="408">
        <v>0</v>
      </c>
      <c r="AU209" s="408">
        <v>0</v>
      </c>
      <c r="AV209" s="408">
        <v>0</v>
      </c>
      <c r="AW209" s="408">
        <v>0</v>
      </c>
      <c r="AX209" s="408">
        <v>0</v>
      </c>
      <c r="AY209" s="408">
        <v>0</v>
      </c>
      <c r="AZ209" s="408">
        <v>0</v>
      </c>
      <c r="BA209" s="408"/>
      <c r="BB209" s="408">
        <v>0</v>
      </c>
      <c r="BC209" s="408">
        <v>0</v>
      </c>
      <c r="BD209" s="408">
        <v>280.68096969263468</v>
      </c>
      <c r="BE209" s="408">
        <v>0</v>
      </c>
      <c r="BF209" s="408">
        <v>0</v>
      </c>
      <c r="BG209" s="408">
        <v>6827.8207708352465</v>
      </c>
      <c r="BH209" s="408">
        <v>0</v>
      </c>
      <c r="BI209" s="408">
        <v>209.52</v>
      </c>
      <c r="BJ209" s="408">
        <v>981.57</v>
      </c>
      <c r="BK209" s="408">
        <v>61349.83</v>
      </c>
      <c r="BL209" s="408">
        <v>304</v>
      </c>
      <c r="BM209" s="408"/>
      <c r="BN209" s="408"/>
      <c r="BO209" s="408"/>
      <c r="BP209" s="408"/>
      <c r="BQ209" s="408"/>
      <c r="BR209" s="408"/>
      <c r="BS209" s="408"/>
      <c r="BT209" s="408"/>
      <c r="BU209" s="408"/>
      <c r="BV209" s="408">
        <v>55426.57747345564</v>
      </c>
      <c r="BW209" s="408"/>
      <c r="BX209" s="408"/>
      <c r="BY209" s="408"/>
      <c r="BZ209" s="408"/>
      <c r="CA209" s="408"/>
      <c r="CB209" s="408"/>
      <c r="CC209" s="408"/>
      <c r="CD209" s="408"/>
      <c r="CE209" s="408"/>
      <c r="CF209" s="408"/>
      <c r="CG209" s="408"/>
      <c r="CH209" s="408"/>
      <c r="CI209" s="408">
        <v>124385.38620000001</v>
      </c>
      <c r="CJ209" s="408">
        <v>-57822.190360000037</v>
      </c>
      <c r="CK209" s="408"/>
      <c r="CL209" s="408"/>
      <c r="CM209" s="408"/>
      <c r="CN209" s="408"/>
      <c r="CO209" s="408">
        <v>-60836.294719999998</v>
      </c>
      <c r="CP209" s="408">
        <v>3011.4926400000018</v>
      </c>
      <c r="CQ209" s="408"/>
      <c r="CR209" s="408">
        <v>2503.6043381439813</v>
      </c>
      <c r="CS209" s="408">
        <v>0</v>
      </c>
      <c r="CT209" s="408">
        <v>0</v>
      </c>
      <c r="CU209" s="408">
        <v>0</v>
      </c>
      <c r="CV209" s="408">
        <v>0</v>
      </c>
      <c r="CW209" s="408">
        <v>0</v>
      </c>
      <c r="CX209" s="408">
        <v>0</v>
      </c>
      <c r="CY209" s="408">
        <v>0</v>
      </c>
      <c r="CZ209" s="408">
        <v>-104.77921772779519</v>
      </c>
      <c r="DA209" s="408">
        <v>0</v>
      </c>
      <c r="DB209" s="408">
        <v>0</v>
      </c>
      <c r="DC209" s="408">
        <v>3010.1421512858869</v>
      </c>
      <c r="DD209" s="408">
        <v>0</v>
      </c>
      <c r="DE209" s="408">
        <v>0</v>
      </c>
      <c r="DF209" s="408">
        <v>17.485994736330838</v>
      </c>
      <c r="DG209" s="408">
        <v>425.3627817738261</v>
      </c>
      <c r="DH209" s="408">
        <v>0</v>
      </c>
      <c r="DI209" s="408">
        <v>-719.95816383464444</v>
      </c>
      <c r="DJ209" s="408"/>
      <c r="DK209" s="408">
        <v>0</v>
      </c>
      <c r="DL209" s="408">
        <v>0</v>
      </c>
      <c r="DM209" s="408">
        <v>0</v>
      </c>
      <c r="DN209" s="408">
        <v>0</v>
      </c>
      <c r="DO209" s="408">
        <v>-98.221843207903248</v>
      </c>
      <c r="DP209" s="408">
        <v>-26.427364881712094</v>
      </c>
      <c r="DQ209" s="408">
        <v>0</v>
      </c>
      <c r="DR209" s="408">
        <v>0</v>
      </c>
      <c r="DS209" s="408"/>
      <c r="DT209" s="408"/>
      <c r="DU209" s="408"/>
      <c r="DV209" s="408">
        <v>89819.333377562478</v>
      </c>
      <c r="DW209" s="408">
        <v>0</v>
      </c>
      <c r="DX209" s="408">
        <v>0</v>
      </c>
      <c r="DY209" s="408">
        <v>-60836.294720000005</v>
      </c>
      <c r="DZ209" s="408">
        <v>3011.4926399999968</v>
      </c>
      <c r="EA209" s="408">
        <v>0</v>
      </c>
      <c r="EB209" s="408">
        <v>0</v>
      </c>
      <c r="EC209" s="408">
        <v>-60329.370971832199</v>
      </c>
      <c r="ED209" s="408">
        <v>0</v>
      </c>
      <c r="EE209" s="408">
        <v>0</v>
      </c>
      <c r="EF209" s="408">
        <v>0</v>
      </c>
      <c r="EG209" s="408">
        <v>0</v>
      </c>
      <c r="EH209" s="408">
        <v>0</v>
      </c>
      <c r="EI209" s="408">
        <v>0</v>
      </c>
      <c r="EJ209" s="408">
        <v>0</v>
      </c>
      <c r="EK209" s="408">
        <v>0</v>
      </c>
      <c r="EL209" s="408">
        <v>0</v>
      </c>
      <c r="EM209" s="408">
        <v>0</v>
      </c>
      <c r="EN209" s="408">
        <v>0</v>
      </c>
      <c r="EO209" s="408">
        <v>0</v>
      </c>
      <c r="EP209" s="408">
        <v>0</v>
      </c>
      <c r="EQ209" s="408">
        <v>0</v>
      </c>
      <c r="ER209" s="408">
        <v>0</v>
      </c>
      <c r="ES209" s="408">
        <v>0</v>
      </c>
      <c r="ET209" s="408">
        <v>0</v>
      </c>
      <c r="EU209" s="408">
        <v>0</v>
      </c>
      <c r="EV209" s="408">
        <v>257</v>
      </c>
      <c r="EW209" s="408">
        <v>0</v>
      </c>
      <c r="EX209" s="408">
        <v>0</v>
      </c>
      <c r="EY209" s="408">
        <v>0</v>
      </c>
      <c r="EZ209" s="408"/>
      <c r="FA209" s="408">
        <v>0</v>
      </c>
      <c r="FB209" s="408"/>
      <c r="FC209" s="408"/>
      <c r="FD209" s="408"/>
      <c r="FE209" s="408"/>
      <c r="FF209" s="408">
        <v>0</v>
      </c>
      <c r="FG209" s="408">
        <v>0</v>
      </c>
      <c r="FH209" s="408">
        <v>0</v>
      </c>
      <c r="FI209" s="408">
        <v>0</v>
      </c>
    </row>
    <row r="210" spans="1:165">
      <c r="A210" s="408">
        <v>208</v>
      </c>
      <c r="B210" s="408" t="s">
        <v>1035</v>
      </c>
      <c r="C210" s="408" t="s">
        <v>2233</v>
      </c>
      <c r="D210" s="408" t="s">
        <v>2245</v>
      </c>
      <c r="E210" s="408" t="s">
        <v>2246</v>
      </c>
      <c r="F210" s="408" t="s">
        <v>2247</v>
      </c>
      <c r="G210" s="408" t="s">
        <v>1321</v>
      </c>
      <c r="H210" s="408" t="s">
        <v>1321</v>
      </c>
      <c r="I210" s="408" t="s">
        <v>1321</v>
      </c>
      <c r="J210" s="408" t="s">
        <v>2234</v>
      </c>
      <c r="K210" s="828">
        <v>44531</v>
      </c>
      <c r="L210" s="408">
        <v>0</v>
      </c>
      <c r="M210" s="408">
        <v>0</v>
      </c>
      <c r="N210" s="408">
        <v>188.845</v>
      </c>
      <c r="O210" s="408">
        <v>188.845</v>
      </c>
      <c r="P210" s="408">
        <v>188.845</v>
      </c>
      <c r="Q210" s="408">
        <v>188.845</v>
      </c>
      <c r="R210" s="408"/>
      <c r="S210" s="408">
        <v>391</v>
      </c>
      <c r="T210" s="408">
        <v>141.1</v>
      </c>
      <c r="U210" s="408"/>
      <c r="V210" s="408">
        <v>100484.42450000001</v>
      </c>
      <c r="W210" s="408">
        <v>100484.42450000001</v>
      </c>
      <c r="X210" s="408">
        <v>68594.169349999996</v>
      </c>
      <c r="Y210" s="408">
        <v>0</v>
      </c>
      <c r="Z210" s="408">
        <v>6385.0524147292572</v>
      </c>
      <c r="AA210" s="408">
        <v>0</v>
      </c>
      <c r="AB210" s="408">
        <v>0</v>
      </c>
      <c r="AC210" s="408">
        <v>0</v>
      </c>
      <c r="AD210" s="408">
        <v>12783.963192229781</v>
      </c>
      <c r="AE210" s="408">
        <v>49534.144329428076</v>
      </c>
      <c r="AF210" s="408">
        <v>26646.763531569224</v>
      </c>
      <c r="AG210" s="408">
        <v>0</v>
      </c>
      <c r="AH210" s="408">
        <v>0</v>
      </c>
      <c r="AI210" s="408">
        <v>0</v>
      </c>
      <c r="AJ210" s="408">
        <v>0</v>
      </c>
      <c r="AK210" s="408">
        <v>0</v>
      </c>
      <c r="AL210" s="408">
        <v>987.15797889096905</v>
      </c>
      <c r="AM210" s="408"/>
      <c r="AN210" s="408">
        <v>228.06670063867449</v>
      </c>
      <c r="AO210" s="408">
        <v>0</v>
      </c>
      <c r="AP210" s="408">
        <v>0</v>
      </c>
      <c r="AQ210" s="408">
        <v>0</v>
      </c>
      <c r="AR210" s="408">
        <v>0</v>
      </c>
      <c r="AS210" s="408">
        <v>0</v>
      </c>
      <c r="AT210" s="408">
        <v>0</v>
      </c>
      <c r="AU210" s="408">
        <v>0</v>
      </c>
      <c r="AV210" s="408">
        <v>0</v>
      </c>
      <c r="AW210" s="408">
        <v>0</v>
      </c>
      <c r="AX210" s="408">
        <v>0</v>
      </c>
      <c r="AY210" s="408">
        <v>0</v>
      </c>
      <c r="AZ210" s="408">
        <v>0</v>
      </c>
      <c r="BA210" s="408"/>
      <c r="BB210" s="408">
        <v>0</v>
      </c>
      <c r="BC210" s="408">
        <v>0</v>
      </c>
      <c r="BD210" s="408">
        <v>154.79174850736501</v>
      </c>
      <c r="BE210" s="408">
        <v>0</v>
      </c>
      <c r="BF210" s="408">
        <v>0</v>
      </c>
      <c r="BG210" s="408">
        <v>3765.4505639262356</v>
      </c>
      <c r="BH210" s="408">
        <v>0</v>
      </c>
      <c r="BI210" s="408">
        <v>132.09</v>
      </c>
      <c r="BJ210" s="408">
        <v>609.87</v>
      </c>
      <c r="BK210" s="408">
        <v>24037.81</v>
      </c>
      <c r="BL210" s="408">
        <v>27</v>
      </c>
      <c r="BM210" s="408"/>
      <c r="BN210" s="408"/>
      <c r="BO210" s="408"/>
      <c r="BP210" s="408"/>
      <c r="BQ210" s="408"/>
      <c r="BR210" s="408"/>
      <c r="BS210" s="408"/>
      <c r="BT210" s="408"/>
      <c r="BU210" s="408"/>
      <c r="BV210" s="408">
        <v>30567.005844002826</v>
      </c>
      <c r="BW210" s="408"/>
      <c r="BX210" s="408"/>
      <c r="BY210" s="408"/>
      <c r="BZ210" s="408"/>
      <c r="CA210" s="408"/>
      <c r="CB210" s="408"/>
      <c r="CC210" s="408"/>
      <c r="CD210" s="408"/>
      <c r="CE210" s="408"/>
      <c r="CF210" s="408"/>
      <c r="CG210" s="408"/>
      <c r="CH210" s="408"/>
      <c r="CI210" s="408">
        <v>68595.985499999995</v>
      </c>
      <c r="CJ210" s="408">
        <v>-31888.468999999997</v>
      </c>
      <c r="CK210" s="408"/>
      <c r="CL210" s="408"/>
      <c r="CM210" s="408"/>
      <c r="CN210" s="408"/>
      <c r="CO210" s="408">
        <v>-33550.202700000002</v>
      </c>
      <c r="CP210" s="408">
        <v>1659.9475499999985</v>
      </c>
      <c r="CQ210" s="408"/>
      <c r="CR210" s="408">
        <v>1380.7038414336203</v>
      </c>
      <c r="CS210" s="408">
        <v>0</v>
      </c>
      <c r="CT210" s="408">
        <v>0</v>
      </c>
      <c r="CU210" s="408">
        <v>0</v>
      </c>
      <c r="CV210" s="408">
        <v>0</v>
      </c>
      <c r="CW210" s="408">
        <v>0</v>
      </c>
      <c r="CX210" s="408">
        <v>0</v>
      </c>
      <c r="CY210" s="408">
        <v>0</v>
      </c>
      <c r="CZ210" s="408">
        <v>-57.784317679544984</v>
      </c>
      <c r="DA210" s="408">
        <v>0</v>
      </c>
      <c r="DB210" s="408">
        <v>0</v>
      </c>
      <c r="DC210" s="408">
        <v>1660.0525762880061</v>
      </c>
      <c r="DD210" s="408">
        <v>0</v>
      </c>
      <c r="DE210" s="408">
        <v>0</v>
      </c>
      <c r="DF210" s="408">
        <v>9.643288971785978</v>
      </c>
      <c r="DG210" s="408">
        <v>234.58180585889431</v>
      </c>
      <c r="DH210" s="408">
        <v>0</v>
      </c>
      <c r="DI210" s="408">
        <v>-397.04716409579305</v>
      </c>
      <c r="DJ210" s="408"/>
      <c r="DK210" s="408">
        <v>0</v>
      </c>
      <c r="DL210" s="408">
        <v>0</v>
      </c>
      <c r="DM210" s="408">
        <v>0</v>
      </c>
      <c r="DN210" s="408">
        <v>0</v>
      </c>
      <c r="DO210" s="408">
        <v>-54.16801455551763</v>
      </c>
      <c r="DP210" s="408">
        <v>-14.574333354207766</v>
      </c>
      <c r="DQ210" s="408">
        <v>0</v>
      </c>
      <c r="DR210" s="408">
        <v>0</v>
      </c>
      <c r="DS210" s="408"/>
      <c r="DT210" s="408"/>
      <c r="DU210" s="408"/>
      <c r="DV210" s="408">
        <v>49534.144329428076</v>
      </c>
      <c r="DW210" s="408">
        <v>0</v>
      </c>
      <c r="DX210" s="408">
        <v>0</v>
      </c>
      <c r="DY210" s="408">
        <v>-33550.202700000002</v>
      </c>
      <c r="DZ210" s="408">
        <v>1659.9475499999971</v>
      </c>
      <c r="EA210" s="408">
        <v>0</v>
      </c>
      <c r="EB210" s="408">
        <v>0</v>
      </c>
      <c r="EC210" s="408">
        <v>-33270.829972212399</v>
      </c>
      <c r="ED210" s="408">
        <v>0</v>
      </c>
      <c r="EE210" s="408">
        <v>0</v>
      </c>
      <c r="EF210" s="408">
        <v>0</v>
      </c>
      <c r="EG210" s="408">
        <v>0</v>
      </c>
      <c r="EH210" s="408">
        <v>0</v>
      </c>
      <c r="EI210" s="408">
        <v>0</v>
      </c>
      <c r="EJ210" s="408">
        <v>0</v>
      </c>
      <c r="EK210" s="408">
        <v>0</v>
      </c>
      <c r="EL210" s="408">
        <v>0</v>
      </c>
      <c r="EM210" s="408">
        <v>0</v>
      </c>
      <c r="EN210" s="408">
        <v>0</v>
      </c>
      <c r="EO210" s="408">
        <v>0</v>
      </c>
      <c r="EP210" s="408">
        <v>0</v>
      </c>
      <c r="EQ210" s="408">
        <v>0</v>
      </c>
      <c r="ER210" s="408">
        <v>0</v>
      </c>
      <c r="ES210" s="408">
        <v>0</v>
      </c>
      <c r="ET210" s="408">
        <v>0</v>
      </c>
      <c r="EU210" s="408">
        <v>0</v>
      </c>
      <c r="EV210" s="408">
        <v>257</v>
      </c>
      <c r="EW210" s="408">
        <v>0</v>
      </c>
      <c r="EX210" s="408">
        <v>0</v>
      </c>
      <c r="EY210" s="408">
        <v>0</v>
      </c>
      <c r="EZ210" s="408"/>
      <c r="FA210" s="408">
        <v>0</v>
      </c>
      <c r="FB210" s="408"/>
      <c r="FC210" s="408"/>
      <c r="FD210" s="408"/>
      <c r="FE210" s="408"/>
      <c r="FF210" s="408">
        <v>0</v>
      </c>
      <c r="FG210" s="408">
        <v>0</v>
      </c>
      <c r="FH210" s="408">
        <v>0</v>
      </c>
      <c r="FI210" s="408">
        <v>0</v>
      </c>
    </row>
    <row r="211" spans="1:165">
      <c r="A211" s="408">
        <v>209</v>
      </c>
      <c r="B211" s="408" t="s">
        <v>1035</v>
      </c>
      <c r="C211" s="408" t="s">
        <v>2233</v>
      </c>
      <c r="D211" s="408" t="s">
        <v>1958</v>
      </c>
      <c r="E211" s="408" t="s">
        <v>1000</v>
      </c>
      <c r="F211" s="408" t="s">
        <v>2248</v>
      </c>
      <c r="G211" s="408" t="s">
        <v>1321</v>
      </c>
      <c r="H211" s="408" t="s">
        <v>1321</v>
      </c>
      <c r="I211" s="408" t="s">
        <v>1321</v>
      </c>
      <c r="J211" s="408" t="s">
        <v>2234</v>
      </c>
      <c r="K211" s="828">
        <v>44531</v>
      </c>
      <c r="L211" s="408">
        <v>0</v>
      </c>
      <c r="M211" s="408">
        <v>0</v>
      </c>
      <c r="N211" s="408">
        <v>41.204000000000001</v>
      </c>
      <c r="O211" s="408">
        <v>38.731760000000001</v>
      </c>
      <c r="P211" s="408">
        <v>41.204000000000001</v>
      </c>
      <c r="Q211" s="408">
        <v>38.731760000000001</v>
      </c>
      <c r="R211" s="408"/>
      <c r="S211" s="408">
        <v>710.91</v>
      </c>
      <c r="T211" s="408">
        <v>256.55</v>
      </c>
      <c r="U211" s="408"/>
      <c r="V211" s="408">
        <v>39863.221839999998</v>
      </c>
      <c r="W211" s="408">
        <v>39863.221839999998</v>
      </c>
      <c r="X211" s="408">
        <v>27212.35772</v>
      </c>
      <c r="Y211" s="408">
        <v>0</v>
      </c>
      <c r="Z211" s="408">
        <v>2533.0027723217336</v>
      </c>
      <c r="AA211" s="408">
        <v>0</v>
      </c>
      <c r="AB211" s="408">
        <v>0</v>
      </c>
      <c r="AC211" s="408">
        <v>0</v>
      </c>
      <c r="AD211" s="408">
        <v>5071.5032710581399</v>
      </c>
      <c r="AE211" s="408">
        <v>19650.602181681061</v>
      </c>
      <c r="AF211" s="408">
        <v>10570.990105447472</v>
      </c>
      <c r="AG211" s="408">
        <v>0</v>
      </c>
      <c r="AH211" s="408">
        <v>0</v>
      </c>
      <c r="AI211" s="408">
        <v>0</v>
      </c>
      <c r="AJ211" s="408">
        <v>0</v>
      </c>
      <c r="AK211" s="408">
        <v>0</v>
      </c>
      <c r="AL211" s="408">
        <v>391.61368377840893</v>
      </c>
      <c r="AM211" s="408"/>
      <c r="AN211" s="408">
        <v>90.475934646893052</v>
      </c>
      <c r="AO211" s="408">
        <v>0</v>
      </c>
      <c r="AP211" s="408">
        <v>0</v>
      </c>
      <c r="AQ211" s="408">
        <v>0</v>
      </c>
      <c r="AR211" s="408">
        <v>0</v>
      </c>
      <c r="AS211" s="408">
        <v>0</v>
      </c>
      <c r="AT211" s="408">
        <v>0</v>
      </c>
      <c r="AU211" s="408">
        <v>0</v>
      </c>
      <c r="AV211" s="408">
        <v>0</v>
      </c>
      <c r="AW211" s="408">
        <v>0</v>
      </c>
      <c r="AX211" s="408">
        <v>0</v>
      </c>
      <c r="AY211" s="408">
        <v>0</v>
      </c>
      <c r="AZ211" s="408">
        <v>0</v>
      </c>
      <c r="BA211" s="408"/>
      <c r="BB211" s="408">
        <v>0</v>
      </c>
      <c r="BC211" s="408">
        <v>0</v>
      </c>
      <c r="BD211" s="408">
        <v>61.407158882079472</v>
      </c>
      <c r="BE211" s="408">
        <v>0</v>
      </c>
      <c r="BF211" s="408">
        <v>0</v>
      </c>
      <c r="BG211" s="408">
        <v>1493.7851873327218</v>
      </c>
      <c r="BH211" s="408">
        <v>0</v>
      </c>
      <c r="BI211" s="408">
        <v>43.5</v>
      </c>
      <c r="BJ211" s="408">
        <v>200.92</v>
      </c>
      <c r="BK211" s="408">
        <v>14280.08</v>
      </c>
      <c r="BL211" s="408">
        <v>10</v>
      </c>
      <c r="BM211" s="408"/>
      <c r="BN211" s="408"/>
      <c r="BO211" s="408"/>
      <c r="BP211" s="408"/>
      <c r="BQ211" s="408">
        <v>1632.7414631999995</v>
      </c>
      <c r="BR211" s="408"/>
      <c r="BS211" s="408"/>
      <c r="BT211" s="408"/>
      <c r="BU211" s="408"/>
      <c r="BV211" s="408">
        <v>12126.182451662273</v>
      </c>
      <c r="BW211" s="408"/>
      <c r="BX211" s="408"/>
      <c r="BY211" s="408"/>
      <c r="BZ211" s="408"/>
      <c r="CA211" s="408"/>
      <c r="CB211" s="408"/>
      <c r="CC211" s="408"/>
      <c r="CD211" s="408"/>
      <c r="CE211" s="408"/>
      <c r="CF211" s="408"/>
      <c r="CG211" s="408"/>
      <c r="CH211" s="408"/>
      <c r="CI211" s="408">
        <v>25578.4539</v>
      </c>
      <c r="CJ211" s="408">
        <v>-11893.0046296</v>
      </c>
      <c r="CK211" s="408"/>
      <c r="CL211" s="408"/>
      <c r="CM211" s="408"/>
      <c r="CN211" s="408"/>
      <c r="CO211" s="408">
        <v>-13309.71608</v>
      </c>
      <c r="CP211" s="408">
        <v>658.85196000000042</v>
      </c>
      <c r="CQ211" s="408"/>
      <c r="CR211" s="408">
        <v>547.73656204275903</v>
      </c>
      <c r="CS211" s="408">
        <v>0</v>
      </c>
      <c r="CT211" s="408">
        <v>0</v>
      </c>
      <c r="CU211" s="408">
        <v>0</v>
      </c>
      <c r="CV211" s="408">
        <v>0</v>
      </c>
      <c r="CW211" s="408">
        <v>0</v>
      </c>
      <c r="CX211" s="408">
        <v>0</v>
      </c>
      <c r="CY211" s="408">
        <v>0</v>
      </c>
      <c r="CZ211" s="408">
        <v>-22.923513758687477</v>
      </c>
      <c r="DA211" s="408">
        <v>0</v>
      </c>
      <c r="DB211" s="408">
        <v>0</v>
      </c>
      <c r="DC211" s="408">
        <v>658.55650115529534</v>
      </c>
      <c r="DD211" s="408">
        <v>0</v>
      </c>
      <c r="DE211" s="408">
        <v>0</v>
      </c>
      <c r="DF211" s="408">
        <v>3.8255719942856103</v>
      </c>
      <c r="DG211" s="408">
        <v>93.060530436075624</v>
      </c>
      <c r="DH211" s="408">
        <v>0</v>
      </c>
      <c r="DI211" s="408">
        <v>-157.51187336803741</v>
      </c>
      <c r="DJ211" s="408"/>
      <c r="DK211" s="408">
        <v>0</v>
      </c>
      <c r="DL211" s="408">
        <v>0</v>
      </c>
      <c r="DM211" s="408">
        <v>0</v>
      </c>
      <c r="DN211" s="408">
        <v>0</v>
      </c>
      <c r="DO211" s="408">
        <v>-21.488896586624151</v>
      </c>
      <c r="DP211" s="408">
        <v>-5.7817578295496617</v>
      </c>
      <c r="DQ211" s="408">
        <v>0</v>
      </c>
      <c r="DR211" s="408">
        <v>0</v>
      </c>
      <c r="DS211" s="408"/>
      <c r="DT211" s="408"/>
      <c r="DU211" s="408"/>
      <c r="DV211" s="408">
        <v>19650.602181681061</v>
      </c>
      <c r="DW211" s="408">
        <v>0</v>
      </c>
      <c r="DX211" s="408">
        <v>0</v>
      </c>
      <c r="DY211" s="408">
        <v>-13309.716079999998</v>
      </c>
      <c r="DZ211" s="408">
        <v>658.85195999999996</v>
      </c>
      <c r="EA211" s="408">
        <v>0</v>
      </c>
      <c r="EB211" s="408">
        <v>0</v>
      </c>
      <c r="EC211" s="408">
        <v>-13198.811706330038</v>
      </c>
      <c r="ED211" s="408">
        <v>0</v>
      </c>
      <c r="EE211" s="408">
        <v>0</v>
      </c>
      <c r="EF211" s="408">
        <v>0</v>
      </c>
      <c r="EG211" s="408">
        <v>0</v>
      </c>
      <c r="EH211" s="408">
        <v>0</v>
      </c>
      <c r="EI211" s="408">
        <v>0</v>
      </c>
      <c r="EJ211" s="408">
        <v>0</v>
      </c>
      <c r="EK211" s="408">
        <v>0</v>
      </c>
      <c r="EL211" s="408">
        <v>0</v>
      </c>
      <c r="EM211" s="408">
        <v>0</v>
      </c>
      <c r="EN211" s="408">
        <v>0</v>
      </c>
      <c r="EO211" s="408">
        <v>0</v>
      </c>
      <c r="EP211" s="408">
        <v>0</v>
      </c>
      <c r="EQ211" s="408">
        <v>0</v>
      </c>
      <c r="ER211" s="408">
        <v>0</v>
      </c>
      <c r="ES211" s="408">
        <v>0</v>
      </c>
      <c r="ET211" s="408">
        <v>0</v>
      </c>
      <c r="EU211" s="408">
        <v>0</v>
      </c>
      <c r="EV211" s="408">
        <v>257</v>
      </c>
      <c r="EW211" s="408">
        <v>0</v>
      </c>
      <c r="EX211" s="408">
        <v>0</v>
      </c>
      <c r="EY211" s="408">
        <v>0</v>
      </c>
      <c r="EZ211" s="408"/>
      <c r="FA211" s="408">
        <v>0</v>
      </c>
      <c r="FB211" s="408"/>
      <c r="FC211" s="408"/>
      <c r="FD211" s="408"/>
      <c r="FE211" s="408"/>
      <c r="FF211" s="408">
        <v>0</v>
      </c>
      <c r="FG211" s="408">
        <v>0</v>
      </c>
      <c r="FH211" s="408">
        <v>0</v>
      </c>
      <c r="FI211" s="408">
        <v>0</v>
      </c>
    </row>
    <row r="212" spans="1:165">
      <c r="A212" s="408">
        <v>210</v>
      </c>
      <c r="B212" s="408" t="s">
        <v>1035</v>
      </c>
      <c r="C212" s="408" t="s">
        <v>2241</v>
      </c>
      <c r="D212" s="408" t="s">
        <v>596</v>
      </c>
      <c r="E212" s="408" t="s">
        <v>1000</v>
      </c>
      <c r="F212" s="408" t="s">
        <v>2248</v>
      </c>
      <c r="G212" s="408" t="s">
        <v>1321</v>
      </c>
      <c r="H212" s="408" t="s">
        <v>1321</v>
      </c>
      <c r="I212" s="408" t="s">
        <v>972</v>
      </c>
      <c r="J212" s="408" t="s">
        <v>2234</v>
      </c>
      <c r="K212" s="828">
        <v>44531</v>
      </c>
      <c r="L212" s="408">
        <v>0</v>
      </c>
      <c r="M212" s="408">
        <v>0</v>
      </c>
      <c r="N212" s="408">
        <v>3.012</v>
      </c>
      <c r="O212" s="408">
        <v>2.83128</v>
      </c>
      <c r="P212" s="408">
        <v>3.012</v>
      </c>
      <c r="Q212" s="408">
        <v>2.83128</v>
      </c>
      <c r="R212" s="408"/>
      <c r="S212" s="408">
        <v>3130.62</v>
      </c>
      <c r="T212" s="408">
        <v>256.55</v>
      </c>
      <c r="U212" s="408"/>
      <c r="V212" s="408">
        <v>10202.15604</v>
      </c>
      <c r="W212" s="408">
        <v>10202.15604</v>
      </c>
      <c r="X212" s="408">
        <v>5369.2815599999994</v>
      </c>
      <c r="Y212" s="408">
        <v>0</v>
      </c>
      <c r="Z212" s="408">
        <v>161.09071412248235</v>
      </c>
      <c r="AA212" s="408">
        <v>0</v>
      </c>
      <c r="AB212" s="408">
        <v>0</v>
      </c>
      <c r="AC212" s="408">
        <v>0</v>
      </c>
      <c r="AD212" s="408">
        <v>1940.3719875058059</v>
      </c>
      <c r="AE212" s="408">
        <v>7241.2957730119933</v>
      </c>
      <c r="AF212" s="408">
        <v>772.73619545694066</v>
      </c>
      <c r="AG212" s="408">
        <v>0</v>
      </c>
      <c r="AH212" s="408">
        <v>0</v>
      </c>
      <c r="AI212" s="408">
        <v>0</v>
      </c>
      <c r="AJ212" s="408">
        <v>0</v>
      </c>
      <c r="AK212" s="408">
        <v>0</v>
      </c>
      <c r="AL212" s="408">
        <v>28.626842431331124</v>
      </c>
      <c r="AM212" s="408"/>
      <c r="AN212" s="408">
        <v>4.0633536443819667</v>
      </c>
      <c r="AO212" s="408">
        <v>0</v>
      </c>
      <c r="AP212" s="408">
        <v>0</v>
      </c>
      <c r="AQ212" s="408">
        <v>0</v>
      </c>
      <c r="AR212" s="408">
        <v>0</v>
      </c>
      <c r="AS212" s="408">
        <v>0</v>
      </c>
      <c r="AT212" s="408">
        <v>0</v>
      </c>
      <c r="AU212" s="408">
        <v>0</v>
      </c>
      <c r="AV212" s="408">
        <v>0</v>
      </c>
      <c r="AW212" s="408">
        <v>0</v>
      </c>
      <c r="AX212" s="408">
        <v>0</v>
      </c>
      <c r="AY212" s="408">
        <v>0</v>
      </c>
      <c r="AZ212" s="408">
        <v>0</v>
      </c>
      <c r="BA212" s="408"/>
      <c r="BB212" s="408">
        <v>0</v>
      </c>
      <c r="BC212" s="408">
        <v>0</v>
      </c>
      <c r="BD212" s="408">
        <v>3.710859954225195</v>
      </c>
      <c r="BE212" s="408">
        <v>0</v>
      </c>
      <c r="BF212" s="408">
        <v>0</v>
      </c>
      <c r="BG212" s="408">
        <v>50.268136051157043</v>
      </c>
      <c r="BH212" s="408">
        <v>0</v>
      </c>
      <c r="BI212" s="408">
        <v>0</v>
      </c>
      <c r="BJ212" s="408">
        <v>0</v>
      </c>
      <c r="BK212" s="408">
        <v>0</v>
      </c>
      <c r="BL212" s="408">
        <v>0</v>
      </c>
      <c r="BM212" s="408"/>
      <c r="BN212" s="408"/>
      <c r="BO212" s="408"/>
      <c r="BP212" s="408"/>
      <c r="BQ212" s="408">
        <v>322.15689359999999</v>
      </c>
      <c r="BR212" s="408"/>
      <c r="BS212" s="408"/>
      <c r="BT212" s="408"/>
      <c r="BU212" s="408"/>
      <c r="BV212" s="408">
        <v>826.71519146232288</v>
      </c>
      <c r="BW212" s="408"/>
      <c r="BX212" s="408"/>
      <c r="BY212" s="408"/>
      <c r="BZ212" s="408"/>
      <c r="CA212" s="408"/>
      <c r="CB212" s="408"/>
      <c r="CC212" s="408"/>
      <c r="CD212" s="408"/>
      <c r="CE212" s="408"/>
      <c r="CF212" s="408"/>
      <c r="CG212" s="408"/>
      <c r="CH212" s="408"/>
      <c r="CI212" s="408">
        <v>5044.8428999999996</v>
      </c>
      <c r="CJ212" s="408">
        <v>-4545.2137776000018</v>
      </c>
      <c r="CK212" s="408"/>
      <c r="CL212" s="408"/>
      <c r="CM212" s="408"/>
      <c r="CN212" s="408"/>
      <c r="CO212" s="408">
        <v>-4881.0363600000001</v>
      </c>
      <c r="CP212" s="408">
        <v>48.161880000000025</v>
      </c>
      <c r="CQ212" s="408"/>
      <c r="CR212" s="408">
        <v>30.884750378130775</v>
      </c>
      <c r="CS212" s="408">
        <v>0</v>
      </c>
      <c r="CT212" s="408">
        <v>0</v>
      </c>
      <c r="CU212" s="408">
        <v>0</v>
      </c>
      <c r="CV212" s="408">
        <v>0</v>
      </c>
      <c r="CW212" s="408">
        <v>0</v>
      </c>
      <c r="CX212" s="408">
        <v>0</v>
      </c>
      <c r="CY212" s="408">
        <v>0</v>
      </c>
      <c r="CZ212" s="408">
        <v>-8.7706034237230597</v>
      </c>
      <c r="DA212" s="408">
        <v>0</v>
      </c>
      <c r="DB212" s="408">
        <v>0</v>
      </c>
      <c r="DC212" s="408">
        <v>48.140282047368032</v>
      </c>
      <c r="DD212" s="408">
        <v>0</v>
      </c>
      <c r="DE212" s="408">
        <v>0</v>
      </c>
      <c r="DF212" s="408">
        <v>0.23118089444361445</v>
      </c>
      <c r="DG212" s="408">
        <v>3.1316279238960831</v>
      </c>
      <c r="DH212" s="408">
        <v>0</v>
      </c>
      <c r="DI212" s="408">
        <v>-10.017241370948</v>
      </c>
      <c r="DJ212" s="408"/>
      <c r="DK212" s="408">
        <v>0</v>
      </c>
      <c r="DL212" s="408">
        <v>0</v>
      </c>
      <c r="DM212" s="408">
        <v>0</v>
      </c>
      <c r="DN212" s="408">
        <v>0</v>
      </c>
      <c r="DO212" s="408">
        <v>-1.5708318735780935</v>
      </c>
      <c r="DP212" s="408">
        <v>-0.25966381932747629</v>
      </c>
      <c r="DQ212" s="408">
        <v>0</v>
      </c>
      <c r="DR212" s="408">
        <v>0</v>
      </c>
      <c r="DS212" s="408"/>
      <c r="DT212" s="408"/>
      <c r="DU212" s="408"/>
      <c r="DV212" s="408">
        <v>7241.2957730119933</v>
      </c>
      <c r="DW212" s="408">
        <v>0</v>
      </c>
      <c r="DX212" s="408">
        <v>0</v>
      </c>
      <c r="DY212" s="408">
        <v>-4881.0363600000001</v>
      </c>
      <c r="DZ212" s="408">
        <v>48.161879999999996</v>
      </c>
      <c r="EA212" s="408">
        <v>0</v>
      </c>
      <c r="EB212" s="408">
        <v>0</v>
      </c>
      <c r="EC212" s="408">
        <v>-4863.7949378939848</v>
      </c>
      <c r="ED212" s="408">
        <v>0</v>
      </c>
      <c r="EE212" s="408">
        <v>0</v>
      </c>
      <c r="EF212" s="408">
        <v>0</v>
      </c>
      <c r="EG212" s="408">
        <v>0</v>
      </c>
      <c r="EH212" s="408">
        <v>0</v>
      </c>
      <c r="EI212" s="408">
        <v>0</v>
      </c>
      <c r="EJ212" s="408">
        <v>0</v>
      </c>
      <c r="EK212" s="408">
        <v>0</v>
      </c>
      <c r="EL212" s="408">
        <v>0</v>
      </c>
      <c r="EM212" s="408">
        <v>0</v>
      </c>
      <c r="EN212" s="408">
        <v>0</v>
      </c>
      <c r="EO212" s="408">
        <v>0</v>
      </c>
      <c r="EP212" s="408">
        <v>0</v>
      </c>
      <c r="EQ212" s="408">
        <v>0</v>
      </c>
      <c r="ER212" s="408">
        <v>0</v>
      </c>
      <c r="ES212" s="408">
        <v>0</v>
      </c>
      <c r="ET212" s="408">
        <v>0</v>
      </c>
      <c r="EU212" s="408">
        <v>0</v>
      </c>
      <c r="EV212" s="408">
        <v>257</v>
      </c>
      <c r="EW212" s="408">
        <v>0</v>
      </c>
      <c r="EX212" s="408">
        <v>0</v>
      </c>
      <c r="EY212" s="408">
        <v>0</v>
      </c>
      <c r="EZ212" s="408"/>
      <c r="FA212" s="408">
        <v>0</v>
      </c>
      <c r="FB212" s="408"/>
      <c r="FC212" s="408"/>
      <c r="FD212" s="408"/>
      <c r="FE212" s="408"/>
      <c r="FF212" s="408">
        <v>0</v>
      </c>
      <c r="FG212" s="408">
        <v>0</v>
      </c>
      <c r="FH212" s="408">
        <v>0</v>
      </c>
      <c r="FI212" s="408">
        <v>0</v>
      </c>
    </row>
    <row r="213" spans="1:165">
      <c r="A213" s="408">
        <v>211</v>
      </c>
      <c r="B213" s="408" t="s">
        <v>1035</v>
      </c>
      <c r="C213" s="408" t="s">
        <v>2241</v>
      </c>
      <c r="D213" s="408" t="s">
        <v>596</v>
      </c>
      <c r="E213" s="408" t="s">
        <v>1000</v>
      </c>
      <c r="F213" s="408" t="s">
        <v>2248</v>
      </c>
      <c r="G213" s="408" t="s">
        <v>1321</v>
      </c>
      <c r="H213" s="408" t="s">
        <v>1321</v>
      </c>
      <c r="I213" s="408" t="s">
        <v>2242</v>
      </c>
      <c r="J213" s="408" t="s">
        <v>2234</v>
      </c>
      <c r="K213" s="828">
        <v>44531</v>
      </c>
      <c r="L213" s="408">
        <v>0</v>
      </c>
      <c r="M213" s="408">
        <v>0</v>
      </c>
      <c r="N213" s="408">
        <v>23.422000000000001</v>
      </c>
      <c r="O213" s="408">
        <v>22.016680000000001</v>
      </c>
      <c r="P213" s="408">
        <v>23.422000000000001</v>
      </c>
      <c r="Q213" s="408">
        <v>22.016680000000001</v>
      </c>
      <c r="R213" s="408"/>
      <c r="S213" s="408">
        <v>82.26</v>
      </c>
      <c r="T213" s="408">
        <v>256.55</v>
      </c>
      <c r="U213" s="408"/>
      <c r="V213" s="408">
        <v>7935.6078200000011</v>
      </c>
      <c r="W213" s="408">
        <v>7935.6078200000011</v>
      </c>
      <c r="X213" s="408">
        <v>8244.0755600000011</v>
      </c>
      <c r="Y213" s="408">
        <v>0</v>
      </c>
      <c r="Z213" s="408">
        <v>1252.6781893017203</v>
      </c>
      <c r="AA213" s="408">
        <v>0</v>
      </c>
      <c r="AB213" s="408">
        <v>0</v>
      </c>
      <c r="AC213" s="408">
        <v>0</v>
      </c>
      <c r="AD213" s="408">
        <v>0</v>
      </c>
      <c r="AE213" s="408">
        <v>0</v>
      </c>
      <c r="AF213" s="408">
        <v>6008.9731640081227</v>
      </c>
      <c r="AG213" s="408">
        <v>0</v>
      </c>
      <c r="AH213" s="408">
        <v>0</v>
      </c>
      <c r="AI213" s="408">
        <v>0</v>
      </c>
      <c r="AJ213" s="408">
        <v>0</v>
      </c>
      <c r="AK213" s="408">
        <v>0</v>
      </c>
      <c r="AL213" s="408">
        <v>222.60886567949456</v>
      </c>
      <c r="AM213" s="408"/>
      <c r="AN213" s="408">
        <v>31.597566088550604</v>
      </c>
      <c r="AO213" s="408">
        <v>0</v>
      </c>
      <c r="AP213" s="408">
        <v>0</v>
      </c>
      <c r="AQ213" s="408">
        <v>0</v>
      </c>
      <c r="AR213" s="408">
        <v>0</v>
      </c>
      <c r="AS213" s="408">
        <v>0</v>
      </c>
      <c r="AT213" s="408">
        <v>0</v>
      </c>
      <c r="AU213" s="408">
        <v>0</v>
      </c>
      <c r="AV213" s="408">
        <v>0</v>
      </c>
      <c r="AW213" s="408">
        <v>0</v>
      </c>
      <c r="AX213" s="408">
        <v>0</v>
      </c>
      <c r="AY213" s="408">
        <v>0</v>
      </c>
      <c r="AZ213" s="408">
        <v>0</v>
      </c>
      <c r="BA213" s="408"/>
      <c r="BB213" s="408">
        <v>0</v>
      </c>
      <c r="BC213" s="408">
        <v>0</v>
      </c>
      <c r="BD213" s="408">
        <v>28.856494637404555</v>
      </c>
      <c r="BE213" s="408">
        <v>0</v>
      </c>
      <c r="BF213" s="408">
        <v>0</v>
      </c>
      <c r="BG213" s="408">
        <v>390.89650816407709</v>
      </c>
      <c r="BH213" s="408">
        <v>0</v>
      </c>
      <c r="BI213" s="408">
        <v>0</v>
      </c>
      <c r="BJ213" s="408">
        <v>0</v>
      </c>
      <c r="BK213" s="408">
        <v>0</v>
      </c>
      <c r="BL213" s="408">
        <v>0</v>
      </c>
      <c r="BM213" s="408"/>
      <c r="BN213" s="408"/>
      <c r="BO213" s="408"/>
      <c r="BP213" s="408"/>
      <c r="BQ213" s="408">
        <v>494.64453359999987</v>
      </c>
      <c r="BR213" s="408"/>
      <c r="BS213" s="408"/>
      <c r="BT213" s="408"/>
      <c r="BU213" s="408"/>
      <c r="BV213" s="408">
        <v>6428.7261668096044</v>
      </c>
      <c r="BW213" s="408"/>
      <c r="BX213" s="408"/>
      <c r="BY213" s="408"/>
      <c r="BZ213" s="408"/>
      <c r="CA213" s="408"/>
      <c r="CB213" s="408"/>
      <c r="CC213" s="408"/>
      <c r="CD213" s="408"/>
      <c r="CE213" s="408"/>
      <c r="CF213" s="408"/>
      <c r="CG213" s="408"/>
      <c r="CH213" s="408"/>
      <c r="CI213" s="408">
        <v>7750.5996000000005</v>
      </c>
      <c r="CJ213" s="408">
        <v>291.09824919999937</v>
      </c>
      <c r="CK213" s="408"/>
      <c r="CL213" s="408"/>
      <c r="CM213" s="408"/>
      <c r="CN213" s="408"/>
      <c r="CO213" s="408">
        <v>-66.05004000000018</v>
      </c>
      <c r="CP213" s="408">
        <v>374.51778000000024</v>
      </c>
      <c r="CQ213" s="408"/>
      <c r="CR213" s="408">
        <v>308.36908922543989</v>
      </c>
      <c r="CS213" s="408">
        <v>0</v>
      </c>
      <c r="CT213" s="408">
        <v>0</v>
      </c>
      <c r="CU213" s="408">
        <v>0</v>
      </c>
      <c r="CV213" s="408">
        <v>0</v>
      </c>
      <c r="CW213" s="408">
        <v>0</v>
      </c>
      <c r="CX213" s="408">
        <v>0</v>
      </c>
      <c r="CY213" s="408">
        <v>0</v>
      </c>
      <c r="CZ213" s="408">
        <v>0</v>
      </c>
      <c r="DA213" s="408">
        <v>0</v>
      </c>
      <c r="DB213" s="408">
        <v>0</v>
      </c>
      <c r="DC213" s="408">
        <v>374.34982938693611</v>
      </c>
      <c r="DD213" s="408">
        <v>0</v>
      </c>
      <c r="DE213" s="408">
        <v>0</v>
      </c>
      <c r="DF213" s="408">
        <v>1.7977154414536294</v>
      </c>
      <c r="DG213" s="408">
        <v>24.352254061585029</v>
      </c>
      <c r="DH213" s="408">
        <v>0</v>
      </c>
      <c r="DI213" s="408">
        <v>-77.896357035306892</v>
      </c>
      <c r="DJ213" s="408"/>
      <c r="DK213" s="408">
        <v>0</v>
      </c>
      <c r="DL213" s="408">
        <v>0</v>
      </c>
      <c r="DM213" s="408">
        <v>0</v>
      </c>
      <c r="DN213" s="408">
        <v>0</v>
      </c>
      <c r="DO213" s="408">
        <v>-12.215147457817437</v>
      </c>
      <c r="DP213" s="408">
        <v>-2.0192051714104053</v>
      </c>
      <c r="DQ213" s="408">
        <v>0</v>
      </c>
      <c r="DR213" s="408">
        <v>0</v>
      </c>
      <c r="DS213" s="408"/>
      <c r="DT213" s="408"/>
      <c r="DU213" s="408"/>
      <c r="DV213" s="408">
        <v>0</v>
      </c>
      <c r="DW213" s="408">
        <v>0</v>
      </c>
      <c r="DX213" s="408">
        <v>0</v>
      </c>
      <c r="DY213" s="408">
        <v>-66.050040000000308</v>
      </c>
      <c r="DZ213" s="408">
        <v>374.51778000000013</v>
      </c>
      <c r="EA213" s="408">
        <v>0</v>
      </c>
      <c r="EB213" s="408">
        <v>0</v>
      </c>
      <c r="EC213" s="408">
        <v>0</v>
      </c>
      <c r="ED213" s="408">
        <v>0</v>
      </c>
      <c r="EE213" s="408">
        <v>0</v>
      </c>
      <c r="EF213" s="408">
        <v>0</v>
      </c>
      <c r="EG213" s="408">
        <v>0</v>
      </c>
      <c r="EH213" s="408">
        <v>0</v>
      </c>
      <c r="EI213" s="408">
        <v>0</v>
      </c>
      <c r="EJ213" s="408">
        <v>0</v>
      </c>
      <c r="EK213" s="408">
        <v>0</v>
      </c>
      <c r="EL213" s="408">
        <v>0</v>
      </c>
      <c r="EM213" s="408">
        <v>0</v>
      </c>
      <c r="EN213" s="408">
        <v>0</v>
      </c>
      <c r="EO213" s="408">
        <v>0</v>
      </c>
      <c r="EP213" s="408">
        <v>0</v>
      </c>
      <c r="EQ213" s="408">
        <v>0</v>
      </c>
      <c r="ER213" s="408">
        <v>0</v>
      </c>
      <c r="ES213" s="408">
        <v>0</v>
      </c>
      <c r="ET213" s="408">
        <v>0</v>
      </c>
      <c r="EU213" s="408">
        <v>0</v>
      </c>
      <c r="EV213" s="408">
        <v>257</v>
      </c>
      <c r="EW213" s="408">
        <v>0</v>
      </c>
      <c r="EX213" s="408">
        <v>0</v>
      </c>
      <c r="EY213" s="408">
        <v>0</v>
      </c>
      <c r="EZ213" s="408"/>
      <c r="FA213" s="408">
        <v>0</v>
      </c>
      <c r="FB213" s="408"/>
      <c r="FC213" s="408"/>
      <c r="FD213" s="408"/>
      <c r="FE213" s="408"/>
      <c r="FF213" s="408">
        <v>0</v>
      </c>
      <c r="FG213" s="408">
        <v>0</v>
      </c>
      <c r="FH213" s="408">
        <v>0</v>
      </c>
      <c r="FI213" s="408">
        <v>0</v>
      </c>
    </row>
    <row r="214" spans="1:165">
      <c r="A214" s="408">
        <v>212</v>
      </c>
      <c r="B214" s="408" t="s">
        <v>1035</v>
      </c>
      <c r="C214" s="408" t="s">
        <v>2241</v>
      </c>
      <c r="D214" s="408" t="s">
        <v>596</v>
      </c>
      <c r="E214" s="408" t="s">
        <v>1000</v>
      </c>
      <c r="F214" s="408" t="s">
        <v>2248</v>
      </c>
      <c r="G214" s="408" t="s">
        <v>1321</v>
      </c>
      <c r="H214" s="408" t="s">
        <v>1321</v>
      </c>
      <c r="I214" s="408" t="s">
        <v>1321</v>
      </c>
      <c r="J214" s="408" t="s">
        <v>2234</v>
      </c>
      <c r="K214" s="828">
        <v>44531</v>
      </c>
      <c r="L214" s="408">
        <v>79</v>
      </c>
      <c r="M214" s="408">
        <v>74.260000000000005</v>
      </c>
      <c r="N214" s="408">
        <v>0</v>
      </c>
      <c r="O214" s="408">
        <v>0</v>
      </c>
      <c r="P214" s="408">
        <v>0</v>
      </c>
      <c r="Q214" s="408">
        <v>0</v>
      </c>
      <c r="R214" s="408">
        <v>47.39</v>
      </c>
      <c r="S214" s="408"/>
      <c r="T214" s="408"/>
      <c r="U214" s="408">
        <v>3743.81</v>
      </c>
      <c r="V214" s="408"/>
      <c r="W214" s="408">
        <v>3743.81</v>
      </c>
      <c r="X214" s="408">
        <v>2545.38</v>
      </c>
      <c r="Y214" s="408">
        <v>0</v>
      </c>
      <c r="Z214" s="408">
        <v>0</v>
      </c>
      <c r="AA214" s="408">
        <v>0</v>
      </c>
      <c r="AB214" s="408">
        <v>0</v>
      </c>
      <c r="AC214" s="408">
        <v>0</v>
      </c>
      <c r="AD214" s="408">
        <v>1972.6379141777902</v>
      </c>
      <c r="AE214" s="408">
        <v>1771.1695124126304</v>
      </c>
      <c r="AF214" s="408"/>
      <c r="AG214" s="408"/>
      <c r="AH214" s="408"/>
      <c r="AI214" s="408">
        <v>0</v>
      </c>
      <c r="AJ214" s="408">
        <v>0</v>
      </c>
      <c r="AK214" s="408">
        <v>0</v>
      </c>
      <c r="AL214" s="408">
        <v>0</v>
      </c>
      <c r="AM214" s="408"/>
      <c r="AN214" s="408">
        <v>0</v>
      </c>
      <c r="AO214" s="408">
        <v>0</v>
      </c>
      <c r="AP214" s="408">
        <v>0</v>
      </c>
      <c r="AQ214" s="408">
        <v>0</v>
      </c>
      <c r="AR214" s="408">
        <v>0</v>
      </c>
      <c r="AS214" s="408"/>
      <c r="AT214" s="408"/>
      <c r="AU214" s="408">
        <v>0</v>
      </c>
      <c r="AV214" s="408">
        <v>0</v>
      </c>
      <c r="AW214" s="408">
        <v>0</v>
      </c>
      <c r="AX214" s="408"/>
      <c r="AY214" s="408"/>
      <c r="AZ214" s="408">
        <v>0</v>
      </c>
      <c r="BA214" s="408"/>
      <c r="BB214" s="408">
        <v>0</v>
      </c>
      <c r="BC214" s="408">
        <v>0</v>
      </c>
      <c r="BD214" s="408">
        <v>0</v>
      </c>
      <c r="BE214" s="408">
        <v>0</v>
      </c>
      <c r="BF214" s="408"/>
      <c r="BG214" s="408">
        <v>0</v>
      </c>
      <c r="BH214" s="408">
        <v>0</v>
      </c>
      <c r="BI214" s="408">
        <v>26.24</v>
      </c>
      <c r="BJ214" s="408">
        <v>121.09</v>
      </c>
      <c r="BK214" s="408">
        <v>8502.81</v>
      </c>
      <c r="BL214" s="408">
        <v>1</v>
      </c>
      <c r="BM214" s="408"/>
      <c r="BN214" s="408"/>
      <c r="BO214" s="408"/>
      <c r="BP214" s="408"/>
      <c r="BQ214" s="408">
        <v>152.72279999999984</v>
      </c>
      <c r="BR214" s="408"/>
      <c r="BS214" s="408"/>
      <c r="BT214" s="408"/>
      <c r="BU214" s="408"/>
      <c r="BV214" s="408">
        <v>0</v>
      </c>
      <c r="BW214" s="408"/>
      <c r="BX214" s="408"/>
      <c r="BY214" s="408"/>
      <c r="BZ214" s="408"/>
      <c r="CA214" s="408"/>
      <c r="CB214" s="408"/>
      <c r="CC214" s="408"/>
      <c r="CD214" s="408"/>
      <c r="CE214" s="408"/>
      <c r="CF214" s="408"/>
      <c r="CG214" s="408"/>
      <c r="CH214" s="408"/>
      <c r="CI214" s="408">
        <v>2392.6572000000001</v>
      </c>
      <c r="CJ214" s="408">
        <v>-1126.5542000000009</v>
      </c>
      <c r="CK214" s="408"/>
      <c r="CL214" s="408"/>
      <c r="CM214" s="408"/>
      <c r="CN214" s="408"/>
      <c r="CO214" s="408">
        <v>-1198.43</v>
      </c>
      <c r="CP214" s="408">
        <v>0</v>
      </c>
      <c r="CQ214" s="408"/>
      <c r="CR214" s="408">
        <v>-8.9164474416556914</v>
      </c>
      <c r="CS214" s="408">
        <v>0</v>
      </c>
      <c r="CT214" s="408">
        <v>0</v>
      </c>
      <c r="CU214" s="408">
        <v>0</v>
      </c>
      <c r="CV214" s="408">
        <v>0</v>
      </c>
      <c r="CW214" s="408"/>
      <c r="CX214" s="408"/>
      <c r="CY214" s="408"/>
      <c r="CZ214" s="408">
        <v>-8.9164474416556914</v>
      </c>
      <c r="DA214" s="408">
        <v>0</v>
      </c>
      <c r="DB214" s="408">
        <v>0</v>
      </c>
      <c r="DC214" s="408"/>
      <c r="DD214" s="408"/>
      <c r="DE214" s="408">
        <v>0</v>
      </c>
      <c r="DF214" s="408">
        <v>0</v>
      </c>
      <c r="DG214" s="408">
        <v>0</v>
      </c>
      <c r="DH214" s="408">
        <v>0</v>
      </c>
      <c r="DI214" s="408">
        <v>0</v>
      </c>
      <c r="DJ214" s="408"/>
      <c r="DK214" s="408">
        <v>0</v>
      </c>
      <c r="DL214" s="408">
        <v>0</v>
      </c>
      <c r="DM214" s="408"/>
      <c r="DN214" s="408">
        <v>0</v>
      </c>
      <c r="DO214" s="408">
        <v>0</v>
      </c>
      <c r="DP214" s="408">
        <v>0</v>
      </c>
      <c r="DQ214" s="408">
        <v>0</v>
      </c>
      <c r="DR214" s="408">
        <v>0</v>
      </c>
      <c r="DS214" s="408"/>
      <c r="DT214" s="408"/>
      <c r="DU214" s="408">
        <v>1771.1695124126304</v>
      </c>
      <c r="DV214" s="408"/>
      <c r="DW214" s="408">
        <v>0</v>
      </c>
      <c r="DX214" s="408">
        <v>0</v>
      </c>
      <c r="DY214" s="408">
        <v>-1198.4299999999998</v>
      </c>
      <c r="DZ214" s="408"/>
      <c r="EA214" s="408">
        <v>0</v>
      </c>
      <c r="EB214" s="408"/>
      <c r="EC214" s="408">
        <v>-1189.6496951182394</v>
      </c>
      <c r="ED214" s="408"/>
      <c r="EE214" s="408">
        <v>0</v>
      </c>
      <c r="EF214" s="408">
        <v>0</v>
      </c>
      <c r="EG214" s="408"/>
      <c r="EH214" s="408">
        <v>0</v>
      </c>
      <c r="EI214" s="408">
        <v>0</v>
      </c>
      <c r="EJ214" s="408">
        <v>0</v>
      </c>
      <c r="EK214" s="408">
        <v>0</v>
      </c>
      <c r="EL214" s="408">
        <v>0</v>
      </c>
      <c r="EM214" s="408"/>
      <c r="EN214" s="408"/>
      <c r="EO214" s="408">
        <v>0</v>
      </c>
      <c r="EP214" s="408">
        <v>0</v>
      </c>
      <c r="EQ214" s="408"/>
      <c r="ER214" s="408">
        <v>0</v>
      </c>
      <c r="ES214" s="408"/>
      <c r="ET214" s="408">
        <v>0</v>
      </c>
      <c r="EU214" s="408"/>
      <c r="EV214" s="408">
        <v>257</v>
      </c>
      <c r="EW214" s="408"/>
      <c r="EX214" s="408"/>
      <c r="EY214" s="408"/>
      <c r="EZ214" s="408"/>
      <c r="FA214" s="408">
        <v>0</v>
      </c>
      <c r="FB214" s="408"/>
      <c r="FC214" s="408"/>
      <c r="FD214" s="408"/>
      <c r="FE214" s="408"/>
      <c r="FF214" s="408">
        <v>0</v>
      </c>
      <c r="FG214" s="408">
        <v>0</v>
      </c>
      <c r="FH214" s="408">
        <v>0</v>
      </c>
      <c r="FI214" s="408">
        <v>0</v>
      </c>
    </row>
    <row r="215" spans="1:165">
      <c r="A215" s="408">
        <v>213</v>
      </c>
      <c r="B215" s="408" t="s">
        <v>1035</v>
      </c>
      <c r="C215" s="408" t="s">
        <v>2233</v>
      </c>
      <c r="D215" s="408" t="s">
        <v>1958</v>
      </c>
      <c r="E215" s="408" t="s">
        <v>2249</v>
      </c>
      <c r="F215" s="408" t="s">
        <v>1321</v>
      </c>
      <c r="G215" s="408" t="s">
        <v>1321</v>
      </c>
      <c r="H215" s="408" t="s">
        <v>1321</v>
      </c>
      <c r="I215" s="408" t="s">
        <v>1321</v>
      </c>
      <c r="J215" s="408" t="s">
        <v>2234</v>
      </c>
      <c r="K215" s="828">
        <v>44531</v>
      </c>
      <c r="L215" s="408">
        <v>0</v>
      </c>
      <c r="M215" s="408">
        <v>0</v>
      </c>
      <c r="N215" s="408">
        <v>1.1000000000000001</v>
      </c>
      <c r="O215" s="408">
        <v>1.1000000000000001</v>
      </c>
      <c r="P215" s="408">
        <v>1.1000000000000001</v>
      </c>
      <c r="Q215" s="408">
        <v>1.1000000000000001</v>
      </c>
      <c r="R215" s="408"/>
      <c r="S215" s="408">
        <v>710.91</v>
      </c>
      <c r="T215" s="408">
        <v>256.55</v>
      </c>
      <c r="U215" s="408"/>
      <c r="V215" s="408">
        <v>1064.2060000000001</v>
      </c>
      <c r="W215" s="408">
        <v>1064.2060000000001</v>
      </c>
      <c r="X215" s="408">
        <v>726.47300000000007</v>
      </c>
      <c r="Y215" s="408">
        <v>0</v>
      </c>
      <c r="Z215" s="408">
        <v>67.622149537761061</v>
      </c>
      <c r="AA215" s="408">
        <v>0</v>
      </c>
      <c r="AB215" s="408">
        <v>0</v>
      </c>
      <c r="AC215" s="408">
        <v>0</v>
      </c>
      <c r="AD215" s="408">
        <v>135.39106878370922</v>
      </c>
      <c r="AE215" s="408">
        <v>524.60106785382891</v>
      </c>
      <c r="AF215" s="408">
        <v>282.20777390525723</v>
      </c>
      <c r="AG215" s="408">
        <v>0</v>
      </c>
      <c r="AH215" s="408">
        <v>0</v>
      </c>
      <c r="AI215" s="408">
        <v>0</v>
      </c>
      <c r="AJ215" s="408">
        <v>0</v>
      </c>
      <c r="AK215" s="408">
        <v>0</v>
      </c>
      <c r="AL215" s="408">
        <v>10.454690130964222</v>
      </c>
      <c r="AM215" s="408"/>
      <c r="AN215" s="408">
        <v>2.4153851109499653</v>
      </c>
      <c r="AO215" s="408">
        <v>0</v>
      </c>
      <c r="AP215" s="408">
        <v>0</v>
      </c>
      <c r="AQ215" s="408">
        <v>0</v>
      </c>
      <c r="AR215" s="408">
        <v>0</v>
      </c>
      <c r="AS215" s="408">
        <v>0</v>
      </c>
      <c r="AT215" s="408">
        <v>0</v>
      </c>
      <c r="AU215" s="408">
        <v>0</v>
      </c>
      <c r="AV215" s="408">
        <v>0</v>
      </c>
      <c r="AW215" s="408">
        <v>0</v>
      </c>
      <c r="AX215" s="408">
        <v>0</v>
      </c>
      <c r="AY215" s="408">
        <v>0</v>
      </c>
      <c r="AZ215" s="408">
        <v>0</v>
      </c>
      <c r="BA215" s="408"/>
      <c r="BB215" s="408">
        <v>0</v>
      </c>
      <c r="BC215" s="408">
        <v>0</v>
      </c>
      <c r="BD215" s="408">
        <v>1.639352363127061</v>
      </c>
      <c r="BE215" s="408">
        <v>0</v>
      </c>
      <c r="BF215" s="408">
        <v>0</v>
      </c>
      <c r="BG215" s="408">
        <v>39.878742502329722</v>
      </c>
      <c r="BH215" s="408">
        <v>0</v>
      </c>
      <c r="BI215" s="408">
        <v>1.2</v>
      </c>
      <c r="BJ215" s="408">
        <v>5.64</v>
      </c>
      <c r="BK215" s="408">
        <v>381.15</v>
      </c>
      <c r="BL215" s="408">
        <v>5</v>
      </c>
      <c r="BM215" s="408"/>
      <c r="BN215" s="408"/>
      <c r="BO215" s="408"/>
      <c r="BP215" s="408"/>
      <c r="BQ215" s="408"/>
      <c r="BR215" s="408"/>
      <c r="BS215" s="408"/>
      <c r="BT215" s="408"/>
      <c r="BU215" s="408"/>
      <c r="BV215" s="408">
        <v>323.72586877071399</v>
      </c>
      <c r="BW215" s="408"/>
      <c r="BX215" s="408"/>
      <c r="BY215" s="408"/>
      <c r="BZ215" s="408"/>
      <c r="CA215" s="408"/>
      <c r="CB215" s="408"/>
      <c r="CC215" s="408"/>
      <c r="CD215" s="408"/>
      <c r="CE215" s="408"/>
      <c r="CF215" s="408"/>
      <c r="CG215" s="408"/>
      <c r="CH215" s="408"/>
      <c r="CI215" s="408">
        <v>726.47300000000007</v>
      </c>
      <c r="CJ215" s="408">
        <v>-337.76300000000003</v>
      </c>
      <c r="CK215" s="408"/>
      <c r="CL215" s="408"/>
      <c r="CM215" s="408"/>
      <c r="CN215" s="408"/>
      <c r="CO215" s="408">
        <v>-355.322</v>
      </c>
      <c r="CP215" s="408">
        <v>17.589000000000013</v>
      </c>
      <c r="CQ215" s="408"/>
      <c r="CR215" s="408">
        <v>14.622614752136542</v>
      </c>
      <c r="CS215" s="408">
        <v>0</v>
      </c>
      <c r="CT215" s="408">
        <v>0</v>
      </c>
      <c r="CU215" s="408">
        <v>0</v>
      </c>
      <c r="CV215" s="408">
        <v>0</v>
      </c>
      <c r="CW215" s="408">
        <v>0</v>
      </c>
      <c r="CX215" s="408">
        <v>0</v>
      </c>
      <c r="CY215" s="408">
        <v>0</v>
      </c>
      <c r="CZ215" s="408">
        <v>-0.61197614635850073</v>
      </c>
      <c r="DA215" s="408">
        <v>0</v>
      </c>
      <c r="DB215" s="408">
        <v>0</v>
      </c>
      <c r="DC215" s="408">
        <v>17.581112301495637</v>
      </c>
      <c r="DD215" s="408">
        <v>0</v>
      </c>
      <c r="DE215" s="408">
        <v>0</v>
      </c>
      <c r="DF215" s="408">
        <v>0.10212914264911599</v>
      </c>
      <c r="DG215" s="408">
        <v>2.4843846102243319</v>
      </c>
      <c r="DH215" s="408">
        <v>0</v>
      </c>
      <c r="DI215" s="408">
        <v>-4.2050058417833398</v>
      </c>
      <c r="DJ215" s="408"/>
      <c r="DK215" s="408">
        <v>0</v>
      </c>
      <c r="DL215" s="408">
        <v>0</v>
      </c>
      <c r="DM215" s="408">
        <v>0</v>
      </c>
      <c r="DN215" s="408">
        <v>0</v>
      </c>
      <c r="DO215" s="408">
        <v>-0.57367697906238391</v>
      </c>
      <c r="DP215" s="408">
        <v>-0.1543523350282654</v>
      </c>
      <c r="DQ215" s="408">
        <v>0</v>
      </c>
      <c r="DR215" s="408">
        <v>0</v>
      </c>
      <c r="DS215" s="408"/>
      <c r="DT215" s="408"/>
      <c r="DU215" s="408"/>
      <c r="DV215" s="408">
        <v>524.60106785382891</v>
      </c>
      <c r="DW215" s="408">
        <v>0</v>
      </c>
      <c r="DX215" s="408">
        <v>0</v>
      </c>
      <c r="DY215" s="408">
        <v>-355.32199999999995</v>
      </c>
      <c r="DZ215" s="408">
        <v>17.588999999999999</v>
      </c>
      <c r="EA215" s="408">
        <v>0</v>
      </c>
      <c r="EB215" s="408">
        <v>0</v>
      </c>
      <c r="EC215" s="408">
        <v>-352.36124834877779</v>
      </c>
      <c r="ED215" s="408">
        <v>0</v>
      </c>
      <c r="EE215" s="408">
        <v>0</v>
      </c>
      <c r="EF215" s="408">
        <v>0</v>
      </c>
      <c r="EG215" s="408">
        <v>0</v>
      </c>
      <c r="EH215" s="408">
        <v>0</v>
      </c>
      <c r="EI215" s="408">
        <v>0</v>
      </c>
      <c r="EJ215" s="408">
        <v>0</v>
      </c>
      <c r="EK215" s="408">
        <v>0</v>
      </c>
      <c r="EL215" s="408">
        <v>0</v>
      </c>
      <c r="EM215" s="408">
        <v>0</v>
      </c>
      <c r="EN215" s="408">
        <v>0</v>
      </c>
      <c r="EO215" s="408">
        <v>0</v>
      </c>
      <c r="EP215" s="408">
        <v>0</v>
      </c>
      <c r="EQ215" s="408">
        <v>0</v>
      </c>
      <c r="ER215" s="408">
        <v>0</v>
      </c>
      <c r="ES215" s="408">
        <v>0</v>
      </c>
      <c r="ET215" s="408">
        <v>0</v>
      </c>
      <c r="EU215" s="408">
        <v>0</v>
      </c>
      <c r="EV215" s="408">
        <v>257</v>
      </c>
      <c r="EW215" s="408">
        <v>0</v>
      </c>
      <c r="EX215" s="408">
        <v>0</v>
      </c>
      <c r="EY215" s="408">
        <v>0</v>
      </c>
      <c r="EZ215" s="408"/>
      <c r="FA215" s="408">
        <v>0</v>
      </c>
      <c r="FB215" s="408"/>
      <c r="FC215" s="408"/>
      <c r="FD215" s="408"/>
      <c r="FE215" s="408"/>
      <c r="FF215" s="408">
        <v>0</v>
      </c>
      <c r="FG215" s="408">
        <v>0</v>
      </c>
      <c r="FH215" s="408">
        <v>0</v>
      </c>
      <c r="FI215" s="408">
        <v>0</v>
      </c>
    </row>
    <row r="216" spans="1:165">
      <c r="A216" s="408">
        <v>214</v>
      </c>
      <c r="B216" s="408" t="s">
        <v>1035</v>
      </c>
      <c r="C216" s="408" t="s">
        <v>2233</v>
      </c>
      <c r="D216" s="408" t="s">
        <v>1955</v>
      </c>
      <c r="E216" s="408" t="s">
        <v>968</v>
      </c>
      <c r="F216" s="408" t="s">
        <v>968</v>
      </c>
      <c r="G216" s="408" t="s">
        <v>1321</v>
      </c>
      <c r="H216" s="408" t="s">
        <v>1321</v>
      </c>
      <c r="I216" s="408" t="s">
        <v>1321</v>
      </c>
      <c r="J216" s="408" t="s">
        <v>2234</v>
      </c>
      <c r="K216" s="828">
        <v>44562</v>
      </c>
      <c r="L216" s="408">
        <v>0</v>
      </c>
      <c r="M216" s="408">
        <v>0</v>
      </c>
      <c r="N216" s="408">
        <v>810.173</v>
      </c>
      <c r="O216" s="408">
        <v>810.173</v>
      </c>
      <c r="P216" s="408">
        <v>810.173</v>
      </c>
      <c r="Q216" s="408">
        <v>810.173</v>
      </c>
      <c r="R216" s="408"/>
      <c r="S216" s="408">
        <v>710.91</v>
      </c>
      <c r="T216" s="408">
        <v>256.55</v>
      </c>
      <c r="U216" s="408"/>
      <c r="V216" s="408">
        <v>783809.97057999996</v>
      </c>
      <c r="W216" s="408">
        <v>783809.97057999996</v>
      </c>
      <c r="X216" s="408">
        <v>535062.55439000006</v>
      </c>
      <c r="Y216" s="408">
        <v>0</v>
      </c>
      <c r="Z216" s="408">
        <v>49805.127052233176</v>
      </c>
      <c r="AA216" s="408">
        <v>0</v>
      </c>
      <c r="AB216" s="408">
        <v>0</v>
      </c>
      <c r="AC216" s="408">
        <v>0</v>
      </c>
      <c r="AD216" s="408">
        <v>99718.353063367293</v>
      </c>
      <c r="AE216" s="408">
        <v>386379.65540576377</v>
      </c>
      <c r="AF216" s="408">
        <v>207851.92618922179</v>
      </c>
      <c r="AG216" s="408">
        <v>0</v>
      </c>
      <c r="AH216" s="408">
        <v>0</v>
      </c>
      <c r="AI216" s="408">
        <v>0</v>
      </c>
      <c r="AJ216" s="408">
        <v>0</v>
      </c>
      <c r="AK216" s="408">
        <v>0</v>
      </c>
      <c r="AL216" s="408">
        <v>7700.0978795215242</v>
      </c>
      <c r="AM216" s="408"/>
      <c r="AN216" s="408">
        <v>1778.9816377215145</v>
      </c>
      <c r="AO216" s="408">
        <v>0</v>
      </c>
      <c r="AP216" s="408">
        <v>0</v>
      </c>
      <c r="AQ216" s="408">
        <v>0</v>
      </c>
      <c r="AR216" s="408">
        <v>0</v>
      </c>
      <c r="AS216" s="408">
        <v>0</v>
      </c>
      <c r="AT216" s="408">
        <v>0</v>
      </c>
      <c r="AU216" s="408">
        <v>0</v>
      </c>
      <c r="AV216" s="408">
        <v>0</v>
      </c>
      <c r="AW216" s="408">
        <v>0</v>
      </c>
      <c r="AX216" s="408">
        <v>0</v>
      </c>
      <c r="AY216" s="408">
        <v>0</v>
      </c>
      <c r="AZ216" s="408">
        <v>0</v>
      </c>
      <c r="BA216" s="408"/>
      <c r="BB216" s="408">
        <v>0</v>
      </c>
      <c r="BC216" s="408">
        <v>0</v>
      </c>
      <c r="BD216" s="408">
        <v>1207.417292810673</v>
      </c>
      <c r="BE216" s="408">
        <v>0</v>
      </c>
      <c r="BF216" s="408">
        <v>0</v>
      </c>
      <c r="BG216" s="408">
        <v>29371.527681218162</v>
      </c>
      <c r="BH216" s="408">
        <v>0</v>
      </c>
      <c r="BI216" s="408">
        <v>877.72</v>
      </c>
      <c r="BJ216" s="408">
        <v>4150.03</v>
      </c>
      <c r="BK216" s="408">
        <v>212372.79</v>
      </c>
      <c r="BL216" s="408">
        <v>5304</v>
      </c>
      <c r="BM216" s="408"/>
      <c r="BN216" s="408"/>
      <c r="BO216" s="408"/>
      <c r="BP216" s="408"/>
      <c r="BQ216" s="408"/>
      <c r="BR216" s="408"/>
      <c r="BS216" s="408"/>
      <c r="BT216" s="408"/>
      <c r="BU216" s="408"/>
      <c r="BV216" s="408">
        <v>238430.87116325065</v>
      </c>
      <c r="BW216" s="408"/>
      <c r="BX216" s="408"/>
      <c r="BY216" s="408"/>
      <c r="BZ216" s="408"/>
      <c r="CA216" s="408"/>
      <c r="CB216" s="408"/>
      <c r="CC216" s="408"/>
      <c r="CD216" s="408"/>
      <c r="CE216" s="408"/>
      <c r="CF216" s="408"/>
      <c r="CG216" s="408"/>
      <c r="CH216" s="408"/>
      <c r="CI216" s="408">
        <v>535060.57309999992</v>
      </c>
      <c r="CJ216" s="408">
        <v>-248749.42748000007</v>
      </c>
      <c r="CK216" s="408"/>
      <c r="CL216" s="408"/>
      <c r="CM216" s="408"/>
      <c r="CN216" s="408"/>
      <c r="CO216" s="408">
        <v>-261702.08245999998</v>
      </c>
      <c r="CP216" s="408">
        <v>12954.666270000007</v>
      </c>
      <c r="CQ216" s="408">
        <v>31</v>
      </c>
      <c r="CR216" s="408">
        <v>10769.861510529707</v>
      </c>
      <c r="CS216" s="408">
        <v>0</v>
      </c>
      <c r="CT216" s="408">
        <v>0</v>
      </c>
      <c r="CU216" s="408">
        <v>0</v>
      </c>
      <c r="CV216" s="408">
        <v>0</v>
      </c>
      <c r="CW216" s="408">
        <v>0</v>
      </c>
      <c r="CX216" s="408">
        <v>0</v>
      </c>
      <c r="CY216" s="408">
        <v>0</v>
      </c>
      <c r="CZ216" s="408">
        <v>-450.7332276579109</v>
      </c>
      <c r="DA216" s="408">
        <v>0</v>
      </c>
      <c r="DB216" s="408">
        <v>0</v>
      </c>
      <c r="DC216" s="408">
        <v>12948.856815126899</v>
      </c>
      <c r="DD216" s="408">
        <v>0</v>
      </c>
      <c r="DE216" s="408">
        <v>0</v>
      </c>
      <c r="DF216" s="408">
        <v>75.220248988602179</v>
      </c>
      <c r="DG216" s="408">
        <v>1829.8012116538848</v>
      </c>
      <c r="DH216" s="408">
        <v>0</v>
      </c>
      <c r="DI216" s="408">
        <v>-3097.0747253228546</v>
      </c>
      <c r="DJ216" s="408"/>
      <c r="DK216" s="408">
        <v>0</v>
      </c>
      <c r="DL216" s="408">
        <v>0</v>
      </c>
      <c r="DM216" s="408">
        <v>0</v>
      </c>
      <c r="DN216" s="408">
        <v>0</v>
      </c>
      <c r="DO216" s="408">
        <v>-422.52509014355473</v>
      </c>
      <c r="DP216" s="408">
        <v>-113.68372211532233</v>
      </c>
      <c r="DQ216" s="408">
        <v>0</v>
      </c>
      <c r="DR216" s="408">
        <v>0</v>
      </c>
      <c r="DS216" s="408"/>
      <c r="DT216" s="408"/>
      <c r="DU216" s="408"/>
      <c r="DV216" s="408">
        <v>386379.65540576377</v>
      </c>
      <c r="DW216" s="408">
        <v>0</v>
      </c>
      <c r="DX216" s="408">
        <v>0</v>
      </c>
      <c r="DY216" s="408">
        <v>-261702.08245999995</v>
      </c>
      <c r="DZ216" s="408">
        <v>12954.666270000016</v>
      </c>
      <c r="EA216" s="408">
        <v>0</v>
      </c>
      <c r="EB216" s="408">
        <v>0</v>
      </c>
      <c r="EC216" s="408">
        <v>-259521.42696224945</v>
      </c>
      <c r="ED216" s="408">
        <v>0</v>
      </c>
      <c r="EE216" s="408">
        <v>0</v>
      </c>
      <c r="EF216" s="408">
        <v>0</v>
      </c>
      <c r="EG216" s="408">
        <v>0</v>
      </c>
      <c r="EH216" s="408">
        <v>0</v>
      </c>
      <c r="EI216" s="408">
        <v>0</v>
      </c>
      <c r="EJ216" s="408">
        <v>0</v>
      </c>
      <c r="EK216" s="408">
        <v>0</v>
      </c>
      <c r="EL216" s="408">
        <v>0</v>
      </c>
      <c r="EM216" s="408">
        <v>0</v>
      </c>
      <c r="EN216" s="408">
        <v>0</v>
      </c>
      <c r="EO216" s="408">
        <v>0</v>
      </c>
      <c r="EP216" s="408">
        <v>0</v>
      </c>
      <c r="EQ216" s="408">
        <v>0</v>
      </c>
      <c r="ER216" s="408">
        <v>0</v>
      </c>
      <c r="ES216" s="408">
        <v>0</v>
      </c>
      <c r="ET216" s="408">
        <v>0</v>
      </c>
      <c r="EU216" s="408">
        <v>0</v>
      </c>
      <c r="EV216" s="408">
        <v>257</v>
      </c>
      <c r="EW216" s="408">
        <v>0</v>
      </c>
      <c r="EX216" s="408">
        <v>0</v>
      </c>
      <c r="EY216" s="408">
        <v>0</v>
      </c>
      <c r="EZ216" s="408"/>
      <c r="FA216" s="408">
        <v>0</v>
      </c>
      <c r="FB216" s="408"/>
      <c r="FC216" s="408"/>
      <c r="FD216" s="408"/>
      <c r="FE216" s="408"/>
      <c r="FF216" s="408">
        <v>0</v>
      </c>
      <c r="FG216" s="408">
        <v>0</v>
      </c>
      <c r="FH216" s="408">
        <v>0</v>
      </c>
      <c r="FI216" s="408">
        <v>0</v>
      </c>
    </row>
    <row r="217" spans="1:165">
      <c r="A217" s="408">
        <v>215</v>
      </c>
      <c r="B217" s="408" t="s">
        <v>2235</v>
      </c>
      <c r="C217" s="408" t="s">
        <v>2233</v>
      </c>
      <c r="D217" s="408" t="s">
        <v>1955</v>
      </c>
      <c r="E217" s="408" t="s">
        <v>968</v>
      </c>
      <c r="F217" s="408" t="s">
        <v>968</v>
      </c>
      <c r="G217" s="408" t="s">
        <v>1321</v>
      </c>
      <c r="H217" s="408" t="s">
        <v>1321</v>
      </c>
      <c r="I217" s="408" t="s">
        <v>1321</v>
      </c>
      <c r="J217" s="408" t="s">
        <v>2234</v>
      </c>
      <c r="K217" s="828">
        <v>44562</v>
      </c>
      <c r="L217" s="408">
        <v>0</v>
      </c>
      <c r="M217" s="408">
        <v>0</v>
      </c>
      <c r="N217" s="408">
        <v>-5.7590000000000003</v>
      </c>
      <c r="O217" s="408">
        <v>-5.7590000000000003</v>
      </c>
      <c r="P217" s="408">
        <v>-5.7590000000000003</v>
      </c>
      <c r="Q217" s="408">
        <v>-5.7590000000000003</v>
      </c>
      <c r="R217" s="408"/>
      <c r="S217" s="408">
        <v>710.91</v>
      </c>
      <c r="T217" s="408">
        <v>256.55</v>
      </c>
      <c r="U217" s="408"/>
      <c r="V217" s="408">
        <v>-5571.60214</v>
      </c>
      <c r="W217" s="408">
        <v>-5571.60214</v>
      </c>
      <c r="X217" s="408">
        <v>-3803.4163699999999</v>
      </c>
      <c r="Y217" s="408">
        <v>0</v>
      </c>
      <c r="Z217" s="408">
        <v>-354.03269017087814</v>
      </c>
      <c r="AA217" s="408">
        <v>0</v>
      </c>
      <c r="AB217" s="408">
        <v>0</v>
      </c>
      <c r="AC217" s="408">
        <v>0</v>
      </c>
      <c r="AD217" s="408">
        <v>-708.83378647761936</v>
      </c>
      <c r="AE217" s="408">
        <v>-2746.5250452456371</v>
      </c>
      <c r="AF217" s="408">
        <v>-1477.4859726548877</v>
      </c>
      <c r="AG217" s="408">
        <v>0</v>
      </c>
      <c r="AH217" s="408">
        <v>0</v>
      </c>
      <c r="AI217" s="408">
        <v>0</v>
      </c>
      <c r="AJ217" s="408">
        <v>0</v>
      </c>
      <c r="AK217" s="408">
        <v>0</v>
      </c>
      <c r="AL217" s="408">
        <v>-54.735054967475413</v>
      </c>
      <c r="AM217" s="408"/>
      <c r="AN217" s="408">
        <v>-12.645638958146227</v>
      </c>
      <c r="AO217" s="408">
        <v>0</v>
      </c>
      <c r="AP217" s="408">
        <v>0</v>
      </c>
      <c r="AQ217" s="408">
        <v>0</v>
      </c>
      <c r="AR217" s="408">
        <v>0</v>
      </c>
      <c r="AS217" s="408">
        <v>0</v>
      </c>
      <c r="AT217" s="408">
        <v>0</v>
      </c>
      <c r="AU217" s="408">
        <v>0</v>
      </c>
      <c r="AV217" s="408">
        <v>0</v>
      </c>
      <c r="AW217" s="408">
        <v>0</v>
      </c>
      <c r="AX217" s="408">
        <v>0</v>
      </c>
      <c r="AY217" s="408">
        <v>0</v>
      </c>
      <c r="AZ217" s="408">
        <v>0</v>
      </c>
      <c r="BA217" s="408"/>
      <c r="BB217" s="408">
        <v>0</v>
      </c>
      <c r="BC217" s="408">
        <v>0</v>
      </c>
      <c r="BD217" s="408">
        <v>-8.5827547811352218</v>
      </c>
      <c r="BE217" s="408">
        <v>0</v>
      </c>
      <c r="BF217" s="408">
        <v>0</v>
      </c>
      <c r="BG217" s="408">
        <v>-208.78334370083351</v>
      </c>
      <c r="BH217" s="408">
        <v>0</v>
      </c>
      <c r="BI217" s="408">
        <v>-7.35</v>
      </c>
      <c r="BJ217" s="408">
        <v>-35.39</v>
      </c>
      <c r="BK217" s="408">
        <v>-2149.33</v>
      </c>
      <c r="BL217" s="408">
        <v>0</v>
      </c>
      <c r="BM217" s="408"/>
      <c r="BN217" s="408"/>
      <c r="BO217" s="408"/>
      <c r="BP217" s="408"/>
      <c r="BQ217" s="408"/>
      <c r="BR217" s="408"/>
      <c r="BS217" s="408"/>
      <c r="BT217" s="408"/>
      <c r="BU217" s="408"/>
      <c r="BV217" s="408">
        <v>-1694.8520711368565</v>
      </c>
      <c r="BW217" s="408"/>
      <c r="BX217" s="408"/>
      <c r="BY217" s="408"/>
      <c r="BZ217" s="408"/>
      <c r="CA217" s="408"/>
      <c r="CB217" s="408"/>
      <c r="CC217" s="408"/>
      <c r="CD217" s="408"/>
      <c r="CE217" s="408"/>
      <c r="CF217" s="408"/>
      <c r="CG217" s="408"/>
      <c r="CH217" s="408"/>
      <c r="CI217" s="408">
        <v>-3804.0767999999998</v>
      </c>
      <c r="CJ217" s="408">
        <v>1767.4953399999995</v>
      </c>
      <c r="CK217" s="408"/>
      <c r="CL217" s="408"/>
      <c r="CM217" s="408"/>
      <c r="CN217" s="408"/>
      <c r="CO217" s="408">
        <v>1860.2721799999999</v>
      </c>
      <c r="CP217" s="408">
        <v>-92.086410000000058</v>
      </c>
      <c r="CQ217" s="408">
        <v>31</v>
      </c>
      <c r="CR217" s="408">
        <v>-76.556034870503936</v>
      </c>
      <c r="CS217" s="408">
        <v>0</v>
      </c>
      <c r="CT217" s="408">
        <v>0</v>
      </c>
      <c r="CU217" s="408">
        <v>0</v>
      </c>
      <c r="CV217" s="408">
        <v>0</v>
      </c>
      <c r="CW217" s="408">
        <v>0</v>
      </c>
      <c r="CX217" s="408">
        <v>0</v>
      </c>
      <c r="CY217" s="408">
        <v>0</v>
      </c>
      <c r="CZ217" s="408">
        <v>3.2039732971624062</v>
      </c>
      <c r="DA217" s="408">
        <v>0</v>
      </c>
      <c r="DB217" s="408">
        <v>0</v>
      </c>
      <c r="DC217" s="408">
        <v>-92.045114313011936</v>
      </c>
      <c r="DD217" s="408">
        <v>0</v>
      </c>
      <c r="DE217" s="408">
        <v>0</v>
      </c>
      <c r="DF217" s="408">
        <v>-0.53469248410569037</v>
      </c>
      <c r="DG217" s="408">
        <v>-13.006882700256284</v>
      </c>
      <c r="DH217" s="408">
        <v>0</v>
      </c>
      <c r="DI217" s="408">
        <v>22.015116948027526</v>
      </c>
      <c r="DJ217" s="408"/>
      <c r="DK217" s="408">
        <v>0</v>
      </c>
      <c r="DL217" s="408">
        <v>0</v>
      </c>
      <c r="DM217" s="408">
        <v>0</v>
      </c>
      <c r="DN217" s="408">
        <v>0</v>
      </c>
      <c r="DO217" s="408">
        <v>3.0034597476547944</v>
      </c>
      <c r="DP217" s="408">
        <v>0.80810463402525379</v>
      </c>
      <c r="DQ217" s="408">
        <v>0</v>
      </c>
      <c r="DR217" s="408">
        <v>0</v>
      </c>
      <c r="DS217" s="408"/>
      <c r="DT217" s="408"/>
      <c r="DU217" s="408"/>
      <c r="DV217" s="408">
        <v>-2746.5250452456371</v>
      </c>
      <c r="DW217" s="408">
        <v>0</v>
      </c>
      <c r="DX217" s="408">
        <v>0</v>
      </c>
      <c r="DY217" s="408">
        <v>1860.2721799999999</v>
      </c>
      <c r="DZ217" s="408">
        <v>-92.086409999999887</v>
      </c>
      <c r="EA217" s="408">
        <v>0</v>
      </c>
      <c r="EB217" s="408">
        <v>0</v>
      </c>
      <c r="EC217" s="408">
        <v>1844.7712993096468</v>
      </c>
      <c r="ED217" s="408">
        <v>0</v>
      </c>
      <c r="EE217" s="408">
        <v>0</v>
      </c>
      <c r="EF217" s="408">
        <v>0</v>
      </c>
      <c r="EG217" s="408">
        <v>0</v>
      </c>
      <c r="EH217" s="408">
        <v>0</v>
      </c>
      <c r="EI217" s="408">
        <v>0</v>
      </c>
      <c r="EJ217" s="408">
        <v>0</v>
      </c>
      <c r="EK217" s="408">
        <v>0</v>
      </c>
      <c r="EL217" s="408">
        <v>0</v>
      </c>
      <c r="EM217" s="408">
        <v>0</v>
      </c>
      <c r="EN217" s="408">
        <v>0</v>
      </c>
      <c r="EO217" s="408">
        <v>0</v>
      </c>
      <c r="EP217" s="408">
        <v>0</v>
      </c>
      <c r="EQ217" s="408">
        <v>0</v>
      </c>
      <c r="ER217" s="408">
        <v>0</v>
      </c>
      <c r="ES217" s="408">
        <v>0</v>
      </c>
      <c r="ET217" s="408">
        <v>0</v>
      </c>
      <c r="EU217" s="408">
        <v>0</v>
      </c>
      <c r="EV217" s="408">
        <v>257</v>
      </c>
      <c r="EW217" s="408">
        <v>0</v>
      </c>
      <c r="EX217" s="408">
        <v>0</v>
      </c>
      <c r="EY217" s="408">
        <v>0</v>
      </c>
      <c r="EZ217" s="408"/>
      <c r="FA217" s="408">
        <v>0</v>
      </c>
      <c r="FB217" s="408"/>
      <c r="FC217" s="408"/>
      <c r="FD217" s="408"/>
      <c r="FE217" s="408"/>
      <c r="FF217" s="408">
        <v>0</v>
      </c>
      <c r="FG217" s="408">
        <v>0</v>
      </c>
      <c r="FH217" s="408">
        <v>0</v>
      </c>
      <c r="FI217" s="408">
        <v>0</v>
      </c>
    </row>
    <row r="218" spans="1:165">
      <c r="A218" s="408">
        <v>216</v>
      </c>
      <c r="B218" s="408" t="s">
        <v>2236</v>
      </c>
      <c r="C218" s="408" t="s">
        <v>2233</v>
      </c>
      <c r="D218" s="408" t="s">
        <v>1955</v>
      </c>
      <c r="E218" s="408" t="s">
        <v>968</v>
      </c>
      <c r="F218" s="408" t="s">
        <v>968</v>
      </c>
      <c r="G218" s="408" t="s">
        <v>1321</v>
      </c>
      <c r="H218" s="408" t="s">
        <v>1321</v>
      </c>
      <c r="I218" s="408" t="s">
        <v>1321</v>
      </c>
      <c r="J218" s="408" t="s">
        <v>2234</v>
      </c>
      <c r="K218" s="828">
        <v>44562</v>
      </c>
      <c r="L218" s="408">
        <v>0</v>
      </c>
      <c r="M218" s="408">
        <v>0</v>
      </c>
      <c r="N218" s="408">
        <v>7.2050000000000001</v>
      </c>
      <c r="O218" s="408">
        <v>7.2050000000000001</v>
      </c>
      <c r="P218" s="408">
        <v>7.2050000000000001</v>
      </c>
      <c r="Q218" s="408">
        <v>7.2050000000000001</v>
      </c>
      <c r="R218" s="408"/>
      <c r="S218" s="408">
        <v>710.91</v>
      </c>
      <c r="T218" s="408">
        <v>256.55</v>
      </c>
      <c r="U218" s="408"/>
      <c r="V218" s="408">
        <v>6970.5492999999997</v>
      </c>
      <c r="W218" s="408">
        <v>6970.5492999999997</v>
      </c>
      <c r="X218" s="408">
        <v>4758.39815</v>
      </c>
      <c r="Y218" s="408">
        <v>0</v>
      </c>
      <c r="Z218" s="408">
        <v>442.92507947233497</v>
      </c>
      <c r="AA218" s="408">
        <v>0</v>
      </c>
      <c r="AB218" s="408">
        <v>0</v>
      </c>
      <c r="AC218" s="408">
        <v>0</v>
      </c>
      <c r="AD218" s="408">
        <v>886.8115005332952</v>
      </c>
      <c r="AE218" s="408">
        <v>3436.1369944425796</v>
      </c>
      <c r="AF218" s="408">
        <v>1848.4609190794347</v>
      </c>
      <c r="AG218" s="408">
        <v>0</v>
      </c>
      <c r="AH218" s="408">
        <v>0</v>
      </c>
      <c r="AI218" s="408">
        <v>0</v>
      </c>
      <c r="AJ218" s="408">
        <v>0</v>
      </c>
      <c r="AK218" s="408">
        <v>0</v>
      </c>
      <c r="AL218" s="408">
        <v>68.478220357815658</v>
      </c>
      <c r="AM218" s="408"/>
      <c r="AN218" s="408">
        <v>15.82077247672227</v>
      </c>
      <c r="AO218" s="408">
        <v>0</v>
      </c>
      <c r="AP218" s="408">
        <v>0</v>
      </c>
      <c r="AQ218" s="408">
        <v>0</v>
      </c>
      <c r="AR218" s="408">
        <v>0</v>
      </c>
      <c r="AS218" s="408">
        <v>0</v>
      </c>
      <c r="AT218" s="408">
        <v>0</v>
      </c>
      <c r="AU218" s="408">
        <v>0</v>
      </c>
      <c r="AV218" s="408">
        <v>0</v>
      </c>
      <c r="AW218" s="408">
        <v>0</v>
      </c>
      <c r="AX218" s="408">
        <v>0</v>
      </c>
      <c r="AY218" s="408">
        <v>0</v>
      </c>
      <c r="AZ218" s="408">
        <v>0</v>
      </c>
      <c r="BA218" s="408"/>
      <c r="BB218" s="408">
        <v>0</v>
      </c>
      <c r="BC218" s="408">
        <v>0</v>
      </c>
      <c r="BD218" s="408">
        <v>10.737757978482248</v>
      </c>
      <c r="BE218" s="408">
        <v>0</v>
      </c>
      <c r="BF218" s="408">
        <v>0</v>
      </c>
      <c r="BG218" s="408">
        <v>261.20576339025968</v>
      </c>
      <c r="BH218" s="408">
        <v>0</v>
      </c>
      <c r="BI218" s="408">
        <v>7.66</v>
      </c>
      <c r="BJ218" s="408">
        <v>36.78</v>
      </c>
      <c r="BK218" s="408">
        <v>6907.3</v>
      </c>
      <c r="BL218" s="408">
        <v>101</v>
      </c>
      <c r="BM218" s="408"/>
      <c r="BN218" s="408"/>
      <c r="BO218" s="408"/>
      <c r="BP218" s="408"/>
      <c r="BQ218" s="408"/>
      <c r="BR218" s="408"/>
      <c r="BS218" s="408"/>
      <c r="BT218" s="408"/>
      <c r="BU218" s="408"/>
      <c r="BV218" s="408">
        <v>2120.4044404481765</v>
      </c>
      <c r="BW218" s="408"/>
      <c r="BX218" s="408"/>
      <c r="BY218" s="408"/>
      <c r="BZ218" s="408"/>
      <c r="CA218" s="408"/>
      <c r="CB218" s="408"/>
      <c r="CC218" s="408"/>
      <c r="CD218" s="408"/>
      <c r="CE218" s="408"/>
      <c r="CF218" s="408"/>
      <c r="CG218" s="408"/>
      <c r="CH218" s="408"/>
      <c r="CI218" s="408">
        <v>4761.7002999999995</v>
      </c>
      <c r="CJ218" s="408">
        <v>-2208.8790000000008</v>
      </c>
      <c r="CK218" s="408"/>
      <c r="CL218" s="408"/>
      <c r="CM218" s="408"/>
      <c r="CN218" s="408"/>
      <c r="CO218" s="408">
        <v>-2327.3590999999997</v>
      </c>
      <c r="CP218" s="408">
        <v>115.20795000000007</v>
      </c>
      <c r="CQ218" s="408">
        <v>31</v>
      </c>
      <c r="CR218" s="408">
        <v>95.778126626495123</v>
      </c>
      <c r="CS218" s="408">
        <v>0</v>
      </c>
      <c r="CT218" s="408">
        <v>0</v>
      </c>
      <c r="CU218" s="408">
        <v>0</v>
      </c>
      <c r="CV218" s="408">
        <v>0</v>
      </c>
      <c r="CW218" s="408">
        <v>0</v>
      </c>
      <c r="CX218" s="408">
        <v>0</v>
      </c>
      <c r="CY218" s="408">
        <v>0</v>
      </c>
      <c r="CZ218" s="408">
        <v>-4.0084437586481272</v>
      </c>
      <c r="DA218" s="408">
        <v>0</v>
      </c>
      <c r="DB218" s="408">
        <v>0</v>
      </c>
      <c r="DC218" s="408">
        <v>115.15628557479636</v>
      </c>
      <c r="DD218" s="408">
        <v>0</v>
      </c>
      <c r="DE218" s="408">
        <v>0</v>
      </c>
      <c r="DF218" s="408">
        <v>0.66894588435171087</v>
      </c>
      <c r="DG218" s="408">
        <v>16.272719196969376</v>
      </c>
      <c r="DH218" s="408">
        <v>0</v>
      </c>
      <c r="DI218" s="408">
        <v>-27.542788263680904</v>
      </c>
      <c r="DJ218" s="408"/>
      <c r="DK218" s="408">
        <v>0</v>
      </c>
      <c r="DL218" s="408">
        <v>0</v>
      </c>
      <c r="DM218" s="408">
        <v>0</v>
      </c>
      <c r="DN218" s="408">
        <v>0</v>
      </c>
      <c r="DO218" s="408">
        <v>-3.7575842128586316</v>
      </c>
      <c r="DP218" s="408">
        <v>-1.0110077944351357</v>
      </c>
      <c r="DQ218" s="408">
        <v>0</v>
      </c>
      <c r="DR218" s="408">
        <v>0</v>
      </c>
      <c r="DS218" s="408"/>
      <c r="DT218" s="408"/>
      <c r="DU218" s="408"/>
      <c r="DV218" s="408">
        <v>3436.1369944425796</v>
      </c>
      <c r="DW218" s="408">
        <v>0</v>
      </c>
      <c r="DX218" s="408">
        <v>0</v>
      </c>
      <c r="DY218" s="408">
        <v>-2327.3590999999997</v>
      </c>
      <c r="DZ218" s="408">
        <v>115.20794999999998</v>
      </c>
      <c r="EA218" s="408">
        <v>0</v>
      </c>
      <c r="EB218" s="408">
        <v>0</v>
      </c>
      <c r="EC218" s="408">
        <v>-2307.9661766844947</v>
      </c>
      <c r="ED218" s="408">
        <v>0</v>
      </c>
      <c r="EE218" s="408">
        <v>0</v>
      </c>
      <c r="EF218" s="408">
        <v>0</v>
      </c>
      <c r="EG218" s="408">
        <v>0</v>
      </c>
      <c r="EH218" s="408">
        <v>0</v>
      </c>
      <c r="EI218" s="408">
        <v>0</v>
      </c>
      <c r="EJ218" s="408">
        <v>0</v>
      </c>
      <c r="EK218" s="408">
        <v>0</v>
      </c>
      <c r="EL218" s="408">
        <v>0</v>
      </c>
      <c r="EM218" s="408">
        <v>0</v>
      </c>
      <c r="EN218" s="408">
        <v>0</v>
      </c>
      <c r="EO218" s="408">
        <v>0</v>
      </c>
      <c r="EP218" s="408">
        <v>0</v>
      </c>
      <c r="EQ218" s="408">
        <v>0</v>
      </c>
      <c r="ER218" s="408">
        <v>0</v>
      </c>
      <c r="ES218" s="408">
        <v>0</v>
      </c>
      <c r="ET218" s="408">
        <v>0</v>
      </c>
      <c r="EU218" s="408">
        <v>0</v>
      </c>
      <c r="EV218" s="408">
        <v>257</v>
      </c>
      <c r="EW218" s="408">
        <v>0</v>
      </c>
      <c r="EX218" s="408">
        <v>0</v>
      </c>
      <c r="EY218" s="408">
        <v>0</v>
      </c>
      <c r="EZ218" s="408"/>
      <c r="FA218" s="408">
        <v>0</v>
      </c>
      <c r="FB218" s="408"/>
      <c r="FC218" s="408"/>
      <c r="FD218" s="408"/>
      <c r="FE218" s="408"/>
      <c r="FF218" s="408">
        <v>0</v>
      </c>
      <c r="FG218" s="408">
        <v>0</v>
      </c>
      <c r="FH218" s="408">
        <v>0</v>
      </c>
      <c r="FI218" s="408">
        <v>0</v>
      </c>
    </row>
    <row r="219" spans="1:165">
      <c r="A219" s="408">
        <v>217</v>
      </c>
      <c r="B219" s="408" t="s">
        <v>1035</v>
      </c>
      <c r="C219" s="408" t="s">
        <v>2233</v>
      </c>
      <c r="D219" s="408" t="s">
        <v>1955</v>
      </c>
      <c r="E219" s="408" t="s">
        <v>968</v>
      </c>
      <c r="F219" s="408" t="s">
        <v>2237</v>
      </c>
      <c r="G219" s="408" t="s">
        <v>1321</v>
      </c>
      <c r="H219" s="408" t="s">
        <v>1321</v>
      </c>
      <c r="I219" s="408" t="s">
        <v>1321</v>
      </c>
      <c r="J219" s="408" t="s">
        <v>2234</v>
      </c>
      <c r="K219" s="828">
        <v>44562</v>
      </c>
      <c r="L219" s="408">
        <v>0</v>
      </c>
      <c r="M219" s="408">
        <v>0</v>
      </c>
      <c r="N219" s="408">
        <v>3.81</v>
      </c>
      <c r="O219" s="408">
        <v>3.81</v>
      </c>
      <c r="P219" s="408">
        <v>3.81</v>
      </c>
      <c r="Q219" s="408">
        <v>3.81</v>
      </c>
      <c r="R219" s="408"/>
      <c r="S219" s="408">
        <v>639.92999999999995</v>
      </c>
      <c r="T219" s="408">
        <v>256.55</v>
      </c>
      <c r="U219" s="408"/>
      <c r="V219" s="408">
        <v>3415.5888</v>
      </c>
      <c r="W219" s="408">
        <v>3415.5888</v>
      </c>
      <c r="X219" s="408">
        <v>2262.3780000000002</v>
      </c>
      <c r="Y219" s="408">
        <v>0</v>
      </c>
      <c r="Z219" s="408">
        <v>0</v>
      </c>
      <c r="AA219" s="408">
        <v>0</v>
      </c>
      <c r="AB219" s="408">
        <v>0</v>
      </c>
      <c r="AC219" s="408">
        <v>0</v>
      </c>
      <c r="AD219" s="408">
        <v>468.9454291508473</v>
      </c>
      <c r="AE219" s="408">
        <v>1817.0273350209893</v>
      </c>
      <c r="AF219" s="408">
        <v>977.46510779911819</v>
      </c>
      <c r="AG219" s="408">
        <v>0</v>
      </c>
      <c r="AH219" s="408">
        <v>0</v>
      </c>
      <c r="AI219" s="408">
        <v>0</v>
      </c>
      <c r="AJ219" s="408">
        <v>0</v>
      </c>
      <c r="AK219" s="408">
        <v>0</v>
      </c>
      <c r="AL219" s="408">
        <v>0</v>
      </c>
      <c r="AM219" s="408"/>
      <c r="AN219" s="408">
        <v>8.3660157024721507</v>
      </c>
      <c r="AO219" s="408">
        <v>0</v>
      </c>
      <c r="AP219" s="408">
        <v>0</v>
      </c>
      <c r="AQ219" s="408">
        <v>0</v>
      </c>
      <c r="AR219" s="408">
        <v>0</v>
      </c>
      <c r="AS219" s="408">
        <v>0</v>
      </c>
      <c r="AT219" s="408">
        <v>0</v>
      </c>
      <c r="AU219" s="408">
        <v>0</v>
      </c>
      <c r="AV219" s="408">
        <v>0</v>
      </c>
      <c r="AW219" s="408">
        <v>0</v>
      </c>
      <c r="AX219" s="408">
        <v>0</v>
      </c>
      <c r="AY219" s="408">
        <v>0</v>
      </c>
      <c r="AZ219" s="408">
        <v>0</v>
      </c>
      <c r="BA219" s="408"/>
      <c r="BB219" s="408">
        <v>0</v>
      </c>
      <c r="BC219" s="408">
        <v>0</v>
      </c>
      <c r="BD219" s="408">
        <v>5.6781204577400928</v>
      </c>
      <c r="BE219" s="408">
        <v>0</v>
      </c>
      <c r="BF219" s="408">
        <v>0</v>
      </c>
      <c r="BG219" s="408">
        <v>138.12546266716021</v>
      </c>
      <c r="BH219" s="408">
        <v>0</v>
      </c>
      <c r="BI219" s="408">
        <v>1.21</v>
      </c>
      <c r="BJ219" s="408">
        <v>3.87</v>
      </c>
      <c r="BK219" s="408">
        <v>253.03</v>
      </c>
      <c r="BL219" s="408">
        <v>3</v>
      </c>
      <c r="BM219" s="408"/>
      <c r="BN219" s="408"/>
      <c r="BO219" s="408"/>
      <c r="BP219" s="408"/>
      <c r="BQ219" s="408"/>
      <c r="BR219" s="408"/>
      <c r="BS219" s="408"/>
      <c r="BT219" s="408">
        <v>1470.5457000000001</v>
      </c>
      <c r="BU219" s="408"/>
      <c r="BV219" s="408">
        <v>1121.2686909240185</v>
      </c>
      <c r="BW219" s="408"/>
      <c r="BX219" s="408"/>
      <c r="BY219" s="408"/>
      <c r="BZ219" s="408"/>
      <c r="CA219" s="408"/>
      <c r="CB219" s="408"/>
      <c r="CC219" s="408"/>
      <c r="CD219" s="408"/>
      <c r="CE219" s="408"/>
      <c r="CF219" s="408"/>
      <c r="CG219" s="408"/>
      <c r="CH219" s="408"/>
      <c r="CI219" s="408">
        <v>791.83230000000003</v>
      </c>
      <c r="CJ219" s="408">
        <v>-403.66139999999996</v>
      </c>
      <c r="CK219" s="408"/>
      <c r="CL219" s="408"/>
      <c r="CM219" s="408"/>
      <c r="CN219" s="408"/>
      <c r="CO219" s="408">
        <v>-1214.1326999999999</v>
      </c>
      <c r="CP219" s="408">
        <v>60.921900000000036</v>
      </c>
      <c r="CQ219" s="408">
        <v>31</v>
      </c>
      <c r="CR219" s="408">
        <v>67.199039775511665</v>
      </c>
      <c r="CS219" s="408">
        <v>0</v>
      </c>
      <c r="CT219" s="408">
        <v>0</v>
      </c>
      <c r="CU219" s="408">
        <v>0</v>
      </c>
      <c r="CV219" s="408">
        <v>0</v>
      </c>
      <c r="CW219" s="408">
        <v>0</v>
      </c>
      <c r="CX219" s="408">
        <v>0</v>
      </c>
      <c r="CY219" s="408">
        <v>0</v>
      </c>
      <c r="CZ219" s="408">
        <v>-2.1196628342053145</v>
      </c>
      <c r="DA219" s="408">
        <v>0</v>
      </c>
      <c r="DB219" s="408">
        <v>0</v>
      </c>
      <c r="DC219" s="408">
        <v>60.894579880634865</v>
      </c>
      <c r="DD219" s="408">
        <v>0</v>
      </c>
      <c r="DE219" s="408">
        <v>0</v>
      </c>
      <c r="DF219" s="408">
        <v>0.35373821226648428</v>
      </c>
      <c r="DG219" s="408">
        <v>8.6050048772315506</v>
      </c>
      <c r="DH219" s="408">
        <v>0</v>
      </c>
      <c r="DI219" s="408">
        <v>0</v>
      </c>
      <c r="DJ219" s="408"/>
      <c r="DK219" s="408">
        <v>0</v>
      </c>
      <c r="DL219" s="408">
        <v>0</v>
      </c>
      <c r="DM219" s="408">
        <v>0</v>
      </c>
      <c r="DN219" s="408">
        <v>0</v>
      </c>
      <c r="DO219" s="408">
        <v>0</v>
      </c>
      <c r="DP219" s="408">
        <v>-0.5346203604160813</v>
      </c>
      <c r="DQ219" s="408">
        <v>0</v>
      </c>
      <c r="DR219" s="408">
        <v>0</v>
      </c>
      <c r="DS219" s="408"/>
      <c r="DT219" s="408"/>
      <c r="DU219" s="408"/>
      <c r="DV219" s="408">
        <v>1817.0273350209893</v>
      </c>
      <c r="DW219" s="408">
        <v>0</v>
      </c>
      <c r="DX219" s="408">
        <v>0</v>
      </c>
      <c r="DY219" s="408">
        <v>-1214.1326999999999</v>
      </c>
      <c r="DZ219" s="408">
        <v>60.921900000000051</v>
      </c>
      <c r="EA219" s="408">
        <v>0</v>
      </c>
      <c r="EB219" s="408">
        <v>0</v>
      </c>
      <c r="EC219" s="408">
        <v>-1220.4512329171305</v>
      </c>
      <c r="ED219" s="408">
        <v>0</v>
      </c>
      <c r="EE219" s="408">
        <v>0</v>
      </c>
      <c r="EF219" s="408">
        <v>0</v>
      </c>
      <c r="EG219" s="408">
        <v>0</v>
      </c>
      <c r="EH219" s="408">
        <v>0</v>
      </c>
      <c r="EI219" s="408">
        <v>0</v>
      </c>
      <c r="EJ219" s="408">
        <v>0</v>
      </c>
      <c r="EK219" s="408">
        <v>0</v>
      </c>
      <c r="EL219" s="408">
        <v>0</v>
      </c>
      <c r="EM219" s="408">
        <v>0</v>
      </c>
      <c r="EN219" s="408">
        <v>0</v>
      </c>
      <c r="EO219" s="408">
        <v>0</v>
      </c>
      <c r="EP219" s="408">
        <v>0</v>
      </c>
      <c r="EQ219" s="408">
        <v>0</v>
      </c>
      <c r="ER219" s="408">
        <v>0</v>
      </c>
      <c r="ES219" s="408">
        <v>0</v>
      </c>
      <c r="ET219" s="408">
        <v>0</v>
      </c>
      <c r="EU219" s="408">
        <v>0</v>
      </c>
      <c r="EV219" s="408">
        <v>257</v>
      </c>
      <c r="EW219" s="408">
        <v>0</v>
      </c>
      <c r="EX219" s="408">
        <v>0</v>
      </c>
      <c r="EY219" s="408">
        <v>0</v>
      </c>
      <c r="EZ219" s="408"/>
      <c r="FA219" s="408">
        <v>0</v>
      </c>
      <c r="FB219" s="408"/>
      <c r="FC219" s="408"/>
      <c r="FD219" s="408"/>
      <c r="FE219" s="408"/>
      <c r="FF219" s="408">
        <v>0</v>
      </c>
      <c r="FG219" s="408">
        <v>0</v>
      </c>
      <c r="FH219" s="408">
        <v>0</v>
      </c>
      <c r="FI219" s="408">
        <v>0</v>
      </c>
    </row>
    <row r="220" spans="1:165">
      <c r="A220" s="408">
        <v>218</v>
      </c>
      <c r="B220" s="408" t="s">
        <v>1035</v>
      </c>
      <c r="C220" s="408" t="s">
        <v>2233</v>
      </c>
      <c r="D220" s="408" t="s">
        <v>1955</v>
      </c>
      <c r="E220" s="408" t="s">
        <v>968</v>
      </c>
      <c r="F220" s="408" t="s">
        <v>2238</v>
      </c>
      <c r="G220" s="408" t="s">
        <v>1321</v>
      </c>
      <c r="H220" s="408" t="s">
        <v>1321</v>
      </c>
      <c r="I220" s="408" t="s">
        <v>1321</v>
      </c>
      <c r="J220" s="408" t="s">
        <v>2234</v>
      </c>
      <c r="K220" s="828">
        <v>44562</v>
      </c>
      <c r="L220" s="408">
        <v>0</v>
      </c>
      <c r="M220" s="408">
        <v>0</v>
      </c>
      <c r="N220" s="408">
        <v>7.7889999999999997</v>
      </c>
      <c r="O220" s="408">
        <v>7.7889999999999997</v>
      </c>
      <c r="P220" s="408">
        <v>7.7889999999999997</v>
      </c>
      <c r="Q220" s="408">
        <v>7.7889999999999997</v>
      </c>
      <c r="R220" s="408"/>
      <c r="S220" s="408">
        <v>639.92999999999995</v>
      </c>
      <c r="T220" s="408">
        <v>256.55</v>
      </c>
      <c r="U220" s="408"/>
      <c r="V220" s="408">
        <v>6982.6827199999989</v>
      </c>
      <c r="W220" s="408">
        <v>6982.6827199999989</v>
      </c>
      <c r="X220" s="408">
        <v>4625.1082000000006</v>
      </c>
      <c r="Y220" s="408">
        <v>0</v>
      </c>
      <c r="Z220" s="408">
        <v>0</v>
      </c>
      <c r="AA220" s="408">
        <v>0</v>
      </c>
      <c r="AB220" s="408">
        <v>0</v>
      </c>
      <c r="AC220" s="408">
        <v>0</v>
      </c>
      <c r="AD220" s="408">
        <v>958.69184977846442</v>
      </c>
      <c r="AE220" s="408">
        <v>3714.6524704667941</v>
      </c>
      <c r="AF220" s="408">
        <v>1998.287591770953</v>
      </c>
      <c r="AG220" s="408">
        <v>0</v>
      </c>
      <c r="AH220" s="408">
        <v>0</v>
      </c>
      <c r="AI220" s="408">
        <v>0</v>
      </c>
      <c r="AJ220" s="408">
        <v>0</v>
      </c>
      <c r="AK220" s="408">
        <v>0</v>
      </c>
      <c r="AL220" s="408">
        <v>0</v>
      </c>
      <c r="AM220" s="408"/>
      <c r="AN220" s="408">
        <v>17.103122390172068</v>
      </c>
      <c r="AO220" s="408">
        <v>0</v>
      </c>
      <c r="AP220" s="408">
        <v>0</v>
      </c>
      <c r="AQ220" s="408">
        <v>0</v>
      </c>
      <c r="AR220" s="408">
        <v>0</v>
      </c>
      <c r="AS220" s="408">
        <v>0</v>
      </c>
      <c r="AT220" s="408">
        <v>0</v>
      </c>
      <c r="AU220" s="408">
        <v>0</v>
      </c>
      <c r="AV220" s="408">
        <v>0</v>
      </c>
      <c r="AW220" s="408">
        <v>0</v>
      </c>
      <c r="AX220" s="408">
        <v>0</v>
      </c>
      <c r="AY220" s="408">
        <v>0</v>
      </c>
      <c r="AZ220" s="408">
        <v>0</v>
      </c>
      <c r="BA220" s="408"/>
      <c r="BB220" s="408">
        <v>0</v>
      </c>
      <c r="BC220" s="408">
        <v>0</v>
      </c>
      <c r="BD220" s="408">
        <v>11.608105051269707</v>
      </c>
      <c r="BE220" s="408">
        <v>0</v>
      </c>
      <c r="BF220" s="408">
        <v>0</v>
      </c>
      <c r="BG220" s="408">
        <v>282.37775031876924</v>
      </c>
      <c r="BH220" s="408">
        <v>0</v>
      </c>
      <c r="BI220" s="408">
        <v>3.56</v>
      </c>
      <c r="BJ220" s="408">
        <v>18.68</v>
      </c>
      <c r="BK220" s="408">
        <v>927.9</v>
      </c>
      <c r="BL220" s="408">
        <v>33</v>
      </c>
      <c r="BM220" s="408"/>
      <c r="BN220" s="408"/>
      <c r="BO220" s="408"/>
      <c r="BP220" s="408"/>
      <c r="BQ220" s="408"/>
      <c r="BR220" s="408"/>
      <c r="BS220" s="408"/>
      <c r="BT220" s="408">
        <v>1850.0432799999999</v>
      </c>
      <c r="BU220" s="408"/>
      <c r="BV220" s="408">
        <v>2292.2734471409917</v>
      </c>
      <c r="BW220" s="408"/>
      <c r="BX220" s="408"/>
      <c r="BY220" s="408"/>
      <c r="BZ220" s="408"/>
      <c r="CA220" s="408"/>
      <c r="CB220" s="408"/>
      <c r="CC220" s="408"/>
      <c r="CD220" s="408"/>
      <c r="CE220" s="408"/>
      <c r="CF220" s="408"/>
      <c r="CG220" s="408"/>
      <c r="CH220" s="408"/>
      <c r="CI220" s="408">
        <v>2775.4212000000002</v>
      </c>
      <c r="CJ220" s="408">
        <v>-1414.2340099999997</v>
      </c>
      <c r="CK220" s="408"/>
      <c r="CL220" s="408"/>
      <c r="CM220" s="408"/>
      <c r="CN220" s="408"/>
      <c r="CO220" s="408">
        <v>-2482.1206299999994</v>
      </c>
      <c r="CP220" s="408">
        <v>124.54611000000007</v>
      </c>
      <c r="CQ220" s="408">
        <v>31</v>
      </c>
      <c r="CR220" s="408">
        <v>137.37882435996289</v>
      </c>
      <c r="CS220" s="408">
        <v>0</v>
      </c>
      <c r="CT220" s="408">
        <v>0</v>
      </c>
      <c r="CU220" s="408">
        <v>0</v>
      </c>
      <c r="CV220" s="408">
        <v>0</v>
      </c>
      <c r="CW220" s="408">
        <v>0</v>
      </c>
      <c r="CX220" s="408">
        <v>0</v>
      </c>
      <c r="CY220" s="408">
        <v>0</v>
      </c>
      <c r="CZ220" s="408">
        <v>-4.3333474581694418</v>
      </c>
      <c r="DA220" s="408">
        <v>0</v>
      </c>
      <c r="DB220" s="408">
        <v>0</v>
      </c>
      <c r="DC220" s="408">
        <v>124.49025792395378</v>
      </c>
      <c r="DD220" s="408">
        <v>0</v>
      </c>
      <c r="DE220" s="408">
        <v>0</v>
      </c>
      <c r="DF220" s="408">
        <v>0.72316717463087699</v>
      </c>
      <c r="DG220" s="408">
        <v>17.591701571852127</v>
      </c>
      <c r="DH220" s="408">
        <v>0</v>
      </c>
      <c r="DI220" s="408">
        <v>0</v>
      </c>
      <c r="DJ220" s="408"/>
      <c r="DK220" s="408">
        <v>0</v>
      </c>
      <c r="DL220" s="408">
        <v>0</v>
      </c>
      <c r="DM220" s="408">
        <v>0</v>
      </c>
      <c r="DN220" s="408">
        <v>0</v>
      </c>
      <c r="DO220" s="408">
        <v>0</v>
      </c>
      <c r="DP220" s="408">
        <v>-1.0929548523046861</v>
      </c>
      <c r="DQ220" s="408">
        <v>0</v>
      </c>
      <c r="DR220" s="408">
        <v>0</v>
      </c>
      <c r="DS220" s="408"/>
      <c r="DT220" s="408"/>
      <c r="DU220" s="408"/>
      <c r="DV220" s="408">
        <v>3714.6524704667941</v>
      </c>
      <c r="DW220" s="408">
        <v>0</v>
      </c>
      <c r="DX220" s="408">
        <v>0</v>
      </c>
      <c r="DY220" s="408">
        <v>-2482.1206299999994</v>
      </c>
      <c r="DZ220" s="408">
        <v>124.54611000000023</v>
      </c>
      <c r="EA220" s="408">
        <v>0</v>
      </c>
      <c r="EB220" s="408">
        <v>0</v>
      </c>
      <c r="EC220" s="408">
        <v>-2495.0379667169368</v>
      </c>
      <c r="ED220" s="408">
        <v>0</v>
      </c>
      <c r="EE220" s="408">
        <v>0</v>
      </c>
      <c r="EF220" s="408">
        <v>0</v>
      </c>
      <c r="EG220" s="408">
        <v>0</v>
      </c>
      <c r="EH220" s="408">
        <v>0</v>
      </c>
      <c r="EI220" s="408">
        <v>0</v>
      </c>
      <c r="EJ220" s="408">
        <v>0</v>
      </c>
      <c r="EK220" s="408">
        <v>0</v>
      </c>
      <c r="EL220" s="408">
        <v>0</v>
      </c>
      <c r="EM220" s="408">
        <v>0</v>
      </c>
      <c r="EN220" s="408">
        <v>0</v>
      </c>
      <c r="EO220" s="408">
        <v>0</v>
      </c>
      <c r="EP220" s="408">
        <v>0</v>
      </c>
      <c r="EQ220" s="408">
        <v>0</v>
      </c>
      <c r="ER220" s="408">
        <v>0</v>
      </c>
      <c r="ES220" s="408">
        <v>0</v>
      </c>
      <c r="ET220" s="408">
        <v>0</v>
      </c>
      <c r="EU220" s="408">
        <v>0</v>
      </c>
      <c r="EV220" s="408">
        <v>257</v>
      </c>
      <c r="EW220" s="408">
        <v>0</v>
      </c>
      <c r="EX220" s="408">
        <v>0</v>
      </c>
      <c r="EY220" s="408">
        <v>0</v>
      </c>
      <c r="EZ220" s="408"/>
      <c r="FA220" s="408">
        <v>0</v>
      </c>
      <c r="FB220" s="408"/>
      <c r="FC220" s="408"/>
      <c r="FD220" s="408"/>
      <c r="FE220" s="408"/>
      <c r="FF220" s="408">
        <v>0</v>
      </c>
      <c r="FG220" s="408">
        <v>0</v>
      </c>
      <c r="FH220" s="408">
        <v>0</v>
      </c>
      <c r="FI220" s="408">
        <v>0</v>
      </c>
    </row>
    <row r="221" spans="1:165">
      <c r="A221" s="408">
        <v>219</v>
      </c>
      <c r="B221" s="408" t="s">
        <v>1035</v>
      </c>
      <c r="C221" s="408" t="s">
        <v>2233</v>
      </c>
      <c r="D221" s="408" t="s">
        <v>1955</v>
      </c>
      <c r="E221" s="408" t="s">
        <v>968</v>
      </c>
      <c r="F221" s="408" t="s">
        <v>2239</v>
      </c>
      <c r="G221" s="408" t="s">
        <v>1321</v>
      </c>
      <c r="H221" s="408" t="s">
        <v>1321</v>
      </c>
      <c r="I221" s="408" t="s">
        <v>1321</v>
      </c>
      <c r="J221" s="408" t="s">
        <v>2234</v>
      </c>
      <c r="K221" s="828">
        <v>44562</v>
      </c>
      <c r="L221" s="408">
        <v>0</v>
      </c>
      <c r="M221" s="408">
        <v>0</v>
      </c>
      <c r="N221" s="408">
        <v>6.335</v>
      </c>
      <c r="O221" s="408">
        <v>6.335</v>
      </c>
      <c r="P221" s="408">
        <v>6.335</v>
      </c>
      <c r="Q221" s="408">
        <v>6.335</v>
      </c>
      <c r="R221" s="408"/>
      <c r="S221" s="408">
        <v>639.92999999999995</v>
      </c>
      <c r="T221" s="408">
        <v>256.55</v>
      </c>
      <c r="U221" s="408"/>
      <c r="V221" s="408">
        <v>5679.2007999999996</v>
      </c>
      <c r="W221" s="408">
        <v>5679.2007999999996</v>
      </c>
      <c r="X221" s="408">
        <v>3761.723</v>
      </c>
      <c r="Y221" s="408">
        <v>0</v>
      </c>
      <c r="Z221" s="408">
        <v>0</v>
      </c>
      <c r="AA221" s="408">
        <v>0</v>
      </c>
      <c r="AB221" s="408">
        <v>0</v>
      </c>
      <c r="AC221" s="408">
        <v>0</v>
      </c>
      <c r="AD221" s="408">
        <v>779.72947340436156</v>
      </c>
      <c r="AE221" s="408">
        <v>3021.2252407763694</v>
      </c>
      <c r="AF221" s="408">
        <v>1625.2602251725496</v>
      </c>
      <c r="AG221" s="408">
        <v>0</v>
      </c>
      <c r="AH221" s="408">
        <v>0</v>
      </c>
      <c r="AI221" s="408">
        <v>0</v>
      </c>
      <c r="AJ221" s="408">
        <v>0</v>
      </c>
      <c r="AK221" s="408">
        <v>0</v>
      </c>
      <c r="AL221" s="408">
        <v>0</v>
      </c>
      <c r="AM221" s="408"/>
      <c r="AN221" s="408">
        <v>13.910422434425479</v>
      </c>
      <c r="AO221" s="408">
        <v>0</v>
      </c>
      <c r="AP221" s="408">
        <v>0</v>
      </c>
      <c r="AQ221" s="408">
        <v>0</v>
      </c>
      <c r="AR221" s="408">
        <v>0</v>
      </c>
      <c r="AS221" s="408">
        <v>0</v>
      </c>
      <c r="AT221" s="408">
        <v>0</v>
      </c>
      <c r="AU221" s="408">
        <v>0</v>
      </c>
      <c r="AV221" s="408">
        <v>0</v>
      </c>
      <c r="AW221" s="408">
        <v>0</v>
      </c>
      <c r="AX221" s="408">
        <v>0</v>
      </c>
      <c r="AY221" s="408">
        <v>0</v>
      </c>
      <c r="AZ221" s="408">
        <v>0</v>
      </c>
      <c r="BA221" s="408"/>
      <c r="BB221" s="408">
        <v>0</v>
      </c>
      <c r="BC221" s="408">
        <v>0</v>
      </c>
      <c r="BD221" s="408">
        <v>9.441179291281756</v>
      </c>
      <c r="BE221" s="408">
        <v>0</v>
      </c>
      <c r="BF221" s="408">
        <v>0</v>
      </c>
      <c r="BG221" s="408">
        <v>229.66530341114435</v>
      </c>
      <c r="BH221" s="408">
        <v>0</v>
      </c>
      <c r="BI221" s="408">
        <v>4.42</v>
      </c>
      <c r="BJ221" s="408">
        <v>21.76</v>
      </c>
      <c r="BK221" s="408">
        <v>1137.06</v>
      </c>
      <c r="BL221" s="408">
        <v>69</v>
      </c>
      <c r="BM221" s="408"/>
      <c r="BN221" s="408"/>
      <c r="BO221" s="408"/>
      <c r="BP221" s="408"/>
      <c r="BQ221" s="408"/>
      <c r="BR221" s="408"/>
      <c r="BS221" s="408"/>
      <c r="BT221" s="408">
        <v>376.23565000000008</v>
      </c>
      <c r="BU221" s="408"/>
      <c r="BV221" s="408">
        <v>1864.3667078749756</v>
      </c>
      <c r="BW221" s="408"/>
      <c r="BX221" s="408"/>
      <c r="BY221" s="408"/>
      <c r="BZ221" s="408"/>
      <c r="CA221" s="408"/>
      <c r="CB221" s="408"/>
      <c r="CC221" s="408"/>
      <c r="CD221" s="408"/>
      <c r="CE221" s="408"/>
      <c r="CF221" s="408"/>
      <c r="CG221" s="408"/>
      <c r="CH221" s="408"/>
      <c r="CI221" s="408">
        <v>3388.1594</v>
      </c>
      <c r="CJ221" s="408">
        <v>-1723.2020000000007</v>
      </c>
      <c r="CK221" s="408"/>
      <c r="CL221" s="408"/>
      <c r="CM221" s="408"/>
      <c r="CN221" s="408"/>
      <c r="CO221" s="408">
        <v>-2018.7744499999997</v>
      </c>
      <c r="CP221" s="408">
        <v>101.29665000000006</v>
      </c>
      <c r="CQ221" s="408">
        <v>31</v>
      </c>
      <c r="CR221" s="408">
        <v>111.7338364771299</v>
      </c>
      <c r="CS221" s="408">
        <v>0</v>
      </c>
      <c r="CT221" s="408">
        <v>0</v>
      </c>
      <c r="CU221" s="408">
        <v>0</v>
      </c>
      <c r="CV221" s="408">
        <v>0</v>
      </c>
      <c r="CW221" s="408">
        <v>0</v>
      </c>
      <c r="CX221" s="408">
        <v>0</v>
      </c>
      <c r="CY221" s="408">
        <v>0</v>
      </c>
      <c r="CZ221" s="408">
        <v>-3.5244262610736996</v>
      </c>
      <c r="DA221" s="408">
        <v>0</v>
      </c>
      <c r="DB221" s="408">
        <v>0</v>
      </c>
      <c r="DC221" s="408">
        <v>101.25122402724969</v>
      </c>
      <c r="DD221" s="408">
        <v>0</v>
      </c>
      <c r="DE221" s="408">
        <v>0</v>
      </c>
      <c r="DF221" s="408">
        <v>0.58817101698377172</v>
      </c>
      <c r="DG221" s="408">
        <v>14.307796823428276</v>
      </c>
      <c r="DH221" s="408">
        <v>0</v>
      </c>
      <c r="DI221" s="408">
        <v>0</v>
      </c>
      <c r="DJ221" s="408"/>
      <c r="DK221" s="408">
        <v>0</v>
      </c>
      <c r="DL221" s="408">
        <v>0</v>
      </c>
      <c r="DM221" s="408">
        <v>0</v>
      </c>
      <c r="DN221" s="408">
        <v>0</v>
      </c>
      <c r="DO221" s="408">
        <v>0</v>
      </c>
      <c r="DP221" s="408">
        <v>-0.88892912945823532</v>
      </c>
      <c r="DQ221" s="408">
        <v>0</v>
      </c>
      <c r="DR221" s="408">
        <v>0</v>
      </c>
      <c r="DS221" s="408"/>
      <c r="DT221" s="408"/>
      <c r="DU221" s="408"/>
      <c r="DV221" s="408">
        <v>3021.2252407763694</v>
      </c>
      <c r="DW221" s="408">
        <v>0</v>
      </c>
      <c r="DX221" s="408">
        <v>0</v>
      </c>
      <c r="DY221" s="408">
        <v>-2018.7744499999999</v>
      </c>
      <c r="DZ221" s="408">
        <v>101.29665000000023</v>
      </c>
      <c r="EA221" s="408">
        <v>0</v>
      </c>
      <c r="EB221" s="408">
        <v>0</v>
      </c>
      <c r="EC221" s="408">
        <v>-2029.2804620813706</v>
      </c>
      <c r="ED221" s="408">
        <v>0</v>
      </c>
      <c r="EE221" s="408">
        <v>0</v>
      </c>
      <c r="EF221" s="408">
        <v>0</v>
      </c>
      <c r="EG221" s="408">
        <v>0</v>
      </c>
      <c r="EH221" s="408">
        <v>0</v>
      </c>
      <c r="EI221" s="408">
        <v>0</v>
      </c>
      <c r="EJ221" s="408">
        <v>0</v>
      </c>
      <c r="EK221" s="408">
        <v>0</v>
      </c>
      <c r="EL221" s="408">
        <v>0</v>
      </c>
      <c r="EM221" s="408">
        <v>0</v>
      </c>
      <c r="EN221" s="408">
        <v>0</v>
      </c>
      <c r="EO221" s="408">
        <v>0</v>
      </c>
      <c r="EP221" s="408">
        <v>0</v>
      </c>
      <c r="EQ221" s="408">
        <v>0</v>
      </c>
      <c r="ER221" s="408">
        <v>0</v>
      </c>
      <c r="ES221" s="408">
        <v>0</v>
      </c>
      <c r="ET221" s="408">
        <v>0</v>
      </c>
      <c r="EU221" s="408">
        <v>0</v>
      </c>
      <c r="EV221" s="408">
        <v>257</v>
      </c>
      <c r="EW221" s="408">
        <v>0</v>
      </c>
      <c r="EX221" s="408">
        <v>0</v>
      </c>
      <c r="EY221" s="408">
        <v>0</v>
      </c>
      <c r="EZ221" s="408"/>
      <c r="FA221" s="408">
        <v>0</v>
      </c>
      <c r="FB221" s="408"/>
      <c r="FC221" s="408"/>
      <c r="FD221" s="408"/>
      <c r="FE221" s="408"/>
      <c r="FF221" s="408">
        <v>0</v>
      </c>
      <c r="FG221" s="408">
        <v>0</v>
      </c>
      <c r="FH221" s="408">
        <v>0</v>
      </c>
      <c r="FI221" s="408">
        <v>0</v>
      </c>
    </row>
    <row r="222" spans="1:165">
      <c r="A222" s="408">
        <v>220</v>
      </c>
      <c r="B222" s="408" t="s">
        <v>1035</v>
      </c>
      <c r="C222" s="408" t="s">
        <v>2233</v>
      </c>
      <c r="D222" s="408" t="s">
        <v>1955</v>
      </c>
      <c r="E222" s="408" t="s">
        <v>968</v>
      </c>
      <c r="F222" s="408" t="s">
        <v>2240</v>
      </c>
      <c r="G222" s="408" t="s">
        <v>1321</v>
      </c>
      <c r="H222" s="408" t="s">
        <v>1321</v>
      </c>
      <c r="I222" s="408" t="s">
        <v>1321</v>
      </c>
      <c r="J222" s="408" t="s">
        <v>2234</v>
      </c>
      <c r="K222" s="828">
        <v>44562</v>
      </c>
      <c r="L222" s="408">
        <v>0</v>
      </c>
      <c r="M222" s="408">
        <v>0</v>
      </c>
      <c r="N222" s="408">
        <v>1.615</v>
      </c>
      <c r="O222" s="408">
        <v>1.615</v>
      </c>
      <c r="P222" s="408">
        <v>1.615</v>
      </c>
      <c r="Q222" s="408">
        <v>1.615</v>
      </c>
      <c r="R222" s="408"/>
      <c r="S222" s="408">
        <v>639.92999999999995</v>
      </c>
      <c r="T222" s="408">
        <v>256.55</v>
      </c>
      <c r="U222" s="408"/>
      <c r="V222" s="408">
        <v>1447.8152</v>
      </c>
      <c r="W222" s="408">
        <v>1447.8152</v>
      </c>
      <c r="X222" s="408">
        <v>958.98699999999997</v>
      </c>
      <c r="Y222" s="408">
        <v>0</v>
      </c>
      <c r="Z222" s="408">
        <v>0</v>
      </c>
      <c r="AA222" s="408">
        <v>0</v>
      </c>
      <c r="AB222" s="408">
        <v>0</v>
      </c>
      <c r="AC222" s="408">
        <v>0</v>
      </c>
      <c r="AD222" s="408">
        <v>198.77870553244577</v>
      </c>
      <c r="AE222" s="408">
        <v>770.20974962175785</v>
      </c>
      <c r="AF222" s="408">
        <v>414.33232259726401</v>
      </c>
      <c r="AG222" s="408">
        <v>0</v>
      </c>
      <c r="AH222" s="408">
        <v>0</v>
      </c>
      <c r="AI222" s="408">
        <v>0</v>
      </c>
      <c r="AJ222" s="408">
        <v>0</v>
      </c>
      <c r="AK222" s="408">
        <v>0</v>
      </c>
      <c r="AL222" s="408">
        <v>0</v>
      </c>
      <c r="AM222" s="408"/>
      <c r="AN222" s="408">
        <v>3.546224503803812</v>
      </c>
      <c r="AO222" s="408">
        <v>0</v>
      </c>
      <c r="AP222" s="408">
        <v>0</v>
      </c>
      <c r="AQ222" s="408">
        <v>0</v>
      </c>
      <c r="AR222" s="408">
        <v>0</v>
      </c>
      <c r="AS222" s="408">
        <v>0</v>
      </c>
      <c r="AT222" s="408">
        <v>0</v>
      </c>
      <c r="AU222" s="408">
        <v>0</v>
      </c>
      <c r="AV222" s="408">
        <v>0</v>
      </c>
      <c r="AW222" s="408">
        <v>0</v>
      </c>
      <c r="AX222" s="408">
        <v>0</v>
      </c>
      <c r="AY222" s="408">
        <v>0</v>
      </c>
      <c r="AZ222" s="408">
        <v>0</v>
      </c>
      <c r="BA222" s="408"/>
      <c r="BB222" s="408">
        <v>0</v>
      </c>
      <c r="BC222" s="408">
        <v>0</v>
      </c>
      <c r="BD222" s="408">
        <v>2.4068673331365487</v>
      </c>
      <c r="BE222" s="408">
        <v>0</v>
      </c>
      <c r="BF222" s="408">
        <v>0</v>
      </c>
      <c r="BG222" s="408">
        <v>58.549244673874995</v>
      </c>
      <c r="BH222" s="408">
        <v>0</v>
      </c>
      <c r="BI222" s="408">
        <v>1.17</v>
      </c>
      <c r="BJ222" s="408">
        <v>6.21</v>
      </c>
      <c r="BK222" s="408">
        <v>322.16000000000003</v>
      </c>
      <c r="BL222" s="408">
        <v>22</v>
      </c>
      <c r="BM222" s="408"/>
      <c r="BN222" s="408"/>
      <c r="BO222" s="408"/>
      <c r="BP222" s="408"/>
      <c r="BQ222" s="408"/>
      <c r="BR222" s="408"/>
      <c r="BS222" s="408"/>
      <c r="BT222" s="408"/>
      <c r="BU222" s="408"/>
      <c r="BV222" s="408">
        <v>475.28843460427561</v>
      </c>
      <c r="BW222" s="408"/>
      <c r="BX222" s="408"/>
      <c r="BY222" s="408"/>
      <c r="BZ222" s="408"/>
      <c r="CA222" s="408"/>
      <c r="CB222" s="408"/>
      <c r="CC222" s="408"/>
      <c r="CD222" s="408"/>
      <c r="CE222" s="408"/>
      <c r="CF222" s="408"/>
      <c r="CG222" s="408"/>
      <c r="CH222" s="408"/>
      <c r="CI222" s="408">
        <v>961.95600000000002</v>
      </c>
      <c r="CJ222" s="408">
        <v>-485.88919999999996</v>
      </c>
      <c r="CK222" s="408"/>
      <c r="CL222" s="408"/>
      <c r="CM222" s="408"/>
      <c r="CN222" s="408"/>
      <c r="CO222" s="408">
        <v>-514.65204999999992</v>
      </c>
      <c r="CP222" s="408">
        <v>25.823850000000014</v>
      </c>
      <c r="CQ222" s="408">
        <v>31</v>
      </c>
      <c r="CR222" s="408">
        <v>28.484632345787531</v>
      </c>
      <c r="CS222" s="408">
        <v>0</v>
      </c>
      <c r="CT222" s="408">
        <v>0</v>
      </c>
      <c r="CU222" s="408">
        <v>0</v>
      </c>
      <c r="CV222" s="408">
        <v>0</v>
      </c>
      <c r="CW222" s="408">
        <v>0</v>
      </c>
      <c r="CX222" s="408">
        <v>0</v>
      </c>
      <c r="CY222" s="408">
        <v>0</v>
      </c>
      <c r="CZ222" s="408">
        <v>-0.89849225124453369</v>
      </c>
      <c r="DA222" s="408">
        <v>0</v>
      </c>
      <c r="DB222" s="408">
        <v>0</v>
      </c>
      <c r="DC222" s="408">
        <v>25.812269424468525</v>
      </c>
      <c r="DD222" s="408">
        <v>0</v>
      </c>
      <c r="DE222" s="408">
        <v>0</v>
      </c>
      <c r="DF222" s="408">
        <v>0.14994415034392938</v>
      </c>
      <c r="DG222" s="408">
        <v>3.6475283141020896</v>
      </c>
      <c r="DH222" s="408">
        <v>0</v>
      </c>
      <c r="DI222" s="408">
        <v>0</v>
      </c>
      <c r="DJ222" s="408"/>
      <c r="DK222" s="408">
        <v>0</v>
      </c>
      <c r="DL222" s="408">
        <v>0</v>
      </c>
      <c r="DM222" s="408">
        <v>0</v>
      </c>
      <c r="DN222" s="408">
        <v>0</v>
      </c>
      <c r="DO222" s="408">
        <v>0</v>
      </c>
      <c r="DP222" s="408">
        <v>-0.2266172918824072</v>
      </c>
      <c r="DQ222" s="408">
        <v>0</v>
      </c>
      <c r="DR222" s="408">
        <v>0</v>
      </c>
      <c r="DS222" s="408"/>
      <c r="DT222" s="408"/>
      <c r="DU222" s="408"/>
      <c r="DV222" s="408">
        <v>770.20974962175785</v>
      </c>
      <c r="DW222" s="408">
        <v>0</v>
      </c>
      <c r="DX222" s="408">
        <v>0</v>
      </c>
      <c r="DY222" s="408">
        <v>-514.65205000000003</v>
      </c>
      <c r="DZ222" s="408">
        <v>25.823849999999993</v>
      </c>
      <c r="EA222" s="408">
        <v>0</v>
      </c>
      <c r="EB222" s="408">
        <v>0</v>
      </c>
      <c r="EC222" s="408">
        <v>-517.33037825752376</v>
      </c>
      <c r="ED222" s="408">
        <v>0</v>
      </c>
      <c r="EE222" s="408">
        <v>0</v>
      </c>
      <c r="EF222" s="408">
        <v>0</v>
      </c>
      <c r="EG222" s="408">
        <v>0</v>
      </c>
      <c r="EH222" s="408">
        <v>0</v>
      </c>
      <c r="EI222" s="408">
        <v>0</v>
      </c>
      <c r="EJ222" s="408">
        <v>0</v>
      </c>
      <c r="EK222" s="408">
        <v>0</v>
      </c>
      <c r="EL222" s="408">
        <v>0</v>
      </c>
      <c r="EM222" s="408">
        <v>0</v>
      </c>
      <c r="EN222" s="408">
        <v>0</v>
      </c>
      <c r="EO222" s="408">
        <v>0</v>
      </c>
      <c r="EP222" s="408">
        <v>0</v>
      </c>
      <c r="EQ222" s="408">
        <v>0</v>
      </c>
      <c r="ER222" s="408">
        <v>0</v>
      </c>
      <c r="ES222" s="408">
        <v>0</v>
      </c>
      <c r="ET222" s="408">
        <v>0</v>
      </c>
      <c r="EU222" s="408">
        <v>0</v>
      </c>
      <c r="EV222" s="408">
        <v>257</v>
      </c>
      <c r="EW222" s="408">
        <v>0</v>
      </c>
      <c r="EX222" s="408">
        <v>0</v>
      </c>
      <c r="EY222" s="408">
        <v>0</v>
      </c>
      <c r="EZ222" s="408"/>
      <c r="FA222" s="408">
        <v>0</v>
      </c>
      <c r="FB222" s="408"/>
      <c r="FC222" s="408"/>
      <c r="FD222" s="408"/>
      <c r="FE222" s="408"/>
      <c r="FF222" s="408">
        <v>0</v>
      </c>
      <c r="FG222" s="408">
        <v>0</v>
      </c>
      <c r="FH222" s="408">
        <v>0</v>
      </c>
      <c r="FI222" s="408">
        <v>0</v>
      </c>
    </row>
    <row r="223" spans="1:165">
      <c r="A223" s="408">
        <v>221</v>
      </c>
      <c r="B223" s="408" t="s">
        <v>1035</v>
      </c>
      <c r="C223" s="408" t="s">
        <v>2233</v>
      </c>
      <c r="D223" s="408" t="s">
        <v>1958</v>
      </c>
      <c r="E223" s="408" t="s">
        <v>969</v>
      </c>
      <c r="F223" s="408" t="s">
        <v>1321</v>
      </c>
      <c r="G223" s="408" t="s">
        <v>1321</v>
      </c>
      <c r="H223" s="408" t="s">
        <v>1321</v>
      </c>
      <c r="I223" s="408" t="s">
        <v>1321</v>
      </c>
      <c r="J223" s="408" t="s">
        <v>2234</v>
      </c>
      <c r="K223" s="828">
        <v>44562</v>
      </c>
      <c r="L223" s="408">
        <v>0</v>
      </c>
      <c r="M223" s="408">
        <v>0</v>
      </c>
      <c r="N223" s="408">
        <v>49.65</v>
      </c>
      <c r="O223" s="408">
        <v>49.65</v>
      </c>
      <c r="P223" s="408">
        <v>49.65</v>
      </c>
      <c r="Q223" s="408">
        <v>49.65</v>
      </c>
      <c r="R223" s="408"/>
      <c r="S223" s="408">
        <v>710.91</v>
      </c>
      <c r="T223" s="408">
        <v>256.55</v>
      </c>
      <c r="U223" s="408"/>
      <c r="V223" s="408">
        <v>48034.388999999996</v>
      </c>
      <c r="W223" s="408">
        <v>48034.388999999996</v>
      </c>
      <c r="X223" s="408">
        <v>32790.349499999997</v>
      </c>
      <c r="Y223" s="408">
        <v>0</v>
      </c>
      <c r="Z223" s="408">
        <v>3052.2179314089426</v>
      </c>
      <c r="AA223" s="408">
        <v>0</v>
      </c>
      <c r="AB223" s="408">
        <v>0</v>
      </c>
      <c r="AC223" s="408">
        <v>0</v>
      </c>
      <c r="AD223" s="408">
        <v>6111.0605137374196</v>
      </c>
      <c r="AE223" s="408">
        <v>23678.584562675096</v>
      </c>
      <c r="AF223" s="408">
        <v>12737.832703996382</v>
      </c>
      <c r="AG223" s="408">
        <v>0</v>
      </c>
      <c r="AH223" s="408">
        <v>0</v>
      </c>
      <c r="AI223" s="408">
        <v>0</v>
      </c>
      <c r="AJ223" s="408">
        <v>0</v>
      </c>
      <c r="AK223" s="408">
        <v>0</v>
      </c>
      <c r="AL223" s="408">
        <v>471.88669545670325</v>
      </c>
      <c r="AM223" s="408"/>
      <c r="AN223" s="408">
        <v>109.02170068969615</v>
      </c>
      <c r="AO223" s="408">
        <v>0</v>
      </c>
      <c r="AP223" s="408">
        <v>0</v>
      </c>
      <c r="AQ223" s="408">
        <v>0</v>
      </c>
      <c r="AR223" s="408">
        <v>0</v>
      </c>
      <c r="AS223" s="408">
        <v>0</v>
      </c>
      <c r="AT223" s="408">
        <v>0</v>
      </c>
      <c r="AU223" s="408">
        <v>0</v>
      </c>
      <c r="AV223" s="408">
        <v>0</v>
      </c>
      <c r="AW223" s="408">
        <v>0</v>
      </c>
      <c r="AX223" s="408">
        <v>0</v>
      </c>
      <c r="AY223" s="408">
        <v>0</v>
      </c>
      <c r="AZ223" s="408">
        <v>0</v>
      </c>
      <c r="BA223" s="408"/>
      <c r="BB223" s="408">
        <v>0</v>
      </c>
      <c r="BC223" s="408">
        <v>0</v>
      </c>
      <c r="BD223" s="408">
        <v>73.994404390235061</v>
      </c>
      <c r="BE223" s="408">
        <v>0</v>
      </c>
      <c r="BF223" s="408">
        <v>0</v>
      </c>
      <c r="BG223" s="408">
        <v>1799.9814229460642</v>
      </c>
      <c r="BH223" s="408">
        <v>0</v>
      </c>
      <c r="BI223" s="408">
        <v>55.01</v>
      </c>
      <c r="BJ223" s="408">
        <v>254.68</v>
      </c>
      <c r="BK223" s="408">
        <v>8349.82</v>
      </c>
      <c r="BL223" s="408">
        <v>45</v>
      </c>
      <c r="BM223" s="408"/>
      <c r="BN223" s="408"/>
      <c r="BO223" s="408"/>
      <c r="BP223" s="408"/>
      <c r="BQ223" s="408"/>
      <c r="BR223" s="408"/>
      <c r="BS223" s="408"/>
      <c r="BT223" s="408"/>
      <c r="BU223" s="408"/>
      <c r="BV223" s="408">
        <v>14611.808531332681</v>
      </c>
      <c r="BW223" s="408"/>
      <c r="BX223" s="408"/>
      <c r="BY223" s="408"/>
      <c r="BZ223" s="408"/>
      <c r="CA223" s="408"/>
      <c r="CB223" s="408"/>
      <c r="CC223" s="408"/>
      <c r="CD223" s="408"/>
      <c r="CE223" s="408"/>
      <c r="CF223" s="408"/>
      <c r="CG223" s="408"/>
      <c r="CH223" s="408"/>
      <c r="CI223" s="408">
        <v>32790.349499999997</v>
      </c>
      <c r="CJ223" s="408">
        <v>-15244.069500000005</v>
      </c>
      <c r="CK223" s="408"/>
      <c r="CL223" s="408"/>
      <c r="CM223" s="408"/>
      <c r="CN223" s="408"/>
      <c r="CO223" s="408">
        <v>-16037.942999999999</v>
      </c>
      <c r="CP223" s="408">
        <v>793.90350000000046</v>
      </c>
      <c r="CQ223" s="408">
        <v>31</v>
      </c>
      <c r="CR223" s="408">
        <v>660.01165676689925</v>
      </c>
      <c r="CS223" s="408">
        <v>0</v>
      </c>
      <c r="CT223" s="408">
        <v>0</v>
      </c>
      <c r="CU223" s="408">
        <v>0</v>
      </c>
      <c r="CV223" s="408">
        <v>0</v>
      </c>
      <c r="CW223" s="408">
        <v>0</v>
      </c>
      <c r="CX223" s="408">
        <v>0</v>
      </c>
      <c r="CY223" s="408">
        <v>0</v>
      </c>
      <c r="CZ223" s="408">
        <v>-27.622377878818043</v>
      </c>
      <c r="DA223" s="408">
        <v>0</v>
      </c>
      <c r="DB223" s="408">
        <v>0</v>
      </c>
      <c r="DC223" s="408">
        <v>793.54747797205164</v>
      </c>
      <c r="DD223" s="408">
        <v>0</v>
      </c>
      <c r="DE223" s="408">
        <v>0</v>
      </c>
      <c r="DF223" s="408">
        <v>4.6097381204805572</v>
      </c>
      <c r="DG223" s="408">
        <v>112.13608717967077</v>
      </c>
      <c r="DH223" s="408">
        <v>0</v>
      </c>
      <c r="DI223" s="408">
        <v>-189.79867276776667</v>
      </c>
      <c r="DJ223" s="408"/>
      <c r="DK223" s="408">
        <v>0</v>
      </c>
      <c r="DL223" s="408">
        <v>0</v>
      </c>
      <c r="DM223" s="408">
        <v>0</v>
      </c>
      <c r="DN223" s="408">
        <v>0</v>
      </c>
      <c r="DO223" s="408">
        <v>-25.89369273677039</v>
      </c>
      <c r="DP223" s="408">
        <v>-6.9669031219575999</v>
      </c>
      <c r="DQ223" s="408">
        <v>0</v>
      </c>
      <c r="DR223" s="408">
        <v>0</v>
      </c>
      <c r="DS223" s="408"/>
      <c r="DT223" s="408"/>
      <c r="DU223" s="408"/>
      <c r="DV223" s="408">
        <v>23678.584562675096</v>
      </c>
      <c r="DW223" s="408">
        <v>0</v>
      </c>
      <c r="DX223" s="408">
        <v>0</v>
      </c>
      <c r="DY223" s="408">
        <v>-16037.942999999999</v>
      </c>
      <c r="DZ223" s="408">
        <v>793.90350000000035</v>
      </c>
      <c r="EA223" s="408">
        <v>0</v>
      </c>
      <c r="EB223" s="408">
        <v>0</v>
      </c>
      <c r="EC223" s="408">
        <v>-15904.305436833472</v>
      </c>
      <c r="ED223" s="408">
        <v>0</v>
      </c>
      <c r="EE223" s="408">
        <v>0</v>
      </c>
      <c r="EF223" s="408">
        <v>0</v>
      </c>
      <c r="EG223" s="408">
        <v>0</v>
      </c>
      <c r="EH223" s="408">
        <v>0</v>
      </c>
      <c r="EI223" s="408">
        <v>0</v>
      </c>
      <c r="EJ223" s="408">
        <v>0</v>
      </c>
      <c r="EK223" s="408">
        <v>0</v>
      </c>
      <c r="EL223" s="408">
        <v>0</v>
      </c>
      <c r="EM223" s="408">
        <v>0</v>
      </c>
      <c r="EN223" s="408">
        <v>0</v>
      </c>
      <c r="EO223" s="408">
        <v>0</v>
      </c>
      <c r="EP223" s="408">
        <v>0</v>
      </c>
      <c r="EQ223" s="408">
        <v>0</v>
      </c>
      <c r="ER223" s="408">
        <v>0</v>
      </c>
      <c r="ES223" s="408">
        <v>0</v>
      </c>
      <c r="ET223" s="408">
        <v>0</v>
      </c>
      <c r="EU223" s="408">
        <v>0</v>
      </c>
      <c r="EV223" s="408">
        <v>257</v>
      </c>
      <c r="EW223" s="408">
        <v>0</v>
      </c>
      <c r="EX223" s="408">
        <v>0</v>
      </c>
      <c r="EY223" s="408">
        <v>0</v>
      </c>
      <c r="EZ223" s="408"/>
      <c r="FA223" s="408">
        <v>0</v>
      </c>
      <c r="FB223" s="408"/>
      <c r="FC223" s="408"/>
      <c r="FD223" s="408"/>
      <c r="FE223" s="408"/>
      <c r="FF223" s="408">
        <v>0</v>
      </c>
      <c r="FG223" s="408">
        <v>0</v>
      </c>
      <c r="FH223" s="408">
        <v>0</v>
      </c>
      <c r="FI223" s="408">
        <v>0</v>
      </c>
    </row>
    <row r="224" spans="1:165">
      <c r="A224" s="408">
        <v>222</v>
      </c>
      <c r="B224" s="408" t="s">
        <v>2236</v>
      </c>
      <c r="C224" s="408" t="s">
        <v>2233</v>
      </c>
      <c r="D224" s="408" t="s">
        <v>1958</v>
      </c>
      <c r="E224" s="408" t="s">
        <v>969</v>
      </c>
      <c r="F224" s="408" t="s">
        <v>1321</v>
      </c>
      <c r="G224" s="408" t="s">
        <v>1321</v>
      </c>
      <c r="H224" s="408" t="s">
        <v>1321</v>
      </c>
      <c r="I224" s="408" t="s">
        <v>1321</v>
      </c>
      <c r="J224" s="408" t="s">
        <v>2234</v>
      </c>
      <c r="K224" s="828">
        <v>44562</v>
      </c>
      <c r="L224" s="408">
        <v>0</v>
      </c>
      <c r="M224" s="408">
        <v>0</v>
      </c>
      <c r="N224" s="408">
        <v>4.59</v>
      </c>
      <c r="O224" s="408">
        <v>4.59</v>
      </c>
      <c r="P224" s="408">
        <v>4.59</v>
      </c>
      <c r="Q224" s="408">
        <v>4.59</v>
      </c>
      <c r="R224" s="408"/>
      <c r="S224" s="408">
        <v>710.91</v>
      </c>
      <c r="T224" s="408">
        <v>256.55</v>
      </c>
      <c r="U224" s="408"/>
      <c r="V224" s="408">
        <v>4440.6413999999995</v>
      </c>
      <c r="W224" s="408">
        <v>4440.6413999999995</v>
      </c>
      <c r="X224" s="408">
        <v>3031.3737000000001</v>
      </c>
      <c r="Y224" s="408">
        <v>0</v>
      </c>
      <c r="Z224" s="408">
        <v>282.16878761665754</v>
      </c>
      <c r="AA224" s="408">
        <v>0</v>
      </c>
      <c r="AB224" s="408">
        <v>0</v>
      </c>
      <c r="AC224" s="408">
        <v>0</v>
      </c>
      <c r="AD224" s="408">
        <v>564.95000519747748</v>
      </c>
      <c r="AE224" s="408">
        <v>2189.0171831355224</v>
      </c>
      <c r="AF224" s="408">
        <v>1177.5760747501188</v>
      </c>
      <c r="AG224" s="408">
        <v>0</v>
      </c>
      <c r="AH224" s="408">
        <v>0</v>
      </c>
      <c r="AI224" s="408">
        <v>0</v>
      </c>
      <c r="AJ224" s="408">
        <v>0</v>
      </c>
      <c r="AK224" s="408">
        <v>0</v>
      </c>
      <c r="AL224" s="408">
        <v>43.624570637387073</v>
      </c>
      <c r="AM224" s="408"/>
      <c r="AN224" s="408">
        <v>10.078743326600309</v>
      </c>
      <c r="AO224" s="408">
        <v>0</v>
      </c>
      <c r="AP224" s="408">
        <v>0</v>
      </c>
      <c r="AQ224" s="408">
        <v>0</v>
      </c>
      <c r="AR224" s="408">
        <v>0</v>
      </c>
      <c r="AS224" s="408">
        <v>0</v>
      </c>
      <c r="AT224" s="408">
        <v>0</v>
      </c>
      <c r="AU224" s="408">
        <v>0</v>
      </c>
      <c r="AV224" s="408">
        <v>0</v>
      </c>
      <c r="AW224" s="408">
        <v>0</v>
      </c>
      <c r="AX224" s="408">
        <v>0</v>
      </c>
      <c r="AY224" s="408">
        <v>0</v>
      </c>
      <c r="AZ224" s="408">
        <v>0</v>
      </c>
      <c r="BA224" s="408"/>
      <c r="BB224" s="408">
        <v>0</v>
      </c>
      <c r="BC224" s="408">
        <v>0</v>
      </c>
      <c r="BD224" s="408">
        <v>6.84057031523019</v>
      </c>
      <c r="BE224" s="408">
        <v>0</v>
      </c>
      <c r="BF224" s="408">
        <v>0</v>
      </c>
      <c r="BG224" s="408">
        <v>166.40311644153945</v>
      </c>
      <c r="BH224" s="408">
        <v>0</v>
      </c>
      <c r="BI224" s="408">
        <v>6.82</v>
      </c>
      <c r="BJ224" s="408">
        <v>31.48</v>
      </c>
      <c r="BK224" s="408">
        <v>1634.16</v>
      </c>
      <c r="BL224" s="408">
        <v>6</v>
      </c>
      <c r="BM224" s="408"/>
      <c r="BN224" s="408"/>
      <c r="BO224" s="408"/>
      <c r="BP224" s="408"/>
      <c r="BQ224" s="408"/>
      <c r="BR224" s="408"/>
      <c r="BS224" s="408"/>
      <c r="BT224" s="408"/>
      <c r="BU224" s="408"/>
      <c r="BV224" s="408">
        <v>1350.8197615068884</v>
      </c>
      <c r="BW224" s="408"/>
      <c r="BX224" s="408"/>
      <c r="BY224" s="408"/>
      <c r="BZ224" s="408"/>
      <c r="CA224" s="408"/>
      <c r="CB224" s="408"/>
      <c r="CC224" s="408"/>
      <c r="CD224" s="408"/>
      <c r="CE224" s="408"/>
      <c r="CF224" s="408"/>
      <c r="CG224" s="408"/>
      <c r="CH224" s="408"/>
      <c r="CI224" s="408">
        <v>3031.3737000000001</v>
      </c>
      <c r="CJ224" s="408">
        <v>-1409.2977000000001</v>
      </c>
      <c r="CK224" s="408"/>
      <c r="CL224" s="408"/>
      <c r="CM224" s="408"/>
      <c r="CN224" s="408"/>
      <c r="CO224" s="408">
        <v>-1482.6617999999999</v>
      </c>
      <c r="CP224" s="408">
        <v>73.394100000000037</v>
      </c>
      <c r="CQ224" s="408">
        <v>31</v>
      </c>
      <c r="CR224" s="408">
        <v>61.016183374824323</v>
      </c>
      <c r="CS224" s="408">
        <v>0</v>
      </c>
      <c r="CT224" s="408">
        <v>0</v>
      </c>
      <c r="CU224" s="408">
        <v>0</v>
      </c>
      <c r="CV224" s="408">
        <v>0</v>
      </c>
      <c r="CW224" s="408">
        <v>0</v>
      </c>
      <c r="CX224" s="408">
        <v>0</v>
      </c>
      <c r="CY224" s="408">
        <v>0</v>
      </c>
      <c r="CZ224" s="408">
        <v>-2.5536095561686807</v>
      </c>
      <c r="DA224" s="408">
        <v>0</v>
      </c>
      <c r="DB224" s="408">
        <v>0</v>
      </c>
      <c r="DC224" s="408">
        <v>73.361186785331711</v>
      </c>
      <c r="DD224" s="408">
        <v>0</v>
      </c>
      <c r="DE224" s="408">
        <v>0</v>
      </c>
      <c r="DF224" s="408">
        <v>0.42615705887222077</v>
      </c>
      <c r="DG224" s="408">
        <v>10.366659419026973</v>
      </c>
      <c r="DH224" s="408">
        <v>0</v>
      </c>
      <c r="DI224" s="408">
        <v>-17.546342557986861</v>
      </c>
      <c r="DJ224" s="408"/>
      <c r="DK224" s="408">
        <v>0</v>
      </c>
      <c r="DL224" s="408">
        <v>0</v>
      </c>
      <c r="DM224" s="408">
        <v>0</v>
      </c>
      <c r="DN224" s="408">
        <v>0</v>
      </c>
      <c r="DO224" s="408">
        <v>-2.3937975762694137</v>
      </c>
      <c r="DP224" s="408">
        <v>-0.64407019798157883</v>
      </c>
      <c r="DQ224" s="408">
        <v>0</v>
      </c>
      <c r="DR224" s="408">
        <v>0</v>
      </c>
      <c r="DS224" s="408"/>
      <c r="DT224" s="408"/>
      <c r="DU224" s="408"/>
      <c r="DV224" s="408">
        <v>2189.0171831355224</v>
      </c>
      <c r="DW224" s="408">
        <v>0</v>
      </c>
      <c r="DX224" s="408">
        <v>0</v>
      </c>
      <c r="DY224" s="408">
        <v>-1482.6617999999996</v>
      </c>
      <c r="DZ224" s="408">
        <v>73.394100000000208</v>
      </c>
      <c r="EA224" s="408">
        <v>0</v>
      </c>
      <c r="EB224" s="408">
        <v>0</v>
      </c>
      <c r="EC224" s="408">
        <v>-1470.307390837173</v>
      </c>
      <c r="ED224" s="408">
        <v>0</v>
      </c>
      <c r="EE224" s="408">
        <v>0</v>
      </c>
      <c r="EF224" s="408">
        <v>0</v>
      </c>
      <c r="EG224" s="408">
        <v>0</v>
      </c>
      <c r="EH224" s="408">
        <v>0</v>
      </c>
      <c r="EI224" s="408">
        <v>0</v>
      </c>
      <c r="EJ224" s="408">
        <v>0</v>
      </c>
      <c r="EK224" s="408">
        <v>0</v>
      </c>
      <c r="EL224" s="408">
        <v>0</v>
      </c>
      <c r="EM224" s="408">
        <v>0</v>
      </c>
      <c r="EN224" s="408">
        <v>0</v>
      </c>
      <c r="EO224" s="408">
        <v>0</v>
      </c>
      <c r="EP224" s="408">
        <v>0</v>
      </c>
      <c r="EQ224" s="408">
        <v>0</v>
      </c>
      <c r="ER224" s="408">
        <v>0</v>
      </c>
      <c r="ES224" s="408">
        <v>0</v>
      </c>
      <c r="ET224" s="408">
        <v>0</v>
      </c>
      <c r="EU224" s="408">
        <v>0</v>
      </c>
      <c r="EV224" s="408">
        <v>257</v>
      </c>
      <c r="EW224" s="408">
        <v>0</v>
      </c>
      <c r="EX224" s="408">
        <v>0</v>
      </c>
      <c r="EY224" s="408">
        <v>0</v>
      </c>
      <c r="EZ224" s="408"/>
      <c r="FA224" s="408">
        <v>0</v>
      </c>
      <c r="FB224" s="408"/>
      <c r="FC224" s="408"/>
      <c r="FD224" s="408"/>
      <c r="FE224" s="408"/>
      <c r="FF224" s="408">
        <v>0</v>
      </c>
      <c r="FG224" s="408">
        <v>0</v>
      </c>
      <c r="FH224" s="408">
        <v>0</v>
      </c>
      <c r="FI224" s="408">
        <v>0</v>
      </c>
    </row>
    <row r="225" spans="1:165">
      <c r="A225" s="408">
        <v>223</v>
      </c>
      <c r="B225" s="408" t="s">
        <v>1035</v>
      </c>
      <c r="C225" s="408" t="s">
        <v>2241</v>
      </c>
      <c r="D225" s="408" t="s">
        <v>596</v>
      </c>
      <c r="E225" s="408" t="s">
        <v>969</v>
      </c>
      <c r="F225" s="408" t="s">
        <v>1321</v>
      </c>
      <c r="G225" s="408" t="s">
        <v>1321</v>
      </c>
      <c r="H225" s="408" t="s">
        <v>1321</v>
      </c>
      <c r="I225" s="408" t="s">
        <v>972</v>
      </c>
      <c r="J225" s="408" t="s">
        <v>2234</v>
      </c>
      <c r="K225" s="828">
        <v>44562</v>
      </c>
      <c r="L225" s="408">
        <v>0</v>
      </c>
      <c r="M225" s="408">
        <v>0</v>
      </c>
      <c r="N225" s="408">
        <v>6.3120000000000003</v>
      </c>
      <c r="O225" s="408">
        <v>6.3120000000000003</v>
      </c>
      <c r="P225" s="408">
        <v>6.3120000000000003</v>
      </c>
      <c r="Q225" s="408">
        <v>6.3120000000000003</v>
      </c>
      <c r="R225" s="408"/>
      <c r="S225" s="408">
        <v>3130.62</v>
      </c>
      <c r="T225" s="408">
        <v>256.55</v>
      </c>
      <c r="U225" s="408"/>
      <c r="V225" s="408">
        <v>21379.817040000002</v>
      </c>
      <c r="W225" s="408">
        <v>21379.817040000002</v>
      </c>
      <c r="X225" s="408">
        <v>11251.96056</v>
      </c>
      <c r="Y225" s="408">
        <v>0</v>
      </c>
      <c r="Z225" s="408">
        <v>337.58452441603873</v>
      </c>
      <c r="AA225" s="408">
        <v>0</v>
      </c>
      <c r="AB225" s="408">
        <v>0</v>
      </c>
      <c r="AC225" s="408">
        <v>0</v>
      </c>
      <c r="AD225" s="408">
        <v>4066.2775515061912</v>
      </c>
      <c r="AE225" s="408">
        <v>15174.98636097334</v>
      </c>
      <c r="AF225" s="408">
        <v>1619.3595171727125</v>
      </c>
      <c r="AG225" s="408">
        <v>0</v>
      </c>
      <c r="AH225" s="408">
        <v>0</v>
      </c>
      <c r="AI225" s="408">
        <v>0</v>
      </c>
      <c r="AJ225" s="408">
        <v>0</v>
      </c>
      <c r="AK225" s="408">
        <v>0</v>
      </c>
      <c r="AL225" s="408">
        <v>59.990912824223791</v>
      </c>
      <c r="AM225" s="408"/>
      <c r="AN225" s="408">
        <v>8.5152351272705751</v>
      </c>
      <c r="AO225" s="408">
        <v>0</v>
      </c>
      <c r="AP225" s="408">
        <v>0</v>
      </c>
      <c r="AQ225" s="408">
        <v>0</v>
      </c>
      <c r="AR225" s="408">
        <v>0</v>
      </c>
      <c r="AS225" s="408">
        <v>0</v>
      </c>
      <c r="AT225" s="408">
        <v>0</v>
      </c>
      <c r="AU225" s="408">
        <v>0</v>
      </c>
      <c r="AV225" s="408">
        <v>0</v>
      </c>
      <c r="AW225" s="408">
        <v>0</v>
      </c>
      <c r="AX225" s="408">
        <v>0</v>
      </c>
      <c r="AY225" s="408">
        <v>0</v>
      </c>
      <c r="AZ225" s="408">
        <v>0</v>
      </c>
      <c r="BA225" s="408"/>
      <c r="BB225" s="408">
        <v>0</v>
      </c>
      <c r="BC225" s="408">
        <v>0</v>
      </c>
      <c r="BD225" s="408">
        <v>7.7765431710057875</v>
      </c>
      <c r="BE225" s="408">
        <v>0</v>
      </c>
      <c r="BF225" s="408">
        <v>0</v>
      </c>
      <c r="BG225" s="408">
        <v>105.34278710322154</v>
      </c>
      <c r="BH225" s="408">
        <v>0</v>
      </c>
      <c r="BI225" s="408">
        <v>0</v>
      </c>
      <c r="BJ225" s="408">
        <v>0</v>
      </c>
      <c r="BK225" s="408">
        <v>0</v>
      </c>
      <c r="BL225" s="408">
        <v>0</v>
      </c>
      <c r="BM225" s="408"/>
      <c r="BN225" s="408"/>
      <c r="BO225" s="408"/>
      <c r="BP225" s="408"/>
      <c r="BQ225" s="408"/>
      <c r="BR225" s="408"/>
      <c r="BS225" s="408"/>
      <c r="BT225" s="408"/>
      <c r="BU225" s="408"/>
      <c r="BV225" s="408">
        <v>1732.4788474469399</v>
      </c>
      <c r="BW225" s="408"/>
      <c r="BX225" s="408"/>
      <c r="BY225" s="408"/>
      <c r="BZ225" s="408"/>
      <c r="CA225" s="408"/>
      <c r="CB225" s="408"/>
      <c r="CC225" s="408"/>
      <c r="CD225" s="408"/>
      <c r="CE225" s="408"/>
      <c r="CF225" s="408"/>
      <c r="CG225" s="408"/>
      <c r="CH225" s="408"/>
      <c r="CI225" s="408">
        <v>11248.395299999998</v>
      </c>
      <c r="CJ225" s="408">
        <v>-10131.451739999999</v>
      </c>
      <c r="CK225" s="408"/>
      <c r="CL225" s="408"/>
      <c r="CM225" s="408"/>
      <c r="CN225" s="408"/>
      <c r="CO225" s="408">
        <v>-10228.78536</v>
      </c>
      <c r="CP225" s="408">
        <v>100.92888000000006</v>
      </c>
      <c r="CQ225" s="408">
        <v>31</v>
      </c>
      <c r="CR225" s="408">
        <v>64.722624298394294</v>
      </c>
      <c r="CS225" s="408">
        <v>0</v>
      </c>
      <c r="CT225" s="408">
        <v>0</v>
      </c>
      <c r="CU225" s="408">
        <v>0</v>
      </c>
      <c r="CV225" s="408">
        <v>0</v>
      </c>
      <c r="CW225" s="408">
        <v>0</v>
      </c>
      <c r="CX225" s="408">
        <v>0</v>
      </c>
      <c r="CY225" s="408">
        <v>0</v>
      </c>
      <c r="CZ225" s="408">
        <v>-18.379830282384319</v>
      </c>
      <c r="DA225" s="408">
        <v>0</v>
      </c>
      <c r="DB225" s="408">
        <v>0</v>
      </c>
      <c r="DC225" s="408">
        <v>100.88361895185471</v>
      </c>
      <c r="DD225" s="408">
        <v>0</v>
      </c>
      <c r="DE225" s="408">
        <v>0</v>
      </c>
      <c r="DF225" s="408">
        <v>0.48446673496948556</v>
      </c>
      <c r="DG225" s="408">
        <v>6.5626943743798307</v>
      </c>
      <c r="DH225" s="408">
        <v>0</v>
      </c>
      <c r="DI225" s="408">
        <v>-20.992306618002601</v>
      </c>
      <c r="DJ225" s="408"/>
      <c r="DK225" s="408">
        <v>0</v>
      </c>
      <c r="DL225" s="408">
        <v>0</v>
      </c>
      <c r="DM225" s="408">
        <v>0</v>
      </c>
      <c r="DN225" s="408">
        <v>0</v>
      </c>
      <c r="DO225" s="408">
        <v>-3.2918628107652523</v>
      </c>
      <c r="DP225" s="408">
        <v>-0.54415605165837544</v>
      </c>
      <c r="DQ225" s="408">
        <v>0</v>
      </c>
      <c r="DR225" s="408">
        <v>0</v>
      </c>
      <c r="DS225" s="408"/>
      <c r="DT225" s="408"/>
      <c r="DU225" s="408"/>
      <c r="DV225" s="408">
        <v>15174.98636097334</v>
      </c>
      <c r="DW225" s="408">
        <v>0</v>
      </c>
      <c r="DX225" s="408">
        <v>0</v>
      </c>
      <c r="DY225" s="408">
        <v>-10228.785360000002</v>
      </c>
      <c r="DZ225" s="408">
        <v>100.92888000000016</v>
      </c>
      <c r="EA225" s="408">
        <v>0</v>
      </c>
      <c r="EB225" s="408">
        <v>0</v>
      </c>
      <c r="EC225" s="408">
        <v>-10192.653933594564</v>
      </c>
      <c r="ED225" s="408">
        <v>0</v>
      </c>
      <c r="EE225" s="408">
        <v>0</v>
      </c>
      <c r="EF225" s="408">
        <v>0</v>
      </c>
      <c r="EG225" s="408">
        <v>0</v>
      </c>
      <c r="EH225" s="408">
        <v>0</v>
      </c>
      <c r="EI225" s="408">
        <v>0</v>
      </c>
      <c r="EJ225" s="408">
        <v>0</v>
      </c>
      <c r="EK225" s="408">
        <v>0</v>
      </c>
      <c r="EL225" s="408">
        <v>0</v>
      </c>
      <c r="EM225" s="408">
        <v>0</v>
      </c>
      <c r="EN225" s="408">
        <v>0</v>
      </c>
      <c r="EO225" s="408">
        <v>0</v>
      </c>
      <c r="EP225" s="408">
        <v>0</v>
      </c>
      <c r="EQ225" s="408">
        <v>0</v>
      </c>
      <c r="ER225" s="408">
        <v>0</v>
      </c>
      <c r="ES225" s="408">
        <v>0</v>
      </c>
      <c r="ET225" s="408">
        <v>0</v>
      </c>
      <c r="EU225" s="408">
        <v>0</v>
      </c>
      <c r="EV225" s="408">
        <v>257</v>
      </c>
      <c r="EW225" s="408">
        <v>0</v>
      </c>
      <c r="EX225" s="408">
        <v>0</v>
      </c>
      <c r="EY225" s="408">
        <v>0</v>
      </c>
      <c r="EZ225" s="408"/>
      <c r="FA225" s="408">
        <v>0</v>
      </c>
      <c r="FB225" s="408"/>
      <c r="FC225" s="408"/>
      <c r="FD225" s="408"/>
      <c r="FE225" s="408"/>
      <c r="FF225" s="408">
        <v>0</v>
      </c>
      <c r="FG225" s="408">
        <v>0</v>
      </c>
      <c r="FH225" s="408">
        <v>0</v>
      </c>
      <c r="FI225" s="408">
        <v>0</v>
      </c>
    </row>
    <row r="226" spans="1:165">
      <c r="A226" s="408">
        <v>224</v>
      </c>
      <c r="B226" s="408" t="s">
        <v>2236</v>
      </c>
      <c r="C226" s="408" t="s">
        <v>2241</v>
      </c>
      <c r="D226" s="408" t="s">
        <v>596</v>
      </c>
      <c r="E226" s="408" t="s">
        <v>969</v>
      </c>
      <c r="F226" s="408" t="s">
        <v>1321</v>
      </c>
      <c r="G226" s="408" t="s">
        <v>1321</v>
      </c>
      <c r="H226" s="408" t="s">
        <v>1321</v>
      </c>
      <c r="I226" s="408" t="s">
        <v>972</v>
      </c>
      <c r="J226" s="408" t="s">
        <v>2234</v>
      </c>
      <c r="K226" s="828">
        <v>44562</v>
      </c>
      <c r="L226" s="408">
        <v>0</v>
      </c>
      <c r="M226" s="408">
        <v>0</v>
      </c>
      <c r="N226" s="408">
        <v>4.2000000000000003E-2</v>
      </c>
      <c r="O226" s="408">
        <v>4.2000000000000003E-2</v>
      </c>
      <c r="P226" s="408">
        <v>4.2000000000000003E-2</v>
      </c>
      <c r="Q226" s="408">
        <v>4.2000000000000003E-2</v>
      </c>
      <c r="R226" s="408"/>
      <c r="S226" s="408">
        <v>3130.62</v>
      </c>
      <c r="T226" s="408">
        <v>256.55</v>
      </c>
      <c r="U226" s="408"/>
      <c r="V226" s="408">
        <v>142.26114000000001</v>
      </c>
      <c r="W226" s="408">
        <v>142.26114000000001</v>
      </c>
      <c r="X226" s="408">
        <v>74.870460000000008</v>
      </c>
      <c r="Y226" s="408">
        <v>0</v>
      </c>
      <c r="Z226" s="408">
        <v>2.2462848582816264</v>
      </c>
      <c r="AA226" s="408">
        <v>0</v>
      </c>
      <c r="AB226" s="408">
        <v>0</v>
      </c>
      <c r="AC226" s="408">
        <v>0</v>
      </c>
      <c r="AD226" s="408">
        <v>27.056979905459446</v>
      </c>
      <c r="AE226" s="408">
        <v>100.97424384678078</v>
      </c>
      <c r="AF226" s="408">
        <v>10.775205912746186</v>
      </c>
      <c r="AG226" s="408">
        <v>0</v>
      </c>
      <c r="AH226" s="408">
        <v>0</v>
      </c>
      <c r="AI226" s="408">
        <v>0</v>
      </c>
      <c r="AJ226" s="408">
        <v>0</v>
      </c>
      <c r="AK226" s="408">
        <v>0</v>
      </c>
      <c r="AL226" s="408">
        <v>0.39917907772772487</v>
      </c>
      <c r="AM226" s="408"/>
      <c r="AN226" s="408">
        <v>5.6660309782218657E-2</v>
      </c>
      <c r="AO226" s="408">
        <v>0</v>
      </c>
      <c r="AP226" s="408">
        <v>0</v>
      </c>
      <c r="AQ226" s="408">
        <v>0</v>
      </c>
      <c r="AR226" s="408">
        <v>0</v>
      </c>
      <c r="AS226" s="408">
        <v>0</v>
      </c>
      <c r="AT226" s="408">
        <v>0</v>
      </c>
      <c r="AU226" s="408">
        <v>0</v>
      </c>
      <c r="AV226" s="408">
        <v>0</v>
      </c>
      <c r="AW226" s="408">
        <v>0</v>
      </c>
      <c r="AX226" s="408">
        <v>0</v>
      </c>
      <c r="AY226" s="408">
        <v>0</v>
      </c>
      <c r="AZ226" s="408">
        <v>0</v>
      </c>
      <c r="BA226" s="408"/>
      <c r="BB226" s="408">
        <v>0</v>
      </c>
      <c r="BC226" s="408">
        <v>0</v>
      </c>
      <c r="BD226" s="408">
        <v>5.1745059122662085E-2</v>
      </c>
      <c r="BE226" s="408">
        <v>0</v>
      </c>
      <c r="BF226" s="408">
        <v>0</v>
      </c>
      <c r="BG226" s="408">
        <v>0.70095010429900262</v>
      </c>
      <c r="BH226" s="408">
        <v>0</v>
      </c>
      <c r="BI226" s="408">
        <v>0</v>
      </c>
      <c r="BJ226" s="408">
        <v>0</v>
      </c>
      <c r="BK226" s="408">
        <v>0</v>
      </c>
      <c r="BL226" s="408">
        <v>0</v>
      </c>
      <c r="BM226" s="408"/>
      <c r="BN226" s="408"/>
      <c r="BO226" s="408"/>
      <c r="BP226" s="408"/>
      <c r="BQ226" s="408"/>
      <c r="BR226" s="408"/>
      <c r="BS226" s="408"/>
      <c r="BT226" s="408"/>
      <c r="BU226" s="408"/>
      <c r="BV226" s="408">
        <v>11.527901076167851</v>
      </c>
      <c r="BW226" s="408"/>
      <c r="BX226" s="408"/>
      <c r="BY226" s="408"/>
      <c r="BZ226" s="408"/>
      <c r="CA226" s="408"/>
      <c r="CB226" s="408"/>
      <c r="CC226" s="408"/>
      <c r="CD226" s="408"/>
      <c r="CE226" s="408"/>
      <c r="CF226" s="408"/>
      <c r="CG226" s="408"/>
      <c r="CH226" s="408"/>
      <c r="CI226" s="408">
        <v>71.305199999999999</v>
      </c>
      <c r="CJ226" s="408">
        <v>-70.985939999999985</v>
      </c>
      <c r="CK226" s="408"/>
      <c r="CL226" s="408"/>
      <c r="CM226" s="408"/>
      <c r="CN226" s="408"/>
      <c r="CO226" s="408">
        <v>-68.062260000000009</v>
      </c>
      <c r="CP226" s="408">
        <v>0.6715800000000004</v>
      </c>
      <c r="CQ226" s="408">
        <v>31</v>
      </c>
      <c r="CR226" s="408">
        <v>0.43066384989426609</v>
      </c>
      <c r="CS226" s="408">
        <v>0</v>
      </c>
      <c r="CT226" s="408">
        <v>0</v>
      </c>
      <c r="CU226" s="408">
        <v>0</v>
      </c>
      <c r="CV226" s="408">
        <v>0</v>
      </c>
      <c r="CW226" s="408">
        <v>0</v>
      </c>
      <c r="CX226" s="408">
        <v>0</v>
      </c>
      <c r="CY226" s="408">
        <v>0</v>
      </c>
      <c r="CZ226" s="408">
        <v>-0.12229925092841043</v>
      </c>
      <c r="DA226" s="408">
        <v>0</v>
      </c>
      <c r="DB226" s="408">
        <v>0</v>
      </c>
      <c r="DC226" s="408">
        <v>0.67127883332983096</v>
      </c>
      <c r="DD226" s="408">
        <v>0</v>
      </c>
      <c r="DE226" s="408">
        <v>0</v>
      </c>
      <c r="DF226" s="408">
        <v>3.2236379703292836E-3</v>
      </c>
      <c r="DG226" s="408">
        <v>4.3668118460702399E-2</v>
      </c>
      <c r="DH226" s="408">
        <v>0</v>
      </c>
      <c r="DI226" s="408">
        <v>-0.13968264859887647</v>
      </c>
      <c r="DJ226" s="408"/>
      <c r="DK226" s="408">
        <v>0</v>
      </c>
      <c r="DL226" s="408">
        <v>0</v>
      </c>
      <c r="DM226" s="408">
        <v>0</v>
      </c>
      <c r="DN226" s="408">
        <v>0</v>
      </c>
      <c r="DO226" s="408">
        <v>-2.1904030109654749E-2</v>
      </c>
      <c r="DP226" s="408">
        <v>-3.6208102296659966E-3</v>
      </c>
      <c r="DQ226" s="408">
        <v>0</v>
      </c>
      <c r="DR226" s="408">
        <v>0</v>
      </c>
      <c r="DS226" s="408"/>
      <c r="DT226" s="408"/>
      <c r="DU226" s="408"/>
      <c r="DV226" s="408">
        <v>100.97424384678078</v>
      </c>
      <c r="DW226" s="408">
        <v>0</v>
      </c>
      <c r="DX226" s="408">
        <v>0</v>
      </c>
      <c r="DY226" s="408">
        <v>-68.062260000000009</v>
      </c>
      <c r="DZ226" s="408">
        <v>0.67158000000000051</v>
      </c>
      <c r="EA226" s="408">
        <v>0</v>
      </c>
      <c r="EB226" s="408">
        <v>0</v>
      </c>
      <c r="EC226" s="408">
        <v>-67.821841763461919</v>
      </c>
      <c r="ED226" s="408">
        <v>0</v>
      </c>
      <c r="EE226" s="408">
        <v>0</v>
      </c>
      <c r="EF226" s="408">
        <v>0</v>
      </c>
      <c r="EG226" s="408">
        <v>0</v>
      </c>
      <c r="EH226" s="408">
        <v>0</v>
      </c>
      <c r="EI226" s="408">
        <v>0</v>
      </c>
      <c r="EJ226" s="408">
        <v>0</v>
      </c>
      <c r="EK226" s="408">
        <v>0</v>
      </c>
      <c r="EL226" s="408">
        <v>0</v>
      </c>
      <c r="EM226" s="408">
        <v>0</v>
      </c>
      <c r="EN226" s="408">
        <v>0</v>
      </c>
      <c r="EO226" s="408">
        <v>0</v>
      </c>
      <c r="EP226" s="408">
        <v>0</v>
      </c>
      <c r="EQ226" s="408">
        <v>0</v>
      </c>
      <c r="ER226" s="408">
        <v>0</v>
      </c>
      <c r="ES226" s="408">
        <v>0</v>
      </c>
      <c r="ET226" s="408">
        <v>0</v>
      </c>
      <c r="EU226" s="408">
        <v>0</v>
      </c>
      <c r="EV226" s="408">
        <v>257</v>
      </c>
      <c r="EW226" s="408">
        <v>0</v>
      </c>
      <c r="EX226" s="408">
        <v>0</v>
      </c>
      <c r="EY226" s="408">
        <v>0</v>
      </c>
      <c r="EZ226" s="408"/>
      <c r="FA226" s="408">
        <v>0</v>
      </c>
      <c r="FB226" s="408"/>
      <c r="FC226" s="408"/>
      <c r="FD226" s="408"/>
      <c r="FE226" s="408"/>
      <c r="FF226" s="408">
        <v>0</v>
      </c>
      <c r="FG226" s="408">
        <v>0</v>
      </c>
      <c r="FH226" s="408">
        <v>0</v>
      </c>
      <c r="FI226" s="408">
        <v>0</v>
      </c>
    </row>
    <row r="227" spans="1:165">
      <c r="A227" s="408">
        <v>225</v>
      </c>
      <c r="B227" s="408" t="s">
        <v>1035</v>
      </c>
      <c r="C227" s="408" t="s">
        <v>2241</v>
      </c>
      <c r="D227" s="408" t="s">
        <v>596</v>
      </c>
      <c r="E227" s="408" t="s">
        <v>969</v>
      </c>
      <c r="F227" s="408" t="s">
        <v>1321</v>
      </c>
      <c r="G227" s="408" t="s">
        <v>1321</v>
      </c>
      <c r="H227" s="408" t="s">
        <v>1321</v>
      </c>
      <c r="I227" s="408" t="s">
        <v>2242</v>
      </c>
      <c r="J227" s="408" t="s">
        <v>2234</v>
      </c>
      <c r="K227" s="828">
        <v>44562</v>
      </c>
      <c r="L227" s="408">
        <v>0</v>
      </c>
      <c r="M227" s="408">
        <v>0</v>
      </c>
      <c r="N227" s="408">
        <v>193.173</v>
      </c>
      <c r="O227" s="408">
        <v>193.173</v>
      </c>
      <c r="P227" s="408">
        <v>193.173</v>
      </c>
      <c r="Q227" s="408">
        <v>193.173</v>
      </c>
      <c r="R227" s="408"/>
      <c r="S227" s="408">
        <v>82.26</v>
      </c>
      <c r="T227" s="408">
        <v>256.55</v>
      </c>
      <c r="U227" s="408"/>
      <c r="V227" s="408">
        <v>65448.944130000003</v>
      </c>
      <c r="W227" s="408">
        <v>65448.944130000003</v>
      </c>
      <c r="X227" s="408">
        <v>67993.03254</v>
      </c>
      <c r="Y227" s="408">
        <v>0</v>
      </c>
      <c r="Z227" s="408">
        <v>10331.466307829443</v>
      </c>
      <c r="AA227" s="408">
        <v>0</v>
      </c>
      <c r="AB227" s="408">
        <v>0</v>
      </c>
      <c r="AC227" s="408">
        <v>0</v>
      </c>
      <c r="AD227" s="408">
        <v>0</v>
      </c>
      <c r="AE227" s="408">
        <v>0</v>
      </c>
      <c r="AF227" s="408">
        <v>49559.020280545687</v>
      </c>
      <c r="AG227" s="408">
        <v>0</v>
      </c>
      <c r="AH227" s="408">
        <v>0</v>
      </c>
      <c r="AI227" s="408">
        <v>0</v>
      </c>
      <c r="AJ227" s="408">
        <v>0</v>
      </c>
      <c r="AK227" s="408">
        <v>0</v>
      </c>
      <c r="AL227" s="408">
        <v>1835.9671424261378</v>
      </c>
      <c r="AM227" s="408"/>
      <c r="AN227" s="408">
        <v>260.60100051334581</v>
      </c>
      <c r="AO227" s="408">
        <v>0</v>
      </c>
      <c r="AP227" s="408">
        <v>0</v>
      </c>
      <c r="AQ227" s="408">
        <v>0</v>
      </c>
      <c r="AR227" s="408">
        <v>0</v>
      </c>
      <c r="AS227" s="408">
        <v>0</v>
      </c>
      <c r="AT227" s="408">
        <v>0</v>
      </c>
      <c r="AU227" s="408">
        <v>0</v>
      </c>
      <c r="AV227" s="408">
        <v>0</v>
      </c>
      <c r="AW227" s="408">
        <v>0</v>
      </c>
      <c r="AX227" s="408">
        <v>0</v>
      </c>
      <c r="AY227" s="408">
        <v>0</v>
      </c>
      <c r="AZ227" s="408">
        <v>0</v>
      </c>
      <c r="BA227" s="408"/>
      <c r="BB227" s="408">
        <v>0</v>
      </c>
      <c r="BC227" s="408">
        <v>0</v>
      </c>
      <c r="BD227" s="408">
        <v>237.99400728338099</v>
      </c>
      <c r="BE227" s="408">
        <v>0</v>
      </c>
      <c r="BF227" s="408">
        <v>0</v>
      </c>
      <c r="BG227" s="408">
        <v>3223.9198689940768</v>
      </c>
      <c r="BH227" s="408">
        <v>0</v>
      </c>
      <c r="BI227" s="408">
        <v>0</v>
      </c>
      <c r="BJ227" s="408">
        <v>0</v>
      </c>
      <c r="BK227" s="408">
        <v>0</v>
      </c>
      <c r="BL227" s="408">
        <v>0</v>
      </c>
      <c r="BM227" s="408"/>
      <c r="BN227" s="408"/>
      <c r="BO227" s="408"/>
      <c r="BP227" s="408"/>
      <c r="BQ227" s="408"/>
      <c r="BR227" s="408"/>
      <c r="BS227" s="408"/>
      <c r="BT227" s="408"/>
      <c r="BU227" s="408"/>
      <c r="BV227" s="408">
        <v>53020.934156823139</v>
      </c>
      <c r="BW227" s="408"/>
      <c r="BX227" s="408"/>
      <c r="BY227" s="408"/>
      <c r="BZ227" s="408"/>
      <c r="CA227" s="408"/>
      <c r="CB227" s="408"/>
      <c r="CC227" s="408"/>
      <c r="CD227" s="408"/>
      <c r="CE227" s="408"/>
      <c r="CF227" s="408"/>
      <c r="CG227" s="408"/>
      <c r="CH227" s="408"/>
      <c r="CI227" s="408">
        <v>67991.976599999995</v>
      </c>
      <c r="CJ227" s="408">
        <v>2543.0024699999849</v>
      </c>
      <c r="CK227" s="408"/>
      <c r="CL227" s="408"/>
      <c r="CM227" s="408"/>
      <c r="CN227" s="408"/>
      <c r="CO227" s="408">
        <v>-544.74786000000142</v>
      </c>
      <c r="CP227" s="408">
        <v>3088.8362700000016</v>
      </c>
      <c r="CQ227" s="408">
        <v>31</v>
      </c>
      <c r="CR227" s="408">
        <v>2543.27478750515</v>
      </c>
      <c r="CS227" s="408">
        <v>0</v>
      </c>
      <c r="CT227" s="408">
        <v>0</v>
      </c>
      <c r="CU227" s="408">
        <v>0</v>
      </c>
      <c r="CV227" s="408">
        <v>0</v>
      </c>
      <c r="CW227" s="408">
        <v>0</v>
      </c>
      <c r="CX227" s="408">
        <v>0</v>
      </c>
      <c r="CY227" s="408">
        <v>0</v>
      </c>
      <c r="CZ227" s="408">
        <v>0</v>
      </c>
      <c r="DA227" s="408">
        <v>0</v>
      </c>
      <c r="DB227" s="408">
        <v>0</v>
      </c>
      <c r="DC227" s="408">
        <v>3087.4510969243711</v>
      </c>
      <c r="DD227" s="408">
        <v>0</v>
      </c>
      <c r="DE227" s="408">
        <v>0</v>
      </c>
      <c r="DF227" s="408">
        <v>14.826662324819495</v>
      </c>
      <c r="DG227" s="408">
        <v>200.84527255736339</v>
      </c>
      <c r="DH227" s="408">
        <v>0</v>
      </c>
      <c r="DI227" s="408">
        <v>-642.45038756644681</v>
      </c>
      <c r="DJ227" s="408"/>
      <c r="DK227" s="408">
        <v>0</v>
      </c>
      <c r="DL227" s="408">
        <v>0</v>
      </c>
      <c r="DM227" s="408">
        <v>0</v>
      </c>
      <c r="DN227" s="408">
        <v>0</v>
      </c>
      <c r="DO227" s="408">
        <v>-100.7444573421983</v>
      </c>
      <c r="DP227" s="408">
        <v>-16.653399392744518</v>
      </c>
      <c r="DQ227" s="408">
        <v>0</v>
      </c>
      <c r="DR227" s="408">
        <v>0</v>
      </c>
      <c r="DS227" s="408"/>
      <c r="DT227" s="408"/>
      <c r="DU227" s="408"/>
      <c r="DV227" s="408">
        <v>0</v>
      </c>
      <c r="DW227" s="408">
        <v>0</v>
      </c>
      <c r="DX227" s="408">
        <v>0</v>
      </c>
      <c r="DY227" s="408">
        <v>-544.74786000000131</v>
      </c>
      <c r="DZ227" s="408">
        <v>3088.8362699999998</v>
      </c>
      <c r="EA227" s="408">
        <v>0</v>
      </c>
      <c r="EB227" s="408">
        <v>0</v>
      </c>
      <c r="EC227" s="408">
        <v>0</v>
      </c>
      <c r="ED227" s="408">
        <v>0</v>
      </c>
      <c r="EE227" s="408">
        <v>0</v>
      </c>
      <c r="EF227" s="408">
        <v>0</v>
      </c>
      <c r="EG227" s="408">
        <v>0</v>
      </c>
      <c r="EH227" s="408">
        <v>0</v>
      </c>
      <c r="EI227" s="408">
        <v>0</v>
      </c>
      <c r="EJ227" s="408">
        <v>0</v>
      </c>
      <c r="EK227" s="408">
        <v>0</v>
      </c>
      <c r="EL227" s="408">
        <v>0</v>
      </c>
      <c r="EM227" s="408">
        <v>0</v>
      </c>
      <c r="EN227" s="408">
        <v>0</v>
      </c>
      <c r="EO227" s="408">
        <v>0</v>
      </c>
      <c r="EP227" s="408">
        <v>0</v>
      </c>
      <c r="EQ227" s="408">
        <v>0</v>
      </c>
      <c r="ER227" s="408">
        <v>0</v>
      </c>
      <c r="ES227" s="408">
        <v>0</v>
      </c>
      <c r="ET227" s="408">
        <v>0</v>
      </c>
      <c r="EU227" s="408">
        <v>0</v>
      </c>
      <c r="EV227" s="408">
        <v>257</v>
      </c>
      <c r="EW227" s="408">
        <v>0</v>
      </c>
      <c r="EX227" s="408">
        <v>0</v>
      </c>
      <c r="EY227" s="408">
        <v>0</v>
      </c>
      <c r="EZ227" s="408"/>
      <c r="FA227" s="408">
        <v>0</v>
      </c>
      <c r="FB227" s="408"/>
      <c r="FC227" s="408"/>
      <c r="FD227" s="408"/>
      <c r="FE227" s="408"/>
      <c r="FF227" s="408">
        <v>0</v>
      </c>
      <c r="FG227" s="408">
        <v>0</v>
      </c>
      <c r="FH227" s="408">
        <v>0</v>
      </c>
      <c r="FI227" s="408">
        <v>0</v>
      </c>
    </row>
    <row r="228" spans="1:165">
      <c r="A228" s="408">
        <v>226</v>
      </c>
      <c r="B228" s="408" t="s">
        <v>2236</v>
      </c>
      <c r="C228" s="408" t="s">
        <v>2241</v>
      </c>
      <c r="D228" s="408" t="s">
        <v>596</v>
      </c>
      <c r="E228" s="408" t="s">
        <v>969</v>
      </c>
      <c r="F228" s="408" t="s">
        <v>1321</v>
      </c>
      <c r="G228" s="408" t="s">
        <v>1321</v>
      </c>
      <c r="H228" s="408" t="s">
        <v>1321</v>
      </c>
      <c r="I228" s="408" t="s">
        <v>2242</v>
      </c>
      <c r="J228" s="408" t="s">
        <v>2234</v>
      </c>
      <c r="K228" s="828">
        <v>44562</v>
      </c>
      <c r="L228" s="408">
        <v>0</v>
      </c>
      <c r="M228" s="408">
        <v>0</v>
      </c>
      <c r="N228" s="408">
        <v>4.6029999999999998</v>
      </c>
      <c r="O228" s="408">
        <v>4.6029999999999998</v>
      </c>
      <c r="P228" s="408">
        <v>4.6029999999999998</v>
      </c>
      <c r="Q228" s="408">
        <v>4.6029999999999998</v>
      </c>
      <c r="R228" s="408"/>
      <c r="S228" s="408">
        <v>82.26</v>
      </c>
      <c r="T228" s="408">
        <v>256.55</v>
      </c>
      <c r="U228" s="408"/>
      <c r="V228" s="408">
        <v>1559.54243</v>
      </c>
      <c r="W228" s="408">
        <v>1559.54243</v>
      </c>
      <c r="X228" s="408">
        <v>1620.1639399999999</v>
      </c>
      <c r="Y228" s="408">
        <v>0</v>
      </c>
      <c r="Z228" s="408">
        <v>246.182123873103</v>
      </c>
      <c r="AA228" s="408">
        <v>0</v>
      </c>
      <c r="AB228" s="408">
        <v>0</v>
      </c>
      <c r="AC228" s="408">
        <v>0</v>
      </c>
      <c r="AD228" s="408">
        <v>0</v>
      </c>
      <c r="AE228" s="408">
        <v>0</v>
      </c>
      <c r="AF228" s="408">
        <v>1180.9112575326353</v>
      </c>
      <c r="AG228" s="408">
        <v>0</v>
      </c>
      <c r="AH228" s="408">
        <v>0</v>
      </c>
      <c r="AI228" s="408">
        <v>0</v>
      </c>
      <c r="AJ228" s="408">
        <v>0</v>
      </c>
      <c r="AK228" s="408">
        <v>0</v>
      </c>
      <c r="AL228" s="408">
        <v>43.748126066207554</v>
      </c>
      <c r="AM228" s="408"/>
      <c r="AN228" s="408">
        <v>6.2097001411322017</v>
      </c>
      <c r="AO228" s="408">
        <v>0</v>
      </c>
      <c r="AP228" s="408">
        <v>0</v>
      </c>
      <c r="AQ228" s="408">
        <v>0</v>
      </c>
      <c r="AR228" s="408">
        <v>0</v>
      </c>
      <c r="AS228" s="408">
        <v>0</v>
      </c>
      <c r="AT228" s="408">
        <v>0</v>
      </c>
      <c r="AU228" s="408">
        <v>0</v>
      </c>
      <c r="AV228" s="408">
        <v>0</v>
      </c>
      <c r="AW228" s="408">
        <v>0</v>
      </c>
      <c r="AX228" s="408">
        <v>0</v>
      </c>
      <c r="AY228" s="408">
        <v>0</v>
      </c>
      <c r="AZ228" s="408">
        <v>0</v>
      </c>
      <c r="BA228" s="408"/>
      <c r="BB228" s="408">
        <v>0</v>
      </c>
      <c r="BC228" s="408">
        <v>0</v>
      </c>
      <c r="BD228" s="408">
        <v>5.6710120748003225</v>
      </c>
      <c r="BE228" s="408">
        <v>0</v>
      </c>
      <c r="BF228" s="408">
        <v>0</v>
      </c>
      <c r="BG228" s="408">
        <v>76.820793573531162</v>
      </c>
      <c r="BH228" s="408">
        <v>0</v>
      </c>
      <c r="BI228" s="408">
        <v>0</v>
      </c>
      <c r="BJ228" s="408">
        <v>0</v>
      </c>
      <c r="BK228" s="408">
        <v>0</v>
      </c>
      <c r="BL228" s="408">
        <v>0</v>
      </c>
      <c r="BM228" s="408"/>
      <c r="BN228" s="408"/>
      <c r="BO228" s="408"/>
      <c r="BP228" s="408"/>
      <c r="BQ228" s="408"/>
      <c r="BR228" s="408"/>
      <c r="BS228" s="408"/>
      <c r="BT228" s="408"/>
      <c r="BU228" s="408"/>
      <c r="BV228" s="408">
        <v>1263.4030631809667</v>
      </c>
      <c r="BW228" s="408"/>
      <c r="BX228" s="408"/>
      <c r="BY228" s="408"/>
      <c r="BZ228" s="408"/>
      <c r="CA228" s="408"/>
      <c r="CB228" s="408"/>
      <c r="CC228" s="408"/>
      <c r="CD228" s="408"/>
      <c r="CE228" s="408"/>
      <c r="CF228" s="408"/>
      <c r="CG228" s="408"/>
      <c r="CH228" s="408"/>
      <c r="CI228" s="408">
        <v>1619.1079999999999</v>
      </c>
      <c r="CJ228" s="408">
        <v>59.535570000000007</v>
      </c>
      <c r="CK228" s="408"/>
      <c r="CL228" s="408"/>
      <c r="CM228" s="408"/>
      <c r="CN228" s="408"/>
      <c r="CO228" s="408">
        <v>-12.980460000000033</v>
      </c>
      <c r="CP228" s="408">
        <v>73.601970000000037</v>
      </c>
      <c r="CQ228" s="408">
        <v>31</v>
      </c>
      <c r="CR228" s="408">
        <v>60.60212269254157</v>
      </c>
      <c r="CS228" s="408">
        <v>0</v>
      </c>
      <c r="CT228" s="408">
        <v>0</v>
      </c>
      <c r="CU228" s="408">
        <v>0</v>
      </c>
      <c r="CV228" s="408">
        <v>0</v>
      </c>
      <c r="CW228" s="408">
        <v>0</v>
      </c>
      <c r="CX228" s="408">
        <v>0</v>
      </c>
      <c r="CY228" s="408">
        <v>0</v>
      </c>
      <c r="CZ228" s="408">
        <v>0</v>
      </c>
      <c r="DA228" s="408">
        <v>0</v>
      </c>
      <c r="DB228" s="408">
        <v>0</v>
      </c>
      <c r="DC228" s="408">
        <v>73.568963567076707</v>
      </c>
      <c r="DD228" s="408">
        <v>0</v>
      </c>
      <c r="DE228" s="408">
        <v>0</v>
      </c>
      <c r="DF228" s="408">
        <v>0.35329537089108776</v>
      </c>
      <c r="DG228" s="408">
        <v>4.7858178398717399</v>
      </c>
      <c r="DH228" s="408">
        <v>0</v>
      </c>
      <c r="DI228" s="408">
        <v>-15.308553130967368</v>
      </c>
      <c r="DJ228" s="408"/>
      <c r="DK228" s="408">
        <v>0</v>
      </c>
      <c r="DL228" s="408">
        <v>0</v>
      </c>
      <c r="DM228" s="408">
        <v>0</v>
      </c>
      <c r="DN228" s="408">
        <v>0</v>
      </c>
      <c r="DO228" s="408">
        <v>-2.4005773951128688</v>
      </c>
      <c r="DP228" s="408">
        <v>-0.39682355921791945</v>
      </c>
      <c r="DQ228" s="408">
        <v>0</v>
      </c>
      <c r="DR228" s="408">
        <v>0</v>
      </c>
      <c r="DS228" s="408"/>
      <c r="DT228" s="408"/>
      <c r="DU228" s="408"/>
      <c r="DV228" s="408">
        <v>0</v>
      </c>
      <c r="DW228" s="408">
        <v>0</v>
      </c>
      <c r="DX228" s="408">
        <v>0</v>
      </c>
      <c r="DY228" s="408">
        <v>-12.980460000000051</v>
      </c>
      <c r="DZ228" s="408">
        <v>73.601969999999937</v>
      </c>
      <c r="EA228" s="408">
        <v>0</v>
      </c>
      <c r="EB228" s="408">
        <v>0</v>
      </c>
      <c r="EC228" s="408">
        <v>0</v>
      </c>
      <c r="ED228" s="408">
        <v>0</v>
      </c>
      <c r="EE228" s="408">
        <v>0</v>
      </c>
      <c r="EF228" s="408">
        <v>0</v>
      </c>
      <c r="EG228" s="408">
        <v>0</v>
      </c>
      <c r="EH228" s="408">
        <v>0</v>
      </c>
      <c r="EI228" s="408">
        <v>0</v>
      </c>
      <c r="EJ228" s="408">
        <v>0</v>
      </c>
      <c r="EK228" s="408">
        <v>0</v>
      </c>
      <c r="EL228" s="408">
        <v>0</v>
      </c>
      <c r="EM228" s="408">
        <v>0</v>
      </c>
      <c r="EN228" s="408">
        <v>0</v>
      </c>
      <c r="EO228" s="408">
        <v>0</v>
      </c>
      <c r="EP228" s="408">
        <v>0</v>
      </c>
      <c r="EQ228" s="408">
        <v>0</v>
      </c>
      <c r="ER228" s="408">
        <v>0</v>
      </c>
      <c r="ES228" s="408">
        <v>0</v>
      </c>
      <c r="ET228" s="408">
        <v>0</v>
      </c>
      <c r="EU228" s="408">
        <v>0</v>
      </c>
      <c r="EV228" s="408">
        <v>257</v>
      </c>
      <c r="EW228" s="408">
        <v>0</v>
      </c>
      <c r="EX228" s="408">
        <v>0</v>
      </c>
      <c r="EY228" s="408">
        <v>0</v>
      </c>
      <c r="EZ228" s="408"/>
      <c r="FA228" s="408">
        <v>0</v>
      </c>
      <c r="FB228" s="408"/>
      <c r="FC228" s="408"/>
      <c r="FD228" s="408"/>
      <c r="FE228" s="408"/>
      <c r="FF228" s="408">
        <v>0</v>
      </c>
      <c r="FG228" s="408">
        <v>0</v>
      </c>
      <c r="FH228" s="408">
        <v>0</v>
      </c>
      <c r="FI228" s="408">
        <v>0</v>
      </c>
    </row>
    <row r="229" spans="1:165">
      <c r="A229" s="408">
        <v>227</v>
      </c>
      <c r="B229" s="408" t="s">
        <v>1035</v>
      </c>
      <c r="C229" s="408" t="s">
        <v>2241</v>
      </c>
      <c r="D229" s="408" t="s">
        <v>596</v>
      </c>
      <c r="E229" s="408" t="s">
        <v>969</v>
      </c>
      <c r="F229" s="408" t="s">
        <v>1321</v>
      </c>
      <c r="G229" s="408" t="s">
        <v>1321</v>
      </c>
      <c r="H229" s="408" t="s">
        <v>1321</v>
      </c>
      <c r="I229" s="408" t="s">
        <v>1321</v>
      </c>
      <c r="J229" s="408" t="s">
        <v>2234</v>
      </c>
      <c r="K229" s="828">
        <v>44562</v>
      </c>
      <c r="L229" s="408">
        <v>1492</v>
      </c>
      <c r="M229" s="408">
        <v>1492</v>
      </c>
      <c r="N229" s="408">
        <v>0</v>
      </c>
      <c r="O229" s="408">
        <v>0</v>
      </c>
      <c r="P229" s="408">
        <v>0</v>
      </c>
      <c r="Q229" s="408">
        <v>0</v>
      </c>
      <c r="R229" s="408">
        <v>47.39</v>
      </c>
      <c r="S229" s="408"/>
      <c r="T229" s="408"/>
      <c r="U229" s="408">
        <v>70705.88</v>
      </c>
      <c r="V229" s="408"/>
      <c r="W229" s="408">
        <v>70705.88</v>
      </c>
      <c r="X229" s="408">
        <v>48072.24</v>
      </c>
      <c r="Y229" s="408">
        <v>0</v>
      </c>
      <c r="Z229" s="408">
        <v>0</v>
      </c>
      <c r="AA229" s="408">
        <v>0</v>
      </c>
      <c r="AB229" s="408">
        <v>0</v>
      </c>
      <c r="AC229" s="408">
        <v>0</v>
      </c>
      <c r="AD229" s="408">
        <v>37255.389467762827</v>
      </c>
      <c r="AE229" s="408">
        <v>33450.441930628411</v>
      </c>
      <c r="AF229" s="408"/>
      <c r="AG229" s="408"/>
      <c r="AH229" s="408"/>
      <c r="AI229" s="408">
        <v>0</v>
      </c>
      <c r="AJ229" s="408">
        <v>0</v>
      </c>
      <c r="AK229" s="408">
        <v>0</v>
      </c>
      <c r="AL229" s="408">
        <v>0</v>
      </c>
      <c r="AM229" s="408"/>
      <c r="AN229" s="408">
        <v>0</v>
      </c>
      <c r="AO229" s="408">
        <v>0</v>
      </c>
      <c r="AP229" s="408">
        <v>0</v>
      </c>
      <c r="AQ229" s="408">
        <v>0</v>
      </c>
      <c r="AR229" s="408">
        <v>0</v>
      </c>
      <c r="AS229" s="408"/>
      <c r="AT229" s="408"/>
      <c r="AU229" s="408">
        <v>0</v>
      </c>
      <c r="AV229" s="408">
        <v>0</v>
      </c>
      <c r="AW229" s="408">
        <v>0</v>
      </c>
      <c r="AX229" s="408"/>
      <c r="AY229" s="408"/>
      <c r="AZ229" s="408">
        <v>0</v>
      </c>
      <c r="BA229" s="408"/>
      <c r="BB229" s="408">
        <v>0</v>
      </c>
      <c r="BC229" s="408">
        <v>0</v>
      </c>
      <c r="BD229" s="408">
        <v>0</v>
      </c>
      <c r="BE229" s="408">
        <v>0</v>
      </c>
      <c r="BF229" s="408"/>
      <c r="BG229" s="408">
        <v>0</v>
      </c>
      <c r="BH229" s="408">
        <v>0</v>
      </c>
      <c r="BI229" s="408">
        <v>219.76</v>
      </c>
      <c r="BJ229" s="408">
        <v>1013.84</v>
      </c>
      <c r="BK229" s="408">
        <v>31900.98</v>
      </c>
      <c r="BL229" s="408">
        <v>10</v>
      </c>
      <c r="BM229" s="408"/>
      <c r="BN229" s="408"/>
      <c r="BO229" s="408"/>
      <c r="BP229" s="408"/>
      <c r="BQ229" s="408"/>
      <c r="BR229" s="408"/>
      <c r="BS229" s="408"/>
      <c r="BT229" s="408"/>
      <c r="BU229" s="408"/>
      <c r="BV229" s="408">
        <v>0</v>
      </c>
      <c r="BW229" s="408"/>
      <c r="BX229" s="408"/>
      <c r="BY229" s="408"/>
      <c r="BZ229" s="408"/>
      <c r="CA229" s="408"/>
      <c r="CB229" s="408"/>
      <c r="CC229" s="408"/>
      <c r="CD229" s="408"/>
      <c r="CE229" s="408"/>
      <c r="CF229" s="408"/>
      <c r="CG229" s="408"/>
      <c r="CH229" s="408"/>
      <c r="CI229" s="408">
        <v>48072.24</v>
      </c>
      <c r="CJ229" s="408">
        <v>-22633.669999999991</v>
      </c>
      <c r="CK229" s="408"/>
      <c r="CL229" s="408"/>
      <c r="CM229" s="408"/>
      <c r="CN229" s="408"/>
      <c r="CO229" s="408">
        <v>-22633.640000000003</v>
      </c>
      <c r="CP229" s="408">
        <v>0</v>
      </c>
      <c r="CQ229" s="408">
        <v>31</v>
      </c>
      <c r="CR229" s="408">
        <v>-168.39670358165313</v>
      </c>
      <c r="CS229" s="408">
        <v>0</v>
      </c>
      <c r="CT229" s="408">
        <v>0</v>
      </c>
      <c r="CU229" s="408">
        <v>0</v>
      </c>
      <c r="CV229" s="408">
        <v>0</v>
      </c>
      <c r="CW229" s="408"/>
      <c r="CX229" s="408"/>
      <c r="CY229" s="408"/>
      <c r="CZ229" s="408">
        <v>-168.39670358165313</v>
      </c>
      <c r="DA229" s="408">
        <v>0</v>
      </c>
      <c r="DB229" s="408">
        <v>0</v>
      </c>
      <c r="DC229" s="408"/>
      <c r="DD229" s="408"/>
      <c r="DE229" s="408">
        <v>0</v>
      </c>
      <c r="DF229" s="408">
        <v>0</v>
      </c>
      <c r="DG229" s="408">
        <v>0</v>
      </c>
      <c r="DH229" s="408">
        <v>0</v>
      </c>
      <c r="DI229" s="408">
        <v>0</v>
      </c>
      <c r="DJ229" s="408"/>
      <c r="DK229" s="408">
        <v>0</v>
      </c>
      <c r="DL229" s="408">
        <v>0</v>
      </c>
      <c r="DM229" s="408"/>
      <c r="DN229" s="408">
        <v>0</v>
      </c>
      <c r="DO229" s="408">
        <v>0</v>
      </c>
      <c r="DP229" s="408">
        <v>0</v>
      </c>
      <c r="DQ229" s="408">
        <v>0</v>
      </c>
      <c r="DR229" s="408">
        <v>0</v>
      </c>
      <c r="DS229" s="408"/>
      <c r="DT229" s="408"/>
      <c r="DU229" s="408">
        <v>33450.441930628411</v>
      </c>
      <c r="DV229" s="408"/>
      <c r="DW229" s="408">
        <v>0</v>
      </c>
      <c r="DX229" s="408">
        <v>0</v>
      </c>
      <c r="DY229" s="408">
        <v>-22633.640000000007</v>
      </c>
      <c r="DZ229" s="408"/>
      <c r="EA229" s="408">
        <v>0</v>
      </c>
      <c r="EB229" s="408"/>
      <c r="EC229" s="408">
        <v>-22467.81449514447</v>
      </c>
      <c r="ED229" s="408"/>
      <c r="EE229" s="408">
        <v>0</v>
      </c>
      <c r="EF229" s="408">
        <v>0</v>
      </c>
      <c r="EG229" s="408"/>
      <c r="EH229" s="408">
        <v>0</v>
      </c>
      <c r="EI229" s="408">
        <v>0</v>
      </c>
      <c r="EJ229" s="408">
        <v>0</v>
      </c>
      <c r="EK229" s="408">
        <v>0</v>
      </c>
      <c r="EL229" s="408">
        <v>0</v>
      </c>
      <c r="EM229" s="408"/>
      <c r="EN229" s="408"/>
      <c r="EO229" s="408">
        <v>0</v>
      </c>
      <c r="EP229" s="408">
        <v>0</v>
      </c>
      <c r="EQ229" s="408"/>
      <c r="ER229" s="408">
        <v>0</v>
      </c>
      <c r="ES229" s="408"/>
      <c r="ET229" s="408">
        <v>0</v>
      </c>
      <c r="EU229" s="408"/>
      <c r="EV229" s="408">
        <v>257</v>
      </c>
      <c r="EW229" s="408"/>
      <c r="EX229" s="408"/>
      <c r="EY229" s="408"/>
      <c r="EZ229" s="408"/>
      <c r="FA229" s="408">
        <v>0</v>
      </c>
      <c r="FB229" s="408"/>
      <c r="FC229" s="408"/>
      <c r="FD229" s="408"/>
      <c r="FE229" s="408"/>
      <c r="FF229" s="408">
        <v>0</v>
      </c>
      <c r="FG229" s="408">
        <v>0</v>
      </c>
      <c r="FH229" s="408">
        <v>0</v>
      </c>
      <c r="FI229" s="408">
        <v>0</v>
      </c>
    </row>
    <row r="230" spans="1:165">
      <c r="A230" s="408">
        <v>228</v>
      </c>
      <c r="B230" s="408" t="s">
        <v>2236</v>
      </c>
      <c r="C230" s="408" t="s">
        <v>2241</v>
      </c>
      <c r="D230" s="408" t="s">
        <v>596</v>
      </c>
      <c r="E230" s="408" t="s">
        <v>969</v>
      </c>
      <c r="F230" s="408" t="s">
        <v>1321</v>
      </c>
      <c r="G230" s="408" t="s">
        <v>1321</v>
      </c>
      <c r="H230" s="408" t="s">
        <v>1321</v>
      </c>
      <c r="I230" s="408" t="s">
        <v>1321</v>
      </c>
      <c r="J230" s="408" t="s">
        <v>2234</v>
      </c>
      <c r="K230" s="828">
        <v>44562</v>
      </c>
      <c r="L230" s="408">
        <v>726</v>
      </c>
      <c r="M230" s="408">
        <v>726</v>
      </c>
      <c r="N230" s="408">
        <v>0</v>
      </c>
      <c r="O230" s="408">
        <v>0</v>
      </c>
      <c r="P230" s="408">
        <v>0</v>
      </c>
      <c r="Q230" s="408">
        <v>0</v>
      </c>
      <c r="R230" s="408">
        <v>47.39</v>
      </c>
      <c r="S230" s="408"/>
      <c r="T230" s="408"/>
      <c r="U230" s="408">
        <v>34405.14</v>
      </c>
      <c r="V230" s="408"/>
      <c r="W230" s="408">
        <v>34405.14</v>
      </c>
      <c r="X230" s="408">
        <v>23391.719999999998</v>
      </c>
      <c r="Y230" s="408">
        <v>0</v>
      </c>
      <c r="Z230" s="408">
        <v>0</v>
      </c>
      <c r="AA230" s="408">
        <v>0</v>
      </c>
      <c r="AB230" s="408">
        <v>0</v>
      </c>
      <c r="AC230" s="408">
        <v>0</v>
      </c>
      <c r="AD230" s="408">
        <v>18128.292730292098</v>
      </c>
      <c r="AE230" s="408">
        <v>16276.823620399617</v>
      </c>
      <c r="AF230" s="408"/>
      <c r="AG230" s="408"/>
      <c r="AH230" s="408"/>
      <c r="AI230" s="408">
        <v>0</v>
      </c>
      <c r="AJ230" s="408">
        <v>0</v>
      </c>
      <c r="AK230" s="408">
        <v>0</v>
      </c>
      <c r="AL230" s="408">
        <v>0</v>
      </c>
      <c r="AM230" s="408"/>
      <c r="AN230" s="408">
        <v>0</v>
      </c>
      <c r="AO230" s="408">
        <v>0</v>
      </c>
      <c r="AP230" s="408">
        <v>0</v>
      </c>
      <c r="AQ230" s="408">
        <v>0</v>
      </c>
      <c r="AR230" s="408">
        <v>0</v>
      </c>
      <c r="AS230" s="408"/>
      <c r="AT230" s="408"/>
      <c r="AU230" s="408">
        <v>0</v>
      </c>
      <c r="AV230" s="408">
        <v>0</v>
      </c>
      <c r="AW230" s="408">
        <v>0</v>
      </c>
      <c r="AX230" s="408"/>
      <c r="AY230" s="408"/>
      <c r="AZ230" s="408">
        <v>0</v>
      </c>
      <c r="BA230" s="408"/>
      <c r="BB230" s="408">
        <v>0</v>
      </c>
      <c r="BC230" s="408">
        <v>0</v>
      </c>
      <c r="BD230" s="408">
        <v>0</v>
      </c>
      <c r="BE230" s="408">
        <v>0</v>
      </c>
      <c r="BF230" s="408"/>
      <c r="BG230" s="408">
        <v>0</v>
      </c>
      <c r="BH230" s="408">
        <v>0</v>
      </c>
      <c r="BI230" s="408">
        <v>41.72</v>
      </c>
      <c r="BJ230" s="408">
        <v>192.51</v>
      </c>
      <c r="BK230" s="408">
        <v>5712.52</v>
      </c>
      <c r="BL230" s="408">
        <v>5</v>
      </c>
      <c r="BM230" s="408"/>
      <c r="BN230" s="408"/>
      <c r="BO230" s="408"/>
      <c r="BP230" s="408"/>
      <c r="BQ230" s="408"/>
      <c r="BR230" s="408"/>
      <c r="BS230" s="408"/>
      <c r="BT230" s="408"/>
      <c r="BU230" s="408"/>
      <c r="BV230" s="408">
        <v>0</v>
      </c>
      <c r="BW230" s="408"/>
      <c r="BX230" s="408"/>
      <c r="BY230" s="408"/>
      <c r="BZ230" s="408"/>
      <c r="CA230" s="408"/>
      <c r="CB230" s="408"/>
      <c r="CC230" s="408"/>
      <c r="CD230" s="408"/>
      <c r="CE230" s="408"/>
      <c r="CF230" s="408"/>
      <c r="CG230" s="408"/>
      <c r="CH230" s="408"/>
      <c r="CI230" s="408">
        <v>23391.719999999998</v>
      </c>
      <c r="CJ230" s="408">
        <v>-11013.450000000008</v>
      </c>
      <c r="CK230" s="408"/>
      <c r="CL230" s="408"/>
      <c r="CM230" s="408"/>
      <c r="CN230" s="408"/>
      <c r="CO230" s="408">
        <v>-11013.420000000002</v>
      </c>
      <c r="CP230" s="408">
        <v>0</v>
      </c>
      <c r="CQ230" s="408">
        <v>31</v>
      </c>
      <c r="CR230" s="408">
        <v>-81.941023324583512</v>
      </c>
      <c r="CS230" s="408">
        <v>0</v>
      </c>
      <c r="CT230" s="408">
        <v>0</v>
      </c>
      <c r="CU230" s="408">
        <v>0</v>
      </c>
      <c r="CV230" s="408">
        <v>0</v>
      </c>
      <c r="CW230" s="408"/>
      <c r="CX230" s="408"/>
      <c r="CY230" s="408"/>
      <c r="CZ230" s="408">
        <v>-81.941023324583512</v>
      </c>
      <c r="DA230" s="408">
        <v>0</v>
      </c>
      <c r="DB230" s="408">
        <v>0</v>
      </c>
      <c r="DC230" s="408"/>
      <c r="DD230" s="408"/>
      <c r="DE230" s="408">
        <v>0</v>
      </c>
      <c r="DF230" s="408">
        <v>0</v>
      </c>
      <c r="DG230" s="408">
        <v>0</v>
      </c>
      <c r="DH230" s="408">
        <v>0</v>
      </c>
      <c r="DI230" s="408">
        <v>0</v>
      </c>
      <c r="DJ230" s="408"/>
      <c r="DK230" s="408">
        <v>0</v>
      </c>
      <c r="DL230" s="408">
        <v>0</v>
      </c>
      <c r="DM230" s="408"/>
      <c r="DN230" s="408">
        <v>0</v>
      </c>
      <c r="DO230" s="408">
        <v>0</v>
      </c>
      <c r="DP230" s="408">
        <v>0</v>
      </c>
      <c r="DQ230" s="408">
        <v>0</v>
      </c>
      <c r="DR230" s="408">
        <v>0</v>
      </c>
      <c r="DS230" s="408"/>
      <c r="DT230" s="408"/>
      <c r="DU230" s="408">
        <v>16276.823620399617</v>
      </c>
      <c r="DV230" s="408"/>
      <c r="DW230" s="408">
        <v>0</v>
      </c>
      <c r="DX230" s="408">
        <v>0</v>
      </c>
      <c r="DY230" s="408">
        <v>-11013.420000000002</v>
      </c>
      <c r="DZ230" s="408"/>
      <c r="EA230" s="408">
        <v>0</v>
      </c>
      <c r="EB230" s="408"/>
      <c r="EC230" s="408">
        <v>-10932.730109567619</v>
      </c>
      <c r="ED230" s="408"/>
      <c r="EE230" s="408">
        <v>0</v>
      </c>
      <c r="EF230" s="408">
        <v>0</v>
      </c>
      <c r="EG230" s="408"/>
      <c r="EH230" s="408">
        <v>0</v>
      </c>
      <c r="EI230" s="408">
        <v>0</v>
      </c>
      <c r="EJ230" s="408">
        <v>0</v>
      </c>
      <c r="EK230" s="408">
        <v>0</v>
      </c>
      <c r="EL230" s="408">
        <v>0</v>
      </c>
      <c r="EM230" s="408"/>
      <c r="EN230" s="408"/>
      <c r="EO230" s="408">
        <v>0</v>
      </c>
      <c r="EP230" s="408">
        <v>0</v>
      </c>
      <c r="EQ230" s="408"/>
      <c r="ER230" s="408">
        <v>0</v>
      </c>
      <c r="ES230" s="408"/>
      <c r="ET230" s="408">
        <v>0</v>
      </c>
      <c r="EU230" s="408"/>
      <c r="EV230" s="408">
        <v>257</v>
      </c>
      <c r="EW230" s="408"/>
      <c r="EX230" s="408"/>
      <c r="EY230" s="408"/>
      <c r="EZ230" s="408"/>
      <c r="FA230" s="408">
        <v>0</v>
      </c>
      <c r="FB230" s="408"/>
      <c r="FC230" s="408"/>
      <c r="FD230" s="408"/>
      <c r="FE230" s="408"/>
      <c r="FF230" s="408">
        <v>0</v>
      </c>
      <c r="FG230" s="408">
        <v>0</v>
      </c>
      <c r="FH230" s="408">
        <v>0</v>
      </c>
      <c r="FI230" s="408">
        <v>0</v>
      </c>
    </row>
    <row r="231" spans="1:165">
      <c r="A231" s="408">
        <v>229</v>
      </c>
      <c r="B231" s="408" t="s">
        <v>1035</v>
      </c>
      <c r="C231" s="408" t="s">
        <v>2233</v>
      </c>
      <c r="D231" s="408" t="s">
        <v>1958</v>
      </c>
      <c r="E231" s="408" t="s">
        <v>997</v>
      </c>
      <c r="F231" s="408" t="s">
        <v>1321</v>
      </c>
      <c r="G231" s="408" t="s">
        <v>1321</v>
      </c>
      <c r="H231" s="408" t="s">
        <v>1321</v>
      </c>
      <c r="I231" s="408" t="s">
        <v>1321</v>
      </c>
      <c r="J231" s="408" t="s">
        <v>2234</v>
      </c>
      <c r="K231" s="828">
        <v>44562</v>
      </c>
      <c r="L231" s="408">
        <v>0</v>
      </c>
      <c r="M231" s="408">
        <v>0</v>
      </c>
      <c r="N231" s="408">
        <v>397.92399999999998</v>
      </c>
      <c r="O231" s="408">
        <v>397.92399999999998</v>
      </c>
      <c r="P231" s="408">
        <v>397.92399999999998</v>
      </c>
      <c r="Q231" s="408">
        <v>397.92399999999998</v>
      </c>
      <c r="R231" s="408"/>
      <c r="S231" s="408">
        <v>710.91</v>
      </c>
      <c r="T231" s="408">
        <v>256.55</v>
      </c>
      <c r="U231" s="408"/>
      <c r="V231" s="408">
        <v>384975.55303999997</v>
      </c>
      <c r="W231" s="408">
        <v>384975.55303999997</v>
      </c>
      <c r="X231" s="408">
        <v>262800.94731999998</v>
      </c>
      <c r="Y231" s="408">
        <v>0</v>
      </c>
      <c r="Z231" s="408">
        <v>24462.251120603665</v>
      </c>
      <c r="AA231" s="408">
        <v>0</v>
      </c>
      <c r="AB231" s="408">
        <v>0</v>
      </c>
      <c r="AC231" s="408">
        <v>0</v>
      </c>
      <c r="AD231" s="408">
        <v>48977.596049716994</v>
      </c>
      <c r="AE231" s="408">
        <v>189773.95938606092</v>
      </c>
      <c r="AF231" s="408">
        <v>102088.40565770507</v>
      </c>
      <c r="AG231" s="408">
        <v>0</v>
      </c>
      <c r="AH231" s="408">
        <v>0</v>
      </c>
      <c r="AI231" s="408">
        <v>0</v>
      </c>
      <c r="AJ231" s="408">
        <v>0</v>
      </c>
      <c r="AK231" s="408">
        <v>0</v>
      </c>
      <c r="AL231" s="408">
        <v>3781.9746506125516</v>
      </c>
      <c r="AM231" s="408"/>
      <c r="AN231" s="408">
        <v>873.76336808150347</v>
      </c>
      <c r="AO231" s="408">
        <v>0</v>
      </c>
      <c r="AP231" s="408">
        <v>0</v>
      </c>
      <c r="AQ231" s="408">
        <v>0</v>
      </c>
      <c r="AR231" s="408">
        <v>0</v>
      </c>
      <c r="AS231" s="408">
        <v>0</v>
      </c>
      <c r="AT231" s="408">
        <v>0</v>
      </c>
      <c r="AU231" s="408">
        <v>0</v>
      </c>
      <c r="AV231" s="408">
        <v>0</v>
      </c>
      <c r="AW231" s="408">
        <v>0</v>
      </c>
      <c r="AX231" s="408">
        <v>0</v>
      </c>
      <c r="AY231" s="408">
        <v>0</v>
      </c>
      <c r="AZ231" s="408">
        <v>0</v>
      </c>
      <c r="BA231" s="408"/>
      <c r="BB231" s="408">
        <v>0</v>
      </c>
      <c r="BC231" s="408">
        <v>0</v>
      </c>
      <c r="BD231" s="408">
        <v>593.03422704088416</v>
      </c>
      <c r="BE231" s="408">
        <v>0</v>
      </c>
      <c r="BF231" s="408">
        <v>0</v>
      </c>
      <c r="BG231" s="408">
        <v>14426.098846815501</v>
      </c>
      <c r="BH231" s="408">
        <v>0</v>
      </c>
      <c r="BI231" s="408">
        <v>438.89</v>
      </c>
      <c r="BJ231" s="408">
        <v>2039.79</v>
      </c>
      <c r="BK231" s="408">
        <v>107254.58</v>
      </c>
      <c r="BL231" s="408">
        <v>969</v>
      </c>
      <c r="BM231" s="408"/>
      <c r="BN231" s="408"/>
      <c r="BO231" s="408"/>
      <c r="BP231" s="408"/>
      <c r="BQ231" s="408"/>
      <c r="BR231" s="408"/>
      <c r="BS231" s="408"/>
      <c r="BT231" s="408"/>
      <c r="BU231" s="408"/>
      <c r="BV231" s="408">
        <v>117107.53873156145</v>
      </c>
      <c r="BW231" s="408"/>
      <c r="BX231" s="408"/>
      <c r="BY231" s="408"/>
      <c r="BZ231" s="408"/>
      <c r="CA231" s="408"/>
      <c r="CB231" s="408"/>
      <c r="CC231" s="408"/>
      <c r="CD231" s="408"/>
      <c r="CE231" s="408"/>
      <c r="CF231" s="408"/>
      <c r="CG231" s="408"/>
      <c r="CH231" s="408"/>
      <c r="CI231" s="408">
        <v>262798.30560000002</v>
      </c>
      <c r="CJ231" s="408">
        <v>-122177.27743999998</v>
      </c>
      <c r="CK231" s="408"/>
      <c r="CL231" s="408"/>
      <c r="CM231" s="408"/>
      <c r="CN231" s="408"/>
      <c r="CO231" s="408">
        <v>-128537.41047999999</v>
      </c>
      <c r="CP231" s="408">
        <v>6362.8047600000036</v>
      </c>
      <c r="CQ231" s="408">
        <v>31</v>
      </c>
      <c r="CR231" s="408">
        <v>5289.7175932992832</v>
      </c>
      <c r="CS231" s="408">
        <v>0</v>
      </c>
      <c r="CT231" s="408">
        <v>0</v>
      </c>
      <c r="CU231" s="408">
        <v>0</v>
      </c>
      <c r="CV231" s="408">
        <v>0</v>
      </c>
      <c r="CW231" s="408">
        <v>0</v>
      </c>
      <c r="CX231" s="408">
        <v>0</v>
      </c>
      <c r="CY231" s="408">
        <v>0</v>
      </c>
      <c r="CZ231" s="408">
        <v>-221.3818146032354</v>
      </c>
      <c r="DA231" s="408">
        <v>0</v>
      </c>
      <c r="DB231" s="408">
        <v>0</v>
      </c>
      <c r="DC231" s="408">
        <v>6359.9513922366605</v>
      </c>
      <c r="DD231" s="408">
        <v>0</v>
      </c>
      <c r="DE231" s="408">
        <v>0</v>
      </c>
      <c r="DF231" s="408">
        <v>36.945124508642607</v>
      </c>
      <c r="DG231" s="408">
        <v>898.72387421718668</v>
      </c>
      <c r="DH231" s="408">
        <v>0</v>
      </c>
      <c r="DI231" s="408">
        <v>-1521.1570405325401</v>
      </c>
      <c r="DJ231" s="408"/>
      <c r="DK231" s="408">
        <v>0</v>
      </c>
      <c r="DL231" s="408">
        <v>0</v>
      </c>
      <c r="DM231" s="408">
        <v>0</v>
      </c>
      <c r="DN231" s="408">
        <v>0</v>
      </c>
      <c r="DO231" s="408">
        <v>-207.5271256512915</v>
      </c>
      <c r="DP231" s="408">
        <v>-55.83681687617036</v>
      </c>
      <c r="DQ231" s="408">
        <v>0</v>
      </c>
      <c r="DR231" s="408">
        <v>0</v>
      </c>
      <c r="DS231" s="408"/>
      <c r="DT231" s="408"/>
      <c r="DU231" s="408"/>
      <c r="DV231" s="408">
        <v>189773.95938606092</v>
      </c>
      <c r="DW231" s="408">
        <v>0</v>
      </c>
      <c r="DX231" s="408">
        <v>0</v>
      </c>
      <c r="DY231" s="408">
        <v>-128537.41047999996</v>
      </c>
      <c r="DZ231" s="408">
        <v>6362.8047599999991</v>
      </c>
      <c r="EA231" s="408">
        <v>0</v>
      </c>
      <c r="EB231" s="408">
        <v>0</v>
      </c>
      <c r="EC231" s="408">
        <v>-127466.36126176278</v>
      </c>
      <c r="ED231" s="408">
        <v>0</v>
      </c>
      <c r="EE231" s="408">
        <v>0</v>
      </c>
      <c r="EF231" s="408">
        <v>0</v>
      </c>
      <c r="EG231" s="408">
        <v>0</v>
      </c>
      <c r="EH231" s="408">
        <v>0</v>
      </c>
      <c r="EI231" s="408">
        <v>0</v>
      </c>
      <c r="EJ231" s="408">
        <v>0</v>
      </c>
      <c r="EK231" s="408">
        <v>0</v>
      </c>
      <c r="EL231" s="408">
        <v>0</v>
      </c>
      <c r="EM231" s="408">
        <v>0</v>
      </c>
      <c r="EN231" s="408">
        <v>0</v>
      </c>
      <c r="EO231" s="408">
        <v>0</v>
      </c>
      <c r="EP231" s="408">
        <v>0</v>
      </c>
      <c r="EQ231" s="408">
        <v>0</v>
      </c>
      <c r="ER231" s="408">
        <v>0</v>
      </c>
      <c r="ES231" s="408">
        <v>0</v>
      </c>
      <c r="ET231" s="408">
        <v>0</v>
      </c>
      <c r="EU231" s="408">
        <v>0</v>
      </c>
      <c r="EV231" s="408">
        <v>257</v>
      </c>
      <c r="EW231" s="408">
        <v>0</v>
      </c>
      <c r="EX231" s="408">
        <v>0</v>
      </c>
      <c r="EY231" s="408">
        <v>0</v>
      </c>
      <c r="EZ231" s="408"/>
      <c r="FA231" s="408">
        <v>0</v>
      </c>
      <c r="FB231" s="408"/>
      <c r="FC231" s="408"/>
      <c r="FD231" s="408"/>
      <c r="FE231" s="408"/>
      <c r="FF231" s="408">
        <v>0</v>
      </c>
      <c r="FG231" s="408">
        <v>0</v>
      </c>
      <c r="FH231" s="408">
        <v>0</v>
      </c>
      <c r="FI231" s="408">
        <v>0</v>
      </c>
    </row>
    <row r="232" spans="1:165">
      <c r="A232" s="408">
        <v>230</v>
      </c>
      <c r="B232" s="408" t="s">
        <v>2235</v>
      </c>
      <c r="C232" s="408" t="s">
        <v>2233</v>
      </c>
      <c r="D232" s="408" t="s">
        <v>1958</v>
      </c>
      <c r="E232" s="408" t="s">
        <v>997</v>
      </c>
      <c r="F232" s="408" t="s">
        <v>1321</v>
      </c>
      <c r="G232" s="408" t="s">
        <v>1321</v>
      </c>
      <c r="H232" s="408" t="s">
        <v>1321</v>
      </c>
      <c r="I232" s="408" t="s">
        <v>1321</v>
      </c>
      <c r="J232" s="408" t="s">
        <v>2234</v>
      </c>
      <c r="K232" s="828">
        <v>44562</v>
      </c>
      <c r="L232" s="408">
        <v>0</v>
      </c>
      <c r="M232" s="408">
        <v>0</v>
      </c>
      <c r="N232" s="408">
        <v>-0.86899999999999999</v>
      </c>
      <c r="O232" s="408">
        <v>-0.86899999999999999</v>
      </c>
      <c r="P232" s="408">
        <v>-0.86899999999999999</v>
      </c>
      <c r="Q232" s="408">
        <v>-0.86899999999999999</v>
      </c>
      <c r="R232" s="408"/>
      <c r="S232" s="408">
        <v>710.91</v>
      </c>
      <c r="T232" s="408">
        <v>256.55</v>
      </c>
      <c r="U232" s="408"/>
      <c r="V232" s="408">
        <v>-840.72274000000004</v>
      </c>
      <c r="W232" s="408">
        <v>-840.72274000000004</v>
      </c>
      <c r="X232" s="408">
        <v>-573.91367000000002</v>
      </c>
      <c r="Y232" s="408">
        <v>0</v>
      </c>
      <c r="Z232" s="408">
        <v>-53.421498134831239</v>
      </c>
      <c r="AA232" s="408">
        <v>0</v>
      </c>
      <c r="AB232" s="408">
        <v>0</v>
      </c>
      <c r="AC232" s="408">
        <v>0</v>
      </c>
      <c r="AD232" s="408">
        <v>-106.95894433913027</v>
      </c>
      <c r="AE232" s="408">
        <v>-414.43484360452481</v>
      </c>
      <c r="AF232" s="408">
        <v>-222.94414138515319</v>
      </c>
      <c r="AG232" s="408">
        <v>0</v>
      </c>
      <c r="AH232" s="408">
        <v>0</v>
      </c>
      <c r="AI232" s="408">
        <v>0</v>
      </c>
      <c r="AJ232" s="408">
        <v>0</v>
      </c>
      <c r="AK232" s="408">
        <v>0</v>
      </c>
      <c r="AL232" s="408">
        <v>-8.259205203461736</v>
      </c>
      <c r="AM232" s="408"/>
      <c r="AN232" s="408">
        <v>-1.9081542376504723</v>
      </c>
      <c r="AO232" s="408">
        <v>0</v>
      </c>
      <c r="AP232" s="408">
        <v>0</v>
      </c>
      <c r="AQ232" s="408">
        <v>0</v>
      </c>
      <c r="AR232" s="408">
        <v>0</v>
      </c>
      <c r="AS232" s="408">
        <v>0</v>
      </c>
      <c r="AT232" s="408">
        <v>0</v>
      </c>
      <c r="AU232" s="408">
        <v>0</v>
      </c>
      <c r="AV232" s="408">
        <v>0</v>
      </c>
      <c r="AW232" s="408">
        <v>0</v>
      </c>
      <c r="AX232" s="408">
        <v>0</v>
      </c>
      <c r="AY232" s="408">
        <v>0</v>
      </c>
      <c r="AZ232" s="408">
        <v>0</v>
      </c>
      <c r="BA232" s="408"/>
      <c r="BB232" s="408">
        <v>0</v>
      </c>
      <c r="BC232" s="408">
        <v>0</v>
      </c>
      <c r="BD232" s="408">
        <v>-1.2950883668703781</v>
      </c>
      <c r="BE232" s="408">
        <v>0</v>
      </c>
      <c r="BF232" s="408">
        <v>0</v>
      </c>
      <c r="BG232" s="408">
        <v>-31.504206576840478</v>
      </c>
      <c r="BH232" s="408">
        <v>0</v>
      </c>
      <c r="BI232" s="408">
        <v>-0.96</v>
      </c>
      <c r="BJ232" s="408">
        <v>-4.46</v>
      </c>
      <c r="BK232" s="408">
        <v>-320.81</v>
      </c>
      <c r="BL232" s="408">
        <v>0</v>
      </c>
      <c r="BM232" s="408"/>
      <c r="BN232" s="408"/>
      <c r="BO232" s="408"/>
      <c r="BP232" s="408"/>
      <c r="BQ232" s="408"/>
      <c r="BR232" s="408"/>
      <c r="BS232" s="408"/>
      <c r="BT232" s="408"/>
      <c r="BU232" s="408"/>
      <c r="BV232" s="408">
        <v>-255.74343632886405</v>
      </c>
      <c r="BW232" s="408"/>
      <c r="BX232" s="408"/>
      <c r="BY232" s="408"/>
      <c r="BZ232" s="408"/>
      <c r="CA232" s="408"/>
      <c r="CB232" s="408"/>
      <c r="CC232" s="408"/>
      <c r="CD232" s="408"/>
      <c r="CE232" s="408"/>
      <c r="CF232" s="408"/>
      <c r="CG232" s="408"/>
      <c r="CH232" s="408"/>
      <c r="CI232" s="408">
        <v>-574.57410000000004</v>
      </c>
      <c r="CJ232" s="408">
        <v>266.11864000000003</v>
      </c>
      <c r="CK232" s="408"/>
      <c r="CL232" s="408"/>
      <c r="CM232" s="408"/>
      <c r="CN232" s="408"/>
      <c r="CO232" s="408">
        <v>280.70437999999996</v>
      </c>
      <c r="CP232" s="408">
        <v>-13.895310000000007</v>
      </c>
      <c r="CQ232" s="408">
        <v>31</v>
      </c>
      <c r="CR232" s="408">
        <v>-11.55186565418785</v>
      </c>
      <c r="CS232" s="408">
        <v>0</v>
      </c>
      <c r="CT232" s="408">
        <v>0</v>
      </c>
      <c r="CU232" s="408">
        <v>0</v>
      </c>
      <c r="CV232" s="408">
        <v>0</v>
      </c>
      <c r="CW232" s="408">
        <v>0</v>
      </c>
      <c r="CX232" s="408">
        <v>0</v>
      </c>
      <c r="CY232" s="408">
        <v>0</v>
      </c>
      <c r="CZ232" s="408">
        <v>0.48346115562321756</v>
      </c>
      <c r="DA232" s="408">
        <v>0</v>
      </c>
      <c r="DB232" s="408">
        <v>0</v>
      </c>
      <c r="DC232" s="408">
        <v>-13.889078718181537</v>
      </c>
      <c r="DD232" s="408">
        <v>0</v>
      </c>
      <c r="DE232" s="408">
        <v>0</v>
      </c>
      <c r="DF232" s="408">
        <v>-8.068202269280178E-2</v>
      </c>
      <c r="DG232" s="408">
        <v>-1.9626638420772231</v>
      </c>
      <c r="DH232" s="408">
        <v>0</v>
      </c>
      <c r="DI232" s="408">
        <v>3.3219546150088419</v>
      </c>
      <c r="DJ232" s="408"/>
      <c r="DK232" s="408">
        <v>0</v>
      </c>
      <c r="DL232" s="408">
        <v>0</v>
      </c>
      <c r="DM232" s="408">
        <v>0</v>
      </c>
      <c r="DN232" s="408">
        <v>0</v>
      </c>
      <c r="DO232" s="408">
        <v>0.45320481345928521</v>
      </c>
      <c r="DP232" s="408">
        <v>0.12193834467232945</v>
      </c>
      <c r="DQ232" s="408">
        <v>0</v>
      </c>
      <c r="DR232" s="408">
        <v>0</v>
      </c>
      <c r="DS232" s="408"/>
      <c r="DT232" s="408"/>
      <c r="DU232" s="408"/>
      <c r="DV232" s="408">
        <v>-414.43484360452481</v>
      </c>
      <c r="DW232" s="408">
        <v>0</v>
      </c>
      <c r="DX232" s="408">
        <v>0</v>
      </c>
      <c r="DY232" s="408">
        <v>280.70438000000001</v>
      </c>
      <c r="DZ232" s="408">
        <v>-13.895309999999995</v>
      </c>
      <c r="EA232" s="408">
        <v>0</v>
      </c>
      <c r="EB232" s="408">
        <v>0</v>
      </c>
      <c r="EC232" s="408">
        <v>278.36538619553448</v>
      </c>
      <c r="ED232" s="408">
        <v>0</v>
      </c>
      <c r="EE232" s="408">
        <v>0</v>
      </c>
      <c r="EF232" s="408">
        <v>0</v>
      </c>
      <c r="EG232" s="408">
        <v>0</v>
      </c>
      <c r="EH232" s="408">
        <v>0</v>
      </c>
      <c r="EI232" s="408">
        <v>0</v>
      </c>
      <c r="EJ232" s="408">
        <v>0</v>
      </c>
      <c r="EK232" s="408">
        <v>0</v>
      </c>
      <c r="EL232" s="408">
        <v>0</v>
      </c>
      <c r="EM232" s="408">
        <v>0</v>
      </c>
      <c r="EN232" s="408">
        <v>0</v>
      </c>
      <c r="EO232" s="408">
        <v>0</v>
      </c>
      <c r="EP232" s="408">
        <v>0</v>
      </c>
      <c r="EQ232" s="408">
        <v>0</v>
      </c>
      <c r="ER232" s="408">
        <v>0</v>
      </c>
      <c r="ES232" s="408">
        <v>0</v>
      </c>
      <c r="ET232" s="408">
        <v>0</v>
      </c>
      <c r="EU232" s="408">
        <v>0</v>
      </c>
      <c r="EV232" s="408">
        <v>257</v>
      </c>
      <c r="EW232" s="408">
        <v>0</v>
      </c>
      <c r="EX232" s="408">
        <v>0</v>
      </c>
      <c r="EY232" s="408">
        <v>0</v>
      </c>
      <c r="EZ232" s="408"/>
      <c r="FA232" s="408">
        <v>0</v>
      </c>
      <c r="FB232" s="408"/>
      <c r="FC232" s="408"/>
      <c r="FD232" s="408"/>
      <c r="FE232" s="408"/>
      <c r="FF232" s="408">
        <v>0</v>
      </c>
      <c r="FG232" s="408">
        <v>0</v>
      </c>
      <c r="FH232" s="408">
        <v>0</v>
      </c>
      <c r="FI232" s="408">
        <v>0</v>
      </c>
    </row>
    <row r="233" spans="1:165">
      <c r="A233" s="408">
        <v>231</v>
      </c>
      <c r="B233" s="408" t="s">
        <v>2236</v>
      </c>
      <c r="C233" s="408" t="s">
        <v>2233</v>
      </c>
      <c r="D233" s="408" t="s">
        <v>1958</v>
      </c>
      <c r="E233" s="408" t="s">
        <v>997</v>
      </c>
      <c r="F233" s="408" t="s">
        <v>1321</v>
      </c>
      <c r="G233" s="408" t="s">
        <v>1321</v>
      </c>
      <c r="H233" s="408" t="s">
        <v>1321</v>
      </c>
      <c r="I233" s="408" t="s">
        <v>1321</v>
      </c>
      <c r="J233" s="408" t="s">
        <v>2234</v>
      </c>
      <c r="K233" s="828">
        <v>44562</v>
      </c>
      <c r="L233" s="408">
        <v>0</v>
      </c>
      <c r="M233" s="408">
        <v>0</v>
      </c>
      <c r="N233" s="408">
        <v>10.151999999999999</v>
      </c>
      <c r="O233" s="408">
        <v>10.151999999999999</v>
      </c>
      <c r="P233" s="408">
        <v>10.151999999999999</v>
      </c>
      <c r="Q233" s="408">
        <v>10.151999999999999</v>
      </c>
      <c r="R233" s="408"/>
      <c r="S233" s="408">
        <v>710.91</v>
      </c>
      <c r="T233" s="408">
        <v>256.55</v>
      </c>
      <c r="U233" s="408"/>
      <c r="V233" s="408">
        <v>9821.6539199999988</v>
      </c>
      <c r="W233" s="408">
        <v>9821.6539199999988</v>
      </c>
      <c r="X233" s="408">
        <v>6704.6853599999995</v>
      </c>
      <c r="Y233" s="408">
        <v>0</v>
      </c>
      <c r="Z233" s="408">
        <v>624.09096555213659</v>
      </c>
      <c r="AA233" s="408">
        <v>0</v>
      </c>
      <c r="AB233" s="408">
        <v>0</v>
      </c>
      <c r="AC233" s="408">
        <v>0</v>
      </c>
      <c r="AD233" s="408">
        <v>1249.5364820838324</v>
      </c>
      <c r="AE233" s="408">
        <v>4841.5909462291556</v>
      </c>
      <c r="AF233" s="408">
        <v>2604.5212006237916</v>
      </c>
      <c r="AG233" s="408">
        <v>0</v>
      </c>
      <c r="AH233" s="408">
        <v>0</v>
      </c>
      <c r="AI233" s="408">
        <v>0</v>
      </c>
      <c r="AJ233" s="408">
        <v>0</v>
      </c>
      <c r="AK233" s="408">
        <v>0</v>
      </c>
      <c r="AL233" s="408">
        <v>96.487285645044338</v>
      </c>
      <c r="AM233" s="408"/>
      <c r="AN233" s="408">
        <v>22.291808769421856</v>
      </c>
      <c r="AO233" s="408">
        <v>0</v>
      </c>
      <c r="AP233" s="408">
        <v>0</v>
      </c>
      <c r="AQ233" s="408">
        <v>0</v>
      </c>
      <c r="AR233" s="408">
        <v>0</v>
      </c>
      <c r="AS233" s="408">
        <v>0</v>
      </c>
      <c r="AT233" s="408">
        <v>0</v>
      </c>
      <c r="AU233" s="408">
        <v>0</v>
      </c>
      <c r="AV233" s="408">
        <v>0</v>
      </c>
      <c r="AW233" s="408">
        <v>0</v>
      </c>
      <c r="AX233" s="408">
        <v>0</v>
      </c>
      <c r="AY233" s="408">
        <v>0</v>
      </c>
      <c r="AZ233" s="408">
        <v>0</v>
      </c>
      <c r="BA233" s="408"/>
      <c r="BB233" s="408">
        <v>0</v>
      </c>
      <c r="BC233" s="408">
        <v>0</v>
      </c>
      <c r="BD233" s="408">
        <v>15.129731991332655</v>
      </c>
      <c r="BE233" s="408">
        <v>0</v>
      </c>
      <c r="BF233" s="408">
        <v>0</v>
      </c>
      <c r="BG233" s="408">
        <v>368.04453989422842</v>
      </c>
      <c r="BH233" s="408">
        <v>0</v>
      </c>
      <c r="BI233" s="408">
        <v>11.26</v>
      </c>
      <c r="BJ233" s="408">
        <v>52.34</v>
      </c>
      <c r="BK233" s="408">
        <v>10352.74</v>
      </c>
      <c r="BL233" s="408">
        <v>42</v>
      </c>
      <c r="BM233" s="408"/>
      <c r="BN233" s="408"/>
      <c r="BO233" s="408"/>
      <c r="BP233" s="408"/>
      <c r="BQ233" s="408"/>
      <c r="BR233" s="408"/>
      <c r="BS233" s="408"/>
      <c r="BT233" s="408"/>
      <c r="BU233" s="408"/>
      <c r="BV233" s="408">
        <v>2987.6954725093528</v>
      </c>
      <c r="BW233" s="408"/>
      <c r="BX233" s="408"/>
      <c r="BY233" s="408"/>
      <c r="BZ233" s="408"/>
      <c r="CA233" s="408"/>
      <c r="CB233" s="408"/>
      <c r="CC233" s="408"/>
      <c r="CD233" s="408"/>
      <c r="CE233" s="408"/>
      <c r="CF233" s="408"/>
      <c r="CG233" s="408"/>
      <c r="CH233" s="408"/>
      <c r="CI233" s="408">
        <v>6703.3645000000006</v>
      </c>
      <c r="CJ233" s="408">
        <v>-3118.3194199999989</v>
      </c>
      <c r="CK233" s="408"/>
      <c r="CL233" s="408"/>
      <c r="CM233" s="408"/>
      <c r="CN233" s="408"/>
      <c r="CO233" s="408">
        <v>-3279.2990399999994</v>
      </c>
      <c r="CP233" s="408">
        <v>162.33048000000008</v>
      </c>
      <c r="CQ233" s="408">
        <v>31</v>
      </c>
      <c r="CR233" s="408">
        <v>134.95344087608282</v>
      </c>
      <c r="CS233" s="408">
        <v>0</v>
      </c>
      <c r="CT233" s="408">
        <v>0</v>
      </c>
      <c r="CU233" s="408">
        <v>0</v>
      </c>
      <c r="CV233" s="408">
        <v>0</v>
      </c>
      <c r="CW233" s="408">
        <v>0</v>
      </c>
      <c r="CX233" s="408">
        <v>0</v>
      </c>
      <c r="CY233" s="408">
        <v>0</v>
      </c>
      <c r="CZ233" s="408">
        <v>-5.6479834889378253</v>
      </c>
      <c r="DA233" s="408">
        <v>0</v>
      </c>
      <c r="DB233" s="408">
        <v>0</v>
      </c>
      <c r="DC233" s="408">
        <v>162.25768371343975</v>
      </c>
      <c r="DD233" s="408">
        <v>0</v>
      </c>
      <c r="DE233" s="408">
        <v>0</v>
      </c>
      <c r="DF233" s="408">
        <v>0.94255914197620783</v>
      </c>
      <c r="DG233" s="408">
        <v>22.928611420906748</v>
      </c>
      <c r="DH233" s="408">
        <v>0</v>
      </c>
      <c r="DI233" s="408">
        <v>-38.808381187076861</v>
      </c>
      <c r="DJ233" s="408"/>
      <c r="DK233" s="408">
        <v>0</v>
      </c>
      <c r="DL233" s="408">
        <v>0</v>
      </c>
      <c r="DM233" s="408">
        <v>0</v>
      </c>
      <c r="DN233" s="408">
        <v>0</v>
      </c>
      <c r="DO233" s="408">
        <v>-5.2945169922193998</v>
      </c>
      <c r="DP233" s="408">
        <v>-1.4245317320063151</v>
      </c>
      <c r="DQ233" s="408">
        <v>0</v>
      </c>
      <c r="DR233" s="408">
        <v>0</v>
      </c>
      <c r="DS233" s="408"/>
      <c r="DT233" s="408"/>
      <c r="DU233" s="408"/>
      <c r="DV233" s="408">
        <v>4841.5909462291556</v>
      </c>
      <c r="DW233" s="408">
        <v>0</v>
      </c>
      <c r="DX233" s="408">
        <v>0</v>
      </c>
      <c r="DY233" s="408">
        <v>-3279.2990399999999</v>
      </c>
      <c r="DZ233" s="408">
        <v>162.33048000000008</v>
      </c>
      <c r="EA233" s="408">
        <v>0</v>
      </c>
      <c r="EB233" s="408">
        <v>0</v>
      </c>
      <c r="EC233" s="408">
        <v>-3251.9739938516295</v>
      </c>
      <c r="ED233" s="408">
        <v>0</v>
      </c>
      <c r="EE233" s="408">
        <v>0</v>
      </c>
      <c r="EF233" s="408">
        <v>0</v>
      </c>
      <c r="EG233" s="408">
        <v>0</v>
      </c>
      <c r="EH233" s="408">
        <v>0</v>
      </c>
      <c r="EI233" s="408">
        <v>0</v>
      </c>
      <c r="EJ233" s="408">
        <v>0</v>
      </c>
      <c r="EK233" s="408">
        <v>0</v>
      </c>
      <c r="EL233" s="408">
        <v>0</v>
      </c>
      <c r="EM233" s="408">
        <v>0</v>
      </c>
      <c r="EN233" s="408">
        <v>0</v>
      </c>
      <c r="EO233" s="408">
        <v>0</v>
      </c>
      <c r="EP233" s="408">
        <v>0</v>
      </c>
      <c r="EQ233" s="408">
        <v>0</v>
      </c>
      <c r="ER233" s="408">
        <v>0</v>
      </c>
      <c r="ES233" s="408">
        <v>0</v>
      </c>
      <c r="ET233" s="408">
        <v>0</v>
      </c>
      <c r="EU233" s="408">
        <v>0</v>
      </c>
      <c r="EV233" s="408">
        <v>257</v>
      </c>
      <c r="EW233" s="408">
        <v>0</v>
      </c>
      <c r="EX233" s="408">
        <v>0</v>
      </c>
      <c r="EY233" s="408">
        <v>0</v>
      </c>
      <c r="EZ233" s="408"/>
      <c r="FA233" s="408">
        <v>0</v>
      </c>
      <c r="FB233" s="408"/>
      <c r="FC233" s="408"/>
      <c r="FD233" s="408"/>
      <c r="FE233" s="408"/>
      <c r="FF233" s="408">
        <v>0</v>
      </c>
      <c r="FG233" s="408">
        <v>0</v>
      </c>
      <c r="FH233" s="408">
        <v>0</v>
      </c>
      <c r="FI233" s="408">
        <v>0</v>
      </c>
    </row>
    <row r="234" spans="1:165">
      <c r="A234" s="408">
        <v>232</v>
      </c>
      <c r="B234" s="408" t="s">
        <v>1035</v>
      </c>
      <c r="C234" s="408" t="s">
        <v>2241</v>
      </c>
      <c r="D234" s="408" t="s">
        <v>596</v>
      </c>
      <c r="E234" s="408" t="s">
        <v>997</v>
      </c>
      <c r="F234" s="408" t="s">
        <v>1321</v>
      </c>
      <c r="G234" s="408" t="s">
        <v>1321</v>
      </c>
      <c r="H234" s="408" t="s">
        <v>1321</v>
      </c>
      <c r="I234" s="408" t="s">
        <v>972</v>
      </c>
      <c r="J234" s="408" t="s">
        <v>2234</v>
      </c>
      <c r="K234" s="828">
        <v>44562</v>
      </c>
      <c r="L234" s="408">
        <v>0</v>
      </c>
      <c r="M234" s="408">
        <v>0</v>
      </c>
      <c r="N234" s="408">
        <v>16.334</v>
      </c>
      <c r="O234" s="408">
        <v>16.334</v>
      </c>
      <c r="P234" s="408">
        <v>16.334</v>
      </c>
      <c r="Q234" s="408">
        <v>16.334</v>
      </c>
      <c r="R234" s="408"/>
      <c r="S234" s="408">
        <v>3130.62</v>
      </c>
      <c r="T234" s="408">
        <v>256.55</v>
      </c>
      <c r="U234" s="408"/>
      <c r="V234" s="408">
        <v>55326.034779999994</v>
      </c>
      <c r="W234" s="408">
        <v>55326.034779999994</v>
      </c>
      <c r="X234" s="408">
        <v>29117.478419999999</v>
      </c>
      <c r="Y234" s="408">
        <v>0</v>
      </c>
      <c r="Z234" s="408">
        <v>873.5908779802877</v>
      </c>
      <c r="AA234" s="408">
        <v>0</v>
      </c>
      <c r="AB234" s="408">
        <v>0</v>
      </c>
      <c r="AC234" s="408">
        <v>0</v>
      </c>
      <c r="AD234" s="408">
        <v>10522.588327994632</v>
      </c>
      <c r="AE234" s="408">
        <v>39269.36426174565</v>
      </c>
      <c r="AF234" s="408">
        <v>4190.5288899713378</v>
      </c>
      <c r="AG234" s="408">
        <v>0</v>
      </c>
      <c r="AH234" s="408">
        <v>0</v>
      </c>
      <c r="AI234" s="408">
        <v>0</v>
      </c>
      <c r="AJ234" s="408">
        <v>0</v>
      </c>
      <c r="AK234" s="408">
        <v>0</v>
      </c>
      <c r="AL234" s="408">
        <v>155.24264418106327</v>
      </c>
      <c r="AM234" s="408"/>
      <c r="AN234" s="408">
        <v>22.035464285303799</v>
      </c>
      <c r="AO234" s="408">
        <v>0</v>
      </c>
      <c r="AP234" s="408">
        <v>0</v>
      </c>
      <c r="AQ234" s="408">
        <v>0</v>
      </c>
      <c r="AR234" s="408">
        <v>0</v>
      </c>
      <c r="AS234" s="408">
        <v>0</v>
      </c>
      <c r="AT234" s="408">
        <v>0</v>
      </c>
      <c r="AU234" s="408">
        <v>0</v>
      </c>
      <c r="AV234" s="408">
        <v>0</v>
      </c>
      <c r="AW234" s="408">
        <v>0</v>
      </c>
      <c r="AX234" s="408">
        <v>0</v>
      </c>
      <c r="AY234" s="408">
        <v>0</v>
      </c>
      <c r="AZ234" s="408">
        <v>0</v>
      </c>
      <c r="BA234" s="408"/>
      <c r="BB234" s="408">
        <v>0</v>
      </c>
      <c r="BC234" s="408">
        <v>0</v>
      </c>
      <c r="BD234" s="408">
        <v>20.123899897846723</v>
      </c>
      <c r="BE234" s="408">
        <v>0</v>
      </c>
      <c r="BF234" s="408">
        <v>0</v>
      </c>
      <c r="BG234" s="408">
        <v>272.60283341952163</v>
      </c>
      <c r="BH234" s="408">
        <v>0</v>
      </c>
      <c r="BI234" s="408">
        <v>0</v>
      </c>
      <c r="BJ234" s="408">
        <v>0</v>
      </c>
      <c r="BK234" s="408">
        <v>0</v>
      </c>
      <c r="BL234" s="408">
        <v>0</v>
      </c>
      <c r="BM234" s="408"/>
      <c r="BN234" s="408"/>
      <c r="BO234" s="408"/>
      <c r="BP234" s="408"/>
      <c r="BQ234" s="408"/>
      <c r="BR234" s="408"/>
      <c r="BS234" s="408"/>
      <c r="BT234" s="408"/>
      <c r="BU234" s="408"/>
      <c r="BV234" s="408">
        <v>4483.2556232887064</v>
      </c>
      <c r="BW234" s="408"/>
      <c r="BX234" s="408"/>
      <c r="BY234" s="408"/>
      <c r="BZ234" s="408"/>
      <c r="CA234" s="408"/>
      <c r="CB234" s="408"/>
      <c r="CC234" s="408"/>
      <c r="CD234" s="408"/>
      <c r="CE234" s="408"/>
      <c r="CF234" s="408"/>
      <c r="CG234" s="408"/>
      <c r="CH234" s="408"/>
      <c r="CI234" s="408">
        <v>29110.347899999997</v>
      </c>
      <c r="CJ234" s="408">
        <v>-26215.716880000004</v>
      </c>
      <c r="CK234" s="408"/>
      <c r="CL234" s="408"/>
      <c r="CM234" s="408"/>
      <c r="CN234" s="408"/>
      <c r="CO234" s="408">
        <v>-26469.73702</v>
      </c>
      <c r="CP234" s="408">
        <v>261.18066000000016</v>
      </c>
      <c r="CQ234" s="408">
        <v>31</v>
      </c>
      <c r="CR234" s="408">
        <v>167.48722200411248</v>
      </c>
      <c r="CS234" s="408">
        <v>0</v>
      </c>
      <c r="CT234" s="408">
        <v>0</v>
      </c>
      <c r="CU234" s="408">
        <v>0</v>
      </c>
      <c r="CV234" s="408">
        <v>0</v>
      </c>
      <c r="CW234" s="408">
        <v>0</v>
      </c>
      <c r="CX234" s="408">
        <v>0</v>
      </c>
      <c r="CY234" s="408">
        <v>0</v>
      </c>
      <c r="CZ234" s="408">
        <v>-47.562761063443759</v>
      </c>
      <c r="DA234" s="408">
        <v>0</v>
      </c>
      <c r="DB234" s="408">
        <v>0</v>
      </c>
      <c r="DC234" s="408">
        <v>261.06353484784449</v>
      </c>
      <c r="DD234" s="408">
        <v>0</v>
      </c>
      <c r="DE234" s="408">
        <v>0</v>
      </c>
      <c r="DF234" s="408">
        <v>1.2536881573180594</v>
      </c>
      <c r="DG234" s="408">
        <v>16.982739212788374</v>
      </c>
      <c r="DH234" s="408">
        <v>0</v>
      </c>
      <c r="DI234" s="408">
        <v>-54.323247195572549</v>
      </c>
      <c r="DJ234" s="408"/>
      <c r="DK234" s="408">
        <v>0</v>
      </c>
      <c r="DL234" s="408">
        <v>0</v>
      </c>
      <c r="DM234" s="408">
        <v>0</v>
      </c>
      <c r="DN234" s="408">
        <v>0</v>
      </c>
      <c r="DO234" s="408">
        <v>-8.5185816145499871</v>
      </c>
      <c r="DP234" s="408">
        <v>-1.4081503402705842</v>
      </c>
      <c r="DQ234" s="408">
        <v>0</v>
      </c>
      <c r="DR234" s="408">
        <v>0</v>
      </c>
      <c r="DS234" s="408"/>
      <c r="DT234" s="408"/>
      <c r="DU234" s="408"/>
      <c r="DV234" s="408">
        <v>39269.36426174565</v>
      </c>
      <c r="DW234" s="408">
        <v>0</v>
      </c>
      <c r="DX234" s="408">
        <v>0</v>
      </c>
      <c r="DY234" s="408">
        <v>-26469.737019999997</v>
      </c>
      <c r="DZ234" s="408">
        <v>261.1806600000009</v>
      </c>
      <c r="EA234" s="408">
        <v>0</v>
      </c>
      <c r="EB234" s="408">
        <v>0</v>
      </c>
      <c r="EC234" s="408">
        <v>-26376.237222961601</v>
      </c>
      <c r="ED234" s="408">
        <v>0</v>
      </c>
      <c r="EE234" s="408">
        <v>0</v>
      </c>
      <c r="EF234" s="408">
        <v>0</v>
      </c>
      <c r="EG234" s="408">
        <v>0</v>
      </c>
      <c r="EH234" s="408">
        <v>0</v>
      </c>
      <c r="EI234" s="408">
        <v>0</v>
      </c>
      <c r="EJ234" s="408">
        <v>0</v>
      </c>
      <c r="EK234" s="408">
        <v>0</v>
      </c>
      <c r="EL234" s="408">
        <v>0</v>
      </c>
      <c r="EM234" s="408">
        <v>0</v>
      </c>
      <c r="EN234" s="408">
        <v>0</v>
      </c>
      <c r="EO234" s="408">
        <v>0</v>
      </c>
      <c r="EP234" s="408">
        <v>0</v>
      </c>
      <c r="EQ234" s="408">
        <v>0</v>
      </c>
      <c r="ER234" s="408">
        <v>0</v>
      </c>
      <c r="ES234" s="408">
        <v>0</v>
      </c>
      <c r="ET234" s="408">
        <v>0</v>
      </c>
      <c r="EU234" s="408">
        <v>0</v>
      </c>
      <c r="EV234" s="408">
        <v>257</v>
      </c>
      <c r="EW234" s="408">
        <v>0</v>
      </c>
      <c r="EX234" s="408">
        <v>0</v>
      </c>
      <c r="EY234" s="408">
        <v>0</v>
      </c>
      <c r="EZ234" s="408"/>
      <c r="FA234" s="408">
        <v>0</v>
      </c>
      <c r="FB234" s="408"/>
      <c r="FC234" s="408"/>
      <c r="FD234" s="408"/>
      <c r="FE234" s="408"/>
      <c r="FF234" s="408">
        <v>0</v>
      </c>
      <c r="FG234" s="408">
        <v>0</v>
      </c>
      <c r="FH234" s="408">
        <v>0</v>
      </c>
      <c r="FI234" s="408">
        <v>0</v>
      </c>
    </row>
    <row r="235" spans="1:165">
      <c r="A235" s="408">
        <v>233</v>
      </c>
      <c r="B235" s="408" t="s">
        <v>2236</v>
      </c>
      <c r="C235" s="408" t="s">
        <v>2241</v>
      </c>
      <c r="D235" s="408" t="s">
        <v>596</v>
      </c>
      <c r="E235" s="408" t="s">
        <v>997</v>
      </c>
      <c r="F235" s="408" t="s">
        <v>1321</v>
      </c>
      <c r="G235" s="408" t="s">
        <v>1321</v>
      </c>
      <c r="H235" s="408" t="s">
        <v>1321</v>
      </c>
      <c r="I235" s="408" t="s">
        <v>972</v>
      </c>
      <c r="J235" s="408" t="s">
        <v>2234</v>
      </c>
      <c r="K235" s="828">
        <v>44562</v>
      </c>
      <c r="L235" s="408">
        <v>0</v>
      </c>
      <c r="M235" s="408">
        <v>0</v>
      </c>
      <c r="N235" s="408">
        <v>0.95899999999999996</v>
      </c>
      <c r="O235" s="408">
        <v>0.95899999999999996</v>
      </c>
      <c r="P235" s="408">
        <v>0.95899999999999996</v>
      </c>
      <c r="Q235" s="408">
        <v>0.95899999999999996</v>
      </c>
      <c r="R235" s="408"/>
      <c r="S235" s="408">
        <v>3130.62</v>
      </c>
      <c r="T235" s="408">
        <v>256.55</v>
      </c>
      <c r="U235" s="408"/>
      <c r="V235" s="408">
        <v>3248.2960299999995</v>
      </c>
      <c r="W235" s="408">
        <v>3248.2960299999995</v>
      </c>
      <c r="X235" s="408">
        <v>1709.5421699999997</v>
      </c>
      <c r="Y235" s="408">
        <v>0</v>
      </c>
      <c r="Z235" s="408">
        <v>51.2901709307638</v>
      </c>
      <c r="AA235" s="408">
        <v>0</v>
      </c>
      <c r="AB235" s="408">
        <v>0</v>
      </c>
      <c r="AC235" s="408">
        <v>0</v>
      </c>
      <c r="AD235" s="408">
        <v>617.80104117465737</v>
      </c>
      <c r="AE235" s="408">
        <v>2305.5785678348279</v>
      </c>
      <c r="AF235" s="408">
        <v>246.03386834103787</v>
      </c>
      <c r="AG235" s="408">
        <v>0</v>
      </c>
      <c r="AH235" s="408">
        <v>0</v>
      </c>
      <c r="AI235" s="408">
        <v>0</v>
      </c>
      <c r="AJ235" s="408">
        <v>0</v>
      </c>
      <c r="AK235" s="408">
        <v>0</v>
      </c>
      <c r="AL235" s="408">
        <v>9.1145889414497177</v>
      </c>
      <c r="AM235" s="408"/>
      <c r="AN235" s="408">
        <v>1.293743740027326</v>
      </c>
      <c r="AO235" s="408">
        <v>0</v>
      </c>
      <c r="AP235" s="408">
        <v>0</v>
      </c>
      <c r="AQ235" s="408">
        <v>0</v>
      </c>
      <c r="AR235" s="408">
        <v>0</v>
      </c>
      <c r="AS235" s="408">
        <v>0</v>
      </c>
      <c r="AT235" s="408">
        <v>0</v>
      </c>
      <c r="AU235" s="408">
        <v>0</v>
      </c>
      <c r="AV235" s="408">
        <v>0</v>
      </c>
      <c r="AW235" s="408">
        <v>0</v>
      </c>
      <c r="AX235" s="408">
        <v>0</v>
      </c>
      <c r="AY235" s="408">
        <v>0</v>
      </c>
      <c r="AZ235" s="408">
        <v>0</v>
      </c>
      <c r="BA235" s="408"/>
      <c r="BB235" s="408">
        <v>0</v>
      </c>
      <c r="BC235" s="408">
        <v>0</v>
      </c>
      <c r="BD235" s="408">
        <v>1.1815121833007842</v>
      </c>
      <c r="BE235" s="408">
        <v>0</v>
      </c>
      <c r="BF235" s="408">
        <v>0</v>
      </c>
      <c r="BG235" s="408">
        <v>16.005027381493893</v>
      </c>
      <c r="BH235" s="408">
        <v>0</v>
      </c>
      <c r="BI235" s="408">
        <v>0</v>
      </c>
      <c r="BJ235" s="408">
        <v>0</v>
      </c>
      <c r="BK235" s="408">
        <v>0</v>
      </c>
      <c r="BL235" s="408">
        <v>0</v>
      </c>
      <c r="BM235" s="408"/>
      <c r="BN235" s="408"/>
      <c r="BO235" s="408"/>
      <c r="BP235" s="408"/>
      <c r="BQ235" s="408"/>
      <c r="BR235" s="408"/>
      <c r="BS235" s="408"/>
      <c r="BT235" s="408"/>
      <c r="BU235" s="408"/>
      <c r="BV235" s="408">
        <v>263.22040790583253</v>
      </c>
      <c r="BW235" s="408"/>
      <c r="BX235" s="408"/>
      <c r="BY235" s="408"/>
      <c r="BZ235" s="408"/>
      <c r="CA235" s="408"/>
      <c r="CB235" s="408"/>
      <c r="CC235" s="408"/>
      <c r="CD235" s="408"/>
      <c r="CE235" s="408"/>
      <c r="CF235" s="408"/>
      <c r="CG235" s="408"/>
      <c r="CH235" s="408"/>
      <c r="CI235" s="408">
        <v>1711.3247999999999</v>
      </c>
      <c r="CJ235" s="408">
        <v>-1537.0012300000003</v>
      </c>
      <c r="CK235" s="408"/>
      <c r="CL235" s="408"/>
      <c r="CM235" s="408"/>
      <c r="CN235" s="408"/>
      <c r="CO235" s="408">
        <v>-1554.08827</v>
      </c>
      <c r="CP235" s="408">
        <v>15.334410000000009</v>
      </c>
      <c r="CQ235" s="408">
        <v>31</v>
      </c>
      <c r="CR235" s="408">
        <v>9.8334912392518845</v>
      </c>
      <c r="CS235" s="408">
        <v>0</v>
      </c>
      <c r="CT235" s="408">
        <v>0</v>
      </c>
      <c r="CU235" s="408">
        <v>0</v>
      </c>
      <c r="CV235" s="408">
        <v>0</v>
      </c>
      <c r="CW235" s="408">
        <v>0</v>
      </c>
      <c r="CX235" s="408">
        <v>0</v>
      </c>
      <c r="CY235" s="408">
        <v>0</v>
      </c>
      <c r="CZ235" s="408">
        <v>-2.792499562865487</v>
      </c>
      <c r="DA235" s="408">
        <v>0</v>
      </c>
      <c r="DB235" s="408">
        <v>0</v>
      </c>
      <c r="DC235" s="408">
        <v>15.327533361031158</v>
      </c>
      <c r="DD235" s="408">
        <v>0</v>
      </c>
      <c r="DE235" s="408">
        <v>0</v>
      </c>
      <c r="DF235" s="408">
        <v>7.3606400322518528E-2</v>
      </c>
      <c r="DG235" s="408">
        <v>0.99708870485270396</v>
      </c>
      <c r="DH235" s="408">
        <v>0</v>
      </c>
      <c r="DI235" s="408">
        <v>-3.189420476341013</v>
      </c>
      <c r="DJ235" s="408"/>
      <c r="DK235" s="408">
        <v>0</v>
      </c>
      <c r="DL235" s="408">
        <v>0</v>
      </c>
      <c r="DM235" s="408">
        <v>0</v>
      </c>
      <c r="DN235" s="408">
        <v>0</v>
      </c>
      <c r="DO235" s="408">
        <v>-0.50014202083711723</v>
      </c>
      <c r="DP235" s="408">
        <v>-8.2675166910707087E-2</v>
      </c>
      <c r="DQ235" s="408">
        <v>0</v>
      </c>
      <c r="DR235" s="408">
        <v>0</v>
      </c>
      <c r="DS235" s="408"/>
      <c r="DT235" s="408"/>
      <c r="DU235" s="408"/>
      <c r="DV235" s="408">
        <v>2305.5785678348279</v>
      </c>
      <c r="DW235" s="408">
        <v>0</v>
      </c>
      <c r="DX235" s="408">
        <v>0</v>
      </c>
      <c r="DY235" s="408">
        <v>-1554.0882699999997</v>
      </c>
      <c r="DZ235" s="408">
        <v>15.334409999999991</v>
      </c>
      <c r="EA235" s="408">
        <v>0</v>
      </c>
      <c r="EB235" s="408">
        <v>0</v>
      </c>
      <c r="EC235" s="408">
        <v>-1548.5987202657143</v>
      </c>
      <c r="ED235" s="408">
        <v>0</v>
      </c>
      <c r="EE235" s="408">
        <v>0</v>
      </c>
      <c r="EF235" s="408">
        <v>0</v>
      </c>
      <c r="EG235" s="408">
        <v>0</v>
      </c>
      <c r="EH235" s="408">
        <v>0</v>
      </c>
      <c r="EI235" s="408">
        <v>0</v>
      </c>
      <c r="EJ235" s="408">
        <v>0</v>
      </c>
      <c r="EK235" s="408">
        <v>0</v>
      </c>
      <c r="EL235" s="408">
        <v>0</v>
      </c>
      <c r="EM235" s="408">
        <v>0</v>
      </c>
      <c r="EN235" s="408">
        <v>0</v>
      </c>
      <c r="EO235" s="408">
        <v>0</v>
      </c>
      <c r="EP235" s="408">
        <v>0</v>
      </c>
      <c r="EQ235" s="408">
        <v>0</v>
      </c>
      <c r="ER235" s="408">
        <v>0</v>
      </c>
      <c r="ES235" s="408">
        <v>0</v>
      </c>
      <c r="ET235" s="408">
        <v>0</v>
      </c>
      <c r="EU235" s="408">
        <v>0</v>
      </c>
      <c r="EV235" s="408">
        <v>257</v>
      </c>
      <c r="EW235" s="408">
        <v>0</v>
      </c>
      <c r="EX235" s="408">
        <v>0</v>
      </c>
      <c r="EY235" s="408">
        <v>0</v>
      </c>
      <c r="EZ235" s="408"/>
      <c r="FA235" s="408">
        <v>0</v>
      </c>
      <c r="FB235" s="408"/>
      <c r="FC235" s="408"/>
      <c r="FD235" s="408"/>
      <c r="FE235" s="408"/>
      <c r="FF235" s="408">
        <v>0</v>
      </c>
      <c r="FG235" s="408">
        <v>0</v>
      </c>
      <c r="FH235" s="408">
        <v>0</v>
      </c>
      <c r="FI235" s="408">
        <v>0</v>
      </c>
    </row>
    <row r="236" spans="1:165">
      <c r="A236" s="408">
        <v>234</v>
      </c>
      <c r="B236" s="408" t="s">
        <v>1035</v>
      </c>
      <c r="C236" s="408" t="s">
        <v>2241</v>
      </c>
      <c r="D236" s="408" t="s">
        <v>596</v>
      </c>
      <c r="E236" s="408" t="s">
        <v>997</v>
      </c>
      <c r="F236" s="408" t="s">
        <v>1321</v>
      </c>
      <c r="G236" s="408" t="s">
        <v>1321</v>
      </c>
      <c r="H236" s="408" t="s">
        <v>1321</v>
      </c>
      <c r="I236" s="408" t="s">
        <v>2242</v>
      </c>
      <c r="J236" s="408" t="s">
        <v>2234</v>
      </c>
      <c r="K236" s="828">
        <v>44562</v>
      </c>
      <c r="L236" s="408">
        <v>0</v>
      </c>
      <c r="M236" s="408">
        <v>0</v>
      </c>
      <c r="N236" s="408">
        <v>138.79499999999999</v>
      </c>
      <c r="O236" s="408">
        <v>138.79499999999999</v>
      </c>
      <c r="P236" s="408">
        <v>138.79499999999999</v>
      </c>
      <c r="Q236" s="408">
        <v>138.79499999999999</v>
      </c>
      <c r="R236" s="408"/>
      <c r="S236" s="408">
        <v>82.26</v>
      </c>
      <c r="T236" s="408">
        <v>256.55</v>
      </c>
      <c r="U236" s="408"/>
      <c r="V236" s="408">
        <v>47025.133950000003</v>
      </c>
      <c r="W236" s="408">
        <v>47025.133950000003</v>
      </c>
      <c r="X236" s="408">
        <v>48853.064099999996</v>
      </c>
      <c r="Y236" s="408">
        <v>0</v>
      </c>
      <c r="Z236" s="408">
        <v>7423.1692120285315</v>
      </c>
      <c r="AA236" s="408">
        <v>0</v>
      </c>
      <c r="AB236" s="408">
        <v>0</v>
      </c>
      <c r="AC236" s="408">
        <v>0</v>
      </c>
      <c r="AD236" s="408">
        <v>0</v>
      </c>
      <c r="AE236" s="408">
        <v>0</v>
      </c>
      <c r="AF236" s="408">
        <v>35608.207253800159</v>
      </c>
      <c r="AG236" s="408">
        <v>0</v>
      </c>
      <c r="AH236" s="408">
        <v>0</v>
      </c>
      <c r="AI236" s="408">
        <v>0</v>
      </c>
      <c r="AJ236" s="408">
        <v>0</v>
      </c>
      <c r="AK236" s="408">
        <v>0</v>
      </c>
      <c r="AL236" s="408">
        <v>1319.1442879337992</v>
      </c>
      <c r="AM236" s="408"/>
      <c r="AN236" s="408">
        <v>187.24208800531042</v>
      </c>
      <c r="AO236" s="408">
        <v>0</v>
      </c>
      <c r="AP236" s="408">
        <v>0</v>
      </c>
      <c r="AQ236" s="408">
        <v>0</v>
      </c>
      <c r="AR236" s="408">
        <v>0</v>
      </c>
      <c r="AS236" s="408">
        <v>0</v>
      </c>
      <c r="AT236" s="408">
        <v>0</v>
      </c>
      <c r="AU236" s="408">
        <v>0</v>
      </c>
      <c r="AV236" s="408">
        <v>0</v>
      </c>
      <c r="AW236" s="408">
        <v>0</v>
      </c>
      <c r="AX236" s="408">
        <v>0</v>
      </c>
      <c r="AY236" s="408">
        <v>0</v>
      </c>
      <c r="AZ236" s="408">
        <v>0</v>
      </c>
      <c r="BA236" s="408"/>
      <c r="BB236" s="408">
        <v>0</v>
      </c>
      <c r="BC236" s="408">
        <v>0</v>
      </c>
      <c r="BD236" s="408">
        <v>170.99894002214006</v>
      </c>
      <c r="BE236" s="408">
        <v>0</v>
      </c>
      <c r="BF236" s="408">
        <v>0</v>
      </c>
      <c r="BG236" s="408">
        <v>2316.3897553852394</v>
      </c>
      <c r="BH236" s="408">
        <v>0</v>
      </c>
      <c r="BI236" s="408">
        <v>0</v>
      </c>
      <c r="BJ236" s="408">
        <v>0</v>
      </c>
      <c r="BK236" s="408">
        <v>0</v>
      </c>
      <c r="BL236" s="408">
        <v>0</v>
      </c>
      <c r="BM236" s="408"/>
      <c r="BN236" s="408"/>
      <c r="BO236" s="408"/>
      <c r="BP236" s="408"/>
      <c r="BQ236" s="408"/>
      <c r="BR236" s="408"/>
      <c r="BS236" s="408"/>
      <c r="BT236" s="408"/>
      <c r="BU236" s="408"/>
      <c r="BV236" s="408">
        <v>38095.595949207534</v>
      </c>
      <c r="BW236" s="408"/>
      <c r="BX236" s="408"/>
      <c r="BY236" s="408"/>
      <c r="BZ236" s="408"/>
      <c r="CA236" s="408"/>
      <c r="CB236" s="408"/>
      <c r="CC236" s="408"/>
      <c r="CD236" s="408"/>
      <c r="CE236" s="408"/>
      <c r="CF236" s="408"/>
      <c r="CG236" s="408"/>
      <c r="CH236" s="408"/>
      <c r="CI236" s="408">
        <v>48854.824000000008</v>
      </c>
      <c r="CJ236" s="408">
        <v>1829.6600500000059</v>
      </c>
      <c r="CK236" s="408"/>
      <c r="CL236" s="408"/>
      <c r="CM236" s="408"/>
      <c r="CN236" s="408"/>
      <c r="CO236" s="408">
        <v>-391.40190000000098</v>
      </c>
      <c r="CP236" s="408">
        <v>2219.3320500000009</v>
      </c>
      <c r="CQ236" s="408">
        <v>31</v>
      </c>
      <c r="CR236" s="408">
        <v>1827.3455613971964</v>
      </c>
      <c r="CS236" s="408">
        <v>0</v>
      </c>
      <c r="CT236" s="408">
        <v>0</v>
      </c>
      <c r="CU236" s="408">
        <v>0</v>
      </c>
      <c r="CV236" s="408">
        <v>0</v>
      </c>
      <c r="CW236" s="408">
        <v>0</v>
      </c>
      <c r="CX236" s="408">
        <v>0</v>
      </c>
      <c r="CY236" s="408">
        <v>0</v>
      </c>
      <c r="CZ236" s="408">
        <v>0</v>
      </c>
      <c r="DA236" s="408">
        <v>0</v>
      </c>
      <c r="DB236" s="408">
        <v>0</v>
      </c>
      <c r="DC236" s="408">
        <v>2218.3368017146204</v>
      </c>
      <c r="DD236" s="408">
        <v>0</v>
      </c>
      <c r="DE236" s="408">
        <v>0</v>
      </c>
      <c r="DF236" s="408">
        <v>10.652972192663157</v>
      </c>
      <c r="DG236" s="408">
        <v>144.3075357560283</v>
      </c>
      <c r="DH236" s="408">
        <v>0</v>
      </c>
      <c r="DI236" s="408">
        <v>-461.60126695907366</v>
      </c>
      <c r="DJ236" s="408"/>
      <c r="DK236" s="408">
        <v>0</v>
      </c>
      <c r="DL236" s="408">
        <v>0</v>
      </c>
      <c r="DM236" s="408">
        <v>0</v>
      </c>
      <c r="DN236" s="408">
        <v>0</v>
      </c>
      <c r="DO236" s="408">
        <v>-72.384996644512512</v>
      </c>
      <c r="DP236" s="408">
        <v>-11.965484662535545</v>
      </c>
      <c r="DQ236" s="408">
        <v>0</v>
      </c>
      <c r="DR236" s="408">
        <v>0</v>
      </c>
      <c r="DS236" s="408"/>
      <c r="DT236" s="408"/>
      <c r="DU236" s="408"/>
      <c r="DV236" s="408">
        <v>0</v>
      </c>
      <c r="DW236" s="408">
        <v>0</v>
      </c>
      <c r="DX236" s="408">
        <v>0</v>
      </c>
      <c r="DY236" s="408">
        <v>-391.40190000000075</v>
      </c>
      <c r="DZ236" s="408">
        <v>2219.3320499999973</v>
      </c>
      <c r="EA236" s="408">
        <v>0</v>
      </c>
      <c r="EB236" s="408">
        <v>0</v>
      </c>
      <c r="EC236" s="408">
        <v>0</v>
      </c>
      <c r="ED236" s="408">
        <v>0</v>
      </c>
      <c r="EE236" s="408">
        <v>0</v>
      </c>
      <c r="EF236" s="408">
        <v>0</v>
      </c>
      <c r="EG236" s="408">
        <v>0</v>
      </c>
      <c r="EH236" s="408">
        <v>0</v>
      </c>
      <c r="EI236" s="408">
        <v>0</v>
      </c>
      <c r="EJ236" s="408">
        <v>0</v>
      </c>
      <c r="EK236" s="408">
        <v>0</v>
      </c>
      <c r="EL236" s="408">
        <v>0</v>
      </c>
      <c r="EM236" s="408">
        <v>0</v>
      </c>
      <c r="EN236" s="408">
        <v>0</v>
      </c>
      <c r="EO236" s="408">
        <v>0</v>
      </c>
      <c r="EP236" s="408">
        <v>0</v>
      </c>
      <c r="EQ236" s="408">
        <v>0</v>
      </c>
      <c r="ER236" s="408">
        <v>0</v>
      </c>
      <c r="ES236" s="408">
        <v>0</v>
      </c>
      <c r="ET236" s="408">
        <v>0</v>
      </c>
      <c r="EU236" s="408">
        <v>0</v>
      </c>
      <c r="EV236" s="408">
        <v>257</v>
      </c>
      <c r="EW236" s="408">
        <v>0</v>
      </c>
      <c r="EX236" s="408">
        <v>0</v>
      </c>
      <c r="EY236" s="408">
        <v>0</v>
      </c>
      <c r="EZ236" s="408"/>
      <c r="FA236" s="408">
        <v>0</v>
      </c>
      <c r="FB236" s="408"/>
      <c r="FC236" s="408"/>
      <c r="FD236" s="408"/>
      <c r="FE236" s="408"/>
      <c r="FF236" s="408">
        <v>0</v>
      </c>
      <c r="FG236" s="408">
        <v>0</v>
      </c>
      <c r="FH236" s="408">
        <v>0</v>
      </c>
      <c r="FI236" s="408">
        <v>0</v>
      </c>
    </row>
    <row r="237" spans="1:165">
      <c r="A237" s="408">
        <v>235</v>
      </c>
      <c r="B237" s="408" t="s">
        <v>1035</v>
      </c>
      <c r="C237" s="408" t="s">
        <v>2241</v>
      </c>
      <c r="D237" s="408" t="s">
        <v>596</v>
      </c>
      <c r="E237" s="408" t="s">
        <v>997</v>
      </c>
      <c r="F237" s="408" t="s">
        <v>1321</v>
      </c>
      <c r="G237" s="408" t="s">
        <v>1321</v>
      </c>
      <c r="H237" s="408" t="s">
        <v>1321</v>
      </c>
      <c r="I237" s="408" t="s">
        <v>1321</v>
      </c>
      <c r="J237" s="408" t="s">
        <v>2234</v>
      </c>
      <c r="K237" s="828">
        <v>44562</v>
      </c>
      <c r="L237" s="408">
        <v>796</v>
      </c>
      <c r="M237" s="408">
        <v>796</v>
      </c>
      <c r="N237" s="408">
        <v>0</v>
      </c>
      <c r="O237" s="408">
        <v>0</v>
      </c>
      <c r="P237" s="408">
        <v>0</v>
      </c>
      <c r="Q237" s="408">
        <v>0</v>
      </c>
      <c r="R237" s="408">
        <v>47.39</v>
      </c>
      <c r="S237" s="408"/>
      <c r="T237" s="408"/>
      <c r="U237" s="408">
        <v>37722.44</v>
      </c>
      <c r="V237" s="408"/>
      <c r="W237" s="408">
        <v>37722.44</v>
      </c>
      <c r="X237" s="408">
        <v>25647.119999999999</v>
      </c>
      <c r="Y237" s="408">
        <v>0</v>
      </c>
      <c r="Z237" s="408">
        <v>0</v>
      </c>
      <c r="AA237" s="408">
        <v>0</v>
      </c>
      <c r="AB237" s="408">
        <v>0</v>
      </c>
      <c r="AC237" s="408">
        <v>0</v>
      </c>
      <c r="AD237" s="408">
        <v>19876.199742854697</v>
      </c>
      <c r="AE237" s="408">
        <v>17846.214327600683</v>
      </c>
      <c r="AF237" s="408"/>
      <c r="AG237" s="408"/>
      <c r="AH237" s="408"/>
      <c r="AI237" s="408">
        <v>0</v>
      </c>
      <c r="AJ237" s="408">
        <v>0</v>
      </c>
      <c r="AK237" s="408">
        <v>0</v>
      </c>
      <c r="AL237" s="408">
        <v>0</v>
      </c>
      <c r="AM237" s="408"/>
      <c r="AN237" s="408">
        <v>0</v>
      </c>
      <c r="AO237" s="408">
        <v>0</v>
      </c>
      <c r="AP237" s="408">
        <v>0</v>
      </c>
      <c r="AQ237" s="408">
        <v>0</v>
      </c>
      <c r="AR237" s="408">
        <v>0</v>
      </c>
      <c r="AS237" s="408"/>
      <c r="AT237" s="408"/>
      <c r="AU237" s="408">
        <v>0</v>
      </c>
      <c r="AV237" s="408">
        <v>0</v>
      </c>
      <c r="AW237" s="408">
        <v>0</v>
      </c>
      <c r="AX237" s="408"/>
      <c r="AY237" s="408"/>
      <c r="AZ237" s="408">
        <v>0</v>
      </c>
      <c r="BA237" s="408"/>
      <c r="BB237" s="408">
        <v>0</v>
      </c>
      <c r="BC237" s="408">
        <v>0</v>
      </c>
      <c r="BD237" s="408">
        <v>0</v>
      </c>
      <c r="BE237" s="408">
        <v>0</v>
      </c>
      <c r="BF237" s="408"/>
      <c r="BG237" s="408">
        <v>0</v>
      </c>
      <c r="BH237" s="408">
        <v>0</v>
      </c>
      <c r="BI237" s="408">
        <v>179.53</v>
      </c>
      <c r="BJ237" s="408">
        <v>828.3</v>
      </c>
      <c r="BK237" s="408">
        <v>41904.54</v>
      </c>
      <c r="BL237" s="408">
        <v>11</v>
      </c>
      <c r="BM237" s="408"/>
      <c r="BN237" s="408"/>
      <c r="BO237" s="408"/>
      <c r="BP237" s="408"/>
      <c r="BQ237" s="408"/>
      <c r="BR237" s="408"/>
      <c r="BS237" s="408"/>
      <c r="BT237" s="408"/>
      <c r="BU237" s="408"/>
      <c r="BV237" s="408">
        <v>0</v>
      </c>
      <c r="BW237" s="408"/>
      <c r="BX237" s="408"/>
      <c r="BY237" s="408"/>
      <c r="BZ237" s="408"/>
      <c r="CA237" s="408"/>
      <c r="CB237" s="408"/>
      <c r="CC237" s="408"/>
      <c r="CD237" s="408"/>
      <c r="CE237" s="408"/>
      <c r="CF237" s="408"/>
      <c r="CG237" s="408"/>
      <c r="CH237" s="408"/>
      <c r="CI237" s="408">
        <v>25647.119999999999</v>
      </c>
      <c r="CJ237" s="408">
        <v>-12075.350000000009</v>
      </c>
      <c r="CK237" s="408"/>
      <c r="CL237" s="408"/>
      <c r="CM237" s="408"/>
      <c r="CN237" s="408"/>
      <c r="CO237" s="408">
        <v>-12075.320000000002</v>
      </c>
      <c r="CP237" s="408">
        <v>0</v>
      </c>
      <c r="CQ237" s="408">
        <v>31</v>
      </c>
      <c r="CR237" s="408">
        <v>-89.841672956430557</v>
      </c>
      <c r="CS237" s="408">
        <v>0</v>
      </c>
      <c r="CT237" s="408">
        <v>0</v>
      </c>
      <c r="CU237" s="408">
        <v>0</v>
      </c>
      <c r="CV237" s="408">
        <v>0</v>
      </c>
      <c r="CW237" s="408"/>
      <c r="CX237" s="408"/>
      <c r="CY237" s="408"/>
      <c r="CZ237" s="408">
        <v>-89.841672956430557</v>
      </c>
      <c r="DA237" s="408">
        <v>0</v>
      </c>
      <c r="DB237" s="408">
        <v>0</v>
      </c>
      <c r="DC237" s="408"/>
      <c r="DD237" s="408"/>
      <c r="DE237" s="408">
        <v>0</v>
      </c>
      <c r="DF237" s="408">
        <v>0</v>
      </c>
      <c r="DG237" s="408">
        <v>0</v>
      </c>
      <c r="DH237" s="408">
        <v>0</v>
      </c>
      <c r="DI237" s="408">
        <v>0</v>
      </c>
      <c r="DJ237" s="408"/>
      <c r="DK237" s="408">
        <v>0</v>
      </c>
      <c r="DL237" s="408">
        <v>0</v>
      </c>
      <c r="DM237" s="408"/>
      <c r="DN237" s="408">
        <v>0</v>
      </c>
      <c r="DO237" s="408">
        <v>0</v>
      </c>
      <c r="DP237" s="408">
        <v>0</v>
      </c>
      <c r="DQ237" s="408">
        <v>0</v>
      </c>
      <c r="DR237" s="408">
        <v>0</v>
      </c>
      <c r="DS237" s="408"/>
      <c r="DT237" s="408"/>
      <c r="DU237" s="408">
        <v>17846.214327600683</v>
      </c>
      <c r="DV237" s="408"/>
      <c r="DW237" s="408">
        <v>0</v>
      </c>
      <c r="DX237" s="408">
        <v>0</v>
      </c>
      <c r="DY237" s="408">
        <v>-12075.320000000003</v>
      </c>
      <c r="DZ237" s="408"/>
      <c r="EA237" s="408">
        <v>0</v>
      </c>
      <c r="EB237" s="408"/>
      <c r="EC237" s="408">
        <v>-11986.85009258378</v>
      </c>
      <c r="ED237" s="408"/>
      <c r="EE237" s="408">
        <v>0</v>
      </c>
      <c r="EF237" s="408">
        <v>0</v>
      </c>
      <c r="EG237" s="408"/>
      <c r="EH237" s="408">
        <v>0</v>
      </c>
      <c r="EI237" s="408">
        <v>0</v>
      </c>
      <c r="EJ237" s="408">
        <v>0</v>
      </c>
      <c r="EK237" s="408">
        <v>0</v>
      </c>
      <c r="EL237" s="408">
        <v>0</v>
      </c>
      <c r="EM237" s="408"/>
      <c r="EN237" s="408"/>
      <c r="EO237" s="408">
        <v>0</v>
      </c>
      <c r="EP237" s="408">
        <v>0</v>
      </c>
      <c r="EQ237" s="408"/>
      <c r="ER237" s="408">
        <v>0</v>
      </c>
      <c r="ES237" s="408"/>
      <c r="ET237" s="408">
        <v>0</v>
      </c>
      <c r="EU237" s="408"/>
      <c r="EV237" s="408">
        <v>257</v>
      </c>
      <c r="EW237" s="408"/>
      <c r="EX237" s="408"/>
      <c r="EY237" s="408"/>
      <c r="EZ237" s="408"/>
      <c r="FA237" s="408">
        <v>0</v>
      </c>
      <c r="FB237" s="408"/>
      <c r="FC237" s="408"/>
      <c r="FD237" s="408"/>
      <c r="FE237" s="408"/>
      <c r="FF237" s="408">
        <v>0</v>
      </c>
      <c r="FG237" s="408">
        <v>0</v>
      </c>
      <c r="FH237" s="408">
        <v>0</v>
      </c>
      <c r="FI237" s="408">
        <v>0</v>
      </c>
    </row>
    <row r="238" spans="1:165">
      <c r="A238" s="408">
        <v>236</v>
      </c>
      <c r="B238" s="408" t="s">
        <v>2236</v>
      </c>
      <c r="C238" s="408" t="s">
        <v>2241</v>
      </c>
      <c r="D238" s="408" t="s">
        <v>596</v>
      </c>
      <c r="E238" s="408" t="s">
        <v>997</v>
      </c>
      <c r="F238" s="408" t="s">
        <v>1321</v>
      </c>
      <c r="G238" s="408" t="s">
        <v>1321</v>
      </c>
      <c r="H238" s="408" t="s">
        <v>1321</v>
      </c>
      <c r="I238" s="408" t="s">
        <v>1321</v>
      </c>
      <c r="J238" s="408" t="s">
        <v>2234</v>
      </c>
      <c r="K238" s="828">
        <v>44562</v>
      </c>
      <c r="L238" s="408">
        <v>45</v>
      </c>
      <c r="M238" s="408">
        <v>45</v>
      </c>
      <c r="N238" s="408">
        <v>0</v>
      </c>
      <c r="O238" s="408">
        <v>0</v>
      </c>
      <c r="P238" s="408">
        <v>0</v>
      </c>
      <c r="Q238" s="408">
        <v>0</v>
      </c>
      <c r="R238" s="408">
        <v>47.39</v>
      </c>
      <c r="S238" s="408"/>
      <c r="T238" s="408"/>
      <c r="U238" s="408">
        <v>2132.5500000000002</v>
      </c>
      <c r="V238" s="408"/>
      <c r="W238" s="408">
        <v>2132.5500000000002</v>
      </c>
      <c r="X238" s="408">
        <v>1449.8999999999999</v>
      </c>
      <c r="Y238" s="408">
        <v>0</v>
      </c>
      <c r="Z238" s="408">
        <v>0</v>
      </c>
      <c r="AA238" s="408">
        <v>0</v>
      </c>
      <c r="AB238" s="408">
        <v>0</v>
      </c>
      <c r="AC238" s="408">
        <v>0</v>
      </c>
      <c r="AD238" s="408">
        <v>1123.6545080759565</v>
      </c>
      <c r="AE238" s="408">
        <v>1008.8940260578274</v>
      </c>
      <c r="AF238" s="408"/>
      <c r="AG238" s="408"/>
      <c r="AH238" s="408"/>
      <c r="AI238" s="408">
        <v>0</v>
      </c>
      <c r="AJ238" s="408">
        <v>0</v>
      </c>
      <c r="AK238" s="408">
        <v>0</v>
      </c>
      <c r="AL238" s="408">
        <v>0</v>
      </c>
      <c r="AM238" s="408"/>
      <c r="AN238" s="408">
        <v>0</v>
      </c>
      <c r="AO238" s="408">
        <v>0</v>
      </c>
      <c r="AP238" s="408">
        <v>0</v>
      </c>
      <c r="AQ238" s="408">
        <v>0</v>
      </c>
      <c r="AR238" s="408">
        <v>0</v>
      </c>
      <c r="AS238" s="408"/>
      <c r="AT238" s="408"/>
      <c r="AU238" s="408">
        <v>0</v>
      </c>
      <c r="AV238" s="408">
        <v>0</v>
      </c>
      <c r="AW238" s="408">
        <v>0</v>
      </c>
      <c r="AX238" s="408"/>
      <c r="AY238" s="408"/>
      <c r="AZ238" s="408">
        <v>0</v>
      </c>
      <c r="BA238" s="408"/>
      <c r="BB238" s="408">
        <v>0</v>
      </c>
      <c r="BC238" s="408">
        <v>0</v>
      </c>
      <c r="BD238" s="408">
        <v>0</v>
      </c>
      <c r="BE238" s="408">
        <v>0</v>
      </c>
      <c r="BF238" s="408"/>
      <c r="BG238" s="408">
        <v>0</v>
      </c>
      <c r="BH238" s="408">
        <v>0</v>
      </c>
      <c r="BI238" s="408">
        <v>4.57</v>
      </c>
      <c r="BJ238" s="408">
        <v>21.11</v>
      </c>
      <c r="BK238" s="408">
        <v>1257.75</v>
      </c>
      <c r="BL238" s="408">
        <v>1</v>
      </c>
      <c r="BM238" s="408"/>
      <c r="BN238" s="408"/>
      <c r="BO238" s="408"/>
      <c r="BP238" s="408"/>
      <c r="BQ238" s="408"/>
      <c r="BR238" s="408"/>
      <c r="BS238" s="408"/>
      <c r="BT238" s="408"/>
      <c r="BU238" s="408"/>
      <c r="BV238" s="408">
        <v>0</v>
      </c>
      <c r="BW238" s="408"/>
      <c r="BX238" s="408"/>
      <c r="BY238" s="408"/>
      <c r="BZ238" s="408"/>
      <c r="CA238" s="408"/>
      <c r="CB238" s="408"/>
      <c r="CC238" s="408"/>
      <c r="CD238" s="408"/>
      <c r="CE238" s="408"/>
      <c r="CF238" s="408"/>
      <c r="CG238" s="408"/>
      <c r="CH238" s="408"/>
      <c r="CI238" s="408">
        <v>1449.8999999999999</v>
      </c>
      <c r="CJ238" s="408">
        <v>-682.68000000000097</v>
      </c>
      <c r="CK238" s="408"/>
      <c r="CL238" s="408"/>
      <c r="CM238" s="408"/>
      <c r="CN238" s="408"/>
      <c r="CO238" s="408">
        <v>-682.65000000000009</v>
      </c>
      <c r="CP238" s="408">
        <v>0</v>
      </c>
      <c r="CQ238" s="408">
        <v>31</v>
      </c>
      <c r="CR238" s="408">
        <v>-5.0789890490445941</v>
      </c>
      <c r="CS238" s="408">
        <v>0</v>
      </c>
      <c r="CT238" s="408">
        <v>0</v>
      </c>
      <c r="CU238" s="408">
        <v>0</v>
      </c>
      <c r="CV238" s="408">
        <v>0</v>
      </c>
      <c r="CW238" s="408"/>
      <c r="CX238" s="408"/>
      <c r="CY238" s="408"/>
      <c r="CZ238" s="408">
        <v>-5.0789890490445941</v>
      </c>
      <c r="DA238" s="408">
        <v>0</v>
      </c>
      <c r="DB238" s="408">
        <v>0</v>
      </c>
      <c r="DC238" s="408"/>
      <c r="DD238" s="408"/>
      <c r="DE238" s="408">
        <v>0</v>
      </c>
      <c r="DF238" s="408">
        <v>0</v>
      </c>
      <c r="DG238" s="408">
        <v>0</v>
      </c>
      <c r="DH238" s="408">
        <v>0</v>
      </c>
      <c r="DI238" s="408">
        <v>0</v>
      </c>
      <c r="DJ238" s="408"/>
      <c r="DK238" s="408">
        <v>0</v>
      </c>
      <c r="DL238" s="408">
        <v>0</v>
      </c>
      <c r="DM238" s="408"/>
      <c r="DN238" s="408">
        <v>0</v>
      </c>
      <c r="DO238" s="408">
        <v>0</v>
      </c>
      <c r="DP238" s="408">
        <v>0</v>
      </c>
      <c r="DQ238" s="408">
        <v>0</v>
      </c>
      <c r="DR238" s="408">
        <v>0</v>
      </c>
      <c r="DS238" s="408"/>
      <c r="DT238" s="408"/>
      <c r="DU238" s="408">
        <v>1008.8940260578274</v>
      </c>
      <c r="DV238" s="408"/>
      <c r="DW238" s="408">
        <v>0</v>
      </c>
      <c r="DX238" s="408">
        <v>0</v>
      </c>
      <c r="DY238" s="408">
        <v>-682.65000000000032</v>
      </c>
      <c r="DZ238" s="408"/>
      <c r="EA238" s="408">
        <v>0</v>
      </c>
      <c r="EB238" s="408"/>
      <c r="EC238" s="408">
        <v>-677.64856051038953</v>
      </c>
      <c r="ED238" s="408"/>
      <c r="EE238" s="408">
        <v>0</v>
      </c>
      <c r="EF238" s="408">
        <v>0</v>
      </c>
      <c r="EG238" s="408"/>
      <c r="EH238" s="408">
        <v>0</v>
      </c>
      <c r="EI238" s="408">
        <v>0</v>
      </c>
      <c r="EJ238" s="408">
        <v>0</v>
      </c>
      <c r="EK238" s="408">
        <v>0</v>
      </c>
      <c r="EL238" s="408">
        <v>0</v>
      </c>
      <c r="EM238" s="408"/>
      <c r="EN238" s="408"/>
      <c r="EO238" s="408">
        <v>0</v>
      </c>
      <c r="EP238" s="408">
        <v>0</v>
      </c>
      <c r="EQ238" s="408"/>
      <c r="ER238" s="408">
        <v>0</v>
      </c>
      <c r="ES238" s="408"/>
      <c r="ET238" s="408">
        <v>0</v>
      </c>
      <c r="EU238" s="408"/>
      <c r="EV238" s="408">
        <v>257</v>
      </c>
      <c r="EW238" s="408"/>
      <c r="EX238" s="408"/>
      <c r="EY238" s="408"/>
      <c r="EZ238" s="408"/>
      <c r="FA238" s="408">
        <v>0</v>
      </c>
      <c r="FB238" s="408"/>
      <c r="FC238" s="408"/>
      <c r="FD238" s="408"/>
      <c r="FE238" s="408"/>
      <c r="FF238" s="408">
        <v>0</v>
      </c>
      <c r="FG238" s="408">
        <v>0</v>
      </c>
      <c r="FH238" s="408">
        <v>0</v>
      </c>
      <c r="FI238" s="408">
        <v>0</v>
      </c>
    </row>
    <row r="239" spans="1:165">
      <c r="A239" s="408">
        <v>237</v>
      </c>
      <c r="B239" s="408" t="s">
        <v>1035</v>
      </c>
      <c r="C239" s="408" t="s">
        <v>2233</v>
      </c>
      <c r="D239" s="408" t="s">
        <v>2243</v>
      </c>
      <c r="E239" s="408" t="s">
        <v>973</v>
      </c>
      <c r="F239" s="408" t="s">
        <v>1321</v>
      </c>
      <c r="G239" s="408" t="s">
        <v>1321</v>
      </c>
      <c r="H239" s="408" t="s">
        <v>1321</v>
      </c>
      <c r="I239" s="408" t="s">
        <v>1321</v>
      </c>
      <c r="J239" s="408" t="s">
        <v>2234</v>
      </c>
      <c r="K239" s="828">
        <v>44562</v>
      </c>
      <c r="L239" s="408">
        <v>0</v>
      </c>
      <c r="M239" s="408">
        <v>0</v>
      </c>
      <c r="N239" s="408">
        <v>3244.605</v>
      </c>
      <c r="O239" s="408">
        <v>3244.605</v>
      </c>
      <c r="P239" s="408">
        <v>3244.605</v>
      </c>
      <c r="Q239" s="408">
        <v>3244.605</v>
      </c>
      <c r="R239" s="408"/>
      <c r="S239" s="408">
        <v>710.91</v>
      </c>
      <c r="T239" s="408">
        <v>256.55</v>
      </c>
      <c r="U239" s="408"/>
      <c r="V239" s="408">
        <v>3139025.5533000003</v>
      </c>
      <c r="W239" s="408">
        <v>3139025.5533000003</v>
      </c>
      <c r="X239" s="408">
        <v>2142834.4801500002</v>
      </c>
      <c r="Y239" s="408">
        <v>0</v>
      </c>
      <c r="Z239" s="408">
        <v>199461.05863724294</v>
      </c>
      <c r="AA239" s="408">
        <v>0</v>
      </c>
      <c r="AB239" s="408">
        <v>0</v>
      </c>
      <c r="AC239" s="408">
        <v>0</v>
      </c>
      <c r="AD239" s="408">
        <v>399355.03520996979</v>
      </c>
      <c r="AE239" s="408">
        <v>1547384.7706944295</v>
      </c>
      <c r="AF239" s="408">
        <v>832411.59477442468</v>
      </c>
      <c r="AG239" s="408">
        <v>0</v>
      </c>
      <c r="AH239" s="408">
        <v>0</v>
      </c>
      <c r="AI239" s="408">
        <v>0</v>
      </c>
      <c r="AJ239" s="408">
        <v>0</v>
      </c>
      <c r="AK239" s="408">
        <v>0</v>
      </c>
      <c r="AL239" s="408">
        <v>30837.581702161064</v>
      </c>
      <c r="AM239" s="408"/>
      <c r="AN239" s="408">
        <v>7124.5187344671012</v>
      </c>
      <c r="AO239" s="408">
        <v>0</v>
      </c>
      <c r="AP239" s="408">
        <v>0</v>
      </c>
      <c r="AQ239" s="408">
        <v>0</v>
      </c>
      <c r="AR239" s="408">
        <v>0</v>
      </c>
      <c r="AS239" s="408">
        <v>0</v>
      </c>
      <c r="AT239" s="408">
        <v>0</v>
      </c>
      <c r="AU239" s="408">
        <v>0</v>
      </c>
      <c r="AV239" s="408">
        <v>0</v>
      </c>
      <c r="AW239" s="408">
        <v>0</v>
      </c>
      <c r="AX239" s="408">
        <v>0</v>
      </c>
      <c r="AY239" s="408">
        <v>0</v>
      </c>
      <c r="AZ239" s="408">
        <v>0</v>
      </c>
      <c r="BA239" s="408"/>
      <c r="BB239" s="408">
        <v>0</v>
      </c>
      <c r="BC239" s="408">
        <v>0</v>
      </c>
      <c r="BD239" s="408">
        <v>4835.5007946944343</v>
      </c>
      <c r="BE239" s="408">
        <v>0</v>
      </c>
      <c r="BF239" s="408">
        <v>0</v>
      </c>
      <c r="BG239" s="408">
        <v>117627.97028797411</v>
      </c>
      <c r="BH239" s="408">
        <v>0</v>
      </c>
      <c r="BI239" s="408">
        <v>3216.51</v>
      </c>
      <c r="BJ239" s="408">
        <v>14985.54</v>
      </c>
      <c r="BK239" s="408">
        <v>144599.79999999999</v>
      </c>
      <c r="BL239" s="408">
        <v>8773</v>
      </c>
      <c r="BM239" s="408"/>
      <c r="BN239" s="408"/>
      <c r="BO239" s="408"/>
      <c r="BP239" s="408"/>
      <c r="BQ239" s="408"/>
      <c r="BR239" s="408">
        <v>257134.94624999992</v>
      </c>
      <c r="BS239" s="408"/>
      <c r="BT239" s="408"/>
      <c r="BU239" s="408"/>
      <c r="BV239" s="408">
        <v>954875.0658570932</v>
      </c>
      <c r="BW239" s="408"/>
      <c r="BX239" s="408"/>
      <c r="BY239" s="408"/>
      <c r="BZ239" s="408"/>
      <c r="CA239" s="408"/>
      <c r="CB239" s="408"/>
      <c r="CC239" s="408"/>
      <c r="CD239" s="408"/>
      <c r="CE239" s="408"/>
      <c r="CF239" s="408"/>
      <c r="CG239" s="408"/>
      <c r="CH239" s="408"/>
      <c r="CI239" s="408">
        <v>1885702.4398000003</v>
      </c>
      <c r="CJ239" s="408">
        <v>-876656.94904999947</v>
      </c>
      <c r="CK239" s="408"/>
      <c r="CL239" s="408"/>
      <c r="CM239" s="408"/>
      <c r="CN239" s="408"/>
      <c r="CO239" s="408">
        <v>-1048072.3071</v>
      </c>
      <c r="CP239" s="408">
        <v>51881.233950000031</v>
      </c>
      <c r="CQ239" s="408">
        <v>31</v>
      </c>
      <c r="CR239" s="408">
        <v>43131.462670777924</v>
      </c>
      <c r="CS239" s="408">
        <v>0</v>
      </c>
      <c r="CT239" s="408">
        <v>0</v>
      </c>
      <c r="CU239" s="408">
        <v>0</v>
      </c>
      <c r="CV239" s="408">
        <v>0</v>
      </c>
      <c r="CW239" s="408">
        <v>0</v>
      </c>
      <c r="CX239" s="408">
        <v>0</v>
      </c>
      <c r="CY239" s="408">
        <v>0</v>
      </c>
      <c r="CZ239" s="408">
        <v>-1805.1098766868236</v>
      </c>
      <c r="DA239" s="408">
        <v>0</v>
      </c>
      <c r="DB239" s="408">
        <v>0</v>
      </c>
      <c r="DC239" s="408">
        <v>51857.968071812764</v>
      </c>
      <c r="DD239" s="408">
        <v>0</v>
      </c>
      <c r="DE239" s="408">
        <v>0</v>
      </c>
      <c r="DF239" s="408">
        <v>301.24429716821396</v>
      </c>
      <c r="DG239" s="408">
        <v>7328.0424802335619</v>
      </c>
      <c r="DH239" s="408">
        <v>0</v>
      </c>
      <c r="DI239" s="408">
        <v>-12403.257253890421</v>
      </c>
      <c r="DJ239" s="408"/>
      <c r="DK239" s="408">
        <v>0</v>
      </c>
      <c r="DL239" s="408">
        <v>0</v>
      </c>
      <c r="DM239" s="408">
        <v>0</v>
      </c>
      <c r="DN239" s="408">
        <v>0</v>
      </c>
      <c r="DO239" s="408">
        <v>-1692.1410860461001</v>
      </c>
      <c r="DP239" s="408">
        <v>-455.28396181307653</v>
      </c>
      <c r="DQ239" s="408">
        <v>0</v>
      </c>
      <c r="DR239" s="408">
        <v>0</v>
      </c>
      <c r="DS239" s="408"/>
      <c r="DT239" s="408"/>
      <c r="DU239" s="408"/>
      <c r="DV239" s="408">
        <v>1547384.7706944295</v>
      </c>
      <c r="DW239" s="408">
        <v>0</v>
      </c>
      <c r="DX239" s="408">
        <v>0</v>
      </c>
      <c r="DY239" s="408">
        <v>-1048072.3071000001</v>
      </c>
      <c r="DZ239" s="408">
        <v>51881.233950000023</v>
      </c>
      <c r="EA239" s="408">
        <v>0</v>
      </c>
      <c r="EB239" s="408">
        <v>0</v>
      </c>
      <c r="EC239" s="408">
        <v>-1039339.1529078966</v>
      </c>
      <c r="ED239" s="408">
        <v>0</v>
      </c>
      <c r="EE239" s="408">
        <v>0</v>
      </c>
      <c r="EF239" s="408">
        <v>0</v>
      </c>
      <c r="EG239" s="408">
        <v>0</v>
      </c>
      <c r="EH239" s="408">
        <v>0</v>
      </c>
      <c r="EI239" s="408">
        <v>0</v>
      </c>
      <c r="EJ239" s="408">
        <v>0</v>
      </c>
      <c r="EK239" s="408">
        <v>0</v>
      </c>
      <c r="EL239" s="408">
        <v>0</v>
      </c>
      <c r="EM239" s="408">
        <v>0</v>
      </c>
      <c r="EN239" s="408">
        <v>0</v>
      </c>
      <c r="EO239" s="408">
        <v>0</v>
      </c>
      <c r="EP239" s="408">
        <v>0</v>
      </c>
      <c r="EQ239" s="408">
        <v>0</v>
      </c>
      <c r="ER239" s="408">
        <v>0</v>
      </c>
      <c r="ES239" s="408">
        <v>0</v>
      </c>
      <c r="ET239" s="408">
        <v>0</v>
      </c>
      <c r="EU239" s="408">
        <v>0</v>
      </c>
      <c r="EV239" s="408">
        <v>257</v>
      </c>
      <c r="EW239" s="408">
        <v>0</v>
      </c>
      <c r="EX239" s="408">
        <v>0</v>
      </c>
      <c r="EY239" s="408">
        <v>0</v>
      </c>
      <c r="EZ239" s="408"/>
      <c r="FA239" s="408">
        <v>0</v>
      </c>
      <c r="FB239" s="408"/>
      <c r="FC239" s="408"/>
      <c r="FD239" s="408"/>
      <c r="FE239" s="408"/>
      <c r="FF239" s="408">
        <v>0</v>
      </c>
      <c r="FG239" s="408">
        <v>0</v>
      </c>
      <c r="FH239" s="408">
        <v>0</v>
      </c>
      <c r="FI239" s="408">
        <v>0</v>
      </c>
    </row>
    <row r="240" spans="1:165">
      <c r="A240" s="408">
        <v>238</v>
      </c>
      <c r="B240" s="408" t="s">
        <v>2235</v>
      </c>
      <c r="C240" s="408" t="s">
        <v>2233</v>
      </c>
      <c r="D240" s="408" t="s">
        <v>2243</v>
      </c>
      <c r="E240" s="408" t="s">
        <v>973</v>
      </c>
      <c r="F240" s="408" t="s">
        <v>1321</v>
      </c>
      <c r="G240" s="408" t="s">
        <v>1321</v>
      </c>
      <c r="H240" s="408" t="s">
        <v>1321</v>
      </c>
      <c r="I240" s="408" t="s">
        <v>1321</v>
      </c>
      <c r="J240" s="408" t="s">
        <v>2234</v>
      </c>
      <c r="K240" s="828">
        <v>44562</v>
      </c>
      <c r="L240" s="408">
        <v>0</v>
      </c>
      <c r="M240" s="408">
        <v>0</v>
      </c>
      <c r="N240" s="408">
        <v>-21.905999999999999</v>
      </c>
      <c r="O240" s="408">
        <v>-21.905999999999999</v>
      </c>
      <c r="P240" s="408">
        <v>-21.905999999999999</v>
      </c>
      <c r="Q240" s="408">
        <v>-21.905999999999999</v>
      </c>
      <c r="R240" s="408"/>
      <c r="S240" s="408">
        <v>710.91</v>
      </c>
      <c r="T240" s="408">
        <v>256.55</v>
      </c>
      <c r="U240" s="408"/>
      <c r="V240" s="408">
        <v>-21193.178759999999</v>
      </c>
      <c r="W240" s="408">
        <v>-21193.178759999999</v>
      </c>
      <c r="X240" s="408">
        <v>-14467.379579999999</v>
      </c>
      <c r="Y240" s="408">
        <v>0</v>
      </c>
      <c r="Z240" s="408">
        <v>-1346.6643707038124</v>
      </c>
      <c r="AA240" s="408">
        <v>0</v>
      </c>
      <c r="AB240" s="408">
        <v>0</v>
      </c>
      <c r="AC240" s="408">
        <v>0</v>
      </c>
      <c r="AD240" s="408">
        <v>-2696.2515934326666</v>
      </c>
      <c r="AE240" s="408">
        <v>-10447.19181127816</v>
      </c>
      <c r="AF240" s="408">
        <v>-5620.0395410623314</v>
      </c>
      <c r="AG240" s="408">
        <v>0</v>
      </c>
      <c r="AH240" s="408">
        <v>0</v>
      </c>
      <c r="AI240" s="408">
        <v>0</v>
      </c>
      <c r="AJ240" s="408">
        <v>0</v>
      </c>
      <c r="AK240" s="408">
        <v>0</v>
      </c>
      <c r="AL240" s="408">
        <v>-208.20040182627477</v>
      </c>
      <c r="AM240" s="408"/>
      <c r="AN240" s="408">
        <v>-48.101296582245389</v>
      </c>
      <c r="AO240" s="408">
        <v>0</v>
      </c>
      <c r="AP240" s="408">
        <v>0</v>
      </c>
      <c r="AQ240" s="408">
        <v>0</v>
      </c>
      <c r="AR240" s="408">
        <v>0</v>
      </c>
      <c r="AS240" s="408">
        <v>0</v>
      </c>
      <c r="AT240" s="408">
        <v>0</v>
      </c>
      <c r="AU240" s="408">
        <v>0</v>
      </c>
      <c r="AV240" s="408">
        <v>0</v>
      </c>
      <c r="AW240" s="408">
        <v>0</v>
      </c>
      <c r="AX240" s="408">
        <v>0</v>
      </c>
      <c r="AY240" s="408">
        <v>0</v>
      </c>
      <c r="AZ240" s="408">
        <v>0</v>
      </c>
      <c r="BA240" s="408"/>
      <c r="BB240" s="408">
        <v>0</v>
      </c>
      <c r="BC240" s="408">
        <v>0</v>
      </c>
      <c r="BD240" s="408">
        <v>-32.646957151510357</v>
      </c>
      <c r="BE240" s="408">
        <v>0</v>
      </c>
      <c r="BF240" s="408">
        <v>0</v>
      </c>
      <c r="BG240" s="408">
        <v>-794.16703023275886</v>
      </c>
      <c r="BH240" s="408">
        <v>0</v>
      </c>
      <c r="BI240" s="408">
        <v>-22.76</v>
      </c>
      <c r="BJ240" s="408">
        <v>-105.84</v>
      </c>
      <c r="BK240" s="408">
        <v>-588.79</v>
      </c>
      <c r="BL240" s="408">
        <v>0</v>
      </c>
      <c r="BM240" s="408"/>
      <c r="BN240" s="408"/>
      <c r="BO240" s="408"/>
      <c r="BP240" s="408"/>
      <c r="BQ240" s="408"/>
      <c r="BR240" s="408">
        <v>-1736.0504999999994</v>
      </c>
      <c r="BS240" s="408"/>
      <c r="BT240" s="408"/>
      <c r="BU240" s="408"/>
      <c r="BV240" s="408">
        <v>-6446.8535284465997</v>
      </c>
      <c r="BW240" s="408"/>
      <c r="BX240" s="408"/>
      <c r="BY240" s="408"/>
      <c r="BZ240" s="408"/>
      <c r="CA240" s="408"/>
      <c r="CB240" s="408"/>
      <c r="CC240" s="408"/>
      <c r="CD240" s="408"/>
      <c r="CE240" s="408"/>
      <c r="CF240" s="408"/>
      <c r="CG240" s="408"/>
      <c r="CH240" s="408"/>
      <c r="CI240" s="408">
        <v>-12733.6538</v>
      </c>
      <c r="CJ240" s="408">
        <v>5916.42742</v>
      </c>
      <c r="CK240" s="408"/>
      <c r="CL240" s="408"/>
      <c r="CM240" s="408"/>
      <c r="CN240" s="408"/>
      <c r="CO240" s="408">
        <v>7076.0761199999988</v>
      </c>
      <c r="CP240" s="408">
        <v>-350.2769400000002</v>
      </c>
      <c r="CQ240" s="408">
        <v>31</v>
      </c>
      <c r="CR240" s="408">
        <v>-291.2027261457315</v>
      </c>
      <c r="CS240" s="408">
        <v>0</v>
      </c>
      <c r="CT240" s="408">
        <v>0</v>
      </c>
      <c r="CU240" s="408">
        <v>0</v>
      </c>
      <c r="CV240" s="408">
        <v>0</v>
      </c>
      <c r="CW240" s="408">
        <v>0</v>
      </c>
      <c r="CX240" s="408">
        <v>0</v>
      </c>
      <c r="CY240" s="408">
        <v>0</v>
      </c>
      <c r="CZ240" s="408">
        <v>12.187226783753886</v>
      </c>
      <c r="DA240" s="408">
        <v>0</v>
      </c>
      <c r="DB240" s="408">
        <v>0</v>
      </c>
      <c r="DC240" s="408">
        <v>-350.11986006960251</v>
      </c>
      <c r="DD240" s="408">
        <v>0</v>
      </c>
      <c r="DE240" s="408">
        <v>0</v>
      </c>
      <c r="DF240" s="408">
        <v>-2.0338554535195783</v>
      </c>
      <c r="DG240" s="408">
        <v>-49.475390246885695</v>
      </c>
      <c r="DH240" s="408">
        <v>0</v>
      </c>
      <c r="DI240" s="408">
        <v>83.740779972823475</v>
      </c>
      <c r="DJ240" s="408"/>
      <c r="DK240" s="408">
        <v>0</v>
      </c>
      <c r="DL240" s="408">
        <v>0</v>
      </c>
      <c r="DM240" s="408">
        <v>0</v>
      </c>
      <c r="DN240" s="408">
        <v>0</v>
      </c>
      <c r="DO240" s="408">
        <v>11.424516275764205</v>
      </c>
      <c r="DP240" s="408">
        <v>3.0738565919356091</v>
      </c>
      <c r="DQ240" s="408">
        <v>0</v>
      </c>
      <c r="DR240" s="408">
        <v>0</v>
      </c>
      <c r="DS240" s="408"/>
      <c r="DT240" s="408"/>
      <c r="DU240" s="408"/>
      <c r="DV240" s="408">
        <v>-10447.19181127816</v>
      </c>
      <c r="DW240" s="408">
        <v>0</v>
      </c>
      <c r="DX240" s="408">
        <v>0</v>
      </c>
      <c r="DY240" s="408">
        <v>7076.0761199999997</v>
      </c>
      <c r="DZ240" s="408">
        <v>-350.27693999999974</v>
      </c>
      <c r="EA240" s="408">
        <v>0</v>
      </c>
      <c r="EB240" s="408">
        <v>0</v>
      </c>
      <c r="EC240" s="408">
        <v>7017.114096662116</v>
      </c>
      <c r="ED240" s="408">
        <v>0</v>
      </c>
      <c r="EE240" s="408">
        <v>0</v>
      </c>
      <c r="EF240" s="408">
        <v>0</v>
      </c>
      <c r="EG240" s="408">
        <v>0</v>
      </c>
      <c r="EH240" s="408">
        <v>0</v>
      </c>
      <c r="EI240" s="408">
        <v>0</v>
      </c>
      <c r="EJ240" s="408">
        <v>0</v>
      </c>
      <c r="EK240" s="408">
        <v>0</v>
      </c>
      <c r="EL240" s="408">
        <v>0</v>
      </c>
      <c r="EM240" s="408">
        <v>0</v>
      </c>
      <c r="EN240" s="408">
        <v>0</v>
      </c>
      <c r="EO240" s="408">
        <v>0</v>
      </c>
      <c r="EP240" s="408">
        <v>0</v>
      </c>
      <c r="EQ240" s="408">
        <v>0</v>
      </c>
      <c r="ER240" s="408">
        <v>0</v>
      </c>
      <c r="ES240" s="408">
        <v>0</v>
      </c>
      <c r="ET240" s="408">
        <v>0</v>
      </c>
      <c r="EU240" s="408">
        <v>0</v>
      </c>
      <c r="EV240" s="408">
        <v>257</v>
      </c>
      <c r="EW240" s="408">
        <v>0</v>
      </c>
      <c r="EX240" s="408">
        <v>0</v>
      </c>
      <c r="EY240" s="408">
        <v>0</v>
      </c>
      <c r="EZ240" s="408"/>
      <c r="FA240" s="408">
        <v>0</v>
      </c>
      <c r="FB240" s="408"/>
      <c r="FC240" s="408"/>
      <c r="FD240" s="408"/>
      <c r="FE240" s="408"/>
      <c r="FF240" s="408">
        <v>0</v>
      </c>
      <c r="FG240" s="408">
        <v>0</v>
      </c>
      <c r="FH240" s="408">
        <v>0</v>
      </c>
      <c r="FI240" s="408">
        <v>0</v>
      </c>
    </row>
    <row r="241" spans="1:165">
      <c r="A241" s="408">
        <v>239</v>
      </c>
      <c r="B241" s="408" t="s">
        <v>2236</v>
      </c>
      <c r="C241" s="408" t="s">
        <v>2233</v>
      </c>
      <c r="D241" s="408" t="s">
        <v>2243</v>
      </c>
      <c r="E241" s="408" t="s">
        <v>973</v>
      </c>
      <c r="F241" s="408" t="s">
        <v>1321</v>
      </c>
      <c r="G241" s="408" t="s">
        <v>1321</v>
      </c>
      <c r="H241" s="408" t="s">
        <v>1321</v>
      </c>
      <c r="I241" s="408" t="s">
        <v>1321</v>
      </c>
      <c r="J241" s="408" t="s">
        <v>2234</v>
      </c>
      <c r="K241" s="828">
        <v>44562</v>
      </c>
      <c r="L241" s="408">
        <v>0</v>
      </c>
      <c r="M241" s="408">
        <v>0</v>
      </c>
      <c r="N241" s="408">
        <v>128.387</v>
      </c>
      <c r="O241" s="408">
        <v>128.387</v>
      </c>
      <c r="P241" s="408">
        <v>128.387</v>
      </c>
      <c r="Q241" s="408">
        <v>128.387</v>
      </c>
      <c r="R241" s="408"/>
      <c r="S241" s="408">
        <v>710.91</v>
      </c>
      <c r="T241" s="408">
        <v>256.55</v>
      </c>
      <c r="U241" s="408"/>
      <c r="V241" s="408">
        <v>124209.28702</v>
      </c>
      <c r="W241" s="408">
        <v>124209.28702</v>
      </c>
      <c r="X241" s="408">
        <v>84790.626409999997</v>
      </c>
      <c r="Y241" s="408">
        <v>0</v>
      </c>
      <c r="Z241" s="408">
        <v>7892.5499206404811</v>
      </c>
      <c r="AA241" s="408">
        <v>0</v>
      </c>
      <c r="AB241" s="408">
        <v>0</v>
      </c>
      <c r="AC241" s="408">
        <v>0</v>
      </c>
      <c r="AD241" s="408">
        <v>15802.23013448552</v>
      </c>
      <c r="AE241" s="408">
        <v>61229.052089590485</v>
      </c>
      <c r="AF241" s="408">
        <v>32938.008607612959</v>
      </c>
      <c r="AG241" s="408">
        <v>0</v>
      </c>
      <c r="AH241" s="408">
        <v>0</v>
      </c>
      <c r="AI241" s="408">
        <v>0</v>
      </c>
      <c r="AJ241" s="408">
        <v>0</v>
      </c>
      <c r="AK241" s="408">
        <v>0</v>
      </c>
      <c r="AL241" s="408">
        <v>1220.223910767367</v>
      </c>
      <c r="AM241" s="408"/>
      <c r="AN241" s="408">
        <v>281.91277112684833</v>
      </c>
      <c r="AO241" s="408">
        <v>0</v>
      </c>
      <c r="AP241" s="408">
        <v>0</v>
      </c>
      <c r="AQ241" s="408">
        <v>0</v>
      </c>
      <c r="AR241" s="408">
        <v>0</v>
      </c>
      <c r="AS241" s="408">
        <v>0</v>
      </c>
      <c r="AT241" s="408">
        <v>0</v>
      </c>
      <c r="AU241" s="408">
        <v>0</v>
      </c>
      <c r="AV241" s="408">
        <v>0</v>
      </c>
      <c r="AW241" s="408">
        <v>0</v>
      </c>
      <c r="AX241" s="408">
        <v>0</v>
      </c>
      <c r="AY241" s="408">
        <v>0</v>
      </c>
      <c r="AZ241" s="408">
        <v>0</v>
      </c>
      <c r="BA241" s="408"/>
      <c r="BB241" s="408">
        <v>0</v>
      </c>
      <c r="BC241" s="408">
        <v>0</v>
      </c>
      <c r="BD241" s="408">
        <v>191.33775622253998</v>
      </c>
      <c r="BE241" s="408">
        <v>0</v>
      </c>
      <c r="BF241" s="408">
        <v>0</v>
      </c>
      <c r="BG241" s="408">
        <v>4654.4655578605507</v>
      </c>
      <c r="BH241" s="408">
        <v>0</v>
      </c>
      <c r="BI241" s="408">
        <v>129.58000000000001</v>
      </c>
      <c r="BJ241" s="408">
        <v>598.39</v>
      </c>
      <c r="BK241" s="408">
        <v>2532.35</v>
      </c>
      <c r="BL241" s="408">
        <v>170</v>
      </c>
      <c r="BM241" s="408"/>
      <c r="BN241" s="408"/>
      <c r="BO241" s="408"/>
      <c r="BP241" s="408"/>
      <c r="BQ241" s="408"/>
      <c r="BR241" s="408">
        <v>10174.669749999997</v>
      </c>
      <c r="BS241" s="408"/>
      <c r="BT241" s="408"/>
      <c r="BU241" s="408"/>
      <c r="BV241" s="408">
        <v>37783.811921696055</v>
      </c>
      <c r="BW241" s="408"/>
      <c r="BX241" s="408"/>
      <c r="BY241" s="408"/>
      <c r="BZ241" s="408"/>
      <c r="CA241" s="408"/>
      <c r="CB241" s="408"/>
      <c r="CC241" s="408"/>
      <c r="CD241" s="408"/>
      <c r="CE241" s="408"/>
      <c r="CF241" s="408"/>
      <c r="CG241" s="408"/>
      <c r="CH241" s="408"/>
      <c r="CI241" s="408">
        <v>74617.700199999992</v>
      </c>
      <c r="CJ241" s="408">
        <v>-34687.169989999995</v>
      </c>
      <c r="CK241" s="408"/>
      <c r="CL241" s="408"/>
      <c r="CM241" s="408"/>
      <c r="CN241" s="408"/>
      <c r="CO241" s="408">
        <v>-41471.568739999995</v>
      </c>
      <c r="CP241" s="408">
        <v>2052.9081300000012</v>
      </c>
      <c r="CQ241" s="408">
        <v>31</v>
      </c>
      <c r="CR241" s="408">
        <v>1706.6851274386863</v>
      </c>
      <c r="CS241" s="408">
        <v>0</v>
      </c>
      <c r="CT241" s="408">
        <v>0</v>
      </c>
      <c r="CU241" s="408">
        <v>0</v>
      </c>
      <c r="CV241" s="408">
        <v>0</v>
      </c>
      <c r="CW241" s="408">
        <v>0</v>
      </c>
      <c r="CX241" s="408">
        <v>0</v>
      </c>
      <c r="CY241" s="408">
        <v>0</v>
      </c>
      <c r="CZ241" s="408">
        <v>-71.427074093207921</v>
      </c>
      <c r="DA241" s="408">
        <v>0</v>
      </c>
      <c r="DB241" s="408">
        <v>0</v>
      </c>
      <c r="DC241" s="408">
        <v>2051.9875136837436</v>
      </c>
      <c r="DD241" s="408">
        <v>0</v>
      </c>
      <c r="DE241" s="408">
        <v>0</v>
      </c>
      <c r="DF241" s="408">
        <v>11.920049306629153</v>
      </c>
      <c r="DG241" s="408">
        <v>289.96607904806478</v>
      </c>
      <c r="DH241" s="408">
        <v>0</v>
      </c>
      <c r="DI241" s="408">
        <v>-490.78916819003462</v>
      </c>
      <c r="DJ241" s="408"/>
      <c r="DK241" s="408">
        <v>0</v>
      </c>
      <c r="DL241" s="408">
        <v>0</v>
      </c>
      <c r="DM241" s="408">
        <v>0</v>
      </c>
      <c r="DN241" s="408">
        <v>0</v>
      </c>
      <c r="DO241" s="408">
        <v>-66.956969373529546</v>
      </c>
      <c r="DP241" s="408">
        <v>-18.015302942976234</v>
      </c>
      <c r="DQ241" s="408">
        <v>0</v>
      </c>
      <c r="DR241" s="408">
        <v>0</v>
      </c>
      <c r="DS241" s="408"/>
      <c r="DT241" s="408"/>
      <c r="DU241" s="408"/>
      <c r="DV241" s="408">
        <v>61229.052089590485</v>
      </c>
      <c r="DW241" s="408">
        <v>0</v>
      </c>
      <c r="DX241" s="408">
        <v>0</v>
      </c>
      <c r="DY241" s="408">
        <v>-41471.568740000002</v>
      </c>
      <c r="DZ241" s="408">
        <v>2052.9081299999962</v>
      </c>
      <c r="EA241" s="408">
        <v>0</v>
      </c>
      <c r="EB241" s="408">
        <v>0</v>
      </c>
      <c r="EC241" s="408">
        <v>-41126.003265231397</v>
      </c>
      <c r="ED241" s="408">
        <v>0</v>
      </c>
      <c r="EE241" s="408">
        <v>0</v>
      </c>
      <c r="EF241" s="408">
        <v>0</v>
      </c>
      <c r="EG241" s="408">
        <v>0</v>
      </c>
      <c r="EH241" s="408">
        <v>0</v>
      </c>
      <c r="EI241" s="408">
        <v>0</v>
      </c>
      <c r="EJ241" s="408">
        <v>0</v>
      </c>
      <c r="EK241" s="408">
        <v>0</v>
      </c>
      <c r="EL241" s="408">
        <v>0</v>
      </c>
      <c r="EM241" s="408">
        <v>0</v>
      </c>
      <c r="EN241" s="408">
        <v>0</v>
      </c>
      <c r="EO241" s="408">
        <v>0</v>
      </c>
      <c r="EP241" s="408">
        <v>0</v>
      </c>
      <c r="EQ241" s="408">
        <v>0</v>
      </c>
      <c r="ER241" s="408">
        <v>0</v>
      </c>
      <c r="ES241" s="408">
        <v>0</v>
      </c>
      <c r="ET241" s="408">
        <v>0</v>
      </c>
      <c r="EU241" s="408">
        <v>0</v>
      </c>
      <c r="EV241" s="408">
        <v>257</v>
      </c>
      <c r="EW241" s="408">
        <v>0</v>
      </c>
      <c r="EX241" s="408">
        <v>0</v>
      </c>
      <c r="EY241" s="408">
        <v>0</v>
      </c>
      <c r="EZ241" s="408"/>
      <c r="FA241" s="408">
        <v>0</v>
      </c>
      <c r="FB241" s="408"/>
      <c r="FC241" s="408"/>
      <c r="FD241" s="408"/>
      <c r="FE241" s="408"/>
      <c r="FF241" s="408">
        <v>0</v>
      </c>
      <c r="FG241" s="408">
        <v>0</v>
      </c>
      <c r="FH241" s="408">
        <v>0</v>
      </c>
      <c r="FI241" s="408">
        <v>0</v>
      </c>
    </row>
    <row r="242" spans="1:165">
      <c r="A242" s="408">
        <v>240</v>
      </c>
      <c r="B242" s="408" t="s">
        <v>2236</v>
      </c>
      <c r="C242" s="408" t="s">
        <v>2233</v>
      </c>
      <c r="D242" s="408" t="s">
        <v>2243</v>
      </c>
      <c r="E242" s="408" t="s">
        <v>973</v>
      </c>
      <c r="F242" s="408" t="s">
        <v>1321</v>
      </c>
      <c r="G242" s="408" t="s">
        <v>1321</v>
      </c>
      <c r="H242" s="408" t="s">
        <v>1321</v>
      </c>
      <c r="I242" s="408" t="s">
        <v>1321</v>
      </c>
      <c r="J242" s="408" t="s">
        <v>2234</v>
      </c>
      <c r="K242" s="828">
        <v>44562</v>
      </c>
      <c r="L242" s="408">
        <v>0</v>
      </c>
      <c r="M242" s="408">
        <v>0</v>
      </c>
      <c r="N242" s="408">
        <v>-1.018</v>
      </c>
      <c r="O242" s="408">
        <v>-1.018</v>
      </c>
      <c r="P242" s="408">
        <v>-1.018</v>
      </c>
      <c r="Q242" s="408">
        <v>-1.018</v>
      </c>
      <c r="R242" s="408"/>
      <c r="S242" s="408">
        <v>710.91</v>
      </c>
      <c r="T242" s="408">
        <v>256.55</v>
      </c>
      <c r="U242" s="408"/>
      <c r="V242" s="408">
        <v>-984.87428</v>
      </c>
      <c r="W242" s="408">
        <v>-984.87428</v>
      </c>
      <c r="X242" s="408">
        <v>-672.31774000000007</v>
      </c>
      <c r="Y242" s="408">
        <v>0</v>
      </c>
      <c r="Z242" s="408">
        <v>-62.581225663127967</v>
      </c>
      <c r="AA242" s="408">
        <v>0</v>
      </c>
      <c r="AB242" s="408">
        <v>0</v>
      </c>
      <c r="AC242" s="408">
        <v>0</v>
      </c>
      <c r="AD242" s="408">
        <v>-125.29828001983269</v>
      </c>
      <c r="AE242" s="408">
        <v>-485.49444279563443</v>
      </c>
      <c r="AF242" s="408">
        <v>-261.17046712322895</v>
      </c>
      <c r="AG242" s="408">
        <v>0</v>
      </c>
      <c r="AH242" s="408">
        <v>0</v>
      </c>
      <c r="AI242" s="408">
        <v>0</v>
      </c>
      <c r="AJ242" s="408">
        <v>0</v>
      </c>
      <c r="AK242" s="408">
        <v>0</v>
      </c>
      <c r="AL242" s="408">
        <v>-9.6753405030196173</v>
      </c>
      <c r="AM242" s="408"/>
      <c r="AN242" s="408">
        <v>-2.2353291299518765</v>
      </c>
      <c r="AO242" s="408">
        <v>0</v>
      </c>
      <c r="AP242" s="408">
        <v>0</v>
      </c>
      <c r="AQ242" s="408">
        <v>0</v>
      </c>
      <c r="AR242" s="408">
        <v>0</v>
      </c>
      <c r="AS242" s="408">
        <v>0</v>
      </c>
      <c r="AT242" s="408">
        <v>0</v>
      </c>
      <c r="AU242" s="408">
        <v>0</v>
      </c>
      <c r="AV242" s="408">
        <v>0</v>
      </c>
      <c r="AW242" s="408">
        <v>0</v>
      </c>
      <c r="AX242" s="408">
        <v>0</v>
      </c>
      <c r="AY242" s="408">
        <v>0</v>
      </c>
      <c r="AZ242" s="408">
        <v>0</v>
      </c>
      <c r="BA242" s="408"/>
      <c r="BB242" s="408">
        <v>0</v>
      </c>
      <c r="BC242" s="408">
        <v>0</v>
      </c>
      <c r="BD242" s="408">
        <v>-1.5171460960575891</v>
      </c>
      <c r="BE242" s="408">
        <v>0</v>
      </c>
      <c r="BF242" s="408">
        <v>0</v>
      </c>
      <c r="BG242" s="408">
        <v>-36.905963515792415</v>
      </c>
      <c r="BH242" s="408">
        <v>0</v>
      </c>
      <c r="BI242" s="408">
        <v>-1.07</v>
      </c>
      <c r="BJ242" s="408">
        <v>-5.31</v>
      </c>
      <c r="BK242" s="408">
        <v>-15.94</v>
      </c>
      <c r="BL242" s="408">
        <v>4</v>
      </c>
      <c r="BM242" s="408"/>
      <c r="BN242" s="408"/>
      <c r="BO242" s="408"/>
      <c r="BP242" s="408"/>
      <c r="BQ242" s="408"/>
      <c r="BR242" s="408">
        <v>-80.676499999999976</v>
      </c>
      <c r="BS242" s="408"/>
      <c r="BT242" s="408"/>
      <c r="BU242" s="408"/>
      <c r="BV242" s="408">
        <v>-299.59357673507895</v>
      </c>
      <c r="BW242" s="408"/>
      <c r="BX242" s="408"/>
      <c r="BY242" s="408"/>
      <c r="BZ242" s="408"/>
      <c r="CA242" s="408"/>
      <c r="CB242" s="408"/>
      <c r="CC242" s="408"/>
      <c r="CD242" s="408"/>
      <c r="CE242" s="408"/>
      <c r="CF242" s="408"/>
      <c r="CG242" s="408"/>
      <c r="CH242" s="408"/>
      <c r="CI242" s="408">
        <v>-592.80360000000007</v>
      </c>
      <c r="CJ242" s="408">
        <v>273.86106000000007</v>
      </c>
      <c r="CK242" s="408"/>
      <c r="CL242" s="408"/>
      <c r="CM242" s="408"/>
      <c r="CN242" s="408"/>
      <c r="CO242" s="408">
        <v>328.83436</v>
      </c>
      <c r="CP242" s="408">
        <v>-16.277820000000009</v>
      </c>
      <c r="CQ242" s="408">
        <v>31</v>
      </c>
      <c r="CR242" s="408">
        <v>-13.532565288795581</v>
      </c>
      <c r="CS242" s="408">
        <v>0</v>
      </c>
      <c r="CT242" s="408">
        <v>0</v>
      </c>
      <c r="CU242" s="408">
        <v>0</v>
      </c>
      <c r="CV242" s="408">
        <v>0</v>
      </c>
      <c r="CW242" s="408">
        <v>0</v>
      </c>
      <c r="CX242" s="408">
        <v>0</v>
      </c>
      <c r="CY242" s="408">
        <v>0</v>
      </c>
      <c r="CZ242" s="408">
        <v>0.56635610635721889</v>
      </c>
      <c r="DA242" s="408">
        <v>0</v>
      </c>
      <c r="DB242" s="408">
        <v>0</v>
      </c>
      <c r="DC242" s="408">
        <v>-16.270520293565937</v>
      </c>
      <c r="DD242" s="408">
        <v>0</v>
      </c>
      <c r="DE242" s="408">
        <v>0</v>
      </c>
      <c r="DF242" s="408">
        <v>-9.4515879288000093E-2</v>
      </c>
      <c r="DG242" s="408">
        <v>-2.2991850301894274</v>
      </c>
      <c r="DH242" s="408">
        <v>0</v>
      </c>
      <c r="DI242" s="408">
        <v>3.8915417699413126</v>
      </c>
      <c r="DJ242" s="408"/>
      <c r="DK242" s="408">
        <v>0</v>
      </c>
      <c r="DL242" s="408">
        <v>0</v>
      </c>
      <c r="DM242" s="408">
        <v>0</v>
      </c>
      <c r="DN242" s="408">
        <v>0</v>
      </c>
      <c r="DO242" s="408">
        <v>0.53091196789591777</v>
      </c>
      <c r="DP242" s="408">
        <v>0.14284607005343064</v>
      </c>
      <c r="DQ242" s="408">
        <v>0</v>
      </c>
      <c r="DR242" s="408">
        <v>0</v>
      </c>
      <c r="DS242" s="408"/>
      <c r="DT242" s="408"/>
      <c r="DU242" s="408"/>
      <c r="DV242" s="408">
        <v>-485.49444279563443</v>
      </c>
      <c r="DW242" s="408">
        <v>0</v>
      </c>
      <c r="DX242" s="408">
        <v>0</v>
      </c>
      <c r="DY242" s="408">
        <v>328.83435999999995</v>
      </c>
      <c r="DZ242" s="408">
        <v>-16.27782000000002</v>
      </c>
      <c r="EA242" s="408">
        <v>0</v>
      </c>
      <c r="EB242" s="408">
        <v>0</v>
      </c>
      <c r="EC242" s="408">
        <v>326.09431892641442</v>
      </c>
      <c r="ED242" s="408">
        <v>0</v>
      </c>
      <c r="EE242" s="408">
        <v>0</v>
      </c>
      <c r="EF242" s="408">
        <v>0</v>
      </c>
      <c r="EG242" s="408">
        <v>0</v>
      </c>
      <c r="EH242" s="408">
        <v>0</v>
      </c>
      <c r="EI242" s="408">
        <v>0</v>
      </c>
      <c r="EJ242" s="408">
        <v>0</v>
      </c>
      <c r="EK242" s="408">
        <v>0</v>
      </c>
      <c r="EL242" s="408">
        <v>0</v>
      </c>
      <c r="EM242" s="408">
        <v>0</v>
      </c>
      <c r="EN242" s="408">
        <v>0</v>
      </c>
      <c r="EO242" s="408">
        <v>0</v>
      </c>
      <c r="EP242" s="408">
        <v>0</v>
      </c>
      <c r="EQ242" s="408">
        <v>0</v>
      </c>
      <c r="ER242" s="408">
        <v>0</v>
      </c>
      <c r="ES242" s="408">
        <v>0</v>
      </c>
      <c r="ET242" s="408">
        <v>0</v>
      </c>
      <c r="EU242" s="408">
        <v>0</v>
      </c>
      <c r="EV242" s="408">
        <v>257</v>
      </c>
      <c r="EW242" s="408">
        <v>0</v>
      </c>
      <c r="EX242" s="408">
        <v>0</v>
      </c>
      <c r="EY242" s="408">
        <v>0</v>
      </c>
      <c r="EZ242" s="408"/>
      <c r="FA242" s="408">
        <v>0</v>
      </c>
      <c r="FB242" s="408"/>
      <c r="FC242" s="408"/>
      <c r="FD242" s="408"/>
      <c r="FE242" s="408"/>
      <c r="FF242" s="408">
        <v>0</v>
      </c>
      <c r="FG242" s="408">
        <v>0</v>
      </c>
      <c r="FH242" s="408">
        <v>0</v>
      </c>
      <c r="FI242" s="408">
        <v>0</v>
      </c>
    </row>
    <row r="243" spans="1:165">
      <c r="A243" s="408">
        <v>241</v>
      </c>
      <c r="B243" s="408" t="s">
        <v>1035</v>
      </c>
      <c r="C243" s="408" t="s">
        <v>2241</v>
      </c>
      <c r="D243" s="408" t="s">
        <v>596</v>
      </c>
      <c r="E243" s="408" t="s">
        <v>973</v>
      </c>
      <c r="F243" s="408" t="s">
        <v>1321</v>
      </c>
      <c r="G243" s="408" t="s">
        <v>1321</v>
      </c>
      <c r="H243" s="408" t="s">
        <v>1321</v>
      </c>
      <c r="I243" s="408" t="s">
        <v>972</v>
      </c>
      <c r="J243" s="408" t="s">
        <v>2234</v>
      </c>
      <c r="K243" s="828">
        <v>44562</v>
      </c>
      <c r="L243" s="408">
        <v>0</v>
      </c>
      <c r="M243" s="408">
        <v>0</v>
      </c>
      <c r="N243" s="408">
        <v>16.506</v>
      </c>
      <c r="O243" s="408">
        <v>15.84576</v>
      </c>
      <c r="P243" s="408">
        <v>16.506</v>
      </c>
      <c r="Q243" s="408">
        <v>15.84576</v>
      </c>
      <c r="R243" s="408"/>
      <c r="S243" s="408">
        <v>3130.62</v>
      </c>
      <c r="T243" s="408">
        <v>256.55</v>
      </c>
      <c r="U243" s="408"/>
      <c r="V243" s="408">
        <v>55908.628019999996</v>
      </c>
      <c r="W243" s="408">
        <v>55908.628019999996</v>
      </c>
      <c r="X243" s="408">
        <v>29424.090779999999</v>
      </c>
      <c r="Y243" s="408">
        <v>0</v>
      </c>
      <c r="Z243" s="408">
        <v>882.78994930467923</v>
      </c>
      <c r="AA243" s="408">
        <v>0</v>
      </c>
      <c r="AB243" s="408">
        <v>0</v>
      </c>
      <c r="AC243" s="408">
        <v>0</v>
      </c>
      <c r="AD243" s="408">
        <v>10633.393102845563</v>
      </c>
      <c r="AE243" s="408">
        <v>39682.877831784848</v>
      </c>
      <c r="AF243" s="408">
        <v>4234.6559237092506</v>
      </c>
      <c r="AG243" s="408">
        <v>0</v>
      </c>
      <c r="AH243" s="408">
        <v>0</v>
      </c>
      <c r="AI243" s="408">
        <v>0</v>
      </c>
      <c r="AJ243" s="408">
        <v>0</v>
      </c>
      <c r="AK243" s="408">
        <v>0</v>
      </c>
      <c r="AL243" s="408">
        <v>156.87737754699586</v>
      </c>
      <c r="AM243" s="408"/>
      <c r="AN243" s="408">
        <v>22.267501744411931</v>
      </c>
      <c r="AO243" s="408">
        <v>0</v>
      </c>
      <c r="AP243" s="408">
        <v>0</v>
      </c>
      <c r="AQ243" s="408">
        <v>0</v>
      </c>
      <c r="AR243" s="408">
        <v>0</v>
      </c>
      <c r="AS243" s="408">
        <v>0</v>
      </c>
      <c r="AT243" s="408">
        <v>0</v>
      </c>
      <c r="AU243" s="408">
        <v>0</v>
      </c>
      <c r="AV243" s="408">
        <v>0</v>
      </c>
      <c r="AW243" s="408">
        <v>0</v>
      </c>
      <c r="AX243" s="408">
        <v>0</v>
      </c>
      <c r="AY243" s="408">
        <v>0</v>
      </c>
      <c r="AZ243" s="408">
        <v>0</v>
      </c>
      <c r="BA243" s="408"/>
      <c r="BB243" s="408">
        <v>0</v>
      </c>
      <c r="BC243" s="408">
        <v>0</v>
      </c>
      <c r="BD243" s="408">
        <v>20.335808235206198</v>
      </c>
      <c r="BE243" s="408">
        <v>0</v>
      </c>
      <c r="BF243" s="408">
        <v>0</v>
      </c>
      <c r="BG243" s="408">
        <v>275.473390989508</v>
      </c>
      <c r="BH243" s="408">
        <v>0</v>
      </c>
      <c r="BI243" s="408">
        <v>0</v>
      </c>
      <c r="BJ243" s="408">
        <v>0</v>
      </c>
      <c r="BK243" s="408">
        <v>0</v>
      </c>
      <c r="BL243" s="408">
        <v>0</v>
      </c>
      <c r="BM243" s="408"/>
      <c r="BN243" s="408"/>
      <c r="BO243" s="408"/>
      <c r="BP243" s="408"/>
      <c r="BQ243" s="408"/>
      <c r="BR243" s="408">
        <v>1176.9636311999998</v>
      </c>
      <c r="BS243" s="408"/>
      <c r="BT243" s="408"/>
      <c r="BU243" s="408"/>
      <c r="BV243" s="408">
        <v>4530.4651229339643</v>
      </c>
      <c r="BW243" s="408"/>
      <c r="BX243" s="408"/>
      <c r="BY243" s="408"/>
      <c r="BZ243" s="408"/>
      <c r="CA243" s="408"/>
      <c r="CB243" s="408"/>
      <c r="CC243" s="408"/>
      <c r="CD243" s="408"/>
      <c r="CE243" s="408"/>
      <c r="CF243" s="408"/>
      <c r="CG243" s="408"/>
      <c r="CH243" s="408"/>
      <c r="CI243" s="408">
        <v>28254.6855</v>
      </c>
      <c r="CJ243" s="408">
        <v>-25417.627399200006</v>
      </c>
      <c r="CK243" s="408"/>
      <c r="CL243" s="408"/>
      <c r="CM243" s="408"/>
      <c r="CN243" s="408"/>
      <c r="CO243" s="408">
        <v>-26748.46818</v>
      </c>
      <c r="CP243" s="408">
        <v>263.93094000000013</v>
      </c>
      <c r="CQ243" s="408">
        <v>31</v>
      </c>
      <c r="CR243" s="408">
        <v>169.25089300844047</v>
      </c>
      <c r="CS243" s="408">
        <v>0</v>
      </c>
      <c r="CT243" s="408">
        <v>0</v>
      </c>
      <c r="CU243" s="408">
        <v>0</v>
      </c>
      <c r="CV243" s="408">
        <v>0</v>
      </c>
      <c r="CW243" s="408">
        <v>0</v>
      </c>
      <c r="CX243" s="408">
        <v>0</v>
      </c>
      <c r="CY243" s="408">
        <v>0</v>
      </c>
      <c r="CZ243" s="408">
        <v>-48.063605614866901</v>
      </c>
      <c r="DA243" s="408">
        <v>0</v>
      </c>
      <c r="DB243" s="408">
        <v>0</v>
      </c>
      <c r="DC243" s="408">
        <v>263.81258149862424</v>
      </c>
      <c r="DD243" s="408">
        <v>0</v>
      </c>
      <c r="DE243" s="408">
        <v>0</v>
      </c>
      <c r="DF243" s="408">
        <v>1.2668897223394069</v>
      </c>
      <c r="DG243" s="408">
        <v>17.161570555056016</v>
      </c>
      <c r="DH243" s="408">
        <v>0</v>
      </c>
      <c r="DI243" s="408">
        <v>-54.895280899358568</v>
      </c>
      <c r="DJ243" s="408"/>
      <c r="DK243" s="408">
        <v>0</v>
      </c>
      <c r="DL243" s="408">
        <v>0</v>
      </c>
      <c r="DM243" s="408">
        <v>0</v>
      </c>
      <c r="DN243" s="408">
        <v>0</v>
      </c>
      <c r="DO243" s="408">
        <v>-8.6082838330943048</v>
      </c>
      <c r="DP243" s="408">
        <v>-1.4229784202587368</v>
      </c>
      <c r="DQ243" s="408">
        <v>0</v>
      </c>
      <c r="DR243" s="408">
        <v>0</v>
      </c>
      <c r="DS243" s="408"/>
      <c r="DT243" s="408"/>
      <c r="DU243" s="408"/>
      <c r="DV243" s="408">
        <v>39682.877831784848</v>
      </c>
      <c r="DW243" s="408">
        <v>0</v>
      </c>
      <c r="DX243" s="408">
        <v>0</v>
      </c>
      <c r="DY243" s="408">
        <v>-26748.468179999996</v>
      </c>
      <c r="DZ243" s="408">
        <v>263.93094000000019</v>
      </c>
      <c r="EA243" s="408">
        <v>0</v>
      </c>
      <c r="EB243" s="408">
        <v>0</v>
      </c>
      <c r="EC243" s="408">
        <v>-26653.983813040541</v>
      </c>
      <c r="ED243" s="408">
        <v>0</v>
      </c>
      <c r="EE243" s="408">
        <v>0</v>
      </c>
      <c r="EF243" s="408">
        <v>0</v>
      </c>
      <c r="EG243" s="408">
        <v>0</v>
      </c>
      <c r="EH243" s="408">
        <v>0</v>
      </c>
      <c r="EI243" s="408">
        <v>0</v>
      </c>
      <c r="EJ243" s="408">
        <v>0</v>
      </c>
      <c r="EK243" s="408">
        <v>0</v>
      </c>
      <c r="EL243" s="408">
        <v>0</v>
      </c>
      <c r="EM243" s="408">
        <v>0</v>
      </c>
      <c r="EN243" s="408">
        <v>0</v>
      </c>
      <c r="EO243" s="408">
        <v>0</v>
      </c>
      <c r="EP243" s="408">
        <v>0</v>
      </c>
      <c r="EQ243" s="408">
        <v>0</v>
      </c>
      <c r="ER243" s="408">
        <v>0</v>
      </c>
      <c r="ES243" s="408">
        <v>0</v>
      </c>
      <c r="ET243" s="408">
        <v>0</v>
      </c>
      <c r="EU243" s="408">
        <v>0</v>
      </c>
      <c r="EV243" s="408">
        <v>257</v>
      </c>
      <c r="EW243" s="408">
        <v>0</v>
      </c>
      <c r="EX243" s="408">
        <v>0</v>
      </c>
      <c r="EY243" s="408">
        <v>0</v>
      </c>
      <c r="EZ243" s="408"/>
      <c r="FA243" s="408">
        <v>0</v>
      </c>
      <c r="FB243" s="408"/>
      <c r="FC243" s="408"/>
      <c r="FD243" s="408"/>
      <c r="FE243" s="408"/>
      <c r="FF243" s="408">
        <v>0</v>
      </c>
      <c r="FG243" s="408">
        <v>0</v>
      </c>
      <c r="FH243" s="408">
        <v>0</v>
      </c>
      <c r="FI243" s="408">
        <v>0</v>
      </c>
    </row>
    <row r="244" spans="1:165">
      <c r="A244" s="408">
        <v>242</v>
      </c>
      <c r="B244" s="408" t="s">
        <v>2236</v>
      </c>
      <c r="C244" s="408" t="s">
        <v>2241</v>
      </c>
      <c r="D244" s="408" t="s">
        <v>596</v>
      </c>
      <c r="E244" s="408" t="s">
        <v>973</v>
      </c>
      <c r="F244" s="408" t="s">
        <v>1321</v>
      </c>
      <c r="G244" s="408" t="s">
        <v>1321</v>
      </c>
      <c r="H244" s="408" t="s">
        <v>1321</v>
      </c>
      <c r="I244" s="408" t="s">
        <v>972</v>
      </c>
      <c r="J244" s="408" t="s">
        <v>2234</v>
      </c>
      <c r="K244" s="828">
        <v>44562</v>
      </c>
      <c r="L244" s="408">
        <v>0</v>
      </c>
      <c r="M244" s="408">
        <v>0</v>
      </c>
      <c r="N244" s="408">
        <v>0.23899999999999999</v>
      </c>
      <c r="O244" s="408">
        <v>0.22943999999999998</v>
      </c>
      <c r="P244" s="408">
        <v>0.23899999999999999</v>
      </c>
      <c r="Q244" s="408">
        <v>0.22943999999999998</v>
      </c>
      <c r="R244" s="408"/>
      <c r="S244" s="408">
        <v>3130.62</v>
      </c>
      <c r="T244" s="408">
        <v>256.55</v>
      </c>
      <c r="U244" s="408"/>
      <c r="V244" s="408">
        <v>809.5336299999999</v>
      </c>
      <c r="W244" s="408">
        <v>809.5336299999999</v>
      </c>
      <c r="X244" s="408">
        <v>426.04856999999998</v>
      </c>
      <c r="Y244" s="408">
        <v>0</v>
      </c>
      <c r="Z244" s="408">
        <v>12.782430503078778</v>
      </c>
      <c r="AA244" s="408">
        <v>0</v>
      </c>
      <c r="AB244" s="408">
        <v>0</v>
      </c>
      <c r="AC244" s="408">
        <v>0</v>
      </c>
      <c r="AD244" s="408">
        <v>153.96709993820969</v>
      </c>
      <c r="AE244" s="408">
        <v>574.59153046144297</v>
      </c>
      <c r="AF244" s="408">
        <v>61.31605269396043</v>
      </c>
      <c r="AG244" s="408">
        <v>0</v>
      </c>
      <c r="AH244" s="408">
        <v>0</v>
      </c>
      <c r="AI244" s="408">
        <v>0</v>
      </c>
      <c r="AJ244" s="408">
        <v>0</v>
      </c>
      <c r="AK244" s="408">
        <v>0</v>
      </c>
      <c r="AL244" s="408">
        <v>2.2715190375458625</v>
      </c>
      <c r="AM244" s="408"/>
      <c r="AN244" s="408">
        <v>0.32242414376072043</v>
      </c>
      <c r="AO244" s="408">
        <v>0</v>
      </c>
      <c r="AP244" s="408">
        <v>0</v>
      </c>
      <c r="AQ244" s="408">
        <v>0</v>
      </c>
      <c r="AR244" s="408">
        <v>0</v>
      </c>
      <c r="AS244" s="408">
        <v>0</v>
      </c>
      <c r="AT244" s="408">
        <v>0</v>
      </c>
      <c r="AU244" s="408">
        <v>0</v>
      </c>
      <c r="AV244" s="408">
        <v>0</v>
      </c>
      <c r="AW244" s="408">
        <v>0</v>
      </c>
      <c r="AX244" s="408">
        <v>0</v>
      </c>
      <c r="AY244" s="408">
        <v>0</v>
      </c>
      <c r="AZ244" s="408">
        <v>0</v>
      </c>
      <c r="BA244" s="408"/>
      <c r="BB244" s="408">
        <v>0</v>
      </c>
      <c r="BC244" s="408">
        <v>0</v>
      </c>
      <c r="BD244" s="408">
        <v>0.29445402691229133</v>
      </c>
      <c r="BE244" s="408">
        <v>0</v>
      </c>
      <c r="BF244" s="408">
        <v>0</v>
      </c>
      <c r="BG244" s="408">
        <v>3.9887398792252764</v>
      </c>
      <c r="BH244" s="408">
        <v>0</v>
      </c>
      <c r="BI244" s="408">
        <v>0</v>
      </c>
      <c r="BJ244" s="408">
        <v>0</v>
      </c>
      <c r="BK244" s="408">
        <v>0</v>
      </c>
      <c r="BL244" s="408">
        <v>0</v>
      </c>
      <c r="BM244" s="408"/>
      <c r="BN244" s="408"/>
      <c r="BO244" s="408"/>
      <c r="BP244" s="408"/>
      <c r="BQ244" s="408"/>
      <c r="BR244" s="408">
        <v>17.041942800000022</v>
      </c>
      <c r="BS244" s="408"/>
      <c r="BT244" s="408"/>
      <c r="BU244" s="408"/>
      <c r="BV244" s="408">
        <v>65.599246600097999</v>
      </c>
      <c r="BW244" s="408"/>
      <c r="BX244" s="408"/>
      <c r="BY244" s="408"/>
      <c r="BZ244" s="408"/>
      <c r="CA244" s="408"/>
      <c r="CB244" s="408"/>
      <c r="CC244" s="408"/>
      <c r="CD244" s="408"/>
      <c r="CE244" s="408"/>
      <c r="CF244" s="408"/>
      <c r="CG244" s="408"/>
      <c r="CH244" s="408"/>
      <c r="CI244" s="408">
        <v>410.00490000000002</v>
      </c>
      <c r="CJ244" s="408">
        <v>-367.17738479999991</v>
      </c>
      <c r="CK244" s="408"/>
      <c r="CL244" s="408"/>
      <c r="CM244" s="408"/>
      <c r="CN244" s="408"/>
      <c r="CO244" s="408">
        <v>-387.30667</v>
      </c>
      <c r="CP244" s="408">
        <v>3.8216100000000019</v>
      </c>
      <c r="CQ244" s="408">
        <v>31</v>
      </c>
      <c r="CR244" s="408">
        <v>2.4506823839220999</v>
      </c>
      <c r="CS244" s="408">
        <v>0</v>
      </c>
      <c r="CT244" s="408">
        <v>0</v>
      </c>
      <c r="CU244" s="408">
        <v>0</v>
      </c>
      <c r="CV244" s="408">
        <v>0</v>
      </c>
      <c r="CW244" s="408">
        <v>0</v>
      </c>
      <c r="CX244" s="408">
        <v>0</v>
      </c>
      <c r="CY244" s="408">
        <v>0</v>
      </c>
      <c r="CZ244" s="408">
        <v>-0.69594097552118228</v>
      </c>
      <c r="DA244" s="408">
        <v>0</v>
      </c>
      <c r="DB244" s="408">
        <v>0</v>
      </c>
      <c r="DC244" s="408">
        <v>3.8198962182340495</v>
      </c>
      <c r="DD244" s="408">
        <v>0</v>
      </c>
      <c r="DE244" s="408">
        <v>0</v>
      </c>
      <c r="DF244" s="408">
        <v>1.8344035116873825E-2</v>
      </c>
      <c r="DG244" s="408">
        <v>0.24849238838352061</v>
      </c>
      <c r="DH244" s="408">
        <v>0</v>
      </c>
      <c r="DI244" s="408">
        <v>-0.79486078607456001</v>
      </c>
      <c r="DJ244" s="408"/>
      <c r="DK244" s="408">
        <v>0</v>
      </c>
      <c r="DL244" s="408">
        <v>0</v>
      </c>
      <c r="DM244" s="408">
        <v>0</v>
      </c>
      <c r="DN244" s="408">
        <v>0</v>
      </c>
      <c r="DO244" s="408">
        <v>-0.1246443618144637</v>
      </c>
      <c r="DP244" s="408">
        <v>-2.0604134402146979E-2</v>
      </c>
      <c r="DQ244" s="408">
        <v>0</v>
      </c>
      <c r="DR244" s="408">
        <v>0</v>
      </c>
      <c r="DS244" s="408"/>
      <c r="DT244" s="408"/>
      <c r="DU244" s="408"/>
      <c r="DV244" s="408">
        <v>574.59153046144297</v>
      </c>
      <c r="DW244" s="408">
        <v>0</v>
      </c>
      <c r="DX244" s="408">
        <v>0</v>
      </c>
      <c r="DY244" s="408">
        <v>-387.30667</v>
      </c>
      <c r="DZ244" s="408">
        <v>3.8216100000000068</v>
      </c>
      <c r="EA244" s="408">
        <v>0</v>
      </c>
      <c r="EB244" s="408">
        <v>0</v>
      </c>
      <c r="EC244" s="408">
        <v>-385.93857574922379</v>
      </c>
      <c r="ED244" s="408">
        <v>0</v>
      </c>
      <c r="EE244" s="408">
        <v>0</v>
      </c>
      <c r="EF244" s="408">
        <v>0</v>
      </c>
      <c r="EG244" s="408">
        <v>0</v>
      </c>
      <c r="EH244" s="408">
        <v>0</v>
      </c>
      <c r="EI244" s="408">
        <v>0</v>
      </c>
      <c r="EJ244" s="408">
        <v>0</v>
      </c>
      <c r="EK244" s="408">
        <v>0</v>
      </c>
      <c r="EL244" s="408">
        <v>0</v>
      </c>
      <c r="EM244" s="408">
        <v>0</v>
      </c>
      <c r="EN244" s="408">
        <v>0</v>
      </c>
      <c r="EO244" s="408">
        <v>0</v>
      </c>
      <c r="EP244" s="408">
        <v>0</v>
      </c>
      <c r="EQ244" s="408">
        <v>0</v>
      </c>
      <c r="ER244" s="408">
        <v>0</v>
      </c>
      <c r="ES244" s="408">
        <v>0</v>
      </c>
      <c r="ET244" s="408">
        <v>0</v>
      </c>
      <c r="EU244" s="408">
        <v>0</v>
      </c>
      <c r="EV244" s="408">
        <v>257</v>
      </c>
      <c r="EW244" s="408">
        <v>0</v>
      </c>
      <c r="EX244" s="408">
        <v>0</v>
      </c>
      <c r="EY244" s="408">
        <v>0</v>
      </c>
      <c r="EZ244" s="408"/>
      <c r="FA244" s="408">
        <v>0</v>
      </c>
      <c r="FB244" s="408"/>
      <c r="FC244" s="408"/>
      <c r="FD244" s="408"/>
      <c r="FE244" s="408"/>
      <c r="FF244" s="408">
        <v>0</v>
      </c>
      <c r="FG244" s="408">
        <v>0</v>
      </c>
      <c r="FH244" s="408">
        <v>0</v>
      </c>
      <c r="FI244" s="408">
        <v>0</v>
      </c>
    </row>
    <row r="245" spans="1:165">
      <c r="A245" s="408">
        <v>243</v>
      </c>
      <c r="B245" s="408" t="s">
        <v>1035</v>
      </c>
      <c r="C245" s="408" t="s">
        <v>2241</v>
      </c>
      <c r="D245" s="408" t="s">
        <v>596</v>
      </c>
      <c r="E245" s="408" t="s">
        <v>973</v>
      </c>
      <c r="F245" s="408" t="s">
        <v>1321</v>
      </c>
      <c r="G245" s="408" t="s">
        <v>1321</v>
      </c>
      <c r="H245" s="408" t="s">
        <v>1321</v>
      </c>
      <c r="I245" s="408" t="s">
        <v>2242</v>
      </c>
      <c r="J245" s="408" t="s">
        <v>2234</v>
      </c>
      <c r="K245" s="828">
        <v>44562</v>
      </c>
      <c r="L245" s="408">
        <v>0</v>
      </c>
      <c r="M245" s="408">
        <v>0</v>
      </c>
      <c r="N245" s="408">
        <v>164.06100000000001</v>
      </c>
      <c r="O245" s="408">
        <v>157.49856</v>
      </c>
      <c r="P245" s="408">
        <v>164.06100000000001</v>
      </c>
      <c r="Q245" s="408">
        <v>157.49856</v>
      </c>
      <c r="R245" s="408"/>
      <c r="S245" s="408">
        <v>82.26</v>
      </c>
      <c r="T245" s="408">
        <v>256.55</v>
      </c>
      <c r="U245" s="408"/>
      <c r="V245" s="408">
        <v>55585.507410000006</v>
      </c>
      <c r="W245" s="408">
        <v>55585.507410000006</v>
      </c>
      <c r="X245" s="408">
        <v>57746.190780000004</v>
      </c>
      <c r="Y245" s="408">
        <v>0</v>
      </c>
      <c r="Z245" s="408">
        <v>8774.4700032033797</v>
      </c>
      <c r="AA245" s="408">
        <v>0</v>
      </c>
      <c r="AB245" s="408">
        <v>0</v>
      </c>
      <c r="AC245" s="408">
        <v>0</v>
      </c>
      <c r="AD245" s="408">
        <v>0</v>
      </c>
      <c r="AE245" s="408">
        <v>0</v>
      </c>
      <c r="AF245" s="408">
        <v>42090.26326788219</v>
      </c>
      <c r="AG245" s="408">
        <v>0</v>
      </c>
      <c r="AH245" s="408">
        <v>0</v>
      </c>
      <c r="AI245" s="408">
        <v>0</v>
      </c>
      <c r="AJ245" s="408">
        <v>0</v>
      </c>
      <c r="AK245" s="408">
        <v>0</v>
      </c>
      <c r="AL245" s="408">
        <v>1559.2790159782921</v>
      </c>
      <c r="AM245" s="408"/>
      <c r="AN245" s="408">
        <v>221.32731150429942</v>
      </c>
      <c r="AO245" s="408">
        <v>0</v>
      </c>
      <c r="AP245" s="408">
        <v>0</v>
      </c>
      <c r="AQ245" s="408">
        <v>0</v>
      </c>
      <c r="AR245" s="408">
        <v>0</v>
      </c>
      <c r="AS245" s="408">
        <v>0</v>
      </c>
      <c r="AT245" s="408">
        <v>0</v>
      </c>
      <c r="AU245" s="408">
        <v>0</v>
      </c>
      <c r="AV245" s="408">
        <v>0</v>
      </c>
      <c r="AW245" s="408">
        <v>0</v>
      </c>
      <c r="AX245" s="408">
        <v>0</v>
      </c>
      <c r="AY245" s="408">
        <v>0</v>
      </c>
      <c r="AZ245" s="408">
        <v>0</v>
      </c>
      <c r="BA245" s="408"/>
      <c r="BB245" s="408">
        <v>0</v>
      </c>
      <c r="BC245" s="408">
        <v>0</v>
      </c>
      <c r="BD245" s="408">
        <v>202.12728916007296</v>
      </c>
      <c r="BE245" s="408">
        <v>0</v>
      </c>
      <c r="BF245" s="408">
        <v>0</v>
      </c>
      <c r="BG245" s="408">
        <v>2738.0613109856827</v>
      </c>
      <c r="BH245" s="408">
        <v>0</v>
      </c>
      <c r="BI245" s="408">
        <v>0</v>
      </c>
      <c r="BJ245" s="408">
        <v>0</v>
      </c>
      <c r="BK245" s="408">
        <v>0</v>
      </c>
      <c r="BL245" s="408">
        <v>0</v>
      </c>
      <c r="BM245" s="408"/>
      <c r="BN245" s="408"/>
      <c r="BO245" s="408"/>
      <c r="BP245" s="408"/>
      <c r="BQ245" s="408"/>
      <c r="BR245" s="408">
        <v>2309.8476312000034</v>
      </c>
      <c r="BS245" s="408"/>
      <c r="BT245" s="408"/>
      <c r="BU245" s="408"/>
      <c r="BV245" s="408">
        <v>45030.451868027951</v>
      </c>
      <c r="BW245" s="408"/>
      <c r="BX245" s="408"/>
      <c r="BY245" s="408"/>
      <c r="BZ245" s="408"/>
      <c r="CA245" s="408"/>
      <c r="CB245" s="408"/>
      <c r="CC245" s="408"/>
      <c r="CD245" s="408"/>
      <c r="CE245" s="408"/>
      <c r="CF245" s="408"/>
      <c r="CG245" s="408"/>
      <c r="CH245" s="408"/>
      <c r="CI245" s="408">
        <v>55436.850000000006</v>
      </c>
      <c r="CJ245" s="408">
        <v>2074.732886400001</v>
      </c>
      <c r="CK245" s="408"/>
      <c r="CL245" s="408"/>
      <c r="CM245" s="408"/>
      <c r="CN245" s="408"/>
      <c r="CO245" s="408">
        <v>-462.65202000000124</v>
      </c>
      <c r="CP245" s="408">
        <v>2623.3353900000016</v>
      </c>
      <c r="CQ245" s="408">
        <v>31</v>
      </c>
      <c r="CR245" s="408">
        <v>2159.9923639063709</v>
      </c>
      <c r="CS245" s="408">
        <v>0</v>
      </c>
      <c r="CT245" s="408">
        <v>0</v>
      </c>
      <c r="CU245" s="408">
        <v>0</v>
      </c>
      <c r="CV245" s="408">
        <v>0</v>
      </c>
      <c r="CW245" s="408">
        <v>0</v>
      </c>
      <c r="CX245" s="408">
        <v>0</v>
      </c>
      <c r="CY245" s="408">
        <v>0</v>
      </c>
      <c r="CZ245" s="408">
        <v>0</v>
      </c>
      <c r="DA245" s="408">
        <v>0</v>
      </c>
      <c r="DB245" s="408">
        <v>0</v>
      </c>
      <c r="DC245" s="408">
        <v>2622.1589684506107</v>
      </c>
      <c r="DD245" s="408">
        <v>0</v>
      </c>
      <c r="DE245" s="408">
        <v>0</v>
      </c>
      <c r="DF245" s="408">
        <v>12.59222069167123</v>
      </c>
      <c r="DG245" s="408">
        <v>170.57702816145911</v>
      </c>
      <c r="DH245" s="408">
        <v>0</v>
      </c>
      <c r="DI245" s="408">
        <v>-545.63035742334068</v>
      </c>
      <c r="DJ245" s="408"/>
      <c r="DK245" s="408">
        <v>0</v>
      </c>
      <c r="DL245" s="408">
        <v>0</v>
      </c>
      <c r="DM245" s="408">
        <v>0</v>
      </c>
      <c r="DN245" s="408">
        <v>0</v>
      </c>
      <c r="DO245" s="408">
        <v>-85.561835329049245</v>
      </c>
      <c r="DP245" s="408">
        <v>-14.143660644981765</v>
      </c>
      <c r="DQ245" s="408">
        <v>0</v>
      </c>
      <c r="DR245" s="408">
        <v>0</v>
      </c>
      <c r="DS245" s="408"/>
      <c r="DT245" s="408"/>
      <c r="DU245" s="408"/>
      <c r="DV245" s="408">
        <v>0</v>
      </c>
      <c r="DW245" s="408">
        <v>0</v>
      </c>
      <c r="DX245" s="408">
        <v>0</v>
      </c>
      <c r="DY245" s="408">
        <v>-462.65202000000136</v>
      </c>
      <c r="DZ245" s="408">
        <v>2623.3353900000002</v>
      </c>
      <c r="EA245" s="408">
        <v>0</v>
      </c>
      <c r="EB245" s="408">
        <v>0</v>
      </c>
      <c r="EC245" s="408">
        <v>0</v>
      </c>
      <c r="ED245" s="408">
        <v>0</v>
      </c>
      <c r="EE245" s="408">
        <v>0</v>
      </c>
      <c r="EF245" s="408">
        <v>0</v>
      </c>
      <c r="EG245" s="408">
        <v>0</v>
      </c>
      <c r="EH245" s="408">
        <v>0</v>
      </c>
      <c r="EI245" s="408">
        <v>0</v>
      </c>
      <c r="EJ245" s="408">
        <v>0</v>
      </c>
      <c r="EK245" s="408">
        <v>0</v>
      </c>
      <c r="EL245" s="408">
        <v>0</v>
      </c>
      <c r="EM245" s="408">
        <v>0</v>
      </c>
      <c r="EN245" s="408">
        <v>0</v>
      </c>
      <c r="EO245" s="408">
        <v>0</v>
      </c>
      <c r="EP245" s="408">
        <v>0</v>
      </c>
      <c r="EQ245" s="408">
        <v>0</v>
      </c>
      <c r="ER245" s="408">
        <v>0</v>
      </c>
      <c r="ES245" s="408">
        <v>0</v>
      </c>
      <c r="ET245" s="408">
        <v>0</v>
      </c>
      <c r="EU245" s="408">
        <v>0</v>
      </c>
      <c r="EV245" s="408">
        <v>257</v>
      </c>
      <c r="EW245" s="408">
        <v>0</v>
      </c>
      <c r="EX245" s="408">
        <v>0</v>
      </c>
      <c r="EY245" s="408">
        <v>0</v>
      </c>
      <c r="EZ245" s="408"/>
      <c r="FA245" s="408">
        <v>0</v>
      </c>
      <c r="FB245" s="408"/>
      <c r="FC245" s="408"/>
      <c r="FD245" s="408"/>
      <c r="FE245" s="408"/>
      <c r="FF245" s="408">
        <v>0</v>
      </c>
      <c r="FG245" s="408">
        <v>0</v>
      </c>
      <c r="FH245" s="408">
        <v>0</v>
      </c>
      <c r="FI245" s="408">
        <v>0</v>
      </c>
    </row>
    <row r="246" spans="1:165">
      <c r="A246" s="408">
        <v>244</v>
      </c>
      <c r="B246" s="408" t="s">
        <v>1035</v>
      </c>
      <c r="C246" s="408" t="s">
        <v>2241</v>
      </c>
      <c r="D246" s="408" t="s">
        <v>596</v>
      </c>
      <c r="E246" s="408" t="s">
        <v>973</v>
      </c>
      <c r="F246" s="408" t="s">
        <v>1321</v>
      </c>
      <c r="G246" s="408" t="s">
        <v>1321</v>
      </c>
      <c r="H246" s="408" t="s">
        <v>1321</v>
      </c>
      <c r="I246" s="408" t="s">
        <v>1321</v>
      </c>
      <c r="J246" s="408" t="s">
        <v>2234</v>
      </c>
      <c r="K246" s="828">
        <v>44562</v>
      </c>
      <c r="L246" s="408">
        <v>733</v>
      </c>
      <c r="M246" s="408">
        <v>703.68</v>
      </c>
      <c r="N246" s="408">
        <v>0</v>
      </c>
      <c r="O246" s="408">
        <v>0</v>
      </c>
      <c r="P246" s="408">
        <v>0</v>
      </c>
      <c r="Q246" s="408">
        <v>0</v>
      </c>
      <c r="R246" s="408">
        <v>47.39</v>
      </c>
      <c r="S246" s="408"/>
      <c r="T246" s="408"/>
      <c r="U246" s="408">
        <v>34736.870000000003</v>
      </c>
      <c r="V246" s="408"/>
      <c r="W246" s="408">
        <v>34736.870000000003</v>
      </c>
      <c r="X246" s="408">
        <v>23617.26</v>
      </c>
      <c r="Y246" s="408">
        <v>0</v>
      </c>
      <c r="Z246" s="408">
        <v>0</v>
      </c>
      <c r="AA246" s="408">
        <v>0</v>
      </c>
      <c r="AB246" s="408">
        <v>0</v>
      </c>
      <c r="AC246" s="408">
        <v>0</v>
      </c>
      <c r="AD246" s="408">
        <v>18303.083431548359</v>
      </c>
      <c r="AE246" s="408">
        <v>16433.762691119722</v>
      </c>
      <c r="AF246" s="408"/>
      <c r="AG246" s="408"/>
      <c r="AH246" s="408"/>
      <c r="AI246" s="408">
        <v>0</v>
      </c>
      <c r="AJ246" s="408">
        <v>0</v>
      </c>
      <c r="AK246" s="408">
        <v>0</v>
      </c>
      <c r="AL246" s="408">
        <v>0</v>
      </c>
      <c r="AM246" s="408"/>
      <c r="AN246" s="408">
        <v>0</v>
      </c>
      <c r="AO246" s="408">
        <v>0</v>
      </c>
      <c r="AP246" s="408">
        <v>0</v>
      </c>
      <c r="AQ246" s="408">
        <v>0</v>
      </c>
      <c r="AR246" s="408">
        <v>0</v>
      </c>
      <c r="AS246" s="408"/>
      <c r="AT246" s="408"/>
      <c r="AU246" s="408">
        <v>0</v>
      </c>
      <c r="AV246" s="408">
        <v>0</v>
      </c>
      <c r="AW246" s="408">
        <v>0</v>
      </c>
      <c r="AX246" s="408"/>
      <c r="AY246" s="408"/>
      <c r="AZ246" s="408">
        <v>0</v>
      </c>
      <c r="BA246" s="408"/>
      <c r="BB246" s="408">
        <v>0</v>
      </c>
      <c r="BC246" s="408">
        <v>0</v>
      </c>
      <c r="BD246" s="408">
        <v>0</v>
      </c>
      <c r="BE246" s="408">
        <v>0</v>
      </c>
      <c r="BF246" s="408"/>
      <c r="BG246" s="408">
        <v>0</v>
      </c>
      <c r="BH246" s="408">
        <v>0</v>
      </c>
      <c r="BI246" s="408">
        <v>190.74</v>
      </c>
      <c r="BJ246" s="408">
        <v>879.92</v>
      </c>
      <c r="BK246" s="408">
        <v>1145.08</v>
      </c>
      <c r="BL246" s="408">
        <v>6</v>
      </c>
      <c r="BM246" s="408"/>
      <c r="BN246" s="408"/>
      <c r="BO246" s="408"/>
      <c r="BP246" s="408"/>
      <c r="BQ246" s="408"/>
      <c r="BR246" s="408">
        <v>944.69040000000155</v>
      </c>
      <c r="BS246" s="408"/>
      <c r="BT246" s="408"/>
      <c r="BU246" s="408"/>
      <c r="BV246" s="408">
        <v>0</v>
      </c>
      <c r="BW246" s="408"/>
      <c r="BX246" s="408"/>
      <c r="BY246" s="408"/>
      <c r="BZ246" s="408"/>
      <c r="CA246" s="408"/>
      <c r="CB246" s="408"/>
      <c r="CC246" s="408"/>
      <c r="CD246" s="408"/>
      <c r="CE246" s="408"/>
      <c r="CF246" s="408"/>
      <c r="CG246" s="408"/>
      <c r="CH246" s="408"/>
      <c r="CI246" s="408">
        <v>22672.569599999999</v>
      </c>
      <c r="CJ246" s="408">
        <v>-10674.855600000006</v>
      </c>
      <c r="CK246" s="408"/>
      <c r="CL246" s="408"/>
      <c r="CM246" s="408"/>
      <c r="CN246" s="408"/>
      <c r="CO246" s="408">
        <v>-11119.61</v>
      </c>
      <c r="CP246" s="408">
        <v>0</v>
      </c>
      <c r="CQ246" s="408">
        <v>31</v>
      </c>
      <c r="CR246" s="408">
        <v>-82.731088287768216</v>
      </c>
      <c r="CS246" s="408">
        <v>0</v>
      </c>
      <c r="CT246" s="408">
        <v>0</v>
      </c>
      <c r="CU246" s="408">
        <v>0</v>
      </c>
      <c r="CV246" s="408">
        <v>0</v>
      </c>
      <c r="CW246" s="408"/>
      <c r="CX246" s="408"/>
      <c r="CY246" s="408"/>
      <c r="CZ246" s="408">
        <v>-82.731088287768216</v>
      </c>
      <c r="DA246" s="408">
        <v>0</v>
      </c>
      <c r="DB246" s="408">
        <v>0</v>
      </c>
      <c r="DC246" s="408"/>
      <c r="DD246" s="408"/>
      <c r="DE246" s="408">
        <v>0</v>
      </c>
      <c r="DF246" s="408">
        <v>0</v>
      </c>
      <c r="DG246" s="408">
        <v>0</v>
      </c>
      <c r="DH246" s="408">
        <v>0</v>
      </c>
      <c r="DI246" s="408">
        <v>0</v>
      </c>
      <c r="DJ246" s="408"/>
      <c r="DK246" s="408">
        <v>0</v>
      </c>
      <c r="DL246" s="408">
        <v>0</v>
      </c>
      <c r="DM246" s="408"/>
      <c r="DN246" s="408">
        <v>0</v>
      </c>
      <c r="DO246" s="408">
        <v>0</v>
      </c>
      <c r="DP246" s="408">
        <v>0</v>
      </c>
      <c r="DQ246" s="408">
        <v>0</v>
      </c>
      <c r="DR246" s="408">
        <v>0</v>
      </c>
      <c r="DS246" s="408"/>
      <c r="DT246" s="408"/>
      <c r="DU246" s="408">
        <v>16433.762691119722</v>
      </c>
      <c r="DV246" s="408"/>
      <c r="DW246" s="408">
        <v>0</v>
      </c>
      <c r="DX246" s="408">
        <v>0</v>
      </c>
      <c r="DY246" s="408">
        <v>-11119.610000000004</v>
      </c>
      <c r="DZ246" s="408"/>
      <c r="EA246" s="408">
        <v>0</v>
      </c>
      <c r="EB246" s="408"/>
      <c r="EC246" s="408">
        <v>-11038.142107869233</v>
      </c>
      <c r="ED246" s="408"/>
      <c r="EE246" s="408">
        <v>0</v>
      </c>
      <c r="EF246" s="408">
        <v>0</v>
      </c>
      <c r="EG246" s="408"/>
      <c r="EH246" s="408">
        <v>0</v>
      </c>
      <c r="EI246" s="408">
        <v>0</v>
      </c>
      <c r="EJ246" s="408">
        <v>0</v>
      </c>
      <c r="EK246" s="408">
        <v>0</v>
      </c>
      <c r="EL246" s="408">
        <v>0</v>
      </c>
      <c r="EM246" s="408"/>
      <c r="EN246" s="408"/>
      <c r="EO246" s="408">
        <v>0</v>
      </c>
      <c r="EP246" s="408">
        <v>0</v>
      </c>
      <c r="EQ246" s="408"/>
      <c r="ER246" s="408">
        <v>0</v>
      </c>
      <c r="ES246" s="408"/>
      <c r="ET246" s="408">
        <v>0</v>
      </c>
      <c r="EU246" s="408"/>
      <c r="EV246" s="408">
        <v>257</v>
      </c>
      <c r="EW246" s="408"/>
      <c r="EX246" s="408"/>
      <c r="EY246" s="408"/>
      <c r="EZ246" s="408"/>
      <c r="FA246" s="408">
        <v>0</v>
      </c>
      <c r="FB246" s="408"/>
      <c r="FC246" s="408"/>
      <c r="FD246" s="408"/>
      <c r="FE246" s="408"/>
      <c r="FF246" s="408">
        <v>0</v>
      </c>
      <c r="FG246" s="408">
        <v>0</v>
      </c>
      <c r="FH246" s="408">
        <v>0</v>
      </c>
      <c r="FI246" s="408">
        <v>0</v>
      </c>
    </row>
    <row r="247" spans="1:165">
      <c r="A247" s="408">
        <v>245</v>
      </c>
      <c r="B247" s="408" t="s">
        <v>2236</v>
      </c>
      <c r="C247" s="408" t="s">
        <v>2241</v>
      </c>
      <c r="D247" s="408" t="s">
        <v>596</v>
      </c>
      <c r="E247" s="408" t="s">
        <v>973</v>
      </c>
      <c r="F247" s="408" t="s">
        <v>1321</v>
      </c>
      <c r="G247" s="408" t="s">
        <v>1321</v>
      </c>
      <c r="H247" s="408" t="s">
        <v>1321</v>
      </c>
      <c r="I247" s="408" t="s">
        <v>1321</v>
      </c>
      <c r="J247" s="408" t="s">
        <v>2234</v>
      </c>
      <c r="K247" s="828">
        <v>44562</v>
      </c>
      <c r="L247" s="408">
        <v>116</v>
      </c>
      <c r="M247" s="408">
        <v>111.36</v>
      </c>
      <c r="N247" s="408">
        <v>0</v>
      </c>
      <c r="O247" s="408">
        <v>0</v>
      </c>
      <c r="P247" s="408">
        <v>0</v>
      </c>
      <c r="Q247" s="408">
        <v>0</v>
      </c>
      <c r="R247" s="408">
        <v>47.39</v>
      </c>
      <c r="S247" s="408"/>
      <c r="T247" s="408"/>
      <c r="U247" s="408">
        <v>5497.24</v>
      </c>
      <c r="V247" s="408"/>
      <c r="W247" s="408">
        <v>5497.24</v>
      </c>
      <c r="X247" s="408">
        <v>3737.52</v>
      </c>
      <c r="Y247" s="408">
        <v>0</v>
      </c>
      <c r="Z247" s="408">
        <v>0</v>
      </c>
      <c r="AA247" s="408">
        <v>0</v>
      </c>
      <c r="AB247" s="408">
        <v>0</v>
      </c>
      <c r="AC247" s="408">
        <v>0</v>
      </c>
      <c r="AD247" s="408">
        <v>2896.5316208180211</v>
      </c>
      <c r="AE247" s="408">
        <v>2600.7046005046218</v>
      </c>
      <c r="AF247" s="408"/>
      <c r="AG247" s="408"/>
      <c r="AH247" s="408"/>
      <c r="AI247" s="408">
        <v>0</v>
      </c>
      <c r="AJ247" s="408">
        <v>0</v>
      </c>
      <c r="AK247" s="408">
        <v>0</v>
      </c>
      <c r="AL247" s="408">
        <v>0</v>
      </c>
      <c r="AM247" s="408"/>
      <c r="AN247" s="408">
        <v>0</v>
      </c>
      <c r="AO247" s="408">
        <v>0</v>
      </c>
      <c r="AP247" s="408">
        <v>0</v>
      </c>
      <c r="AQ247" s="408">
        <v>0</v>
      </c>
      <c r="AR247" s="408">
        <v>0</v>
      </c>
      <c r="AS247" s="408"/>
      <c r="AT247" s="408"/>
      <c r="AU247" s="408">
        <v>0</v>
      </c>
      <c r="AV247" s="408">
        <v>0</v>
      </c>
      <c r="AW247" s="408">
        <v>0</v>
      </c>
      <c r="AX247" s="408"/>
      <c r="AY247" s="408"/>
      <c r="AZ247" s="408">
        <v>0</v>
      </c>
      <c r="BA247" s="408"/>
      <c r="BB247" s="408">
        <v>0</v>
      </c>
      <c r="BC247" s="408">
        <v>0</v>
      </c>
      <c r="BD247" s="408">
        <v>0</v>
      </c>
      <c r="BE247" s="408">
        <v>0</v>
      </c>
      <c r="BF247" s="408"/>
      <c r="BG247" s="408">
        <v>0</v>
      </c>
      <c r="BH247" s="408">
        <v>0</v>
      </c>
      <c r="BI247" s="408">
        <v>10.42</v>
      </c>
      <c r="BJ247" s="408">
        <v>48.07</v>
      </c>
      <c r="BK247" s="408">
        <v>26.44</v>
      </c>
      <c r="BL247" s="408">
        <v>1</v>
      </c>
      <c r="BM247" s="408"/>
      <c r="BN247" s="408"/>
      <c r="BO247" s="408"/>
      <c r="BP247" s="408"/>
      <c r="BQ247" s="408"/>
      <c r="BR247" s="408">
        <v>149.50080000000003</v>
      </c>
      <c r="BS247" s="408"/>
      <c r="BT247" s="408"/>
      <c r="BU247" s="408"/>
      <c r="BV247" s="408">
        <v>0</v>
      </c>
      <c r="BW247" s="408"/>
      <c r="BX247" s="408"/>
      <c r="BY247" s="408"/>
      <c r="BZ247" s="408"/>
      <c r="CA247" s="408"/>
      <c r="CB247" s="408"/>
      <c r="CC247" s="408"/>
      <c r="CD247" s="408"/>
      <c r="CE247" s="408"/>
      <c r="CF247" s="408"/>
      <c r="CG247" s="408"/>
      <c r="CH247" s="408"/>
      <c r="CI247" s="408">
        <v>3588.0191999999997</v>
      </c>
      <c r="CJ247" s="408">
        <v>-1689.3612000000012</v>
      </c>
      <c r="CK247" s="408"/>
      <c r="CL247" s="408"/>
      <c r="CM247" s="408"/>
      <c r="CN247" s="408"/>
      <c r="CO247" s="408">
        <v>-1759.7200000000003</v>
      </c>
      <c r="CP247" s="408">
        <v>0</v>
      </c>
      <c r="CQ247" s="408">
        <v>31</v>
      </c>
      <c r="CR247" s="408">
        <v>-13.09250510420361</v>
      </c>
      <c r="CS247" s="408">
        <v>0</v>
      </c>
      <c r="CT247" s="408">
        <v>0</v>
      </c>
      <c r="CU247" s="408">
        <v>0</v>
      </c>
      <c r="CV247" s="408">
        <v>0</v>
      </c>
      <c r="CW247" s="408"/>
      <c r="CX247" s="408"/>
      <c r="CY247" s="408"/>
      <c r="CZ247" s="408">
        <v>-13.09250510420361</v>
      </c>
      <c r="DA247" s="408">
        <v>0</v>
      </c>
      <c r="DB247" s="408">
        <v>0</v>
      </c>
      <c r="DC247" s="408"/>
      <c r="DD247" s="408"/>
      <c r="DE247" s="408">
        <v>0</v>
      </c>
      <c r="DF247" s="408">
        <v>0</v>
      </c>
      <c r="DG247" s="408">
        <v>0</v>
      </c>
      <c r="DH247" s="408">
        <v>0</v>
      </c>
      <c r="DI247" s="408">
        <v>0</v>
      </c>
      <c r="DJ247" s="408"/>
      <c r="DK247" s="408">
        <v>0</v>
      </c>
      <c r="DL247" s="408">
        <v>0</v>
      </c>
      <c r="DM247" s="408"/>
      <c r="DN247" s="408">
        <v>0</v>
      </c>
      <c r="DO247" s="408">
        <v>0</v>
      </c>
      <c r="DP247" s="408">
        <v>0</v>
      </c>
      <c r="DQ247" s="408">
        <v>0</v>
      </c>
      <c r="DR247" s="408">
        <v>0</v>
      </c>
      <c r="DS247" s="408"/>
      <c r="DT247" s="408"/>
      <c r="DU247" s="408">
        <v>2600.7046005046218</v>
      </c>
      <c r="DV247" s="408"/>
      <c r="DW247" s="408">
        <v>0</v>
      </c>
      <c r="DX247" s="408">
        <v>0</v>
      </c>
      <c r="DY247" s="408">
        <v>-1759.7199999999998</v>
      </c>
      <c r="DZ247" s="408"/>
      <c r="EA247" s="408">
        <v>0</v>
      </c>
      <c r="EB247" s="408"/>
      <c r="EC247" s="408">
        <v>-1746.8274004267819</v>
      </c>
      <c r="ED247" s="408"/>
      <c r="EE247" s="408">
        <v>0</v>
      </c>
      <c r="EF247" s="408">
        <v>0</v>
      </c>
      <c r="EG247" s="408"/>
      <c r="EH247" s="408">
        <v>0</v>
      </c>
      <c r="EI247" s="408">
        <v>0</v>
      </c>
      <c r="EJ247" s="408">
        <v>0</v>
      </c>
      <c r="EK247" s="408">
        <v>0</v>
      </c>
      <c r="EL247" s="408">
        <v>0</v>
      </c>
      <c r="EM247" s="408"/>
      <c r="EN247" s="408"/>
      <c r="EO247" s="408">
        <v>0</v>
      </c>
      <c r="EP247" s="408">
        <v>0</v>
      </c>
      <c r="EQ247" s="408"/>
      <c r="ER247" s="408">
        <v>0</v>
      </c>
      <c r="ES247" s="408"/>
      <c r="ET247" s="408">
        <v>0</v>
      </c>
      <c r="EU247" s="408"/>
      <c r="EV247" s="408">
        <v>257</v>
      </c>
      <c r="EW247" s="408"/>
      <c r="EX247" s="408"/>
      <c r="EY247" s="408"/>
      <c r="EZ247" s="408"/>
      <c r="FA247" s="408">
        <v>0</v>
      </c>
      <c r="FB247" s="408"/>
      <c r="FC247" s="408"/>
      <c r="FD247" s="408"/>
      <c r="FE247" s="408"/>
      <c r="FF247" s="408">
        <v>0</v>
      </c>
      <c r="FG247" s="408">
        <v>0</v>
      </c>
      <c r="FH247" s="408">
        <v>0</v>
      </c>
      <c r="FI247" s="408">
        <v>0</v>
      </c>
    </row>
    <row r="248" spans="1:165">
      <c r="A248" s="408">
        <v>246</v>
      </c>
      <c r="B248" s="408" t="s">
        <v>1035</v>
      </c>
      <c r="C248" s="408" t="s">
        <v>2233</v>
      </c>
      <c r="D248" s="408" t="s">
        <v>1958</v>
      </c>
      <c r="E248" s="408" t="s">
        <v>2244</v>
      </c>
      <c r="F248" s="408" t="s">
        <v>1321</v>
      </c>
      <c r="G248" s="408" t="s">
        <v>1321</v>
      </c>
      <c r="H248" s="408" t="s">
        <v>1321</v>
      </c>
      <c r="I248" s="408" t="s">
        <v>1321</v>
      </c>
      <c r="J248" s="408" t="s">
        <v>2234</v>
      </c>
      <c r="K248" s="828">
        <v>44562</v>
      </c>
      <c r="L248" s="408">
        <v>0</v>
      </c>
      <c r="M248" s="408">
        <v>0</v>
      </c>
      <c r="N248" s="408">
        <v>193.84800000000001</v>
      </c>
      <c r="O248" s="408">
        <v>193.84800000000001</v>
      </c>
      <c r="P248" s="408">
        <v>193.84800000000001</v>
      </c>
      <c r="Q248" s="408">
        <v>193.84800000000001</v>
      </c>
      <c r="R248" s="408"/>
      <c r="S248" s="408">
        <v>710.91</v>
      </c>
      <c r="T248" s="408">
        <v>256.55</v>
      </c>
      <c r="U248" s="408"/>
      <c r="V248" s="408">
        <v>187540.18608000001</v>
      </c>
      <c r="W248" s="408">
        <v>187540.18608000001</v>
      </c>
      <c r="X248" s="408">
        <v>128023.03464000001</v>
      </c>
      <c r="Y248" s="408">
        <v>0</v>
      </c>
      <c r="Z248" s="408">
        <v>11916.744039632644</v>
      </c>
      <c r="AA248" s="408">
        <v>0</v>
      </c>
      <c r="AB248" s="408">
        <v>0</v>
      </c>
      <c r="AC248" s="408">
        <v>0</v>
      </c>
      <c r="AD248" s="408">
        <v>23859.352637804055</v>
      </c>
      <c r="AE248" s="408">
        <v>92448.061637571853</v>
      </c>
      <c r="AF248" s="408">
        <v>49732.193232714824</v>
      </c>
      <c r="AG248" s="408">
        <v>0</v>
      </c>
      <c r="AH248" s="408">
        <v>0</v>
      </c>
      <c r="AI248" s="408">
        <v>0</v>
      </c>
      <c r="AJ248" s="408">
        <v>0</v>
      </c>
      <c r="AK248" s="408">
        <v>0</v>
      </c>
      <c r="AL248" s="408">
        <v>1842.3825204610478</v>
      </c>
      <c r="AM248" s="408"/>
      <c r="AN248" s="408">
        <v>425.65233907948078</v>
      </c>
      <c r="AO248" s="408">
        <v>0</v>
      </c>
      <c r="AP248" s="408">
        <v>0</v>
      </c>
      <c r="AQ248" s="408">
        <v>0</v>
      </c>
      <c r="AR248" s="408">
        <v>0</v>
      </c>
      <c r="AS248" s="408">
        <v>0</v>
      </c>
      <c r="AT248" s="408">
        <v>0</v>
      </c>
      <c r="AU248" s="408">
        <v>0</v>
      </c>
      <c r="AV248" s="408">
        <v>0</v>
      </c>
      <c r="AW248" s="408">
        <v>0</v>
      </c>
      <c r="AX248" s="408">
        <v>0</v>
      </c>
      <c r="AY248" s="408">
        <v>0</v>
      </c>
      <c r="AZ248" s="408">
        <v>0</v>
      </c>
      <c r="BA248" s="408"/>
      <c r="BB248" s="408">
        <v>0</v>
      </c>
      <c r="BC248" s="408">
        <v>0</v>
      </c>
      <c r="BD248" s="408">
        <v>288.8956153522314</v>
      </c>
      <c r="BE248" s="408">
        <v>0</v>
      </c>
      <c r="BF248" s="408">
        <v>0</v>
      </c>
      <c r="BG248" s="408">
        <v>7027.6495241741932</v>
      </c>
      <c r="BH248" s="408">
        <v>0</v>
      </c>
      <c r="BI248" s="408">
        <v>214.65</v>
      </c>
      <c r="BJ248" s="408">
        <v>994.37</v>
      </c>
      <c r="BK248" s="408">
        <v>50059.34</v>
      </c>
      <c r="BL248" s="408">
        <v>300</v>
      </c>
      <c r="BM248" s="408"/>
      <c r="BN248" s="408"/>
      <c r="BO248" s="408"/>
      <c r="BP248" s="408"/>
      <c r="BQ248" s="408"/>
      <c r="BR248" s="408"/>
      <c r="BS248" s="408"/>
      <c r="BT248" s="408"/>
      <c r="BU248" s="408"/>
      <c r="BV248" s="408">
        <v>57048.738372241249</v>
      </c>
      <c r="BW248" s="408"/>
      <c r="BX248" s="408"/>
      <c r="BY248" s="408"/>
      <c r="BZ248" s="408"/>
      <c r="CA248" s="408"/>
      <c r="CB248" s="408"/>
      <c r="CC248" s="408"/>
      <c r="CD248" s="408"/>
      <c r="CE248" s="408"/>
      <c r="CF248" s="408"/>
      <c r="CG248" s="408"/>
      <c r="CH248" s="408"/>
      <c r="CI248" s="408">
        <v>128024.35549999999</v>
      </c>
      <c r="CJ248" s="408">
        <v>-59515.860580000051</v>
      </c>
      <c r="CK248" s="408"/>
      <c r="CL248" s="408"/>
      <c r="CM248" s="408"/>
      <c r="CN248" s="408"/>
      <c r="CO248" s="408">
        <v>-62616.780960000004</v>
      </c>
      <c r="CP248" s="408">
        <v>3099.6295200000018</v>
      </c>
      <c r="CQ248" s="408">
        <v>31</v>
      </c>
      <c r="CR248" s="408">
        <v>2576.8769313383382</v>
      </c>
      <c r="CS248" s="408">
        <v>0</v>
      </c>
      <c r="CT248" s="408">
        <v>0</v>
      </c>
      <c r="CU248" s="408">
        <v>0</v>
      </c>
      <c r="CV248" s="408">
        <v>0</v>
      </c>
      <c r="CW248" s="408">
        <v>0</v>
      </c>
      <c r="CX248" s="408">
        <v>0</v>
      </c>
      <c r="CY248" s="408">
        <v>0</v>
      </c>
      <c r="CZ248" s="408">
        <v>-107.8457745630003</v>
      </c>
      <c r="DA248" s="408">
        <v>0</v>
      </c>
      <c r="DB248" s="408">
        <v>0</v>
      </c>
      <c r="DC248" s="408">
        <v>3098.2395067457473</v>
      </c>
      <c r="DD248" s="408">
        <v>0</v>
      </c>
      <c r="DE248" s="408">
        <v>0</v>
      </c>
      <c r="DF248" s="408">
        <v>17.997754585678024</v>
      </c>
      <c r="DG248" s="408">
        <v>437.81180720251359</v>
      </c>
      <c r="DH248" s="408">
        <v>0</v>
      </c>
      <c r="DI248" s="408">
        <v>-741.02906583456206</v>
      </c>
      <c r="DJ248" s="408"/>
      <c r="DK248" s="408">
        <v>0</v>
      </c>
      <c r="DL248" s="408">
        <v>0</v>
      </c>
      <c r="DM248" s="408">
        <v>0</v>
      </c>
      <c r="DN248" s="408">
        <v>0</v>
      </c>
      <c r="DO248" s="408">
        <v>-101.09648639753209</v>
      </c>
      <c r="DP248" s="408">
        <v>-27.200810400508317</v>
      </c>
      <c r="DQ248" s="408">
        <v>0</v>
      </c>
      <c r="DR248" s="408">
        <v>0</v>
      </c>
      <c r="DS248" s="408"/>
      <c r="DT248" s="408"/>
      <c r="DU248" s="408"/>
      <c r="DV248" s="408">
        <v>92448.061637571853</v>
      </c>
      <c r="DW248" s="408">
        <v>0</v>
      </c>
      <c r="DX248" s="408">
        <v>0</v>
      </c>
      <c r="DY248" s="408">
        <v>-62616.780959999989</v>
      </c>
      <c r="DZ248" s="408">
        <v>3099.6295200000022</v>
      </c>
      <c r="EA248" s="408">
        <v>0</v>
      </c>
      <c r="EB248" s="408">
        <v>0</v>
      </c>
      <c r="EC248" s="408">
        <v>-62095.021154467177</v>
      </c>
      <c r="ED248" s="408">
        <v>0</v>
      </c>
      <c r="EE248" s="408">
        <v>0</v>
      </c>
      <c r="EF248" s="408">
        <v>0</v>
      </c>
      <c r="EG248" s="408">
        <v>0</v>
      </c>
      <c r="EH248" s="408">
        <v>0</v>
      </c>
      <c r="EI248" s="408">
        <v>0</v>
      </c>
      <c r="EJ248" s="408">
        <v>0</v>
      </c>
      <c r="EK248" s="408">
        <v>0</v>
      </c>
      <c r="EL248" s="408">
        <v>0</v>
      </c>
      <c r="EM248" s="408">
        <v>0</v>
      </c>
      <c r="EN248" s="408">
        <v>0</v>
      </c>
      <c r="EO248" s="408">
        <v>0</v>
      </c>
      <c r="EP248" s="408">
        <v>0</v>
      </c>
      <c r="EQ248" s="408">
        <v>0</v>
      </c>
      <c r="ER248" s="408">
        <v>0</v>
      </c>
      <c r="ES248" s="408">
        <v>0</v>
      </c>
      <c r="ET248" s="408">
        <v>0</v>
      </c>
      <c r="EU248" s="408">
        <v>0</v>
      </c>
      <c r="EV248" s="408">
        <v>257</v>
      </c>
      <c r="EW248" s="408">
        <v>0</v>
      </c>
      <c r="EX248" s="408">
        <v>0</v>
      </c>
      <c r="EY248" s="408">
        <v>0</v>
      </c>
      <c r="EZ248" s="408"/>
      <c r="FA248" s="408">
        <v>0</v>
      </c>
      <c r="FB248" s="408"/>
      <c r="FC248" s="408"/>
      <c r="FD248" s="408"/>
      <c r="FE248" s="408"/>
      <c r="FF248" s="408">
        <v>0</v>
      </c>
      <c r="FG248" s="408">
        <v>0</v>
      </c>
      <c r="FH248" s="408">
        <v>0</v>
      </c>
      <c r="FI248" s="408">
        <v>0</v>
      </c>
    </row>
    <row r="249" spans="1:165">
      <c r="A249" s="408">
        <v>247</v>
      </c>
      <c r="B249" s="408" t="s">
        <v>1035</v>
      </c>
      <c r="C249" s="408" t="s">
        <v>2233</v>
      </c>
      <c r="D249" s="408" t="s">
        <v>2245</v>
      </c>
      <c r="E249" s="408" t="s">
        <v>2246</v>
      </c>
      <c r="F249" s="408" t="s">
        <v>2247</v>
      </c>
      <c r="G249" s="408" t="s">
        <v>1321</v>
      </c>
      <c r="H249" s="408" t="s">
        <v>1321</v>
      </c>
      <c r="I249" s="408" t="s">
        <v>1321</v>
      </c>
      <c r="J249" s="408" t="s">
        <v>2234</v>
      </c>
      <c r="K249" s="828">
        <v>44562</v>
      </c>
      <c r="L249" s="408">
        <v>0</v>
      </c>
      <c r="M249" s="408">
        <v>0</v>
      </c>
      <c r="N249" s="408">
        <v>223.33</v>
      </c>
      <c r="O249" s="408">
        <v>223.33</v>
      </c>
      <c r="P249" s="408">
        <v>223.33</v>
      </c>
      <c r="Q249" s="408">
        <v>223.33</v>
      </c>
      <c r="R249" s="408"/>
      <c r="S249" s="408">
        <v>391</v>
      </c>
      <c r="T249" s="408">
        <v>141.1</v>
      </c>
      <c r="U249" s="408"/>
      <c r="V249" s="408">
        <v>118833.893</v>
      </c>
      <c r="W249" s="408">
        <v>118833.893</v>
      </c>
      <c r="X249" s="408">
        <v>81120.155900000012</v>
      </c>
      <c r="Y249" s="408">
        <v>0</v>
      </c>
      <c r="Z249" s="408">
        <v>7551.0273281341051</v>
      </c>
      <c r="AA249" s="408">
        <v>0</v>
      </c>
      <c r="AB249" s="408">
        <v>0</v>
      </c>
      <c r="AC249" s="408">
        <v>0</v>
      </c>
      <c r="AD249" s="408">
        <v>15118.443695732887</v>
      </c>
      <c r="AE249" s="408">
        <v>58579.578241897703</v>
      </c>
      <c r="AF249" s="408">
        <v>31512.731073130639</v>
      </c>
      <c r="AG249" s="408">
        <v>0</v>
      </c>
      <c r="AH249" s="408">
        <v>0</v>
      </c>
      <c r="AI249" s="408">
        <v>0</v>
      </c>
      <c r="AJ249" s="408">
        <v>0</v>
      </c>
      <c r="AK249" s="408">
        <v>0</v>
      </c>
      <c r="AL249" s="408">
        <v>1167.4229734741198</v>
      </c>
      <c r="AM249" s="408"/>
      <c r="AN249" s="408">
        <v>269.71397841422953</v>
      </c>
      <c r="AO249" s="408">
        <v>0</v>
      </c>
      <c r="AP249" s="408">
        <v>0</v>
      </c>
      <c r="AQ249" s="408">
        <v>0</v>
      </c>
      <c r="AR249" s="408">
        <v>0</v>
      </c>
      <c r="AS249" s="408">
        <v>0</v>
      </c>
      <c r="AT249" s="408">
        <v>0</v>
      </c>
      <c r="AU249" s="408">
        <v>0</v>
      </c>
      <c r="AV249" s="408">
        <v>0</v>
      </c>
      <c r="AW249" s="408">
        <v>0</v>
      </c>
      <c r="AX249" s="408">
        <v>0</v>
      </c>
      <c r="AY249" s="408">
        <v>0</v>
      </c>
      <c r="AZ249" s="408">
        <v>0</v>
      </c>
      <c r="BA249" s="408"/>
      <c r="BB249" s="408">
        <v>0</v>
      </c>
      <c r="BC249" s="408">
        <v>0</v>
      </c>
      <c r="BD249" s="408">
        <v>183.05828162858339</v>
      </c>
      <c r="BE249" s="408">
        <v>0</v>
      </c>
      <c r="BF249" s="408">
        <v>0</v>
      </c>
      <c r="BG249" s="408">
        <v>4453.0597815226574</v>
      </c>
      <c r="BH249" s="408">
        <v>0</v>
      </c>
      <c r="BI249" s="408">
        <v>156.78</v>
      </c>
      <c r="BJ249" s="408">
        <v>724.99</v>
      </c>
      <c r="BK249" s="408">
        <v>28428.48</v>
      </c>
      <c r="BL249" s="408">
        <v>26</v>
      </c>
      <c r="BM249" s="408"/>
      <c r="BN249" s="408"/>
      <c r="BO249" s="408"/>
      <c r="BP249" s="408"/>
      <c r="BQ249" s="408"/>
      <c r="BR249" s="408"/>
      <c r="BS249" s="408"/>
      <c r="BT249" s="408"/>
      <c r="BU249" s="408"/>
      <c r="BV249" s="408">
        <v>36148.849136281875</v>
      </c>
      <c r="BW249" s="408"/>
      <c r="BX249" s="408"/>
      <c r="BY249" s="408"/>
      <c r="BZ249" s="408"/>
      <c r="CA249" s="408"/>
      <c r="CB249" s="408"/>
      <c r="CC249" s="408"/>
      <c r="CD249" s="408"/>
      <c r="CE249" s="408"/>
      <c r="CF249" s="408"/>
      <c r="CG249" s="408"/>
      <c r="CH249" s="408"/>
      <c r="CI249" s="408">
        <v>81120.155900000012</v>
      </c>
      <c r="CJ249" s="408">
        <v>-37713.767099999968</v>
      </c>
      <c r="CK249" s="408"/>
      <c r="CL249" s="408"/>
      <c r="CM249" s="408"/>
      <c r="CN249" s="408"/>
      <c r="CO249" s="408">
        <v>-39676.807800000002</v>
      </c>
      <c r="CP249" s="408">
        <v>1963.0706999999984</v>
      </c>
      <c r="CQ249" s="408">
        <v>31</v>
      </c>
      <c r="CR249" s="408">
        <v>1632.834276297348</v>
      </c>
      <c r="CS249" s="408">
        <v>0</v>
      </c>
      <c r="CT249" s="408">
        <v>0</v>
      </c>
      <c r="CU249" s="408">
        <v>0</v>
      </c>
      <c r="CV249" s="408">
        <v>0</v>
      </c>
      <c r="CW249" s="408">
        <v>0</v>
      </c>
      <c r="CX249" s="408">
        <v>0</v>
      </c>
      <c r="CY249" s="408">
        <v>0</v>
      </c>
      <c r="CZ249" s="408">
        <v>-68.336316383130907</v>
      </c>
      <c r="DA249" s="408">
        <v>0</v>
      </c>
      <c r="DB249" s="408">
        <v>0</v>
      </c>
      <c r="DC249" s="408">
        <v>1963.1949051465454</v>
      </c>
      <c r="DD249" s="408">
        <v>0</v>
      </c>
      <c r="DE249" s="408">
        <v>0</v>
      </c>
      <c r="DF249" s="408">
        <v>11.404250713913342</v>
      </c>
      <c r="DG249" s="408">
        <v>277.41880750068503</v>
      </c>
      <c r="DH249" s="408">
        <v>0</v>
      </c>
      <c r="DI249" s="408">
        <v>-469.55197732274337</v>
      </c>
      <c r="DJ249" s="408"/>
      <c r="DK249" s="408">
        <v>0</v>
      </c>
      <c r="DL249" s="408">
        <v>0</v>
      </c>
      <c r="DM249" s="408">
        <v>0</v>
      </c>
      <c r="DN249" s="408">
        <v>0</v>
      </c>
      <c r="DO249" s="408">
        <v>-64.059639867000669</v>
      </c>
      <c r="DP249" s="408">
        <v>-17.235753490932893</v>
      </c>
      <c r="DQ249" s="408">
        <v>0</v>
      </c>
      <c r="DR249" s="408">
        <v>0</v>
      </c>
      <c r="DS249" s="408"/>
      <c r="DT249" s="408"/>
      <c r="DU249" s="408"/>
      <c r="DV249" s="408">
        <v>58579.578241897703</v>
      </c>
      <c r="DW249" s="408">
        <v>0</v>
      </c>
      <c r="DX249" s="408">
        <v>0</v>
      </c>
      <c r="DY249" s="408">
        <v>-39676.807799999995</v>
      </c>
      <c r="DZ249" s="408">
        <v>1963.0707000000002</v>
      </c>
      <c r="EA249" s="408">
        <v>0</v>
      </c>
      <c r="EB249" s="408">
        <v>0</v>
      </c>
      <c r="EC249" s="408">
        <v>-39346.418796866186</v>
      </c>
      <c r="ED249" s="408">
        <v>0</v>
      </c>
      <c r="EE249" s="408">
        <v>0</v>
      </c>
      <c r="EF249" s="408">
        <v>0</v>
      </c>
      <c r="EG249" s="408">
        <v>0</v>
      </c>
      <c r="EH249" s="408">
        <v>0</v>
      </c>
      <c r="EI249" s="408">
        <v>0</v>
      </c>
      <c r="EJ249" s="408">
        <v>0</v>
      </c>
      <c r="EK249" s="408">
        <v>0</v>
      </c>
      <c r="EL249" s="408">
        <v>0</v>
      </c>
      <c r="EM249" s="408">
        <v>0</v>
      </c>
      <c r="EN249" s="408">
        <v>0</v>
      </c>
      <c r="EO249" s="408">
        <v>0</v>
      </c>
      <c r="EP249" s="408">
        <v>0</v>
      </c>
      <c r="EQ249" s="408">
        <v>0</v>
      </c>
      <c r="ER249" s="408">
        <v>0</v>
      </c>
      <c r="ES249" s="408">
        <v>0</v>
      </c>
      <c r="ET249" s="408">
        <v>0</v>
      </c>
      <c r="EU249" s="408">
        <v>0</v>
      </c>
      <c r="EV249" s="408">
        <v>257</v>
      </c>
      <c r="EW249" s="408">
        <v>0</v>
      </c>
      <c r="EX249" s="408">
        <v>0</v>
      </c>
      <c r="EY249" s="408">
        <v>0</v>
      </c>
      <c r="EZ249" s="408"/>
      <c r="FA249" s="408">
        <v>0</v>
      </c>
      <c r="FB249" s="408"/>
      <c r="FC249" s="408"/>
      <c r="FD249" s="408"/>
      <c r="FE249" s="408"/>
      <c r="FF249" s="408">
        <v>0</v>
      </c>
      <c r="FG249" s="408">
        <v>0</v>
      </c>
      <c r="FH249" s="408">
        <v>0</v>
      </c>
      <c r="FI249" s="408">
        <v>0</v>
      </c>
    </row>
    <row r="250" spans="1:165">
      <c r="A250" s="408">
        <v>248</v>
      </c>
      <c r="B250" s="408" t="s">
        <v>1035</v>
      </c>
      <c r="C250" s="408" t="s">
        <v>2233</v>
      </c>
      <c r="D250" s="408" t="s">
        <v>1958</v>
      </c>
      <c r="E250" s="408" t="s">
        <v>1000</v>
      </c>
      <c r="F250" s="408" t="s">
        <v>2248</v>
      </c>
      <c r="G250" s="408" t="s">
        <v>1321</v>
      </c>
      <c r="H250" s="408" t="s">
        <v>1321</v>
      </c>
      <c r="I250" s="408" t="s">
        <v>1321</v>
      </c>
      <c r="J250" s="408" t="s">
        <v>2234</v>
      </c>
      <c r="K250" s="828">
        <v>44562</v>
      </c>
      <c r="L250" s="408">
        <v>0</v>
      </c>
      <c r="M250" s="408">
        <v>0</v>
      </c>
      <c r="N250" s="408">
        <v>24.931999999999999</v>
      </c>
      <c r="O250" s="408">
        <v>23.43608</v>
      </c>
      <c r="P250" s="408">
        <v>24.931999999999999</v>
      </c>
      <c r="Q250" s="408">
        <v>23.43608</v>
      </c>
      <c r="R250" s="408"/>
      <c r="S250" s="408">
        <v>710.91</v>
      </c>
      <c r="T250" s="408">
        <v>256.55</v>
      </c>
      <c r="U250" s="408"/>
      <c r="V250" s="408">
        <v>24120.712719999996</v>
      </c>
      <c r="W250" s="408">
        <v>24120.712719999996</v>
      </c>
      <c r="X250" s="408">
        <v>16465.840759999999</v>
      </c>
      <c r="Y250" s="408">
        <v>0</v>
      </c>
      <c r="Z250" s="408">
        <v>1532.6867566140534</v>
      </c>
      <c r="AA250" s="408">
        <v>0</v>
      </c>
      <c r="AB250" s="408">
        <v>0</v>
      </c>
      <c r="AC250" s="408">
        <v>0</v>
      </c>
      <c r="AD250" s="408">
        <v>3068.7001153776705</v>
      </c>
      <c r="AE250" s="408">
        <v>11890.321657937875</v>
      </c>
      <c r="AF250" s="408">
        <v>6396.3674718235206</v>
      </c>
      <c r="AG250" s="408">
        <v>0</v>
      </c>
      <c r="AH250" s="408">
        <v>0</v>
      </c>
      <c r="AI250" s="408">
        <v>0</v>
      </c>
      <c r="AJ250" s="408">
        <v>0</v>
      </c>
      <c r="AK250" s="408">
        <v>0</v>
      </c>
      <c r="AL250" s="408">
        <v>236.96030395018178</v>
      </c>
      <c r="AM250" s="408"/>
      <c r="AN250" s="408">
        <v>54.745801442004115</v>
      </c>
      <c r="AO250" s="408">
        <v>0</v>
      </c>
      <c r="AP250" s="408">
        <v>0</v>
      </c>
      <c r="AQ250" s="408">
        <v>0</v>
      </c>
      <c r="AR250" s="408">
        <v>0</v>
      </c>
      <c r="AS250" s="408">
        <v>0</v>
      </c>
      <c r="AT250" s="408">
        <v>0</v>
      </c>
      <c r="AU250" s="408">
        <v>0</v>
      </c>
      <c r="AV250" s="408">
        <v>0</v>
      </c>
      <c r="AW250" s="408">
        <v>0</v>
      </c>
      <c r="AX250" s="408">
        <v>0</v>
      </c>
      <c r="AY250" s="408">
        <v>0</v>
      </c>
      <c r="AZ250" s="408">
        <v>0</v>
      </c>
      <c r="BA250" s="408"/>
      <c r="BB250" s="408">
        <v>0</v>
      </c>
      <c r="BC250" s="408">
        <v>0</v>
      </c>
      <c r="BD250" s="408">
        <v>37.156666470439887</v>
      </c>
      <c r="BE250" s="408">
        <v>0</v>
      </c>
      <c r="BF250" s="408">
        <v>0</v>
      </c>
      <c r="BG250" s="408">
        <v>903.86982551644053</v>
      </c>
      <c r="BH250" s="408">
        <v>0</v>
      </c>
      <c r="BI250" s="408">
        <v>26.3</v>
      </c>
      <c r="BJ250" s="408">
        <v>121.59</v>
      </c>
      <c r="BK250" s="408">
        <v>6720.51</v>
      </c>
      <c r="BL250" s="408">
        <v>10</v>
      </c>
      <c r="BM250" s="408"/>
      <c r="BN250" s="408"/>
      <c r="BO250" s="408"/>
      <c r="BP250" s="408"/>
      <c r="BQ250" s="408">
        <v>987.95044559999872</v>
      </c>
      <c r="BR250" s="408"/>
      <c r="BS250" s="408"/>
      <c r="BT250" s="408"/>
      <c r="BU250" s="408"/>
      <c r="BV250" s="408">
        <v>7337.3939638104011</v>
      </c>
      <c r="BW250" s="408"/>
      <c r="BX250" s="408"/>
      <c r="BY250" s="408"/>
      <c r="BZ250" s="408"/>
      <c r="CA250" s="408"/>
      <c r="CB250" s="408"/>
      <c r="CC250" s="408"/>
      <c r="CD250" s="408"/>
      <c r="CE250" s="408"/>
      <c r="CF250" s="408"/>
      <c r="CG250" s="408"/>
      <c r="CH250" s="408"/>
      <c r="CI250" s="408">
        <v>15480.479200000002</v>
      </c>
      <c r="CJ250" s="408">
        <v>-7193.0207567999933</v>
      </c>
      <c r="CK250" s="408"/>
      <c r="CL250" s="408"/>
      <c r="CM250" s="408"/>
      <c r="CN250" s="408"/>
      <c r="CO250" s="408">
        <v>-8053.5346399999989</v>
      </c>
      <c r="CP250" s="408">
        <v>398.66268000000019</v>
      </c>
      <c r="CQ250" s="408">
        <v>31</v>
      </c>
      <c r="CR250" s="408">
        <v>331.42821000024378</v>
      </c>
      <c r="CS250" s="408">
        <v>0</v>
      </c>
      <c r="CT250" s="408">
        <v>0</v>
      </c>
      <c r="CU250" s="408">
        <v>0</v>
      </c>
      <c r="CV250" s="408">
        <v>0</v>
      </c>
      <c r="CW250" s="408">
        <v>0</v>
      </c>
      <c r="CX250" s="408">
        <v>0</v>
      </c>
      <c r="CY250" s="408">
        <v>0</v>
      </c>
      <c r="CZ250" s="408">
        <v>-13.870717528191108</v>
      </c>
      <c r="DA250" s="408">
        <v>0</v>
      </c>
      <c r="DB250" s="408">
        <v>0</v>
      </c>
      <c r="DC250" s="408">
        <v>398.48390172808013</v>
      </c>
      <c r="DD250" s="408">
        <v>0</v>
      </c>
      <c r="DE250" s="408">
        <v>0</v>
      </c>
      <c r="DF250" s="408">
        <v>2.3148034404797855</v>
      </c>
      <c r="DG250" s="408">
        <v>56.309706456466301</v>
      </c>
      <c r="DH250" s="408">
        <v>0</v>
      </c>
      <c r="DI250" s="408">
        <v>-95.30836877031129</v>
      </c>
      <c r="DJ250" s="408"/>
      <c r="DK250" s="408">
        <v>0</v>
      </c>
      <c r="DL250" s="408">
        <v>0</v>
      </c>
      <c r="DM250" s="408">
        <v>0</v>
      </c>
      <c r="DN250" s="408">
        <v>0</v>
      </c>
      <c r="DO250" s="408">
        <v>-13.00264949271218</v>
      </c>
      <c r="DP250" s="408">
        <v>-3.49846583356792</v>
      </c>
      <c r="DQ250" s="408">
        <v>0</v>
      </c>
      <c r="DR250" s="408">
        <v>0</v>
      </c>
      <c r="DS250" s="408"/>
      <c r="DT250" s="408"/>
      <c r="DU250" s="408"/>
      <c r="DV250" s="408">
        <v>11890.321657937875</v>
      </c>
      <c r="DW250" s="408">
        <v>0</v>
      </c>
      <c r="DX250" s="408">
        <v>0</v>
      </c>
      <c r="DY250" s="408">
        <v>-8053.534639999998</v>
      </c>
      <c r="DZ250" s="408">
        <v>398.66268000000036</v>
      </c>
      <c r="EA250" s="408">
        <v>0</v>
      </c>
      <c r="EB250" s="408">
        <v>0</v>
      </c>
      <c r="EC250" s="408">
        <v>-7986.4278580288446</v>
      </c>
      <c r="ED250" s="408">
        <v>0</v>
      </c>
      <c r="EE250" s="408">
        <v>0</v>
      </c>
      <c r="EF250" s="408">
        <v>0</v>
      </c>
      <c r="EG250" s="408">
        <v>0</v>
      </c>
      <c r="EH250" s="408">
        <v>0</v>
      </c>
      <c r="EI250" s="408">
        <v>0</v>
      </c>
      <c r="EJ250" s="408">
        <v>0</v>
      </c>
      <c r="EK250" s="408">
        <v>0</v>
      </c>
      <c r="EL250" s="408">
        <v>0</v>
      </c>
      <c r="EM250" s="408">
        <v>0</v>
      </c>
      <c r="EN250" s="408">
        <v>0</v>
      </c>
      <c r="EO250" s="408">
        <v>0</v>
      </c>
      <c r="EP250" s="408">
        <v>0</v>
      </c>
      <c r="EQ250" s="408">
        <v>0</v>
      </c>
      <c r="ER250" s="408">
        <v>0</v>
      </c>
      <c r="ES250" s="408">
        <v>0</v>
      </c>
      <c r="ET250" s="408">
        <v>0</v>
      </c>
      <c r="EU250" s="408">
        <v>0</v>
      </c>
      <c r="EV250" s="408">
        <v>257</v>
      </c>
      <c r="EW250" s="408">
        <v>0</v>
      </c>
      <c r="EX250" s="408">
        <v>0</v>
      </c>
      <c r="EY250" s="408">
        <v>0</v>
      </c>
      <c r="EZ250" s="408"/>
      <c r="FA250" s="408">
        <v>0</v>
      </c>
      <c r="FB250" s="408"/>
      <c r="FC250" s="408"/>
      <c r="FD250" s="408"/>
      <c r="FE250" s="408"/>
      <c r="FF250" s="408">
        <v>0</v>
      </c>
      <c r="FG250" s="408">
        <v>0</v>
      </c>
      <c r="FH250" s="408">
        <v>0</v>
      </c>
      <c r="FI250" s="408">
        <v>0</v>
      </c>
    </row>
    <row r="251" spans="1:165">
      <c r="A251" s="408">
        <v>249</v>
      </c>
      <c r="B251" s="408" t="s">
        <v>1035</v>
      </c>
      <c r="C251" s="408" t="s">
        <v>2241</v>
      </c>
      <c r="D251" s="408" t="s">
        <v>596</v>
      </c>
      <c r="E251" s="408" t="s">
        <v>1000</v>
      </c>
      <c r="F251" s="408" t="s">
        <v>2248</v>
      </c>
      <c r="G251" s="408" t="s">
        <v>1321</v>
      </c>
      <c r="H251" s="408" t="s">
        <v>1321</v>
      </c>
      <c r="I251" s="408" t="s">
        <v>972</v>
      </c>
      <c r="J251" s="408" t="s">
        <v>2234</v>
      </c>
      <c r="K251" s="828">
        <v>44562</v>
      </c>
      <c r="L251" s="408">
        <v>0</v>
      </c>
      <c r="M251" s="408">
        <v>0</v>
      </c>
      <c r="N251" s="408">
        <v>1.2589999999999999</v>
      </c>
      <c r="O251" s="408">
        <v>1.18346</v>
      </c>
      <c r="P251" s="408">
        <v>1.2589999999999999</v>
      </c>
      <c r="Q251" s="408">
        <v>1.18346</v>
      </c>
      <c r="R251" s="408"/>
      <c r="S251" s="408">
        <v>3130.62</v>
      </c>
      <c r="T251" s="408">
        <v>256.55</v>
      </c>
      <c r="U251" s="408"/>
      <c r="V251" s="408">
        <v>4264.4470299999994</v>
      </c>
      <c r="W251" s="408">
        <v>4264.4470299999994</v>
      </c>
      <c r="X251" s="408">
        <v>2244.3311699999995</v>
      </c>
      <c r="Y251" s="408">
        <v>0</v>
      </c>
      <c r="Z251" s="408">
        <v>67.335062775632551</v>
      </c>
      <c r="AA251" s="408">
        <v>0</v>
      </c>
      <c r="AB251" s="408">
        <v>0</v>
      </c>
      <c r="AC251" s="408">
        <v>0</v>
      </c>
      <c r="AD251" s="408">
        <v>811.06518335651049</v>
      </c>
      <c r="AE251" s="408">
        <v>3026.8231667404048</v>
      </c>
      <c r="AF251" s="408">
        <v>322.99962486065346</v>
      </c>
      <c r="AG251" s="408">
        <v>0</v>
      </c>
      <c r="AH251" s="408">
        <v>0</v>
      </c>
      <c r="AI251" s="408">
        <v>0</v>
      </c>
      <c r="AJ251" s="408">
        <v>0</v>
      </c>
      <c r="AK251" s="408">
        <v>0</v>
      </c>
      <c r="AL251" s="408">
        <v>11.965868068076322</v>
      </c>
      <c r="AM251" s="408"/>
      <c r="AN251" s="408">
        <v>1.6984602384717449</v>
      </c>
      <c r="AO251" s="408">
        <v>0</v>
      </c>
      <c r="AP251" s="408">
        <v>0</v>
      </c>
      <c r="AQ251" s="408">
        <v>0</v>
      </c>
      <c r="AR251" s="408">
        <v>0</v>
      </c>
      <c r="AS251" s="408">
        <v>0</v>
      </c>
      <c r="AT251" s="408">
        <v>0</v>
      </c>
      <c r="AU251" s="408">
        <v>0</v>
      </c>
      <c r="AV251" s="408">
        <v>0</v>
      </c>
      <c r="AW251" s="408">
        <v>0</v>
      </c>
      <c r="AX251" s="408">
        <v>0</v>
      </c>
      <c r="AY251" s="408">
        <v>0</v>
      </c>
      <c r="AZ251" s="408">
        <v>0</v>
      </c>
      <c r="BA251" s="408"/>
      <c r="BB251" s="408">
        <v>0</v>
      </c>
      <c r="BC251" s="408">
        <v>0</v>
      </c>
      <c r="BD251" s="408">
        <v>1.551119748462656</v>
      </c>
      <c r="BE251" s="408">
        <v>0</v>
      </c>
      <c r="BF251" s="408">
        <v>0</v>
      </c>
      <c r="BG251" s="408">
        <v>21.011813840772479</v>
      </c>
      <c r="BH251" s="408">
        <v>0</v>
      </c>
      <c r="BI251" s="408">
        <v>0</v>
      </c>
      <c r="BJ251" s="408">
        <v>0</v>
      </c>
      <c r="BK251" s="408">
        <v>0</v>
      </c>
      <c r="BL251" s="408">
        <v>0</v>
      </c>
      <c r="BM251" s="408"/>
      <c r="BN251" s="408"/>
      <c r="BO251" s="408"/>
      <c r="BP251" s="408"/>
      <c r="BQ251" s="408">
        <v>134.65987019999989</v>
      </c>
      <c r="BR251" s="408"/>
      <c r="BS251" s="408"/>
      <c r="BT251" s="408"/>
      <c r="BU251" s="408"/>
      <c r="BV251" s="408">
        <v>345.56255844988863</v>
      </c>
      <c r="BW251" s="408"/>
      <c r="BX251" s="408"/>
      <c r="BY251" s="408"/>
      <c r="BZ251" s="408"/>
      <c r="CA251" s="408"/>
      <c r="CB251" s="408"/>
      <c r="CC251" s="408"/>
      <c r="CD251" s="408"/>
      <c r="CE251" s="408"/>
      <c r="CF251" s="408"/>
      <c r="CG251" s="408"/>
      <c r="CH251" s="408"/>
      <c r="CI251" s="408">
        <v>2103.5034000000001</v>
      </c>
      <c r="CJ251" s="408">
        <v>-1905.1068082000006</v>
      </c>
      <c r="CK251" s="408"/>
      <c r="CL251" s="408"/>
      <c r="CM251" s="408"/>
      <c r="CN251" s="408"/>
      <c r="CO251" s="408">
        <v>-2040.2472699999998</v>
      </c>
      <c r="CP251" s="408">
        <v>20.13141000000001</v>
      </c>
      <c r="CQ251" s="408">
        <v>31</v>
      </c>
      <c r="CR251" s="408">
        <v>12.909661595639591</v>
      </c>
      <c r="CS251" s="408">
        <v>0</v>
      </c>
      <c r="CT251" s="408">
        <v>0</v>
      </c>
      <c r="CU251" s="408">
        <v>0</v>
      </c>
      <c r="CV251" s="408">
        <v>0</v>
      </c>
      <c r="CW251" s="408">
        <v>0</v>
      </c>
      <c r="CX251" s="408">
        <v>0</v>
      </c>
      <c r="CY251" s="408">
        <v>0</v>
      </c>
      <c r="CZ251" s="408">
        <v>-3.6660656409254671</v>
      </c>
      <c r="DA251" s="408">
        <v>0</v>
      </c>
      <c r="DB251" s="408">
        <v>0</v>
      </c>
      <c r="DC251" s="408">
        <v>20.122382170529988</v>
      </c>
      <c r="DD251" s="408">
        <v>0</v>
      </c>
      <c r="DE251" s="408">
        <v>0</v>
      </c>
      <c r="DF251" s="408">
        <v>9.663238582487077E-2</v>
      </c>
      <c r="DG251" s="408">
        <v>1.3090038367148651</v>
      </c>
      <c r="DH251" s="408">
        <v>0</v>
      </c>
      <c r="DI251" s="408">
        <v>-4.1871536806186995</v>
      </c>
      <c r="DJ251" s="408"/>
      <c r="DK251" s="408">
        <v>0</v>
      </c>
      <c r="DL251" s="408">
        <v>0</v>
      </c>
      <c r="DM251" s="408">
        <v>0</v>
      </c>
      <c r="DN251" s="408">
        <v>0</v>
      </c>
      <c r="DO251" s="408">
        <v>-0.65659937876321983</v>
      </c>
      <c r="DP251" s="408">
        <v>-0.10853809712260709</v>
      </c>
      <c r="DQ251" s="408">
        <v>0</v>
      </c>
      <c r="DR251" s="408">
        <v>0</v>
      </c>
      <c r="DS251" s="408"/>
      <c r="DT251" s="408"/>
      <c r="DU251" s="408"/>
      <c r="DV251" s="408">
        <v>3026.8231667404048</v>
      </c>
      <c r="DW251" s="408">
        <v>0</v>
      </c>
      <c r="DX251" s="408">
        <v>0</v>
      </c>
      <c r="DY251" s="408">
        <v>-2040.2472700000001</v>
      </c>
      <c r="DZ251" s="408">
        <v>20.131410000000017</v>
      </c>
      <c r="EA251" s="408">
        <v>0</v>
      </c>
      <c r="EB251" s="408">
        <v>0</v>
      </c>
      <c r="EC251" s="408">
        <v>-2033.0404471475849</v>
      </c>
      <c r="ED251" s="408">
        <v>0</v>
      </c>
      <c r="EE251" s="408">
        <v>0</v>
      </c>
      <c r="EF251" s="408">
        <v>0</v>
      </c>
      <c r="EG251" s="408">
        <v>0</v>
      </c>
      <c r="EH251" s="408">
        <v>0</v>
      </c>
      <c r="EI251" s="408">
        <v>0</v>
      </c>
      <c r="EJ251" s="408">
        <v>0</v>
      </c>
      <c r="EK251" s="408">
        <v>0</v>
      </c>
      <c r="EL251" s="408">
        <v>0</v>
      </c>
      <c r="EM251" s="408">
        <v>0</v>
      </c>
      <c r="EN251" s="408">
        <v>0</v>
      </c>
      <c r="EO251" s="408">
        <v>0</v>
      </c>
      <c r="EP251" s="408">
        <v>0</v>
      </c>
      <c r="EQ251" s="408">
        <v>0</v>
      </c>
      <c r="ER251" s="408">
        <v>0</v>
      </c>
      <c r="ES251" s="408">
        <v>0</v>
      </c>
      <c r="ET251" s="408">
        <v>0</v>
      </c>
      <c r="EU251" s="408">
        <v>0</v>
      </c>
      <c r="EV251" s="408">
        <v>257</v>
      </c>
      <c r="EW251" s="408">
        <v>0</v>
      </c>
      <c r="EX251" s="408">
        <v>0</v>
      </c>
      <c r="EY251" s="408">
        <v>0</v>
      </c>
      <c r="EZ251" s="408"/>
      <c r="FA251" s="408">
        <v>0</v>
      </c>
      <c r="FB251" s="408"/>
      <c r="FC251" s="408"/>
      <c r="FD251" s="408"/>
      <c r="FE251" s="408"/>
      <c r="FF251" s="408">
        <v>0</v>
      </c>
      <c r="FG251" s="408">
        <v>0</v>
      </c>
      <c r="FH251" s="408">
        <v>0</v>
      </c>
      <c r="FI251" s="408">
        <v>0</v>
      </c>
    </row>
    <row r="252" spans="1:165">
      <c r="A252" s="408">
        <v>250</v>
      </c>
      <c r="B252" s="408" t="s">
        <v>1035</v>
      </c>
      <c r="C252" s="408" t="s">
        <v>2241</v>
      </c>
      <c r="D252" s="408" t="s">
        <v>596</v>
      </c>
      <c r="E252" s="408" t="s">
        <v>1000</v>
      </c>
      <c r="F252" s="408" t="s">
        <v>2248</v>
      </c>
      <c r="G252" s="408" t="s">
        <v>1321</v>
      </c>
      <c r="H252" s="408" t="s">
        <v>1321</v>
      </c>
      <c r="I252" s="408" t="s">
        <v>2242</v>
      </c>
      <c r="J252" s="408" t="s">
        <v>2234</v>
      </c>
      <c r="K252" s="828">
        <v>44562</v>
      </c>
      <c r="L252" s="408">
        <v>0</v>
      </c>
      <c r="M252" s="408">
        <v>0</v>
      </c>
      <c r="N252" s="408">
        <v>21.614999999999998</v>
      </c>
      <c r="O252" s="408">
        <v>20.318100000000001</v>
      </c>
      <c r="P252" s="408">
        <v>21.614999999999998</v>
      </c>
      <c r="Q252" s="408">
        <v>20.318100000000001</v>
      </c>
      <c r="R252" s="408"/>
      <c r="S252" s="408">
        <v>82.26</v>
      </c>
      <c r="T252" s="408">
        <v>256.55</v>
      </c>
      <c r="U252" s="408"/>
      <c r="V252" s="408">
        <v>7323.3781499999996</v>
      </c>
      <c r="W252" s="408">
        <v>7323.3781499999996</v>
      </c>
      <c r="X252" s="408">
        <v>7608.0477000000001</v>
      </c>
      <c r="Y252" s="408">
        <v>0</v>
      </c>
      <c r="Z252" s="408">
        <v>1156.034457422794</v>
      </c>
      <c r="AA252" s="408">
        <v>0</v>
      </c>
      <c r="AB252" s="408">
        <v>0</v>
      </c>
      <c r="AC252" s="408">
        <v>0</v>
      </c>
      <c r="AD252" s="408">
        <v>0</v>
      </c>
      <c r="AE252" s="408">
        <v>0</v>
      </c>
      <c r="AF252" s="408">
        <v>5545.3827572383043</v>
      </c>
      <c r="AG252" s="408">
        <v>0</v>
      </c>
      <c r="AH252" s="408">
        <v>0</v>
      </c>
      <c r="AI252" s="408">
        <v>0</v>
      </c>
      <c r="AJ252" s="408">
        <v>0</v>
      </c>
      <c r="AK252" s="408">
        <v>0</v>
      </c>
      <c r="AL252" s="408">
        <v>205.43466107344693</v>
      </c>
      <c r="AM252" s="408"/>
      <c r="AN252" s="408">
        <v>29.159823712920385</v>
      </c>
      <c r="AO252" s="408">
        <v>0</v>
      </c>
      <c r="AP252" s="408">
        <v>0</v>
      </c>
      <c r="AQ252" s="408">
        <v>0</v>
      </c>
      <c r="AR252" s="408">
        <v>0</v>
      </c>
      <c r="AS252" s="408">
        <v>0</v>
      </c>
      <c r="AT252" s="408">
        <v>0</v>
      </c>
      <c r="AU252" s="408">
        <v>0</v>
      </c>
      <c r="AV252" s="408">
        <v>0</v>
      </c>
      <c r="AW252" s="408">
        <v>0</v>
      </c>
      <c r="AX252" s="408">
        <v>0</v>
      </c>
      <c r="AY252" s="408">
        <v>0</v>
      </c>
      <c r="AZ252" s="408">
        <v>0</v>
      </c>
      <c r="BA252" s="408"/>
      <c r="BB252" s="408">
        <v>0</v>
      </c>
      <c r="BC252" s="408">
        <v>0</v>
      </c>
      <c r="BD252" s="408">
        <v>26.630225069912875</v>
      </c>
      <c r="BE252" s="408">
        <v>0</v>
      </c>
      <c r="BF252" s="408">
        <v>0</v>
      </c>
      <c r="BG252" s="408">
        <v>360.73896439102236</v>
      </c>
      <c r="BH252" s="408">
        <v>0</v>
      </c>
      <c r="BI252" s="408">
        <v>0</v>
      </c>
      <c r="BJ252" s="408">
        <v>0</v>
      </c>
      <c r="BK252" s="408">
        <v>0</v>
      </c>
      <c r="BL252" s="408">
        <v>0</v>
      </c>
      <c r="BM252" s="408"/>
      <c r="BN252" s="408"/>
      <c r="BO252" s="408"/>
      <c r="BP252" s="408"/>
      <c r="BQ252" s="408">
        <v>456.48286199999905</v>
      </c>
      <c r="BR252" s="408"/>
      <c r="BS252" s="408"/>
      <c r="BT252" s="408"/>
      <c r="BU252" s="408"/>
      <c r="BV252" s="408">
        <v>5932.7519466992399</v>
      </c>
      <c r="BW252" s="408"/>
      <c r="BX252" s="408"/>
      <c r="BY252" s="408"/>
      <c r="BZ252" s="408"/>
      <c r="CA252" s="408"/>
      <c r="CB252" s="408"/>
      <c r="CC252" s="408"/>
      <c r="CD252" s="408"/>
      <c r="CE252" s="408"/>
      <c r="CF252" s="408"/>
      <c r="CG252" s="408"/>
      <c r="CH252" s="408"/>
      <c r="CI252" s="408">
        <v>7152.2336000000005</v>
      </c>
      <c r="CJ252" s="408">
        <v>268.22813899999983</v>
      </c>
      <c r="CK252" s="408"/>
      <c r="CL252" s="408"/>
      <c r="CM252" s="408"/>
      <c r="CN252" s="408"/>
      <c r="CO252" s="408">
        <v>-60.954300000000153</v>
      </c>
      <c r="CP252" s="408">
        <v>345.62385000000017</v>
      </c>
      <c r="CQ252" s="408">
        <v>31</v>
      </c>
      <c r="CR252" s="408">
        <v>284.57851010195282</v>
      </c>
      <c r="CS252" s="408">
        <v>0</v>
      </c>
      <c r="CT252" s="408">
        <v>0</v>
      </c>
      <c r="CU252" s="408">
        <v>0</v>
      </c>
      <c r="CV252" s="408">
        <v>0</v>
      </c>
      <c r="CW252" s="408">
        <v>0</v>
      </c>
      <c r="CX252" s="408">
        <v>0</v>
      </c>
      <c r="CY252" s="408">
        <v>0</v>
      </c>
      <c r="CZ252" s="408">
        <v>0</v>
      </c>
      <c r="DA252" s="408">
        <v>0</v>
      </c>
      <c r="DB252" s="408">
        <v>0</v>
      </c>
      <c r="DC252" s="408">
        <v>345.46885672438839</v>
      </c>
      <c r="DD252" s="408">
        <v>0</v>
      </c>
      <c r="DE252" s="408">
        <v>0</v>
      </c>
      <c r="DF252" s="408">
        <v>1.6590222554444658</v>
      </c>
      <c r="DG252" s="408">
        <v>22.473485250668602</v>
      </c>
      <c r="DH252" s="408">
        <v>0</v>
      </c>
      <c r="DI252" s="408">
        <v>-71.886677368207529</v>
      </c>
      <c r="DJ252" s="408"/>
      <c r="DK252" s="408">
        <v>0</v>
      </c>
      <c r="DL252" s="408">
        <v>0</v>
      </c>
      <c r="DM252" s="408">
        <v>0</v>
      </c>
      <c r="DN252" s="408">
        <v>0</v>
      </c>
      <c r="DO252" s="408">
        <v>-11.272752638575867</v>
      </c>
      <c r="DP252" s="408">
        <v>-1.8634241217673946</v>
      </c>
      <c r="DQ252" s="408">
        <v>0</v>
      </c>
      <c r="DR252" s="408">
        <v>0</v>
      </c>
      <c r="DS252" s="408"/>
      <c r="DT252" s="408"/>
      <c r="DU252" s="408"/>
      <c r="DV252" s="408">
        <v>0</v>
      </c>
      <c r="DW252" s="408">
        <v>0</v>
      </c>
      <c r="DX252" s="408">
        <v>0</v>
      </c>
      <c r="DY252" s="408">
        <v>-60.954300000000103</v>
      </c>
      <c r="DZ252" s="408">
        <v>345.62385000000086</v>
      </c>
      <c r="EA252" s="408">
        <v>0</v>
      </c>
      <c r="EB252" s="408">
        <v>0</v>
      </c>
      <c r="EC252" s="408">
        <v>0</v>
      </c>
      <c r="ED252" s="408">
        <v>0</v>
      </c>
      <c r="EE252" s="408">
        <v>0</v>
      </c>
      <c r="EF252" s="408">
        <v>0</v>
      </c>
      <c r="EG252" s="408">
        <v>0</v>
      </c>
      <c r="EH252" s="408">
        <v>0</v>
      </c>
      <c r="EI252" s="408">
        <v>0</v>
      </c>
      <c r="EJ252" s="408">
        <v>0</v>
      </c>
      <c r="EK252" s="408">
        <v>0</v>
      </c>
      <c r="EL252" s="408">
        <v>0</v>
      </c>
      <c r="EM252" s="408">
        <v>0</v>
      </c>
      <c r="EN252" s="408">
        <v>0</v>
      </c>
      <c r="EO252" s="408">
        <v>0</v>
      </c>
      <c r="EP252" s="408">
        <v>0</v>
      </c>
      <c r="EQ252" s="408">
        <v>0</v>
      </c>
      <c r="ER252" s="408">
        <v>0</v>
      </c>
      <c r="ES252" s="408">
        <v>0</v>
      </c>
      <c r="ET252" s="408">
        <v>0</v>
      </c>
      <c r="EU252" s="408">
        <v>0</v>
      </c>
      <c r="EV252" s="408">
        <v>257</v>
      </c>
      <c r="EW252" s="408">
        <v>0</v>
      </c>
      <c r="EX252" s="408">
        <v>0</v>
      </c>
      <c r="EY252" s="408">
        <v>0</v>
      </c>
      <c r="EZ252" s="408"/>
      <c r="FA252" s="408">
        <v>0</v>
      </c>
      <c r="FB252" s="408"/>
      <c r="FC252" s="408"/>
      <c r="FD252" s="408"/>
      <c r="FE252" s="408"/>
      <c r="FF252" s="408">
        <v>0</v>
      </c>
      <c r="FG252" s="408">
        <v>0</v>
      </c>
      <c r="FH252" s="408">
        <v>0</v>
      </c>
      <c r="FI252" s="408">
        <v>0</v>
      </c>
    </row>
    <row r="253" spans="1:165">
      <c r="A253" s="408">
        <v>251</v>
      </c>
      <c r="B253" s="408" t="s">
        <v>1035</v>
      </c>
      <c r="C253" s="408" t="s">
        <v>2241</v>
      </c>
      <c r="D253" s="408" t="s">
        <v>596</v>
      </c>
      <c r="E253" s="408" t="s">
        <v>1000</v>
      </c>
      <c r="F253" s="408" t="s">
        <v>2248</v>
      </c>
      <c r="G253" s="408" t="s">
        <v>1321</v>
      </c>
      <c r="H253" s="408" t="s">
        <v>1321</v>
      </c>
      <c r="I253" s="408" t="s">
        <v>1321</v>
      </c>
      <c r="J253" s="408" t="s">
        <v>2234</v>
      </c>
      <c r="K253" s="828">
        <v>44562</v>
      </c>
      <c r="L253" s="408">
        <v>79</v>
      </c>
      <c r="M253" s="408">
        <v>74.260000000000005</v>
      </c>
      <c r="N253" s="408">
        <v>0</v>
      </c>
      <c r="O253" s="408">
        <v>0</v>
      </c>
      <c r="P253" s="408">
        <v>0</v>
      </c>
      <c r="Q253" s="408">
        <v>0</v>
      </c>
      <c r="R253" s="408">
        <v>47.39</v>
      </c>
      <c r="S253" s="408"/>
      <c r="T253" s="408"/>
      <c r="U253" s="408">
        <v>3743.81</v>
      </c>
      <c r="V253" s="408"/>
      <c r="W253" s="408">
        <v>3743.81</v>
      </c>
      <c r="X253" s="408">
        <v>2545.38</v>
      </c>
      <c r="Y253" s="408">
        <v>0</v>
      </c>
      <c r="Z253" s="408">
        <v>0</v>
      </c>
      <c r="AA253" s="408">
        <v>0</v>
      </c>
      <c r="AB253" s="408">
        <v>0</v>
      </c>
      <c r="AC253" s="408">
        <v>0</v>
      </c>
      <c r="AD253" s="408">
        <v>1972.6379141777902</v>
      </c>
      <c r="AE253" s="408">
        <v>1771.1695124126304</v>
      </c>
      <c r="AF253" s="408"/>
      <c r="AG253" s="408"/>
      <c r="AH253" s="408"/>
      <c r="AI253" s="408">
        <v>0</v>
      </c>
      <c r="AJ253" s="408">
        <v>0</v>
      </c>
      <c r="AK253" s="408">
        <v>0</v>
      </c>
      <c r="AL253" s="408">
        <v>0</v>
      </c>
      <c r="AM253" s="408"/>
      <c r="AN253" s="408">
        <v>0</v>
      </c>
      <c r="AO253" s="408">
        <v>0</v>
      </c>
      <c r="AP253" s="408">
        <v>0</v>
      </c>
      <c r="AQ253" s="408">
        <v>0</v>
      </c>
      <c r="AR253" s="408">
        <v>0</v>
      </c>
      <c r="AS253" s="408"/>
      <c r="AT253" s="408"/>
      <c r="AU253" s="408">
        <v>0</v>
      </c>
      <c r="AV253" s="408">
        <v>0</v>
      </c>
      <c r="AW253" s="408">
        <v>0</v>
      </c>
      <c r="AX253" s="408"/>
      <c r="AY253" s="408"/>
      <c r="AZ253" s="408">
        <v>0</v>
      </c>
      <c r="BA253" s="408"/>
      <c r="BB253" s="408">
        <v>0</v>
      </c>
      <c r="BC253" s="408">
        <v>0</v>
      </c>
      <c r="BD253" s="408">
        <v>0</v>
      </c>
      <c r="BE253" s="408">
        <v>0</v>
      </c>
      <c r="BF253" s="408"/>
      <c r="BG253" s="408">
        <v>0</v>
      </c>
      <c r="BH253" s="408">
        <v>0</v>
      </c>
      <c r="BI253" s="408">
        <v>20.64</v>
      </c>
      <c r="BJ253" s="408">
        <v>95.26</v>
      </c>
      <c r="BK253" s="408">
        <v>5115.13</v>
      </c>
      <c r="BL253" s="408">
        <v>1</v>
      </c>
      <c r="BM253" s="408"/>
      <c r="BN253" s="408"/>
      <c r="BO253" s="408"/>
      <c r="BP253" s="408"/>
      <c r="BQ253" s="408">
        <v>152.72279999999984</v>
      </c>
      <c r="BR253" s="408"/>
      <c r="BS253" s="408"/>
      <c r="BT253" s="408"/>
      <c r="BU253" s="408"/>
      <c r="BV253" s="408">
        <v>0</v>
      </c>
      <c r="BW253" s="408"/>
      <c r="BX253" s="408"/>
      <c r="BY253" s="408"/>
      <c r="BZ253" s="408"/>
      <c r="CA253" s="408"/>
      <c r="CB253" s="408"/>
      <c r="CC253" s="408"/>
      <c r="CD253" s="408"/>
      <c r="CE253" s="408"/>
      <c r="CF253" s="408"/>
      <c r="CG253" s="408"/>
      <c r="CH253" s="408"/>
      <c r="CI253" s="408">
        <v>2392.6572000000001</v>
      </c>
      <c r="CJ253" s="408">
        <v>-1126.5542000000009</v>
      </c>
      <c r="CK253" s="408"/>
      <c r="CL253" s="408"/>
      <c r="CM253" s="408"/>
      <c r="CN253" s="408"/>
      <c r="CO253" s="408">
        <v>-1198.43</v>
      </c>
      <c r="CP253" s="408">
        <v>0</v>
      </c>
      <c r="CQ253" s="408">
        <v>31</v>
      </c>
      <c r="CR253" s="408">
        <v>-8.9164474416556914</v>
      </c>
      <c r="CS253" s="408">
        <v>0</v>
      </c>
      <c r="CT253" s="408">
        <v>0</v>
      </c>
      <c r="CU253" s="408">
        <v>0</v>
      </c>
      <c r="CV253" s="408">
        <v>0</v>
      </c>
      <c r="CW253" s="408"/>
      <c r="CX253" s="408"/>
      <c r="CY253" s="408"/>
      <c r="CZ253" s="408">
        <v>-8.9164474416556914</v>
      </c>
      <c r="DA253" s="408">
        <v>0</v>
      </c>
      <c r="DB253" s="408">
        <v>0</v>
      </c>
      <c r="DC253" s="408"/>
      <c r="DD253" s="408"/>
      <c r="DE253" s="408">
        <v>0</v>
      </c>
      <c r="DF253" s="408">
        <v>0</v>
      </c>
      <c r="DG253" s="408">
        <v>0</v>
      </c>
      <c r="DH253" s="408">
        <v>0</v>
      </c>
      <c r="DI253" s="408">
        <v>0</v>
      </c>
      <c r="DJ253" s="408"/>
      <c r="DK253" s="408">
        <v>0</v>
      </c>
      <c r="DL253" s="408">
        <v>0</v>
      </c>
      <c r="DM253" s="408"/>
      <c r="DN253" s="408">
        <v>0</v>
      </c>
      <c r="DO253" s="408">
        <v>0</v>
      </c>
      <c r="DP253" s="408">
        <v>0</v>
      </c>
      <c r="DQ253" s="408">
        <v>0</v>
      </c>
      <c r="DR253" s="408">
        <v>0</v>
      </c>
      <c r="DS253" s="408"/>
      <c r="DT253" s="408"/>
      <c r="DU253" s="408">
        <v>1771.1695124126304</v>
      </c>
      <c r="DV253" s="408"/>
      <c r="DW253" s="408">
        <v>0</v>
      </c>
      <c r="DX253" s="408">
        <v>0</v>
      </c>
      <c r="DY253" s="408">
        <v>-1198.4299999999998</v>
      </c>
      <c r="DZ253" s="408"/>
      <c r="EA253" s="408">
        <v>0</v>
      </c>
      <c r="EB253" s="408"/>
      <c r="EC253" s="408">
        <v>-1189.6496951182394</v>
      </c>
      <c r="ED253" s="408"/>
      <c r="EE253" s="408">
        <v>0</v>
      </c>
      <c r="EF253" s="408">
        <v>0</v>
      </c>
      <c r="EG253" s="408"/>
      <c r="EH253" s="408">
        <v>0</v>
      </c>
      <c r="EI253" s="408">
        <v>0</v>
      </c>
      <c r="EJ253" s="408">
        <v>0</v>
      </c>
      <c r="EK253" s="408">
        <v>0</v>
      </c>
      <c r="EL253" s="408">
        <v>0</v>
      </c>
      <c r="EM253" s="408"/>
      <c r="EN253" s="408"/>
      <c r="EO253" s="408">
        <v>0</v>
      </c>
      <c r="EP253" s="408">
        <v>0</v>
      </c>
      <c r="EQ253" s="408"/>
      <c r="ER253" s="408">
        <v>0</v>
      </c>
      <c r="ES253" s="408"/>
      <c r="ET253" s="408">
        <v>0</v>
      </c>
      <c r="EU253" s="408"/>
      <c r="EV253" s="408">
        <v>257</v>
      </c>
      <c r="EW253" s="408"/>
      <c r="EX253" s="408"/>
      <c r="EY253" s="408"/>
      <c r="EZ253" s="408"/>
      <c r="FA253" s="408">
        <v>0</v>
      </c>
      <c r="FB253" s="408"/>
      <c r="FC253" s="408"/>
      <c r="FD253" s="408"/>
      <c r="FE253" s="408"/>
      <c r="FF253" s="408">
        <v>0</v>
      </c>
      <c r="FG253" s="408">
        <v>0</v>
      </c>
      <c r="FH253" s="408">
        <v>0</v>
      </c>
      <c r="FI253" s="408">
        <v>0</v>
      </c>
    </row>
    <row r="254" spans="1:165">
      <c r="A254" s="408">
        <v>252</v>
      </c>
      <c r="B254" s="408" t="s">
        <v>1035</v>
      </c>
      <c r="C254" s="408" t="s">
        <v>2233</v>
      </c>
      <c r="D254" s="408" t="s">
        <v>1958</v>
      </c>
      <c r="E254" s="408" t="s">
        <v>2249</v>
      </c>
      <c r="F254" s="408" t="s">
        <v>1321</v>
      </c>
      <c r="G254" s="408" t="s">
        <v>1321</v>
      </c>
      <c r="H254" s="408" t="s">
        <v>1321</v>
      </c>
      <c r="I254" s="408" t="s">
        <v>1321</v>
      </c>
      <c r="J254" s="408" t="s">
        <v>2234</v>
      </c>
      <c r="K254" s="828">
        <v>44562</v>
      </c>
      <c r="L254" s="408">
        <v>0</v>
      </c>
      <c r="M254" s="408">
        <v>0</v>
      </c>
      <c r="N254" s="408">
        <v>1.21</v>
      </c>
      <c r="O254" s="408">
        <v>1.21</v>
      </c>
      <c r="P254" s="408">
        <v>1.21</v>
      </c>
      <c r="Q254" s="408">
        <v>1.21</v>
      </c>
      <c r="R254" s="408"/>
      <c r="S254" s="408">
        <v>710.91</v>
      </c>
      <c r="T254" s="408">
        <v>256.55</v>
      </c>
      <c r="U254" s="408"/>
      <c r="V254" s="408">
        <v>1170.6265999999998</v>
      </c>
      <c r="W254" s="408">
        <v>1170.6265999999998</v>
      </c>
      <c r="X254" s="408">
        <v>799.12030000000004</v>
      </c>
      <c r="Y254" s="408">
        <v>0</v>
      </c>
      <c r="Z254" s="408">
        <v>74.38436449153717</v>
      </c>
      <c r="AA254" s="408">
        <v>0</v>
      </c>
      <c r="AB254" s="408">
        <v>0</v>
      </c>
      <c r="AC254" s="408">
        <v>0</v>
      </c>
      <c r="AD254" s="408">
        <v>148.9301756620801</v>
      </c>
      <c r="AE254" s="408">
        <v>577.0611746392118</v>
      </c>
      <c r="AF254" s="408">
        <v>310.42855129578294</v>
      </c>
      <c r="AG254" s="408">
        <v>0</v>
      </c>
      <c r="AH254" s="408">
        <v>0</v>
      </c>
      <c r="AI254" s="408">
        <v>0</v>
      </c>
      <c r="AJ254" s="408">
        <v>0</v>
      </c>
      <c r="AK254" s="408">
        <v>0</v>
      </c>
      <c r="AL254" s="408">
        <v>11.500159144060644</v>
      </c>
      <c r="AM254" s="408"/>
      <c r="AN254" s="408">
        <v>2.6569236220449612</v>
      </c>
      <c r="AO254" s="408">
        <v>0</v>
      </c>
      <c r="AP254" s="408">
        <v>0</v>
      </c>
      <c r="AQ254" s="408">
        <v>0</v>
      </c>
      <c r="AR254" s="408">
        <v>0</v>
      </c>
      <c r="AS254" s="408">
        <v>0</v>
      </c>
      <c r="AT254" s="408">
        <v>0</v>
      </c>
      <c r="AU254" s="408">
        <v>0</v>
      </c>
      <c r="AV254" s="408">
        <v>0</v>
      </c>
      <c r="AW254" s="408">
        <v>0</v>
      </c>
      <c r="AX254" s="408">
        <v>0</v>
      </c>
      <c r="AY254" s="408">
        <v>0</v>
      </c>
      <c r="AZ254" s="408">
        <v>0</v>
      </c>
      <c r="BA254" s="408"/>
      <c r="BB254" s="408">
        <v>0</v>
      </c>
      <c r="BC254" s="408">
        <v>0</v>
      </c>
      <c r="BD254" s="408">
        <v>1.803287599439767</v>
      </c>
      <c r="BE254" s="408">
        <v>0</v>
      </c>
      <c r="BF254" s="408">
        <v>0</v>
      </c>
      <c r="BG254" s="408">
        <v>43.866616752562692</v>
      </c>
      <c r="BH254" s="408">
        <v>0</v>
      </c>
      <c r="BI254" s="408">
        <v>1.32</v>
      </c>
      <c r="BJ254" s="408">
        <v>6.2</v>
      </c>
      <c r="BK254" s="408">
        <v>326.12</v>
      </c>
      <c r="BL254" s="408">
        <v>5</v>
      </c>
      <c r="BM254" s="408"/>
      <c r="BN254" s="408"/>
      <c r="BO254" s="408"/>
      <c r="BP254" s="408"/>
      <c r="BQ254" s="408"/>
      <c r="BR254" s="408"/>
      <c r="BS254" s="408"/>
      <c r="BT254" s="408"/>
      <c r="BU254" s="408"/>
      <c r="BV254" s="408">
        <v>356.09845564778539</v>
      </c>
      <c r="BW254" s="408"/>
      <c r="BX254" s="408"/>
      <c r="BY254" s="408"/>
      <c r="BZ254" s="408"/>
      <c r="CA254" s="408"/>
      <c r="CB254" s="408"/>
      <c r="CC254" s="408"/>
      <c r="CD254" s="408"/>
      <c r="CE254" s="408"/>
      <c r="CF254" s="408"/>
      <c r="CG254" s="408"/>
      <c r="CH254" s="408"/>
      <c r="CI254" s="408">
        <v>799.12030000000004</v>
      </c>
      <c r="CJ254" s="408">
        <v>-371.53629999999976</v>
      </c>
      <c r="CK254" s="408"/>
      <c r="CL254" s="408"/>
      <c r="CM254" s="408"/>
      <c r="CN254" s="408"/>
      <c r="CO254" s="408">
        <v>-390.85419999999999</v>
      </c>
      <c r="CP254" s="408">
        <v>19.34790000000001</v>
      </c>
      <c r="CQ254" s="408">
        <v>31</v>
      </c>
      <c r="CR254" s="408">
        <v>16.084876227350151</v>
      </c>
      <c r="CS254" s="408">
        <v>0</v>
      </c>
      <c r="CT254" s="408">
        <v>0</v>
      </c>
      <c r="CU254" s="408">
        <v>0</v>
      </c>
      <c r="CV254" s="408">
        <v>0</v>
      </c>
      <c r="CW254" s="408">
        <v>0</v>
      </c>
      <c r="CX254" s="408">
        <v>0</v>
      </c>
      <c r="CY254" s="408">
        <v>0</v>
      </c>
      <c r="CZ254" s="408">
        <v>-0.67317376099433091</v>
      </c>
      <c r="DA254" s="408">
        <v>0</v>
      </c>
      <c r="DB254" s="408">
        <v>0</v>
      </c>
      <c r="DC254" s="408">
        <v>19.339223531645132</v>
      </c>
      <c r="DD254" s="408">
        <v>0</v>
      </c>
      <c r="DE254" s="408">
        <v>0</v>
      </c>
      <c r="DF254" s="408">
        <v>0.11234205691402765</v>
      </c>
      <c r="DG254" s="408">
        <v>2.7328230712467629</v>
      </c>
      <c r="DH254" s="408">
        <v>0</v>
      </c>
      <c r="DI254" s="408">
        <v>-4.6255064259616887</v>
      </c>
      <c r="DJ254" s="408"/>
      <c r="DK254" s="408">
        <v>0</v>
      </c>
      <c r="DL254" s="408">
        <v>0</v>
      </c>
      <c r="DM254" s="408">
        <v>0</v>
      </c>
      <c r="DN254" s="408">
        <v>0</v>
      </c>
      <c r="DO254" s="408">
        <v>-0.63104467696862443</v>
      </c>
      <c r="DP254" s="408">
        <v>-0.16978756853109145</v>
      </c>
      <c r="DQ254" s="408">
        <v>0</v>
      </c>
      <c r="DR254" s="408">
        <v>0</v>
      </c>
      <c r="DS254" s="408"/>
      <c r="DT254" s="408"/>
      <c r="DU254" s="408"/>
      <c r="DV254" s="408">
        <v>577.0611746392118</v>
      </c>
      <c r="DW254" s="408">
        <v>0</v>
      </c>
      <c r="DX254" s="408">
        <v>0</v>
      </c>
      <c r="DY254" s="408">
        <v>-390.85419999999993</v>
      </c>
      <c r="DZ254" s="408">
        <v>19.347900000000038</v>
      </c>
      <c r="EA254" s="408">
        <v>0</v>
      </c>
      <c r="EB254" s="408">
        <v>0</v>
      </c>
      <c r="EC254" s="408">
        <v>-387.59737318365558</v>
      </c>
      <c r="ED254" s="408">
        <v>0</v>
      </c>
      <c r="EE254" s="408">
        <v>0</v>
      </c>
      <c r="EF254" s="408">
        <v>0</v>
      </c>
      <c r="EG254" s="408">
        <v>0</v>
      </c>
      <c r="EH254" s="408">
        <v>0</v>
      </c>
      <c r="EI254" s="408">
        <v>0</v>
      </c>
      <c r="EJ254" s="408">
        <v>0</v>
      </c>
      <c r="EK254" s="408">
        <v>0</v>
      </c>
      <c r="EL254" s="408">
        <v>0</v>
      </c>
      <c r="EM254" s="408">
        <v>0</v>
      </c>
      <c r="EN254" s="408">
        <v>0</v>
      </c>
      <c r="EO254" s="408">
        <v>0</v>
      </c>
      <c r="EP254" s="408">
        <v>0</v>
      </c>
      <c r="EQ254" s="408">
        <v>0</v>
      </c>
      <c r="ER254" s="408">
        <v>0</v>
      </c>
      <c r="ES254" s="408">
        <v>0</v>
      </c>
      <c r="ET254" s="408">
        <v>0</v>
      </c>
      <c r="EU254" s="408">
        <v>0</v>
      </c>
      <c r="EV254" s="408">
        <v>257</v>
      </c>
      <c r="EW254" s="408">
        <v>0</v>
      </c>
      <c r="EX254" s="408">
        <v>0</v>
      </c>
      <c r="EY254" s="408">
        <v>0</v>
      </c>
      <c r="EZ254" s="408"/>
      <c r="FA254" s="408">
        <v>0</v>
      </c>
      <c r="FB254" s="408"/>
      <c r="FC254" s="408"/>
      <c r="FD254" s="408"/>
      <c r="FE254" s="408"/>
      <c r="FF254" s="408">
        <v>0</v>
      </c>
      <c r="FG254" s="408">
        <v>0</v>
      </c>
      <c r="FH254" s="408">
        <v>0</v>
      </c>
      <c r="FI254" s="408">
        <v>0</v>
      </c>
    </row>
    <row r="255" spans="1:165">
      <c r="A255" s="408">
        <v>253</v>
      </c>
      <c r="B255" s="408" t="s">
        <v>1035</v>
      </c>
      <c r="C255" s="408" t="s">
        <v>2233</v>
      </c>
      <c r="D255" s="408" t="s">
        <v>1955</v>
      </c>
      <c r="E255" s="408" t="s">
        <v>968</v>
      </c>
      <c r="F255" s="408" t="s">
        <v>968</v>
      </c>
      <c r="G255" s="408" t="s">
        <v>1321</v>
      </c>
      <c r="H255" s="408" t="s">
        <v>1321</v>
      </c>
      <c r="I255" s="408" t="s">
        <v>1321</v>
      </c>
      <c r="J255" s="408" t="s">
        <v>2234</v>
      </c>
      <c r="K255" s="828">
        <v>44593</v>
      </c>
      <c r="L255" s="408">
        <v>0</v>
      </c>
      <c r="M255" s="408">
        <v>0</v>
      </c>
      <c r="N255" s="408">
        <v>880.00599999999997</v>
      </c>
      <c r="O255" s="408">
        <v>880.00599999999997</v>
      </c>
      <c r="P255" s="408">
        <v>880.00599999999997</v>
      </c>
      <c r="Q255" s="408">
        <v>880.00599999999997</v>
      </c>
      <c r="R255" s="408"/>
      <c r="S255" s="408">
        <v>710.91</v>
      </c>
      <c r="T255" s="408">
        <v>256.55</v>
      </c>
      <c r="U255" s="408"/>
      <c r="V255" s="408">
        <v>851370.60476000002</v>
      </c>
      <c r="W255" s="408">
        <v>851370.60476000002</v>
      </c>
      <c r="X255" s="408">
        <v>581182.36257999996</v>
      </c>
      <c r="Y255" s="408">
        <v>0</v>
      </c>
      <c r="Z255" s="408">
        <v>54098.088478297235</v>
      </c>
      <c r="AA255" s="408">
        <v>0</v>
      </c>
      <c r="AB255" s="408">
        <v>0</v>
      </c>
      <c r="AC255" s="408">
        <v>0</v>
      </c>
      <c r="AD255" s="408">
        <v>108313.59352370618</v>
      </c>
      <c r="AE255" s="408">
        <v>419683.71574343322</v>
      </c>
      <c r="AF255" s="408">
        <v>225767.75843933615</v>
      </c>
      <c r="AG255" s="408">
        <v>0</v>
      </c>
      <c r="AH255" s="408">
        <v>0</v>
      </c>
      <c r="AI255" s="408">
        <v>0</v>
      </c>
      <c r="AJ255" s="408">
        <v>0</v>
      </c>
      <c r="AK255" s="408">
        <v>0</v>
      </c>
      <c r="AL255" s="408">
        <v>8363.8091303539095</v>
      </c>
      <c r="AM255" s="408"/>
      <c r="AN255" s="408">
        <v>1932.3212635878499</v>
      </c>
      <c r="AO255" s="408">
        <v>0</v>
      </c>
      <c r="AP255" s="408">
        <v>0</v>
      </c>
      <c r="AQ255" s="408">
        <v>0</v>
      </c>
      <c r="AR255" s="408">
        <v>0</v>
      </c>
      <c r="AS255" s="408">
        <v>0</v>
      </c>
      <c r="AT255" s="408">
        <v>0</v>
      </c>
      <c r="AU255" s="408">
        <v>0</v>
      </c>
      <c r="AV255" s="408">
        <v>0</v>
      </c>
      <c r="AW255" s="408">
        <v>0</v>
      </c>
      <c r="AX255" s="408">
        <v>0</v>
      </c>
      <c r="AY255" s="408">
        <v>0</v>
      </c>
      <c r="AZ255" s="408">
        <v>0</v>
      </c>
      <c r="BA255" s="408"/>
      <c r="BB255" s="408">
        <v>0</v>
      </c>
      <c r="BC255" s="408">
        <v>0</v>
      </c>
      <c r="BD255" s="408">
        <v>1311.4908324236294</v>
      </c>
      <c r="BE255" s="408">
        <v>0</v>
      </c>
      <c r="BF255" s="408">
        <v>0</v>
      </c>
      <c r="BG255" s="408">
        <v>31903.211522277423</v>
      </c>
      <c r="BH255" s="408">
        <v>0</v>
      </c>
      <c r="BI255" s="408">
        <v>2.62</v>
      </c>
      <c r="BJ255" s="408">
        <v>12.4</v>
      </c>
      <c r="BK255" s="408">
        <v>229850.2</v>
      </c>
      <c r="BL255" s="408">
        <v>5302</v>
      </c>
      <c r="BM255" s="408"/>
      <c r="BN255" s="408"/>
      <c r="BO255" s="408"/>
      <c r="BP255" s="408"/>
      <c r="BQ255" s="408"/>
      <c r="BR255" s="408"/>
      <c r="BS255" s="408"/>
      <c r="BT255" s="408"/>
      <c r="BU255" s="408"/>
      <c r="BV255" s="408">
        <v>258982.46079403718</v>
      </c>
      <c r="BW255" s="408"/>
      <c r="BX255" s="408"/>
      <c r="BY255" s="408"/>
      <c r="BZ255" s="408"/>
      <c r="CA255" s="408"/>
      <c r="CB255" s="408"/>
      <c r="CC255" s="408"/>
      <c r="CD255" s="408"/>
      <c r="CE255" s="408"/>
      <c r="CF255" s="408"/>
      <c r="CG255" s="408"/>
      <c r="CH255" s="408"/>
      <c r="CI255" s="408">
        <v>581185.00429999991</v>
      </c>
      <c r="CJ255" s="408">
        <v>-270185.63046000013</v>
      </c>
      <c r="CK255" s="408"/>
      <c r="CL255" s="408"/>
      <c r="CM255" s="408"/>
      <c r="CN255" s="408"/>
      <c r="CO255" s="408">
        <v>-284259.53811999998</v>
      </c>
      <c r="CP255" s="408">
        <v>14071.295940000007</v>
      </c>
      <c r="CQ255" s="408">
        <v>29</v>
      </c>
      <c r="CR255" s="408">
        <v>11698.171561426076</v>
      </c>
      <c r="CS255" s="408">
        <v>0</v>
      </c>
      <c r="CT255" s="408">
        <v>0</v>
      </c>
      <c r="CU255" s="408">
        <v>0</v>
      </c>
      <c r="CV255" s="408">
        <v>0</v>
      </c>
      <c r="CW255" s="408">
        <v>0</v>
      </c>
      <c r="CX255" s="408">
        <v>0</v>
      </c>
      <c r="CY255" s="408">
        <v>0</v>
      </c>
      <c r="CZ255" s="408">
        <v>-489.58425513851398</v>
      </c>
      <c r="DA255" s="408">
        <v>0</v>
      </c>
      <c r="DB255" s="408">
        <v>0</v>
      </c>
      <c r="DC255" s="408">
        <v>14064.985738172691</v>
      </c>
      <c r="DD255" s="408">
        <v>0</v>
      </c>
      <c r="DE255" s="408">
        <v>0</v>
      </c>
      <c r="DF255" s="408">
        <v>81.703871187343566</v>
      </c>
      <c r="DG255" s="408">
        <v>1987.521239368245</v>
      </c>
      <c r="DH255" s="408">
        <v>0</v>
      </c>
      <c r="DI255" s="408">
        <v>-3364.027609822173</v>
      </c>
      <c r="DJ255" s="408"/>
      <c r="DK255" s="408">
        <v>0</v>
      </c>
      <c r="DL255" s="408">
        <v>0</v>
      </c>
      <c r="DM255" s="408">
        <v>0</v>
      </c>
      <c r="DN255" s="408">
        <v>0</v>
      </c>
      <c r="DO255" s="408">
        <v>-458.94471239706672</v>
      </c>
      <c r="DP255" s="408">
        <v>-123.48270994443965</v>
      </c>
      <c r="DQ255" s="408">
        <v>0</v>
      </c>
      <c r="DR255" s="408">
        <v>0</v>
      </c>
      <c r="DS255" s="408"/>
      <c r="DT255" s="408"/>
      <c r="DU255" s="408"/>
      <c r="DV255" s="408">
        <v>419683.71574343322</v>
      </c>
      <c r="DW255" s="408">
        <v>0</v>
      </c>
      <c r="DX255" s="408">
        <v>0</v>
      </c>
      <c r="DY255" s="408">
        <v>-284259.53811999998</v>
      </c>
      <c r="DZ255" s="408">
        <v>14071.295940000011</v>
      </c>
      <c r="EA255" s="408">
        <v>0</v>
      </c>
      <c r="EB255" s="408">
        <v>0</v>
      </c>
      <c r="EC255" s="408">
        <v>-281890.92064946773</v>
      </c>
      <c r="ED255" s="408">
        <v>0</v>
      </c>
      <c r="EE255" s="408">
        <v>0</v>
      </c>
      <c r="EF255" s="408">
        <v>0</v>
      </c>
      <c r="EG255" s="408">
        <v>0</v>
      </c>
      <c r="EH255" s="408">
        <v>0</v>
      </c>
      <c r="EI255" s="408">
        <v>0</v>
      </c>
      <c r="EJ255" s="408">
        <v>0</v>
      </c>
      <c r="EK255" s="408">
        <v>0</v>
      </c>
      <c r="EL255" s="408">
        <v>0</v>
      </c>
      <c r="EM255" s="408">
        <v>0</v>
      </c>
      <c r="EN255" s="408">
        <v>0</v>
      </c>
      <c r="EO255" s="408">
        <v>0</v>
      </c>
      <c r="EP255" s="408">
        <v>0</v>
      </c>
      <c r="EQ255" s="408">
        <v>0</v>
      </c>
      <c r="ER255" s="408">
        <v>0</v>
      </c>
      <c r="ES255" s="408">
        <v>0</v>
      </c>
      <c r="ET255" s="408">
        <v>0</v>
      </c>
      <c r="EU255" s="408">
        <v>0</v>
      </c>
      <c r="EV255" s="408">
        <v>257</v>
      </c>
      <c r="EW255" s="408">
        <v>0</v>
      </c>
      <c r="EX255" s="408">
        <v>0</v>
      </c>
      <c r="EY255" s="408">
        <v>0</v>
      </c>
      <c r="EZ255" s="408"/>
      <c r="FA255" s="408">
        <v>0</v>
      </c>
      <c r="FB255" s="408"/>
      <c r="FC255" s="408"/>
      <c r="FD255" s="408"/>
      <c r="FE255" s="408"/>
      <c r="FF255" s="408">
        <v>0</v>
      </c>
      <c r="FG255" s="408">
        <v>0</v>
      </c>
      <c r="FH255" s="408">
        <v>0</v>
      </c>
      <c r="FI255" s="408">
        <v>0</v>
      </c>
    </row>
    <row r="256" spans="1:165">
      <c r="A256" s="408">
        <v>254</v>
      </c>
      <c r="B256" s="408" t="s">
        <v>2235</v>
      </c>
      <c r="C256" s="408" t="s">
        <v>2233</v>
      </c>
      <c r="D256" s="408" t="s">
        <v>1955</v>
      </c>
      <c r="E256" s="408" t="s">
        <v>968</v>
      </c>
      <c r="F256" s="408" t="s">
        <v>968</v>
      </c>
      <c r="G256" s="408" t="s">
        <v>1321</v>
      </c>
      <c r="H256" s="408" t="s">
        <v>1321</v>
      </c>
      <c r="I256" s="408" t="s">
        <v>1321</v>
      </c>
      <c r="J256" s="408" t="s">
        <v>2234</v>
      </c>
      <c r="K256" s="828">
        <v>44593</v>
      </c>
      <c r="L256" s="408">
        <v>0</v>
      </c>
      <c r="M256" s="408">
        <v>0</v>
      </c>
      <c r="N256" s="408">
        <v>-1.0429999999999999</v>
      </c>
      <c r="O256" s="408">
        <v>-1.0429999999999999</v>
      </c>
      <c r="P256" s="408">
        <v>-1.0429999999999999</v>
      </c>
      <c r="Q256" s="408">
        <v>-1.0429999999999999</v>
      </c>
      <c r="R256" s="408"/>
      <c r="S256" s="408">
        <v>710.91</v>
      </c>
      <c r="T256" s="408">
        <v>256.55</v>
      </c>
      <c r="U256" s="408"/>
      <c r="V256" s="408">
        <v>-1009.0607799999999</v>
      </c>
      <c r="W256" s="408">
        <v>-1009.0607799999999</v>
      </c>
      <c r="X256" s="408">
        <v>-688.82848999999999</v>
      </c>
      <c r="Y256" s="408">
        <v>0</v>
      </c>
      <c r="Z256" s="408">
        <v>-64.118092698077078</v>
      </c>
      <c r="AA256" s="408">
        <v>0</v>
      </c>
      <c r="AB256" s="408">
        <v>0</v>
      </c>
      <c r="AC256" s="408">
        <v>0</v>
      </c>
      <c r="AD256" s="408">
        <v>-128.37534976491699</v>
      </c>
      <c r="AE256" s="408">
        <v>-497.41719433776683</v>
      </c>
      <c r="AF256" s="408">
        <v>-267.58428016653022</v>
      </c>
      <c r="AG256" s="408">
        <v>0</v>
      </c>
      <c r="AH256" s="408">
        <v>0</v>
      </c>
      <c r="AI256" s="408">
        <v>0</v>
      </c>
      <c r="AJ256" s="408">
        <v>0</v>
      </c>
      <c r="AK256" s="408">
        <v>0</v>
      </c>
      <c r="AL256" s="408">
        <v>-9.9129470969051656</v>
      </c>
      <c r="AM256" s="408"/>
      <c r="AN256" s="408">
        <v>-2.2902242461098301</v>
      </c>
      <c r="AO256" s="408">
        <v>0</v>
      </c>
      <c r="AP256" s="408">
        <v>0</v>
      </c>
      <c r="AQ256" s="408">
        <v>0</v>
      </c>
      <c r="AR256" s="408">
        <v>0</v>
      </c>
      <c r="AS256" s="408">
        <v>0</v>
      </c>
      <c r="AT256" s="408">
        <v>0</v>
      </c>
      <c r="AU256" s="408">
        <v>0</v>
      </c>
      <c r="AV256" s="408">
        <v>0</v>
      </c>
      <c r="AW256" s="408">
        <v>0</v>
      </c>
      <c r="AX256" s="408">
        <v>0</v>
      </c>
      <c r="AY256" s="408">
        <v>0</v>
      </c>
      <c r="AZ256" s="408">
        <v>0</v>
      </c>
      <c r="BA256" s="408"/>
      <c r="BB256" s="408">
        <v>0</v>
      </c>
      <c r="BC256" s="408">
        <v>0</v>
      </c>
      <c r="BD256" s="408">
        <v>-1.5544041043104768</v>
      </c>
      <c r="BE256" s="408">
        <v>0</v>
      </c>
      <c r="BF256" s="408">
        <v>0</v>
      </c>
      <c r="BG256" s="408">
        <v>-37.812298572663543</v>
      </c>
      <c r="BH256" s="408">
        <v>0</v>
      </c>
      <c r="BI256" s="408">
        <v>-1.1599999999999999</v>
      </c>
      <c r="BJ256" s="408">
        <v>-5.34</v>
      </c>
      <c r="BK256" s="408">
        <v>-287.02</v>
      </c>
      <c r="BL256" s="408">
        <v>0</v>
      </c>
      <c r="BM256" s="408"/>
      <c r="BN256" s="408"/>
      <c r="BO256" s="408"/>
      <c r="BP256" s="408"/>
      <c r="BQ256" s="408"/>
      <c r="BR256" s="408"/>
      <c r="BS256" s="408"/>
      <c r="BT256" s="408"/>
      <c r="BU256" s="408"/>
      <c r="BV256" s="408">
        <v>-306.95098284350428</v>
      </c>
      <c r="BW256" s="408"/>
      <c r="BX256" s="408"/>
      <c r="BY256" s="408"/>
      <c r="BZ256" s="408"/>
      <c r="CA256" s="408"/>
      <c r="CB256" s="408"/>
      <c r="CC256" s="408"/>
      <c r="CD256" s="408"/>
      <c r="CE256" s="408"/>
      <c r="CF256" s="408"/>
      <c r="CG256" s="408"/>
      <c r="CH256" s="408"/>
      <c r="CI256" s="408">
        <v>-686.84720000000004</v>
      </c>
      <c r="CJ256" s="408">
        <v>322.18357999999989</v>
      </c>
      <c r="CK256" s="408"/>
      <c r="CL256" s="408"/>
      <c r="CM256" s="408"/>
      <c r="CN256" s="408"/>
      <c r="CO256" s="408">
        <v>336.90985999999998</v>
      </c>
      <c r="CP256" s="408">
        <v>-16.67757000000001</v>
      </c>
      <c r="CQ256" s="408">
        <v>29</v>
      </c>
      <c r="CR256" s="408">
        <v>-13.864897442252982</v>
      </c>
      <c r="CS256" s="408">
        <v>0</v>
      </c>
      <c r="CT256" s="408">
        <v>0</v>
      </c>
      <c r="CU256" s="408">
        <v>0</v>
      </c>
      <c r="CV256" s="408">
        <v>0</v>
      </c>
      <c r="CW256" s="408">
        <v>0</v>
      </c>
      <c r="CX256" s="408">
        <v>0</v>
      </c>
      <c r="CY256" s="408">
        <v>0</v>
      </c>
      <c r="CZ256" s="408">
        <v>0.58026465513810876</v>
      </c>
      <c r="DA256" s="408">
        <v>0</v>
      </c>
      <c r="DB256" s="408">
        <v>0</v>
      </c>
      <c r="DC256" s="408">
        <v>-16.67009102769083</v>
      </c>
      <c r="DD256" s="408">
        <v>0</v>
      </c>
      <c r="DE256" s="408">
        <v>0</v>
      </c>
      <c r="DF256" s="408">
        <v>-9.6836996166389078E-2</v>
      </c>
      <c r="DG256" s="408">
        <v>-2.3556483167854267</v>
      </c>
      <c r="DH256" s="408">
        <v>0</v>
      </c>
      <c r="DI256" s="408">
        <v>3.987110084527302</v>
      </c>
      <c r="DJ256" s="408"/>
      <c r="DK256" s="408">
        <v>0</v>
      </c>
      <c r="DL256" s="408">
        <v>0</v>
      </c>
      <c r="DM256" s="408">
        <v>0</v>
      </c>
      <c r="DN256" s="408">
        <v>0</v>
      </c>
      <c r="DO256" s="408">
        <v>0.54395008105642439</v>
      </c>
      <c r="DP256" s="408">
        <v>0.14635407766770925</v>
      </c>
      <c r="DQ256" s="408">
        <v>0</v>
      </c>
      <c r="DR256" s="408">
        <v>0</v>
      </c>
      <c r="DS256" s="408"/>
      <c r="DT256" s="408"/>
      <c r="DU256" s="408"/>
      <c r="DV256" s="408">
        <v>-497.41719433776683</v>
      </c>
      <c r="DW256" s="408">
        <v>0</v>
      </c>
      <c r="DX256" s="408">
        <v>0</v>
      </c>
      <c r="DY256" s="408">
        <v>336.90985999999998</v>
      </c>
      <c r="DZ256" s="408">
        <v>-16.67757000000006</v>
      </c>
      <c r="EA256" s="408">
        <v>0</v>
      </c>
      <c r="EB256" s="408">
        <v>0</v>
      </c>
      <c r="EC256" s="408">
        <v>334.1025291161593</v>
      </c>
      <c r="ED256" s="408">
        <v>0</v>
      </c>
      <c r="EE256" s="408">
        <v>0</v>
      </c>
      <c r="EF256" s="408">
        <v>0</v>
      </c>
      <c r="EG256" s="408">
        <v>0</v>
      </c>
      <c r="EH256" s="408">
        <v>0</v>
      </c>
      <c r="EI256" s="408">
        <v>0</v>
      </c>
      <c r="EJ256" s="408">
        <v>0</v>
      </c>
      <c r="EK256" s="408">
        <v>0</v>
      </c>
      <c r="EL256" s="408">
        <v>0</v>
      </c>
      <c r="EM256" s="408">
        <v>0</v>
      </c>
      <c r="EN256" s="408">
        <v>0</v>
      </c>
      <c r="EO256" s="408">
        <v>0</v>
      </c>
      <c r="EP256" s="408">
        <v>0</v>
      </c>
      <c r="EQ256" s="408">
        <v>0</v>
      </c>
      <c r="ER256" s="408">
        <v>0</v>
      </c>
      <c r="ES256" s="408">
        <v>0</v>
      </c>
      <c r="ET256" s="408">
        <v>0</v>
      </c>
      <c r="EU256" s="408">
        <v>0</v>
      </c>
      <c r="EV256" s="408">
        <v>257</v>
      </c>
      <c r="EW256" s="408">
        <v>0</v>
      </c>
      <c r="EX256" s="408">
        <v>0</v>
      </c>
      <c r="EY256" s="408">
        <v>0</v>
      </c>
      <c r="EZ256" s="408"/>
      <c r="FA256" s="408">
        <v>0</v>
      </c>
      <c r="FB256" s="408"/>
      <c r="FC256" s="408"/>
      <c r="FD256" s="408"/>
      <c r="FE256" s="408"/>
      <c r="FF256" s="408">
        <v>0</v>
      </c>
      <c r="FG256" s="408">
        <v>0</v>
      </c>
      <c r="FH256" s="408">
        <v>0</v>
      </c>
      <c r="FI256" s="408">
        <v>0</v>
      </c>
    </row>
    <row r="257" spans="1:165">
      <c r="A257" s="408">
        <v>255</v>
      </c>
      <c r="B257" s="408" t="s">
        <v>2236</v>
      </c>
      <c r="C257" s="408" t="s">
        <v>2233</v>
      </c>
      <c r="D257" s="408" t="s">
        <v>1955</v>
      </c>
      <c r="E257" s="408" t="s">
        <v>968</v>
      </c>
      <c r="F257" s="408" t="s">
        <v>968</v>
      </c>
      <c r="G257" s="408" t="s">
        <v>1321</v>
      </c>
      <c r="H257" s="408" t="s">
        <v>1321</v>
      </c>
      <c r="I257" s="408" t="s">
        <v>1321</v>
      </c>
      <c r="J257" s="408" t="s">
        <v>2234</v>
      </c>
      <c r="K257" s="828">
        <v>44593</v>
      </c>
      <c r="L257" s="408">
        <v>0</v>
      </c>
      <c r="M257" s="408">
        <v>0</v>
      </c>
      <c r="N257" s="408">
        <v>13.705</v>
      </c>
      <c r="O257" s="408">
        <v>13.705</v>
      </c>
      <c r="P257" s="408">
        <v>13.705</v>
      </c>
      <c r="Q257" s="408">
        <v>13.705</v>
      </c>
      <c r="R257" s="408"/>
      <c r="S257" s="408">
        <v>710.91</v>
      </c>
      <c r="T257" s="408">
        <v>256.55</v>
      </c>
      <c r="U257" s="408"/>
      <c r="V257" s="408">
        <v>13259.0393</v>
      </c>
      <c r="W257" s="408">
        <v>13259.0393</v>
      </c>
      <c r="X257" s="408">
        <v>9051.1931499999992</v>
      </c>
      <c r="Y257" s="408">
        <v>0</v>
      </c>
      <c r="Z257" s="408">
        <v>842.51050855910489</v>
      </c>
      <c r="AA257" s="408">
        <v>0</v>
      </c>
      <c r="AB257" s="408">
        <v>0</v>
      </c>
      <c r="AC257" s="408">
        <v>0</v>
      </c>
      <c r="AD257" s="408">
        <v>1686.8496342552132</v>
      </c>
      <c r="AE257" s="408">
        <v>6536.0523953970232</v>
      </c>
      <c r="AF257" s="408">
        <v>3516.0523103377727</v>
      </c>
      <c r="AG257" s="408">
        <v>0</v>
      </c>
      <c r="AH257" s="408">
        <v>0</v>
      </c>
      <c r="AI257" s="408">
        <v>0</v>
      </c>
      <c r="AJ257" s="408">
        <v>0</v>
      </c>
      <c r="AK257" s="408">
        <v>0</v>
      </c>
      <c r="AL257" s="408">
        <v>130.25593476805878</v>
      </c>
      <c r="AM257" s="408"/>
      <c r="AN257" s="408">
        <v>30.093502677790244</v>
      </c>
      <c r="AO257" s="408">
        <v>0</v>
      </c>
      <c r="AP257" s="408">
        <v>0</v>
      </c>
      <c r="AQ257" s="408">
        <v>0</v>
      </c>
      <c r="AR257" s="408">
        <v>0</v>
      </c>
      <c r="AS257" s="408">
        <v>0</v>
      </c>
      <c r="AT257" s="408">
        <v>0</v>
      </c>
      <c r="AU257" s="408">
        <v>0</v>
      </c>
      <c r="AV257" s="408">
        <v>0</v>
      </c>
      <c r="AW257" s="408">
        <v>0</v>
      </c>
      <c r="AX257" s="408">
        <v>0</v>
      </c>
      <c r="AY257" s="408">
        <v>0</v>
      </c>
      <c r="AZ257" s="408">
        <v>0</v>
      </c>
      <c r="BA257" s="408"/>
      <c r="BB257" s="408">
        <v>0</v>
      </c>
      <c r="BC257" s="408">
        <v>0</v>
      </c>
      <c r="BD257" s="408">
        <v>20.424840124233064</v>
      </c>
      <c r="BE257" s="408">
        <v>0</v>
      </c>
      <c r="BF257" s="408">
        <v>0</v>
      </c>
      <c r="BG257" s="408">
        <v>496.85287817675345</v>
      </c>
      <c r="BH257" s="408">
        <v>0</v>
      </c>
      <c r="BI257" s="408">
        <v>0</v>
      </c>
      <c r="BJ257" s="408">
        <v>0</v>
      </c>
      <c r="BK257" s="408">
        <v>7620.42</v>
      </c>
      <c r="BL257" s="408">
        <v>105</v>
      </c>
      <c r="BM257" s="408"/>
      <c r="BN257" s="408"/>
      <c r="BO257" s="408"/>
      <c r="BP257" s="408"/>
      <c r="BQ257" s="408"/>
      <c r="BR257" s="408"/>
      <c r="BS257" s="408"/>
      <c r="BT257" s="408"/>
      <c r="BU257" s="408"/>
      <c r="BV257" s="408">
        <v>4033.3300286387594</v>
      </c>
      <c r="BW257" s="408"/>
      <c r="BX257" s="408"/>
      <c r="BY257" s="408"/>
      <c r="BZ257" s="408"/>
      <c r="CA257" s="408"/>
      <c r="CB257" s="408"/>
      <c r="CC257" s="408"/>
      <c r="CD257" s="408"/>
      <c r="CE257" s="408"/>
      <c r="CF257" s="408"/>
      <c r="CG257" s="408"/>
      <c r="CH257" s="408"/>
      <c r="CI257" s="408">
        <v>9054.4953000000005</v>
      </c>
      <c r="CJ257" s="408">
        <v>-4204.5740000000005</v>
      </c>
      <c r="CK257" s="408"/>
      <c r="CL257" s="408"/>
      <c r="CM257" s="408"/>
      <c r="CN257" s="408"/>
      <c r="CO257" s="408">
        <v>-4426.9890999999998</v>
      </c>
      <c r="CP257" s="408">
        <v>219.14295000000013</v>
      </c>
      <c r="CQ257" s="408">
        <v>29</v>
      </c>
      <c r="CR257" s="408">
        <v>182.1844865254825</v>
      </c>
      <c r="CS257" s="408">
        <v>0</v>
      </c>
      <c r="CT257" s="408">
        <v>0</v>
      </c>
      <c r="CU257" s="408">
        <v>0</v>
      </c>
      <c r="CV257" s="408">
        <v>0</v>
      </c>
      <c r="CW257" s="408">
        <v>0</v>
      </c>
      <c r="CX257" s="408">
        <v>0</v>
      </c>
      <c r="CY257" s="408">
        <v>0</v>
      </c>
      <c r="CZ257" s="408">
        <v>-7.6246664416755721</v>
      </c>
      <c r="DA257" s="408">
        <v>0</v>
      </c>
      <c r="DB257" s="408">
        <v>0</v>
      </c>
      <c r="DC257" s="408">
        <v>219.04467644727038</v>
      </c>
      <c r="DD257" s="408">
        <v>0</v>
      </c>
      <c r="DE257" s="408">
        <v>0</v>
      </c>
      <c r="DF257" s="408">
        <v>1.2724362727328504</v>
      </c>
      <c r="DG257" s="408">
        <v>30.953173711931356</v>
      </c>
      <c r="DH257" s="408">
        <v>0</v>
      </c>
      <c r="DI257" s="408">
        <v>-52.390550056037</v>
      </c>
      <c r="DJ257" s="408"/>
      <c r="DK257" s="408">
        <v>0</v>
      </c>
      <c r="DL257" s="408">
        <v>0</v>
      </c>
      <c r="DM257" s="408">
        <v>0</v>
      </c>
      <c r="DN257" s="408">
        <v>0</v>
      </c>
      <c r="DO257" s="408">
        <v>-7.1474936345909015</v>
      </c>
      <c r="DP257" s="408">
        <v>-1.9230897741476092</v>
      </c>
      <c r="DQ257" s="408">
        <v>0</v>
      </c>
      <c r="DR257" s="408">
        <v>0</v>
      </c>
      <c r="DS257" s="408"/>
      <c r="DT257" s="408"/>
      <c r="DU257" s="408"/>
      <c r="DV257" s="408">
        <v>6536.0523953970232</v>
      </c>
      <c r="DW257" s="408">
        <v>0</v>
      </c>
      <c r="DX257" s="408">
        <v>0</v>
      </c>
      <c r="DY257" s="408">
        <v>-4426.9890999999998</v>
      </c>
      <c r="DZ257" s="408">
        <v>219.14295000000038</v>
      </c>
      <c r="EA257" s="408">
        <v>0</v>
      </c>
      <c r="EB257" s="408">
        <v>0</v>
      </c>
      <c r="EC257" s="408">
        <v>-4390.1008260181825</v>
      </c>
      <c r="ED257" s="408">
        <v>0</v>
      </c>
      <c r="EE257" s="408">
        <v>0</v>
      </c>
      <c r="EF257" s="408">
        <v>0</v>
      </c>
      <c r="EG257" s="408">
        <v>0</v>
      </c>
      <c r="EH257" s="408">
        <v>0</v>
      </c>
      <c r="EI257" s="408">
        <v>0</v>
      </c>
      <c r="EJ257" s="408">
        <v>0</v>
      </c>
      <c r="EK257" s="408">
        <v>0</v>
      </c>
      <c r="EL257" s="408">
        <v>0</v>
      </c>
      <c r="EM257" s="408">
        <v>0</v>
      </c>
      <c r="EN257" s="408">
        <v>0</v>
      </c>
      <c r="EO257" s="408">
        <v>0</v>
      </c>
      <c r="EP257" s="408">
        <v>0</v>
      </c>
      <c r="EQ257" s="408">
        <v>0</v>
      </c>
      <c r="ER257" s="408">
        <v>0</v>
      </c>
      <c r="ES257" s="408">
        <v>0</v>
      </c>
      <c r="ET257" s="408">
        <v>0</v>
      </c>
      <c r="EU257" s="408">
        <v>0</v>
      </c>
      <c r="EV257" s="408">
        <v>257</v>
      </c>
      <c r="EW257" s="408">
        <v>0</v>
      </c>
      <c r="EX257" s="408">
        <v>0</v>
      </c>
      <c r="EY257" s="408">
        <v>0</v>
      </c>
      <c r="EZ257" s="408"/>
      <c r="FA257" s="408">
        <v>0</v>
      </c>
      <c r="FB257" s="408"/>
      <c r="FC257" s="408"/>
      <c r="FD257" s="408"/>
      <c r="FE257" s="408"/>
      <c r="FF257" s="408">
        <v>0</v>
      </c>
      <c r="FG257" s="408">
        <v>0</v>
      </c>
      <c r="FH257" s="408">
        <v>0</v>
      </c>
      <c r="FI257" s="408">
        <v>0</v>
      </c>
    </row>
    <row r="258" spans="1:165">
      <c r="A258" s="408">
        <v>256</v>
      </c>
      <c r="B258" s="408" t="s">
        <v>1035</v>
      </c>
      <c r="C258" s="408" t="s">
        <v>2233</v>
      </c>
      <c r="D258" s="408" t="s">
        <v>1955</v>
      </c>
      <c r="E258" s="408" t="s">
        <v>968</v>
      </c>
      <c r="F258" s="408" t="s">
        <v>2237</v>
      </c>
      <c r="G258" s="408" t="s">
        <v>1321</v>
      </c>
      <c r="H258" s="408" t="s">
        <v>1321</v>
      </c>
      <c r="I258" s="408" t="s">
        <v>1321</v>
      </c>
      <c r="J258" s="408" t="s">
        <v>2234</v>
      </c>
      <c r="K258" s="828">
        <v>44593</v>
      </c>
      <c r="L258" s="408">
        <v>0</v>
      </c>
      <c r="M258" s="408">
        <v>0</v>
      </c>
      <c r="N258" s="408">
        <v>4.05</v>
      </c>
      <c r="O258" s="408">
        <v>4.05</v>
      </c>
      <c r="P258" s="408">
        <v>4.05</v>
      </c>
      <c r="Q258" s="408">
        <v>4.05</v>
      </c>
      <c r="R258" s="408"/>
      <c r="S258" s="408">
        <v>639.92999999999995</v>
      </c>
      <c r="T258" s="408">
        <v>256.55</v>
      </c>
      <c r="U258" s="408"/>
      <c r="V258" s="408">
        <v>3630.7439999999997</v>
      </c>
      <c r="W258" s="408">
        <v>3630.7439999999997</v>
      </c>
      <c r="X258" s="408">
        <v>2404.89</v>
      </c>
      <c r="Y258" s="408">
        <v>0</v>
      </c>
      <c r="Z258" s="408">
        <v>0</v>
      </c>
      <c r="AA258" s="408">
        <v>0</v>
      </c>
      <c r="AB258" s="408">
        <v>0</v>
      </c>
      <c r="AC258" s="408">
        <v>0</v>
      </c>
      <c r="AD258" s="408">
        <v>498.48529870365655</v>
      </c>
      <c r="AE258" s="408">
        <v>1931.485749825461</v>
      </c>
      <c r="AF258" s="408">
        <v>1039.0377130148106</v>
      </c>
      <c r="AG258" s="408">
        <v>0</v>
      </c>
      <c r="AH258" s="408">
        <v>0</v>
      </c>
      <c r="AI258" s="408">
        <v>0</v>
      </c>
      <c r="AJ258" s="408">
        <v>0</v>
      </c>
      <c r="AK258" s="408">
        <v>0</v>
      </c>
      <c r="AL258" s="408">
        <v>0</v>
      </c>
      <c r="AM258" s="408"/>
      <c r="AN258" s="408">
        <v>8.8930088175885071</v>
      </c>
      <c r="AO258" s="408">
        <v>0</v>
      </c>
      <c r="AP258" s="408">
        <v>0</v>
      </c>
      <c r="AQ258" s="408">
        <v>0</v>
      </c>
      <c r="AR258" s="408">
        <v>0</v>
      </c>
      <c r="AS258" s="408">
        <v>0</v>
      </c>
      <c r="AT258" s="408">
        <v>0</v>
      </c>
      <c r="AU258" s="408">
        <v>0</v>
      </c>
      <c r="AV258" s="408">
        <v>0</v>
      </c>
      <c r="AW258" s="408">
        <v>0</v>
      </c>
      <c r="AX258" s="408">
        <v>0</v>
      </c>
      <c r="AY258" s="408">
        <v>0</v>
      </c>
      <c r="AZ258" s="408">
        <v>0</v>
      </c>
      <c r="BA258" s="408"/>
      <c r="BB258" s="408">
        <v>0</v>
      </c>
      <c r="BC258" s="408">
        <v>0</v>
      </c>
      <c r="BD258" s="408">
        <v>6.0357973369678151</v>
      </c>
      <c r="BE258" s="408">
        <v>0</v>
      </c>
      <c r="BF258" s="408">
        <v>0</v>
      </c>
      <c r="BG258" s="408">
        <v>146.82627921312306</v>
      </c>
      <c r="BH258" s="408">
        <v>0</v>
      </c>
      <c r="BI258" s="408">
        <v>0</v>
      </c>
      <c r="BJ258" s="408">
        <v>0</v>
      </c>
      <c r="BK258" s="408">
        <v>272.07</v>
      </c>
      <c r="BL258" s="408">
        <v>2</v>
      </c>
      <c r="BM258" s="408"/>
      <c r="BN258" s="408"/>
      <c r="BO258" s="408"/>
      <c r="BP258" s="408"/>
      <c r="BQ258" s="408"/>
      <c r="BR258" s="408"/>
      <c r="BS258" s="408"/>
      <c r="BT258" s="408">
        <v>1563.1785</v>
      </c>
      <c r="BU258" s="408"/>
      <c r="BV258" s="408">
        <v>1191.8997895649015</v>
      </c>
      <c r="BW258" s="408"/>
      <c r="BX258" s="408"/>
      <c r="BY258" s="408"/>
      <c r="BZ258" s="408"/>
      <c r="CA258" s="408"/>
      <c r="CB258" s="408"/>
      <c r="CC258" s="408"/>
      <c r="CD258" s="408"/>
      <c r="CE258" s="408"/>
      <c r="CF258" s="408"/>
      <c r="CG258" s="408"/>
      <c r="CH258" s="408"/>
      <c r="CI258" s="408">
        <v>841.71149999999989</v>
      </c>
      <c r="CJ258" s="408">
        <v>-429.08699999999999</v>
      </c>
      <c r="CK258" s="408"/>
      <c r="CL258" s="408"/>
      <c r="CM258" s="408"/>
      <c r="CN258" s="408"/>
      <c r="CO258" s="408">
        <v>-1290.6134999999997</v>
      </c>
      <c r="CP258" s="408">
        <v>64.759500000000031</v>
      </c>
      <c r="CQ258" s="408">
        <v>29</v>
      </c>
      <c r="CR258" s="408">
        <v>71.432050155071238</v>
      </c>
      <c r="CS258" s="408">
        <v>0</v>
      </c>
      <c r="CT258" s="408">
        <v>0</v>
      </c>
      <c r="CU258" s="408">
        <v>0</v>
      </c>
      <c r="CV258" s="408">
        <v>0</v>
      </c>
      <c r="CW258" s="408">
        <v>0</v>
      </c>
      <c r="CX258" s="408">
        <v>0</v>
      </c>
      <c r="CY258" s="408">
        <v>0</v>
      </c>
      <c r="CZ258" s="408">
        <v>-2.2531849025017436</v>
      </c>
      <c r="DA258" s="408">
        <v>0</v>
      </c>
      <c r="DB258" s="408">
        <v>0</v>
      </c>
      <c r="DC258" s="408">
        <v>64.730458928233929</v>
      </c>
      <c r="DD258" s="408">
        <v>0</v>
      </c>
      <c r="DE258" s="408">
        <v>0</v>
      </c>
      <c r="DF258" s="408">
        <v>0.37602093429901817</v>
      </c>
      <c r="DG258" s="408">
        <v>9.1470524285531951</v>
      </c>
      <c r="DH258" s="408">
        <v>0</v>
      </c>
      <c r="DI258" s="408">
        <v>0</v>
      </c>
      <c r="DJ258" s="408"/>
      <c r="DK258" s="408">
        <v>0</v>
      </c>
      <c r="DL258" s="408">
        <v>0</v>
      </c>
      <c r="DM258" s="408">
        <v>0</v>
      </c>
      <c r="DN258" s="408">
        <v>0</v>
      </c>
      <c r="DO258" s="408">
        <v>0</v>
      </c>
      <c r="DP258" s="408">
        <v>-0.56829723351315842</v>
      </c>
      <c r="DQ258" s="408">
        <v>0</v>
      </c>
      <c r="DR258" s="408">
        <v>0</v>
      </c>
      <c r="DS258" s="408"/>
      <c r="DT258" s="408"/>
      <c r="DU258" s="408"/>
      <c r="DV258" s="408">
        <v>1931.485749825461</v>
      </c>
      <c r="DW258" s="408">
        <v>0</v>
      </c>
      <c r="DX258" s="408">
        <v>0</v>
      </c>
      <c r="DY258" s="408">
        <v>-1290.6134999999997</v>
      </c>
      <c r="DZ258" s="408">
        <v>64.759500000000116</v>
      </c>
      <c r="EA258" s="408">
        <v>0</v>
      </c>
      <c r="EB258" s="408">
        <v>0</v>
      </c>
      <c r="EC258" s="408">
        <v>-1297.3300507386821</v>
      </c>
      <c r="ED258" s="408">
        <v>0</v>
      </c>
      <c r="EE258" s="408">
        <v>0</v>
      </c>
      <c r="EF258" s="408">
        <v>0</v>
      </c>
      <c r="EG258" s="408">
        <v>0</v>
      </c>
      <c r="EH258" s="408">
        <v>0</v>
      </c>
      <c r="EI258" s="408">
        <v>0</v>
      </c>
      <c r="EJ258" s="408">
        <v>0</v>
      </c>
      <c r="EK258" s="408">
        <v>0</v>
      </c>
      <c r="EL258" s="408">
        <v>0</v>
      </c>
      <c r="EM258" s="408">
        <v>0</v>
      </c>
      <c r="EN258" s="408">
        <v>0</v>
      </c>
      <c r="EO258" s="408">
        <v>0</v>
      </c>
      <c r="EP258" s="408">
        <v>0</v>
      </c>
      <c r="EQ258" s="408">
        <v>0</v>
      </c>
      <c r="ER258" s="408">
        <v>0</v>
      </c>
      <c r="ES258" s="408">
        <v>0</v>
      </c>
      <c r="ET258" s="408">
        <v>0</v>
      </c>
      <c r="EU258" s="408">
        <v>0</v>
      </c>
      <c r="EV258" s="408">
        <v>257</v>
      </c>
      <c r="EW258" s="408">
        <v>0</v>
      </c>
      <c r="EX258" s="408">
        <v>0</v>
      </c>
      <c r="EY258" s="408">
        <v>0</v>
      </c>
      <c r="EZ258" s="408"/>
      <c r="FA258" s="408">
        <v>0</v>
      </c>
      <c r="FB258" s="408"/>
      <c r="FC258" s="408"/>
      <c r="FD258" s="408"/>
      <c r="FE258" s="408"/>
      <c r="FF258" s="408">
        <v>0</v>
      </c>
      <c r="FG258" s="408">
        <v>0</v>
      </c>
      <c r="FH258" s="408">
        <v>0</v>
      </c>
      <c r="FI258" s="408">
        <v>0</v>
      </c>
    </row>
    <row r="259" spans="1:165">
      <c r="A259" s="408">
        <v>257</v>
      </c>
      <c r="B259" s="408" t="s">
        <v>1035</v>
      </c>
      <c r="C259" s="408" t="s">
        <v>2233</v>
      </c>
      <c r="D259" s="408" t="s">
        <v>1955</v>
      </c>
      <c r="E259" s="408" t="s">
        <v>968</v>
      </c>
      <c r="F259" s="408" t="s">
        <v>2238</v>
      </c>
      <c r="G259" s="408" t="s">
        <v>1321</v>
      </c>
      <c r="H259" s="408" t="s">
        <v>1321</v>
      </c>
      <c r="I259" s="408" t="s">
        <v>1321</v>
      </c>
      <c r="J259" s="408" t="s">
        <v>2234</v>
      </c>
      <c r="K259" s="828">
        <v>44593</v>
      </c>
      <c r="L259" s="408">
        <v>0</v>
      </c>
      <c r="M259" s="408">
        <v>0</v>
      </c>
      <c r="N259" s="408">
        <v>8.7010000000000005</v>
      </c>
      <c r="O259" s="408">
        <v>8.7010000000000005</v>
      </c>
      <c r="P259" s="408">
        <v>8.7010000000000005</v>
      </c>
      <c r="Q259" s="408">
        <v>8.7010000000000005</v>
      </c>
      <c r="R259" s="408"/>
      <c r="S259" s="408">
        <v>639.92999999999995</v>
      </c>
      <c r="T259" s="408">
        <v>256.55</v>
      </c>
      <c r="U259" s="408"/>
      <c r="V259" s="408">
        <v>7800.2724799999996</v>
      </c>
      <c r="W259" s="408">
        <v>7800.2724799999996</v>
      </c>
      <c r="X259" s="408">
        <v>5166.6538</v>
      </c>
      <c r="Y259" s="408">
        <v>0</v>
      </c>
      <c r="Z259" s="408">
        <v>0</v>
      </c>
      <c r="AA259" s="408">
        <v>0</v>
      </c>
      <c r="AB259" s="408">
        <v>0</v>
      </c>
      <c r="AC259" s="408">
        <v>0</v>
      </c>
      <c r="AD259" s="408">
        <v>1070.9433540791397</v>
      </c>
      <c r="AE259" s="408">
        <v>4149.5944467237869</v>
      </c>
      <c r="AF259" s="408">
        <v>2232.2634915905846</v>
      </c>
      <c r="AG259" s="408">
        <v>0</v>
      </c>
      <c r="AH259" s="408">
        <v>0</v>
      </c>
      <c r="AI259" s="408">
        <v>0</v>
      </c>
      <c r="AJ259" s="408">
        <v>0</v>
      </c>
      <c r="AK259" s="408">
        <v>0</v>
      </c>
      <c r="AL259" s="408">
        <v>0</v>
      </c>
      <c r="AM259" s="408"/>
      <c r="AN259" s="408">
        <v>19.105696227614224</v>
      </c>
      <c r="AO259" s="408">
        <v>0</v>
      </c>
      <c r="AP259" s="408">
        <v>0</v>
      </c>
      <c r="AQ259" s="408">
        <v>0</v>
      </c>
      <c r="AR259" s="408">
        <v>0</v>
      </c>
      <c r="AS259" s="408">
        <v>0</v>
      </c>
      <c r="AT259" s="408">
        <v>0</v>
      </c>
      <c r="AU259" s="408">
        <v>0</v>
      </c>
      <c r="AV259" s="408">
        <v>0</v>
      </c>
      <c r="AW259" s="408">
        <v>0</v>
      </c>
      <c r="AX259" s="408">
        <v>0</v>
      </c>
      <c r="AY259" s="408">
        <v>0</v>
      </c>
      <c r="AZ259" s="408">
        <v>0</v>
      </c>
      <c r="BA259" s="408"/>
      <c r="BB259" s="408">
        <v>0</v>
      </c>
      <c r="BC259" s="408">
        <v>0</v>
      </c>
      <c r="BD259" s="408">
        <v>12.967277192335052</v>
      </c>
      <c r="BE259" s="408">
        <v>0</v>
      </c>
      <c r="BF259" s="408">
        <v>0</v>
      </c>
      <c r="BG259" s="408">
        <v>315.4408531934281</v>
      </c>
      <c r="BH259" s="408">
        <v>0</v>
      </c>
      <c r="BI259" s="408">
        <v>0</v>
      </c>
      <c r="BJ259" s="408">
        <v>0</v>
      </c>
      <c r="BK259" s="408">
        <v>1029.45</v>
      </c>
      <c r="BL259" s="408">
        <v>25</v>
      </c>
      <c r="BM259" s="408"/>
      <c r="BN259" s="408"/>
      <c r="BO259" s="408"/>
      <c r="BP259" s="408"/>
      <c r="BQ259" s="408"/>
      <c r="BR259" s="408"/>
      <c r="BS259" s="408"/>
      <c r="BT259" s="408">
        <v>2066.6615200000001</v>
      </c>
      <c r="BU259" s="408"/>
      <c r="BV259" s="408">
        <v>2560.671621976348</v>
      </c>
      <c r="BW259" s="408"/>
      <c r="BX259" s="408"/>
      <c r="BY259" s="408"/>
      <c r="BZ259" s="408"/>
      <c r="CA259" s="408"/>
      <c r="CB259" s="408"/>
      <c r="CC259" s="408"/>
      <c r="CD259" s="408"/>
      <c r="CE259" s="408"/>
      <c r="CF259" s="408"/>
      <c r="CG259" s="408"/>
      <c r="CH259" s="408"/>
      <c r="CI259" s="408">
        <v>3099.6359999999995</v>
      </c>
      <c r="CJ259" s="408">
        <v>-1580.5748900000008</v>
      </c>
      <c r="CK259" s="408"/>
      <c r="CL259" s="408"/>
      <c r="CM259" s="408"/>
      <c r="CN259" s="408"/>
      <c r="CO259" s="408">
        <v>-2772.7476699999997</v>
      </c>
      <c r="CP259" s="408">
        <v>139.1289900000001</v>
      </c>
      <c r="CQ259" s="408">
        <v>29</v>
      </c>
      <c r="CR259" s="408">
        <v>153.46426380228968</v>
      </c>
      <c r="CS259" s="408">
        <v>0</v>
      </c>
      <c r="CT259" s="408">
        <v>0</v>
      </c>
      <c r="CU259" s="408">
        <v>0</v>
      </c>
      <c r="CV259" s="408">
        <v>0</v>
      </c>
      <c r="CW259" s="408">
        <v>0</v>
      </c>
      <c r="CX259" s="408">
        <v>0</v>
      </c>
      <c r="CY259" s="408">
        <v>0</v>
      </c>
      <c r="CZ259" s="408">
        <v>-4.8407313176955995</v>
      </c>
      <c r="DA259" s="408">
        <v>0</v>
      </c>
      <c r="DB259" s="408">
        <v>0</v>
      </c>
      <c r="DC259" s="408">
        <v>139.06659830483022</v>
      </c>
      <c r="DD259" s="408">
        <v>0</v>
      </c>
      <c r="DE259" s="408">
        <v>0</v>
      </c>
      <c r="DF259" s="408">
        <v>0.80784151835450757</v>
      </c>
      <c r="DG259" s="408">
        <v>19.651482266874439</v>
      </c>
      <c r="DH259" s="408">
        <v>0</v>
      </c>
      <c r="DI259" s="408">
        <v>0</v>
      </c>
      <c r="DJ259" s="408"/>
      <c r="DK259" s="408">
        <v>0</v>
      </c>
      <c r="DL259" s="408">
        <v>0</v>
      </c>
      <c r="DM259" s="408">
        <v>0</v>
      </c>
      <c r="DN259" s="408">
        <v>0</v>
      </c>
      <c r="DO259" s="408">
        <v>0</v>
      </c>
      <c r="DP259" s="408">
        <v>-1.2209269700735774</v>
      </c>
      <c r="DQ259" s="408">
        <v>0</v>
      </c>
      <c r="DR259" s="408">
        <v>0</v>
      </c>
      <c r="DS259" s="408"/>
      <c r="DT259" s="408"/>
      <c r="DU259" s="408"/>
      <c r="DV259" s="408">
        <v>4149.5944467237869</v>
      </c>
      <c r="DW259" s="408">
        <v>0</v>
      </c>
      <c r="DX259" s="408">
        <v>0</v>
      </c>
      <c r="DY259" s="408">
        <v>-2772.7476699999997</v>
      </c>
      <c r="DZ259" s="408">
        <v>139.12899000000016</v>
      </c>
      <c r="EA259" s="408">
        <v>0</v>
      </c>
      <c r="EB259" s="408">
        <v>0</v>
      </c>
      <c r="EC259" s="408">
        <v>-2787.1774744388326</v>
      </c>
      <c r="ED259" s="408">
        <v>0</v>
      </c>
      <c r="EE259" s="408">
        <v>0</v>
      </c>
      <c r="EF259" s="408">
        <v>0</v>
      </c>
      <c r="EG259" s="408">
        <v>0</v>
      </c>
      <c r="EH259" s="408">
        <v>0</v>
      </c>
      <c r="EI259" s="408">
        <v>0</v>
      </c>
      <c r="EJ259" s="408">
        <v>0</v>
      </c>
      <c r="EK259" s="408">
        <v>0</v>
      </c>
      <c r="EL259" s="408">
        <v>0</v>
      </c>
      <c r="EM259" s="408">
        <v>0</v>
      </c>
      <c r="EN259" s="408">
        <v>0</v>
      </c>
      <c r="EO259" s="408">
        <v>0</v>
      </c>
      <c r="EP259" s="408">
        <v>0</v>
      </c>
      <c r="EQ259" s="408">
        <v>0</v>
      </c>
      <c r="ER259" s="408">
        <v>0</v>
      </c>
      <c r="ES259" s="408">
        <v>0</v>
      </c>
      <c r="ET259" s="408">
        <v>0</v>
      </c>
      <c r="EU259" s="408">
        <v>0</v>
      </c>
      <c r="EV259" s="408">
        <v>257</v>
      </c>
      <c r="EW259" s="408">
        <v>0</v>
      </c>
      <c r="EX259" s="408">
        <v>0</v>
      </c>
      <c r="EY259" s="408">
        <v>0</v>
      </c>
      <c r="EZ259" s="408"/>
      <c r="FA259" s="408">
        <v>0</v>
      </c>
      <c r="FB259" s="408"/>
      <c r="FC259" s="408"/>
      <c r="FD259" s="408"/>
      <c r="FE259" s="408"/>
      <c r="FF259" s="408">
        <v>0</v>
      </c>
      <c r="FG259" s="408">
        <v>0</v>
      </c>
      <c r="FH259" s="408">
        <v>0</v>
      </c>
      <c r="FI259" s="408">
        <v>0</v>
      </c>
    </row>
    <row r="260" spans="1:165">
      <c r="A260" s="408">
        <v>258</v>
      </c>
      <c r="B260" s="408" t="s">
        <v>1035</v>
      </c>
      <c r="C260" s="408" t="s">
        <v>2233</v>
      </c>
      <c r="D260" s="408" t="s">
        <v>1955</v>
      </c>
      <c r="E260" s="408" t="s">
        <v>968</v>
      </c>
      <c r="F260" s="408" t="s">
        <v>2239</v>
      </c>
      <c r="G260" s="408" t="s">
        <v>1321</v>
      </c>
      <c r="H260" s="408" t="s">
        <v>1321</v>
      </c>
      <c r="I260" s="408" t="s">
        <v>1321</v>
      </c>
      <c r="J260" s="408" t="s">
        <v>2234</v>
      </c>
      <c r="K260" s="828">
        <v>44593</v>
      </c>
      <c r="L260" s="408">
        <v>0</v>
      </c>
      <c r="M260" s="408">
        <v>0</v>
      </c>
      <c r="N260" s="408">
        <v>7</v>
      </c>
      <c r="O260" s="408">
        <v>7</v>
      </c>
      <c r="P260" s="408">
        <v>7</v>
      </c>
      <c r="Q260" s="408">
        <v>7</v>
      </c>
      <c r="R260" s="408"/>
      <c r="S260" s="408">
        <v>639.92999999999995</v>
      </c>
      <c r="T260" s="408">
        <v>256.55</v>
      </c>
      <c r="U260" s="408"/>
      <c r="V260" s="408">
        <v>6275.36</v>
      </c>
      <c r="W260" s="408">
        <v>6275.36</v>
      </c>
      <c r="X260" s="408">
        <v>4156.6000000000004</v>
      </c>
      <c r="Y260" s="408">
        <v>0</v>
      </c>
      <c r="Z260" s="408">
        <v>0</v>
      </c>
      <c r="AA260" s="408">
        <v>0</v>
      </c>
      <c r="AB260" s="408">
        <v>0</v>
      </c>
      <c r="AC260" s="408">
        <v>0</v>
      </c>
      <c r="AD260" s="408">
        <v>861.57952862360401</v>
      </c>
      <c r="AE260" s="408">
        <v>3338.3704317970933</v>
      </c>
      <c r="AF260" s="408">
        <v>1795.8676521243642</v>
      </c>
      <c r="AG260" s="408">
        <v>0</v>
      </c>
      <c r="AH260" s="408">
        <v>0</v>
      </c>
      <c r="AI260" s="408">
        <v>0</v>
      </c>
      <c r="AJ260" s="408">
        <v>0</v>
      </c>
      <c r="AK260" s="408">
        <v>0</v>
      </c>
      <c r="AL260" s="408">
        <v>0</v>
      </c>
      <c r="AM260" s="408"/>
      <c r="AN260" s="408">
        <v>15.37063252422705</v>
      </c>
      <c r="AO260" s="408">
        <v>0</v>
      </c>
      <c r="AP260" s="408">
        <v>0</v>
      </c>
      <c r="AQ260" s="408">
        <v>0</v>
      </c>
      <c r="AR260" s="408">
        <v>0</v>
      </c>
      <c r="AS260" s="408">
        <v>0</v>
      </c>
      <c r="AT260" s="408">
        <v>0</v>
      </c>
      <c r="AU260" s="408">
        <v>0</v>
      </c>
      <c r="AV260" s="408">
        <v>0</v>
      </c>
      <c r="AW260" s="408">
        <v>0</v>
      </c>
      <c r="AX260" s="408">
        <v>0</v>
      </c>
      <c r="AY260" s="408">
        <v>0</v>
      </c>
      <c r="AZ260" s="408">
        <v>0</v>
      </c>
      <c r="BA260" s="408"/>
      <c r="BB260" s="408">
        <v>0</v>
      </c>
      <c r="BC260" s="408">
        <v>0</v>
      </c>
      <c r="BD260" s="408">
        <v>10.432242310808569</v>
      </c>
      <c r="BE260" s="408">
        <v>0</v>
      </c>
      <c r="BF260" s="408">
        <v>0</v>
      </c>
      <c r="BG260" s="408">
        <v>253.7738159239164</v>
      </c>
      <c r="BH260" s="408">
        <v>0</v>
      </c>
      <c r="BI260" s="408">
        <v>0</v>
      </c>
      <c r="BJ260" s="408">
        <v>0</v>
      </c>
      <c r="BK260" s="408">
        <v>1246.92</v>
      </c>
      <c r="BL260" s="408">
        <v>80</v>
      </c>
      <c r="BM260" s="408"/>
      <c r="BN260" s="408"/>
      <c r="BO260" s="408"/>
      <c r="BP260" s="408"/>
      <c r="BQ260" s="408"/>
      <c r="BR260" s="408"/>
      <c r="BS260" s="408"/>
      <c r="BT260" s="408">
        <v>415.73000000000013</v>
      </c>
      <c r="BU260" s="408"/>
      <c r="BV260" s="408">
        <v>2060.0737103590891</v>
      </c>
      <c r="BW260" s="408"/>
      <c r="BX260" s="408"/>
      <c r="BY260" s="408"/>
      <c r="BZ260" s="408"/>
      <c r="CA260" s="408"/>
      <c r="CB260" s="408"/>
      <c r="CC260" s="408"/>
      <c r="CD260" s="408"/>
      <c r="CE260" s="408"/>
      <c r="CF260" s="408"/>
      <c r="CG260" s="408"/>
      <c r="CH260" s="408"/>
      <c r="CI260" s="408">
        <v>3740.87</v>
      </c>
      <c r="CJ260" s="408">
        <v>-1907.0400000000009</v>
      </c>
      <c r="CK260" s="408"/>
      <c r="CL260" s="408"/>
      <c r="CM260" s="408"/>
      <c r="CN260" s="408"/>
      <c r="CO260" s="408">
        <v>-2230.6899999999996</v>
      </c>
      <c r="CP260" s="408">
        <v>111.93000000000006</v>
      </c>
      <c r="CQ260" s="408">
        <v>29</v>
      </c>
      <c r="CR260" s="408">
        <v>123.46280273716047</v>
      </c>
      <c r="CS260" s="408">
        <v>0</v>
      </c>
      <c r="CT260" s="408">
        <v>0</v>
      </c>
      <c r="CU260" s="408">
        <v>0</v>
      </c>
      <c r="CV260" s="408">
        <v>0</v>
      </c>
      <c r="CW260" s="408">
        <v>0</v>
      </c>
      <c r="CX260" s="408">
        <v>0</v>
      </c>
      <c r="CY260" s="408">
        <v>0</v>
      </c>
      <c r="CZ260" s="408">
        <v>-3.8943936586450718</v>
      </c>
      <c r="DA260" s="408">
        <v>0</v>
      </c>
      <c r="DB260" s="408">
        <v>0</v>
      </c>
      <c r="DC260" s="408">
        <v>111.87980555497188</v>
      </c>
      <c r="DD260" s="408">
        <v>0</v>
      </c>
      <c r="DE260" s="408">
        <v>0</v>
      </c>
      <c r="DF260" s="408">
        <v>0.64991272594892102</v>
      </c>
      <c r="DG260" s="408">
        <v>15.80972024688208</v>
      </c>
      <c r="DH260" s="408">
        <v>0</v>
      </c>
      <c r="DI260" s="408">
        <v>0</v>
      </c>
      <c r="DJ260" s="408"/>
      <c r="DK260" s="408">
        <v>0</v>
      </c>
      <c r="DL260" s="408">
        <v>0</v>
      </c>
      <c r="DM260" s="408">
        <v>0</v>
      </c>
      <c r="DN260" s="408">
        <v>0</v>
      </c>
      <c r="DO260" s="408">
        <v>0</v>
      </c>
      <c r="DP260" s="408">
        <v>-0.98224213199805099</v>
      </c>
      <c r="DQ260" s="408">
        <v>0</v>
      </c>
      <c r="DR260" s="408">
        <v>0</v>
      </c>
      <c r="DS260" s="408"/>
      <c r="DT260" s="408"/>
      <c r="DU260" s="408"/>
      <c r="DV260" s="408">
        <v>3338.3704317970933</v>
      </c>
      <c r="DW260" s="408">
        <v>0</v>
      </c>
      <c r="DX260" s="408">
        <v>0</v>
      </c>
      <c r="DY260" s="408">
        <v>-2230.6899999999996</v>
      </c>
      <c r="DZ260" s="408">
        <v>111.93000000000006</v>
      </c>
      <c r="EA260" s="408">
        <v>0</v>
      </c>
      <c r="EB260" s="408">
        <v>0</v>
      </c>
      <c r="EC260" s="408">
        <v>-2242.2988531285864</v>
      </c>
      <c r="ED260" s="408">
        <v>0</v>
      </c>
      <c r="EE260" s="408">
        <v>0</v>
      </c>
      <c r="EF260" s="408">
        <v>0</v>
      </c>
      <c r="EG260" s="408">
        <v>0</v>
      </c>
      <c r="EH260" s="408">
        <v>0</v>
      </c>
      <c r="EI260" s="408">
        <v>0</v>
      </c>
      <c r="EJ260" s="408">
        <v>0</v>
      </c>
      <c r="EK260" s="408">
        <v>0</v>
      </c>
      <c r="EL260" s="408">
        <v>0</v>
      </c>
      <c r="EM260" s="408">
        <v>0</v>
      </c>
      <c r="EN260" s="408">
        <v>0</v>
      </c>
      <c r="EO260" s="408">
        <v>0</v>
      </c>
      <c r="EP260" s="408">
        <v>0</v>
      </c>
      <c r="EQ260" s="408">
        <v>0</v>
      </c>
      <c r="ER260" s="408">
        <v>0</v>
      </c>
      <c r="ES260" s="408">
        <v>0</v>
      </c>
      <c r="ET260" s="408">
        <v>0</v>
      </c>
      <c r="EU260" s="408">
        <v>0</v>
      </c>
      <c r="EV260" s="408">
        <v>257</v>
      </c>
      <c r="EW260" s="408">
        <v>0</v>
      </c>
      <c r="EX260" s="408">
        <v>0</v>
      </c>
      <c r="EY260" s="408">
        <v>0</v>
      </c>
      <c r="EZ260" s="408"/>
      <c r="FA260" s="408">
        <v>0</v>
      </c>
      <c r="FB260" s="408"/>
      <c r="FC260" s="408"/>
      <c r="FD260" s="408"/>
      <c r="FE260" s="408"/>
      <c r="FF260" s="408">
        <v>0</v>
      </c>
      <c r="FG260" s="408">
        <v>0</v>
      </c>
      <c r="FH260" s="408">
        <v>0</v>
      </c>
      <c r="FI260" s="408">
        <v>0</v>
      </c>
    </row>
    <row r="261" spans="1:165">
      <c r="A261" s="408">
        <v>259</v>
      </c>
      <c r="B261" s="408" t="s">
        <v>1035</v>
      </c>
      <c r="C261" s="408" t="s">
        <v>2233</v>
      </c>
      <c r="D261" s="408" t="s">
        <v>1955</v>
      </c>
      <c r="E261" s="408" t="s">
        <v>968</v>
      </c>
      <c r="F261" s="408" t="s">
        <v>2240</v>
      </c>
      <c r="G261" s="408" t="s">
        <v>1321</v>
      </c>
      <c r="H261" s="408" t="s">
        <v>1321</v>
      </c>
      <c r="I261" s="408" t="s">
        <v>1321</v>
      </c>
      <c r="J261" s="408" t="s">
        <v>2234</v>
      </c>
      <c r="K261" s="828">
        <v>44593</v>
      </c>
      <c r="L261" s="408">
        <v>0</v>
      </c>
      <c r="M261" s="408">
        <v>0</v>
      </c>
      <c r="N261" s="408">
        <v>2.5299999999999998</v>
      </c>
      <c r="O261" s="408">
        <v>2.5299999999999998</v>
      </c>
      <c r="P261" s="408">
        <v>2.5299999999999998</v>
      </c>
      <c r="Q261" s="408">
        <v>2.5299999999999998</v>
      </c>
      <c r="R261" s="408"/>
      <c r="S261" s="408">
        <v>639.92999999999995</v>
      </c>
      <c r="T261" s="408">
        <v>256.55</v>
      </c>
      <c r="U261" s="408"/>
      <c r="V261" s="408">
        <v>2268.0944</v>
      </c>
      <c r="W261" s="408">
        <v>2268.0944</v>
      </c>
      <c r="X261" s="408">
        <v>1502.3139999999999</v>
      </c>
      <c r="Y261" s="408">
        <v>0</v>
      </c>
      <c r="Z261" s="408">
        <v>0</v>
      </c>
      <c r="AA261" s="408">
        <v>0</v>
      </c>
      <c r="AB261" s="408">
        <v>0</v>
      </c>
      <c r="AC261" s="408">
        <v>0</v>
      </c>
      <c r="AD261" s="408">
        <v>311.39945820253115</v>
      </c>
      <c r="AE261" s="408">
        <v>1206.5824560638064</v>
      </c>
      <c r="AF261" s="408">
        <v>649.07787998209153</v>
      </c>
      <c r="AG261" s="408">
        <v>0</v>
      </c>
      <c r="AH261" s="408">
        <v>0</v>
      </c>
      <c r="AI261" s="408">
        <v>0</v>
      </c>
      <c r="AJ261" s="408">
        <v>0</v>
      </c>
      <c r="AK261" s="408">
        <v>0</v>
      </c>
      <c r="AL261" s="408">
        <v>0</v>
      </c>
      <c r="AM261" s="408"/>
      <c r="AN261" s="408">
        <v>5.5553857551849193</v>
      </c>
      <c r="AO261" s="408">
        <v>0</v>
      </c>
      <c r="AP261" s="408">
        <v>0</v>
      </c>
      <c r="AQ261" s="408">
        <v>0</v>
      </c>
      <c r="AR261" s="408">
        <v>0</v>
      </c>
      <c r="AS261" s="408">
        <v>0</v>
      </c>
      <c r="AT261" s="408">
        <v>0</v>
      </c>
      <c r="AU261" s="408">
        <v>0</v>
      </c>
      <c r="AV261" s="408">
        <v>0</v>
      </c>
      <c r="AW261" s="408">
        <v>0</v>
      </c>
      <c r="AX261" s="408">
        <v>0</v>
      </c>
      <c r="AY261" s="408">
        <v>0</v>
      </c>
      <c r="AZ261" s="408">
        <v>0</v>
      </c>
      <c r="BA261" s="408"/>
      <c r="BB261" s="408">
        <v>0</v>
      </c>
      <c r="BC261" s="408">
        <v>0</v>
      </c>
      <c r="BD261" s="408">
        <v>3.7705104351922398</v>
      </c>
      <c r="BE261" s="408">
        <v>0</v>
      </c>
      <c r="BF261" s="408">
        <v>0</v>
      </c>
      <c r="BG261" s="408">
        <v>91.721107755358346</v>
      </c>
      <c r="BH261" s="408">
        <v>0</v>
      </c>
      <c r="BI261" s="408">
        <v>0</v>
      </c>
      <c r="BJ261" s="408">
        <v>0</v>
      </c>
      <c r="BK261" s="408">
        <v>500.64</v>
      </c>
      <c r="BL261" s="408">
        <v>28</v>
      </c>
      <c r="BM261" s="408"/>
      <c r="BN261" s="408"/>
      <c r="BO261" s="408"/>
      <c r="BP261" s="408"/>
      <c r="BQ261" s="408"/>
      <c r="BR261" s="408"/>
      <c r="BS261" s="408"/>
      <c r="BT261" s="408"/>
      <c r="BU261" s="408"/>
      <c r="BV261" s="408">
        <v>744.56949817264217</v>
      </c>
      <c r="BW261" s="408"/>
      <c r="BX261" s="408"/>
      <c r="BY261" s="408"/>
      <c r="BZ261" s="408"/>
      <c r="CA261" s="408"/>
      <c r="CB261" s="408"/>
      <c r="CC261" s="408"/>
      <c r="CD261" s="408"/>
      <c r="CE261" s="408"/>
      <c r="CF261" s="408"/>
      <c r="CG261" s="408"/>
      <c r="CH261" s="408"/>
      <c r="CI261" s="408">
        <v>1502.3139999999999</v>
      </c>
      <c r="CJ261" s="408">
        <v>-765.81039999999985</v>
      </c>
      <c r="CK261" s="408"/>
      <c r="CL261" s="408"/>
      <c r="CM261" s="408"/>
      <c r="CN261" s="408"/>
      <c r="CO261" s="408">
        <v>-806.23509999999987</v>
      </c>
      <c r="CP261" s="408">
        <v>40.454700000000017</v>
      </c>
      <c r="CQ261" s="408">
        <v>29</v>
      </c>
      <c r="CR261" s="408">
        <v>44.622984417859243</v>
      </c>
      <c r="CS261" s="408">
        <v>0</v>
      </c>
      <c r="CT261" s="408">
        <v>0</v>
      </c>
      <c r="CU261" s="408">
        <v>0</v>
      </c>
      <c r="CV261" s="408">
        <v>0</v>
      </c>
      <c r="CW261" s="408">
        <v>0</v>
      </c>
      <c r="CX261" s="408">
        <v>0</v>
      </c>
      <c r="CY261" s="408">
        <v>0</v>
      </c>
      <c r="CZ261" s="408">
        <v>-1.4075451366245488</v>
      </c>
      <c r="DA261" s="408">
        <v>0</v>
      </c>
      <c r="DB261" s="408">
        <v>0</v>
      </c>
      <c r="DC261" s="408">
        <v>40.43655829343993</v>
      </c>
      <c r="DD261" s="408">
        <v>0</v>
      </c>
      <c r="DE261" s="408">
        <v>0</v>
      </c>
      <c r="DF261" s="408">
        <v>0.23489702809296675</v>
      </c>
      <c r="DG261" s="408">
        <v>5.7140846035159569</v>
      </c>
      <c r="DH261" s="408">
        <v>0</v>
      </c>
      <c r="DI261" s="408">
        <v>0</v>
      </c>
      <c r="DJ261" s="408"/>
      <c r="DK261" s="408">
        <v>0</v>
      </c>
      <c r="DL261" s="408">
        <v>0</v>
      </c>
      <c r="DM261" s="408">
        <v>0</v>
      </c>
      <c r="DN261" s="408">
        <v>0</v>
      </c>
      <c r="DO261" s="408">
        <v>0</v>
      </c>
      <c r="DP261" s="408">
        <v>-0.35501037056500984</v>
      </c>
      <c r="DQ261" s="408">
        <v>0</v>
      </c>
      <c r="DR261" s="408">
        <v>0</v>
      </c>
      <c r="DS261" s="408"/>
      <c r="DT261" s="408"/>
      <c r="DU261" s="408"/>
      <c r="DV261" s="408">
        <v>1206.5824560638064</v>
      </c>
      <c r="DW261" s="408">
        <v>0</v>
      </c>
      <c r="DX261" s="408">
        <v>0</v>
      </c>
      <c r="DY261" s="408">
        <v>-806.23509999999976</v>
      </c>
      <c r="DZ261" s="408">
        <v>40.454700000000003</v>
      </c>
      <c r="EA261" s="408">
        <v>0</v>
      </c>
      <c r="EB261" s="408">
        <v>0</v>
      </c>
      <c r="EC261" s="408">
        <v>-810.43087120218888</v>
      </c>
      <c r="ED261" s="408">
        <v>0</v>
      </c>
      <c r="EE261" s="408">
        <v>0</v>
      </c>
      <c r="EF261" s="408">
        <v>0</v>
      </c>
      <c r="EG261" s="408">
        <v>0</v>
      </c>
      <c r="EH261" s="408">
        <v>0</v>
      </c>
      <c r="EI261" s="408">
        <v>0</v>
      </c>
      <c r="EJ261" s="408">
        <v>0</v>
      </c>
      <c r="EK261" s="408">
        <v>0</v>
      </c>
      <c r="EL261" s="408">
        <v>0</v>
      </c>
      <c r="EM261" s="408">
        <v>0</v>
      </c>
      <c r="EN261" s="408">
        <v>0</v>
      </c>
      <c r="EO261" s="408">
        <v>0</v>
      </c>
      <c r="EP261" s="408">
        <v>0</v>
      </c>
      <c r="EQ261" s="408">
        <v>0</v>
      </c>
      <c r="ER261" s="408">
        <v>0</v>
      </c>
      <c r="ES261" s="408">
        <v>0</v>
      </c>
      <c r="ET261" s="408">
        <v>0</v>
      </c>
      <c r="EU261" s="408">
        <v>0</v>
      </c>
      <c r="EV261" s="408">
        <v>257</v>
      </c>
      <c r="EW261" s="408">
        <v>0</v>
      </c>
      <c r="EX261" s="408">
        <v>0</v>
      </c>
      <c r="EY261" s="408">
        <v>0</v>
      </c>
      <c r="EZ261" s="408"/>
      <c r="FA261" s="408">
        <v>0</v>
      </c>
      <c r="FB261" s="408"/>
      <c r="FC261" s="408"/>
      <c r="FD261" s="408"/>
      <c r="FE261" s="408"/>
      <c r="FF261" s="408">
        <v>0</v>
      </c>
      <c r="FG261" s="408">
        <v>0</v>
      </c>
      <c r="FH261" s="408">
        <v>0</v>
      </c>
      <c r="FI261" s="408">
        <v>0</v>
      </c>
    </row>
    <row r="262" spans="1:165">
      <c r="A262" s="408">
        <v>260</v>
      </c>
      <c r="B262" s="408" t="s">
        <v>1035</v>
      </c>
      <c r="C262" s="408" t="s">
        <v>2233</v>
      </c>
      <c r="D262" s="408" t="s">
        <v>1958</v>
      </c>
      <c r="E262" s="408" t="s">
        <v>969</v>
      </c>
      <c r="F262" s="408" t="s">
        <v>1321</v>
      </c>
      <c r="G262" s="408" t="s">
        <v>1321</v>
      </c>
      <c r="H262" s="408" t="s">
        <v>1321</v>
      </c>
      <c r="I262" s="408" t="s">
        <v>1321</v>
      </c>
      <c r="J262" s="408" t="s">
        <v>2234</v>
      </c>
      <c r="K262" s="828">
        <v>44593</v>
      </c>
      <c r="L262" s="408">
        <v>0</v>
      </c>
      <c r="M262" s="408">
        <v>0</v>
      </c>
      <c r="N262" s="408">
        <v>60.86</v>
      </c>
      <c r="O262" s="408">
        <v>60.86</v>
      </c>
      <c r="P262" s="408">
        <v>60.86</v>
      </c>
      <c r="Q262" s="408">
        <v>60.86</v>
      </c>
      <c r="R262" s="408"/>
      <c r="S262" s="408">
        <v>710.91</v>
      </c>
      <c r="T262" s="408">
        <v>256.55</v>
      </c>
      <c r="U262" s="408"/>
      <c r="V262" s="408">
        <v>58879.615599999997</v>
      </c>
      <c r="W262" s="408">
        <v>58879.615599999997</v>
      </c>
      <c r="X262" s="408">
        <v>40193.769799999995</v>
      </c>
      <c r="Y262" s="408">
        <v>0</v>
      </c>
      <c r="Z262" s="408">
        <v>3741.3491098801255</v>
      </c>
      <c r="AA262" s="408">
        <v>0</v>
      </c>
      <c r="AB262" s="408">
        <v>0</v>
      </c>
      <c r="AC262" s="408">
        <v>0</v>
      </c>
      <c r="AD262" s="408">
        <v>7490.8185874332194</v>
      </c>
      <c r="AE262" s="408">
        <v>29024.746354167299</v>
      </c>
      <c r="AF262" s="408">
        <v>15613.786472612686</v>
      </c>
      <c r="AG262" s="408">
        <v>0</v>
      </c>
      <c r="AH262" s="408">
        <v>0</v>
      </c>
      <c r="AI262" s="408">
        <v>0</v>
      </c>
      <c r="AJ262" s="408">
        <v>0</v>
      </c>
      <c r="AK262" s="408">
        <v>0</v>
      </c>
      <c r="AL262" s="408">
        <v>578.42949215498413</v>
      </c>
      <c r="AM262" s="408"/>
      <c r="AN262" s="408">
        <v>133.63667077492261</v>
      </c>
      <c r="AO262" s="408">
        <v>0</v>
      </c>
      <c r="AP262" s="408">
        <v>0</v>
      </c>
      <c r="AQ262" s="408">
        <v>0</v>
      </c>
      <c r="AR262" s="408">
        <v>0</v>
      </c>
      <c r="AS262" s="408">
        <v>0</v>
      </c>
      <c r="AT262" s="408">
        <v>0</v>
      </c>
      <c r="AU262" s="408">
        <v>0</v>
      </c>
      <c r="AV262" s="408">
        <v>0</v>
      </c>
      <c r="AW262" s="408">
        <v>0</v>
      </c>
      <c r="AX262" s="408">
        <v>0</v>
      </c>
      <c r="AY262" s="408">
        <v>0</v>
      </c>
      <c r="AZ262" s="408">
        <v>0</v>
      </c>
      <c r="BA262" s="408"/>
      <c r="BB262" s="408">
        <v>0</v>
      </c>
      <c r="BC262" s="408">
        <v>0</v>
      </c>
      <c r="BD262" s="408">
        <v>90.700895290829934</v>
      </c>
      <c r="BE262" s="408">
        <v>0</v>
      </c>
      <c r="BF262" s="408">
        <v>0</v>
      </c>
      <c r="BG262" s="408">
        <v>2206.3820624470791</v>
      </c>
      <c r="BH262" s="408">
        <v>0</v>
      </c>
      <c r="BI262" s="408">
        <v>0</v>
      </c>
      <c r="BJ262" s="408">
        <v>0</v>
      </c>
      <c r="BK262" s="408">
        <v>10204.58</v>
      </c>
      <c r="BL262" s="408">
        <v>44</v>
      </c>
      <c r="BM262" s="408"/>
      <c r="BN262" s="408"/>
      <c r="BO262" s="408"/>
      <c r="BP262" s="408"/>
      <c r="BQ262" s="408"/>
      <c r="BR262" s="408"/>
      <c r="BS262" s="408"/>
      <c r="BT262" s="408"/>
      <c r="BU262" s="408"/>
      <c r="BV262" s="408">
        <v>17910.869430350594</v>
      </c>
      <c r="BW262" s="408"/>
      <c r="BX262" s="408"/>
      <c r="BY262" s="408"/>
      <c r="BZ262" s="408"/>
      <c r="CA262" s="408"/>
      <c r="CB262" s="408"/>
      <c r="CC262" s="408"/>
      <c r="CD262" s="408"/>
      <c r="CE262" s="408"/>
      <c r="CF262" s="408"/>
      <c r="CG262" s="408"/>
      <c r="CH262" s="408"/>
      <c r="CI262" s="408">
        <v>40193.769799999995</v>
      </c>
      <c r="CJ262" s="408">
        <v>-18685.875800000009</v>
      </c>
      <c r="CK262" s="408"/>
      <c r="CL262" s="408"/>
      <c r="CM262" s="408"/>
      <c r="CN262" s="408"/>
      <c r="CO262" s="408">
        <v>-19658.997199999998</v>
      </c>
      <c r="CP262" s="408">
        <v>973.15140000000054</v>
      </c>
      <c r="CQ262" s="408">
        <v>29</v>
      </c>
      <c r="CR262" s="408">
        <v>809.02939437729947</v>
      </c>
      <c r="CS262" s="408">
        <v>0</v>
      </c>
      <c r="CT262" s="408">
        <v>0</v>
      </c>
      <c r="CU262" s="408">
        <v>0</v>
      </c>
      <c r="CV262" s="408">
        <v>0</v>
      </c>
      <c r="CW262" s="408">
        <v>0</v>
      </c>
      <c r="CX262" s="408">
        <v>0</v>
      </c>
      <c r="CY262" s="408">
        <v>0</v>
      </c>
      <c r="CZ262" s="408">
        <v>-33.858971152161757</v>
      </c>
      <c r="DA262" s="408">
        <v>0</v>
      </c>
      <c r="DB262" s="408">
        <v>0</v>
      </c>
      <c r="DC262" s="408">
        <v>972.71499515365576</v>
      </c>
      <c r="DD262" s="408">
        <v>0</v>
      </c>
      <c r="DE262" s="408">
        <v>0</v>
      </c>
      <c r="DF262" s="408">
        <v>5.6505269287501818</v>
      </c>
      <c r="DG262" s="408">
        <v>137.45422488932036</v>
      </c>
      <c r="DH262" s="408">
        <v>0</v>
      </c>
      <c r="DI262" s="408">
        <v>-232.65150502812185</v>
      </c>
      <c r="DJ262" s="408"/>
      <c r="DK262" s="408">
        <v>0</v>
      </c>
      <c r="DL262" s="408">
        <v>0</v>
      </c>
      <c r="DM262" s="408">
        <v>0</v>
      </c>
      <c r="DN262" s="408">
        <v>0</v>
      </c>
      <c r="DO262" s="408">
        <v>-31.739982677942521</v>
      </c>
      <c r="DP262" s="408">
        <v>-8.5398937362001988</v>
      </c>
      <c r="DQ262" s="408">
        <v>0</v>
      </c>
      <c r="DR262" s="408">
        <v>0</v>
      </c>
      <c r="DS262" s="408"/>
      <c r="DT262" s="408"/>
      <c r="DU262" s="408"/>
      <c r="DV262" s="408">
        <v>29024.746354167299</v>
      </c>
      <c r="DW262" s="408">
        <v>0</v>
      </c>
      <c r="DX262" s="408">
        <v>0</v>
      </c>
      <c r="DY262" s="408">
        <v>-19658.997199999998</v>
      </c>
      <c r="DZ262" s="408">
        <v>973.15140000000065</v>
      </c>
      <c r="EA262" s="408">
        <v>0</v>
      </c>
      <c r="EB262" s="408">
        <v>0</v>
      </c>
      <c r="EC262" s="408">
        <v>-19495.186885915107</v>
      </c>
      <c r="ED262" s="408">
        <v>0</v>
      </c>
      <c r="EE262" s="408">
        <v>0</v>
      </c>
      <c r="EF262" s="408">
        <v>0</v>
      </c>
      <c r="EG262" s="408">
        <v>0</v>
      </c>
      <c r="EH262" s="408">
        <v>0</v>
      </c>
      <c r="EI262" s="408">
        <v>0</v>
      </c>
      <c r="EJ262" s="408">
        <v>0</v>
      </c>
      <c r="EK262" s="408">
        <v>0</v>
      </c>
      <c r="EL262" s="408">
        <v>0</v>
      </c>
      <c r="EM262" s="408">
        <v>0</v>
      </c>
      <c r="EN262" s="408">
        <v>0</v>
      </c>
      <c r="EO262" s="408">
        <v>0</v>
      </c>
      <c r="EP262" s="408">
        <v>0</v>
      </c>
      <c r="EQ262" s="408">
        <v>0</v>
      </c>
      <c r="ER262" s="408">
        <v>0</v>
      </c>
      <c r="ES262" s="408">
        <v>0</v>
      </c>
      <c r="ET262" s="408">
        <v>0</v>
      </c>
      <c r="EU262" s="408">
        <v>0</v>
      </c>
      <c r="EV262" s="408">
        <v>257</v>
      </c>
      <c r="EW262" s="408">
        <v>0</v>
      </c>
      <c r="EX262" s="408">
        <v>0</v>
      </c>
      <c r="EY262" s="408">
        <v>0</v>
      </c>
      <c r="EZ262" s="408"/>
      <c r="FA262" s="408">
        <v>0</v>
      </c>
      <c r="FB262" s="408"/>
      <c r="FC262" s="408"/>
      <c r="FD262" s="408"/>
      <c r="FE262" s="408"/>
      <c r="FF262" s="408">
        <v>0</v>
      </c>
      <c r="FG262" s="408">
        <v>0</v>
      </c>
      <c r="FH262" s="408">
        <v>0</v>
      </c>
      <c r="FI262" s="408">
        <v>0</v>
      </c>
    </row>
    <row r="263" spans="1:165">
      <c r="A263" s="408">
        <v>261</v>
      </c>
      <c r="B263" s="408" t="s">
        <v>2236</v>
      </c>
      <c r="C263" s="408" t="s">
        <v>2233</v>
      </c>
      <c r="D263" s="408" t="s">
        <v>1958</v>
      </c>
      <c r="E263" s="408" t="s">
        <v>969</v>
      </c>
      <c r="F263" s="408" t="s">
        <v>1321</v>
      </c>
      <c r="G263" s="408" t="s">
        <v>1321</v>
      </c>
      <c r="H263" s="408" t="s">
        <v>1321</v>
      </c>
      <c r="I263" s="408" t="s">
        <v>1321</v>
      </c>
      <c r="J263" s="408" t="s">
        <v>2234</v>
      </c>
      <c r="K263" s="828">
        <v>44593</v>
      </c>
      <c r="L263" s="408">
        <v>0</v>
      </c>
      <c r="M263" s="408">
        <v>0</v>
      </c>
      <c r="N263" s="408">
        <v>3.73</v>
      </c>
      <c r="O263" s="408">
        <v>3.73</v>
      </c>
      <c r="P263" s="408">
        <v>3.73</v>
      </c>
      <c r="Q263" s="408">
        <v>3.73</v>
      </c>
      <c r="R263" s="408"/>
      <c r="S263" s="408">
        <v>710.91</v>
      </c>
      <c r="T263" s="408">
        <v>256.55</v>
      </c>
      <c r="U263" s="408"/>
      <c r="V263" s="408">
        <v>3608.6257999999998</v>
      </c>
      <c r="W263" s="408">
        <v>3608.6257999999998</v>
      </c>
      <c r="X263" s="408">
        <v>2463.4039000000002</v>
      </c>
      <c r="Y263" s="408">
        <v>0</v>
      </c>
      <c r="Z263" s="408">
        <v>229.30056161440797</v>
      </c>
      <c r="AA263" s="408">
        <v>0</v>
      </c>
      <c r="AB263" s="408">
        <v>0</v>
      </c>
      <c r="AC263" s="408">
        <v>0</v>
      </c>
      <c r="AD263" s="408">
        <v>459.09880596657752</v>
      </c>
      <c r="AE263" s="408">
        <v>1778.8745300861654</v>
      </c>
      <c r="AF263" s="408">
        <v>956.94090606055397</v>
      </c>
      <c r="AG263" s="408">
        <v>0</v>
      </c>
      <c r="AH263" s="408">
        <v>0</v>
      </c>
      <c r="AI263" s="408">
        <v>0</v>
      </c>
      <c r="AJ263" s="408">
        <v>0</v>
      </c>
      <c r="AK263" s="408">
        <v>0</v>
      </c>
      <c r="AL263" s="408">
        <v>35.450903807724131</v>
      </c>
      <c r="AM263" s="408"/>
      <c r="AN263" s="408">
        <v>8.1903513307666991</v>
      </c>
      <c r="AO263" s="408">
        <v>0</v>
      </c>
      <c r="AP263" s="408">
        <v>0</v>
      </c>
      <c r="AQ263" s="408">
        <v>0</v>
      </c>
      <c r="AR263" s="408">
        <v>0</v>
      </c>
      <c r="AS263" s="408">
        <v>0</v>
      </c>
      <c r="AT263" s="408">
        <v>0</v>
      </c>
      <c r="AU263" s="408">
        <v>0</v>
      </c>
      <c r="AV263" s="408">
        <v>0</v>
      </c>
      <c r="AW263" s="408">
        <v>0</v>
      </c>
      <c r="AX263" s="408">
        <v>0</v>
      </c>
      <c r="AY263" s="408">
        <v>0</v>
      </c>
      <c r="AZ263" s="408">
        <v>0</v>
      </c>
      <c r="BA263" s="408"/>
      <c r="BB263" s="408">
        <v>0</v>
      </c>
      <c r="BC263" s="408">
        <v>0</v>
      </c>
      <c r="BD263" s="408">
        <v>5.5588948313308517</v>
      </c>
      <c r="BE263" s="408">
        <v>0</v>
      </c>
      <c r="BF263" s="408">
        <v>0</v>
      </c>
      <c r="BG263" s="408">
        <v>135.22519048517259</v>
      </c>
      <c r="BH263" s="408">
        <v>0</v>
      </c>
      <c r="BI263" s="408">
        <v>0</v>
      </c>
      <c r="BJ263" s="408">
        <v>0</v>
      </c>
      <c r="BK263" s="408">
        <v>1432.01</v>
      </c>
      <c r="BL263" s="408">
        <v>6</v>
      </c>
      <c r="BM263" s="408"/>
      <c r="BN263" s="408"/>
      <c r="BO263" s="408"/>
      <c r="BP263" s="408"/>
      <c r="BQ263" s="408"/>
      <c r="BR263" s="408"/>
      <c r="BS263" s="408"/>
      <c r="BT263" s="408"/>
      <c r="BU263" s="408"/>
      <c r="BV263" s="408">
        <v>1097.7249913770574</v>
      </c>
      <c r="BW263" s="408"/>
      <c r="BX263" s="408"/>
      <c r="BY263" s="408"/>
      <c r="BZ263" s="408"/>
      <c r="CA263" s="408"/>
      <c r="CB263" s="408"/>
      <c r="CC263" s="408"/>
      <c r="CD263" s="408"/>
      <c r="CE263" s="408"/>
      <c r="CF263" s="408"/>
      <c r="CG263" s="408"/>
      <c r="CH263" s="408"/>
      <c r="CI263" s="408">
        <v>2463.4039000000002</v>
      </c>
      <c r="CJ263" s="408">
        <v>-1145.2519000000002</v>
      </c>
      <c r="CK263" s="408"/>
      <c r="CL263" s="408"/>
      <c r="CM263" s="408"/>
      <c r="CN263" s="408"/>
      <c r="CO263" s="408">
        <v>-1204.8645999999999</v>
      </c>
      <c r="CP263" s="408">
        <v>59.642700000000033</v>
      </c>
      <c r="CQ263" s="408">
        <v>29</v>
      </c>
      <c r="CR263" s="408">
        <v>49.583957295881191</v>
      </c>
      <c r="CS263" s="408">
        <v>0</v>
      </c>
      <c r="CT263" s="408">
        <v>0</v>
      </c>
      <c r="CU263" s="408">
        <v>0</v>
      </c>
      <c r="CV263" s="408">
        <v>0</v>
      </c>
      <c r="CW263" s="408">
        <v>0</v>
      </c>
      <c r="CX263" s="408">
        <v>0</v>
      </c>
      <c r="CY263" s="408">
        <v>0</v>
      </c>
      <c r="CZ263" s="408">
        <v>-2.0751554781065238</v>
      </c>
      <c r="DA263" s="408">
        <v>0</v>
      </c>
      <c r="DB263" s="408">
        <v>0</v>
      </c>
      <c r="DC263" s="408">
        <v>59.615953531435139</v>
      </c>
      <c r="DD263" s="408">
        <v>0</v>
      </c>
      <c r="DE263" s="408">
        <v>0</v>
      </c>
      <c r="DF263" s="408">
        <v>0.34631063825563935</v>
      </c>
      <c r="DG263" s="408">
        <v>8.4243223601243358</v>
      </c>
      <c r="DH263" s="408">
        <v>0</v>
      </c>
      <c r="DI263" s="408">
        <v>-14.258792536228981</v>
      </c>
      <c r="DJ263" s="408"/>
      <c r="DK263" s="408">
        <v>0</v>
      </c>
      <c r="DL263" s="408">
        <v>0</v>
      </c>
      <c r="DM263" s="408">
        <v>0</v>
      </c>
      <c r="DN263" s="408">
        <v>0</v>
      </c>
      <c r="DO263" s="408">
        <v>-1.9452864835479033</v>
      </c>
      <c r="DP263" s="408">
        <v>-0.52339473605038922</v>
      </c>
      <c r="DQ263" s="408">
        <v>0</v>
      </c>
      <c r="DR263" s="408">
        <v>0</v>
      </c>
      <c r="DS263" s="408"/>
      <c r="DT263" s="408"/>
      <c r="DU263" s="408"/>
      <c r="DV263" s="408">
        <v>1778.8745300861654</v>
      </c>
      <c r="DW263" s="408">
        <v>0</v>
      </c>
      <c r="DX263" s="408">
        <v>0</v>
      </c>
      <c r="DY263" s="408">
        <v>-1204.8645999999997</v>
      </c>
      <c r="DZ263" s="408">
        <v>59.642699999999991</v>
      </c>
      <c r="EA263" s="408">
        <v>0</v>
      </c>
      <c r="EB263" s="408">
        <v>0</v>
      </c>
      <c r="EC263" s="408">
        <v>-1194.8249603099466</v>
      </c>
      <c r="ED263" s="408">
        <v>0</v>
      </c>
      <c r="EE263" s="408">
        <v>0</v>
      </c>
      <c r="EF263" s="408">
        <v>0</v>
      </c>
      <c r="EG263" s="408">
        <v>0</v>
      </c>
      <c r="EH263" s="408">
        <v>0</v>
      </c>
      <c r="EI263" s="408">
        <v>0</v>
      </c>
      <c r="EJ263" s="408">
        <v>0</v>
      </c>
      <c r="EK263" s="408">
        <v>0</v>
      </c>
      <c r="EL263" s="408">
        <v>0</v>
      </c>
      <c r="EM263" s="408">
        <v>0</v>
      </c>
      <c r="EN263" s="408">
        <v>0</v>
      </c>
      <c r="EO263" s="408">
        <v>0</v>
      </c>
      <c r="EP263" s="408">
        <v>0</v>
      </c>
      <c r="EQ263" s="408">
        <v>0</v>
      </c>
      <c r="ER263" s="408">
        <v>0</v>
      </c>
      <c r="ES263" s="408">
        <v>0</v>
      </c>
      <c r="ET263" s="408">
        <v>0</v>
      </c>
      <c r="EU263" s="408">
        <v>0</v>
      </c>
      <c r="EV263" s="408">
        <v>257</v>
      </c>
      <c r="EW263" s="408">
        <v>0</v>
      </c>
      <c r="EX263" s="408">
        <v>0</v>
      </c>
      <c r="EY263" s="408">
        <v>0</v>
      </c>
      <c r="EZ263" s="408"/>
      <c r="FA263" s="408">
        <v>0</v>
      </c>
      <c r="FB263" s="408"/>
      <c r="FC263" s="408"/>
      <c r="FD263" s="408"/>
      <c r="FE263" s="408"/>
      <c r="FF263" s="408">
        <v>0</v>
      </c>
      <c r="FG263" s="408">
        <v>0</v>
      </c>
      <c r="FH263" s="408">
        <v>0</v>
      </c>
      <c r="FI263" s="408">
        <v>0</v>
      </c>
    </row>
    <row r="264" spans="1:165">
      <c r="A264" s="408">
        <v>262</v>
      </c>
      <c r="B264" s="408" t="s">
        <v>1035</v>
      </c>
      <c r="C264" s="408" t="s">
        <v>2241</v>
      </c>
      <c r="D264" s="408" t="s">
        <v>596</v>
      </c>
      <c r="E264" s="408" t="s">
        <v>969</v>
      </c>
      <c r="F264" s="408" t="s">
        <v>1321</v>
      </c>
      <c r="G264" s="408" t="s">
        <v>1321</v>
      </c>
      <c r="H264" s="408" t="s">
        <v>1321</v>
      </c>
      <c r="I264" s="408" t="s">
        <v>972</v>
      </c>
      <c r="J264" s="408" t="s">
        <v>2234</v>
      </c>
      <c r="K264" s="828">
        <v>44593</v>
      </c>
      <c r="L264" s="408">
        <v>0</v>
      </c>
      <c r="M264" s="408">
        <v>0</v>
      </c>
      <c r="N264" s="408">
        <v>6.0919999999999996</v>
      </c>
      <c r="O264" s="408">
        <v>6.0919999999999996</v>
      </c>
      <c r="P264" s="408">
        <v>6.0919999999999996</v>
      </c>
      <c r="Q264" s="408">
        <v>6.0919999999999996</v>
      </c>
      <c r="R264" s="408"/>
      <c r="S264" s="408">
        <v>3130.62</v>
      </c>
      <c r="T264" s="408">
        <v>256.55</v>
      </c>
      <c r="U264" s="408"/>
      <c r="V264" s="408">
        <v>20634.639640000001</v>
      </c>
      <c r="W264" s="408">
        <v>20634.639640000001</v>
      </c>
      <c r="X264" s="408">
        <v>10859.781959999998</v>
      </c>
      <c r="Y264" s="408">
        <v>0</v>
      </c>
      <c r="Z264" s="408">
        <v>325.81827039646828</v>
      </c>
      <c r="AA264" s="408">
        <v>0</v>
      </c>
      <c r="AB264" s="408">
        <v>0</v>
      </c>
      <c r="AC264" s="408">
        <v>0</v>
      </c>
      <c r="AD264" s="408">
        <v>3924.5505139061652</v>
      </c>
      <c r="AE264" s="408">
        <v>14646.073655109249</v>
      </c>
      <c r="AF264" s="408">
        <v>1562.9179623916607</v>
      </c>
      <c r="AG264" s="408">
        <v>0</v>
      </c>
      <c r="AH264" s="408">
        <v>0</v>
      </c>
      <c r="AI264" s="408">
        <v>0</v>
      </c>
      <c r="AJ264" s="408">
        <v>0</v>
      </c>
      <c r="AK264" s="408">
        <v>0</v>
      </c>
      <c r="AL264" s="408">
        <v>57.899974798030939</v>
      </c>
      <c r="AM264" s="408"/>
      <c r="AN264" s="408">
        <v>8.2184430284113343</v>
      </c>
      <c r="AO264" s="408">
        <v>0</v>
      </c>
      <c r="AP264" s="408">
        <v>0</v>
      </c>
      <c r="AQ264" s="408">
        <v>0</v>
      </c>
      <c r="AR264" s="408">
        <v>0</v>
      </c>
      <c r="AS264" s="408">
        <v>0</v>
      </c>
      <c r="AT264" s="408">
        <v>0</v>
      </c>
      <c r="AU264" s="408">
        <v>0</v>
      </c>
      <c r="AV264" s="408">
        <v>0</v>
      </c>
      <c r="AW264" s="408">
        <v>0</v>
      </c>
      <c r="AX264" s="408">
        <v>0</v>
      </c>
      <c r="AY264" s="408">
        <v>0</v>
      </c>
      <c r="AZ264" s="408">
        <v>0</v>
      </c>
      <c r="BA264" s="408"/>
      <c r="BB264" s="408">
        <v>0</v>
      </c>
      <c r="BC264" s="408">
        <v>0</v>
      </c>
      <c r="BD264" s="408">
        <v>7.505497623220414</v>
      </c>
      <c r="BE264" s="408">
        <v>0</v>
      </c>
      <c r="BF264" s="408">
        <v>0</v>
      </c>
      <c r="BG264" s="408">
        <v>101.67114369975056</v>
      </c>
      <c r="BH264" s="408">
        <v>0</v>
      </c>
      <c r="BI264" s="408">
        <v>0</v>
      </c>
      <c r="BJ264" s="408">
        <v>0</v>
      </c>
      <c r="BK264" s="408">
        <v>0</v>
      </c>
      <c r="BL264" s="408">
        <v>0</v>
      </c>
      <c r="BM264" s="408"/>
      <c r="BN264" s="408"/>
      <c r="BO264" s="408"/>
      <c r="BP264" s="408"/>
      <c r="BQ264" s="408"/>
      <c r="BR264" s="408"/>
      <c r="BS264" s="408"/>
      <c r="BT264" s="408"/>
      <c r="BU264" s="408"/>
      <c r="BV264" s="408">
        <v>1672.0946037146316</v>
      </c>
      <c r="BW264" s="408"/>
      <c r="BX264" s="408"/>
      <c r="BY264" s="408"/>
      <c r="BZ264" s="408"/>
      <c r="CA264" s="408"/>
      <c r="CB264" s="408"/>
      <c r="CC264" s="408"/>
      <c r="CD264" s="408"/>
      <c r="CE264" s="408"/>
      <c r="CF264" s="408"/>
      <c r="CG264" s="408"/>
      <c r="CH264" s="408"/>
      <c r="CI264" s="408">
        <v>10856.216699999999</v>
      </c>
      <c r="CJ264" s="408">
        <v>-9778.4529399999974</v>
      </c>
      <c r="CK264" s="408"/>
      <c r="CL264" s="408"/>
      <c r="CM264" s="408"/>
      <c r="CN264" s="408"/>
      <c r="CO264" s="408">
        <v>-9872.268759999999</v>
      </c>
      <c r="CP264" s="408">
        <v>97.411080000000055</v>
      </c>
      <c r="CQ264" s="408">
        <v>29</v>
      </c>
      <c r="CR264" s="408">
        <v>62.466766037043271</v>
      </c>
      <c r="CS264" s="408">
        <v>0</v>
      </c>
      <c r="CT264" s="408">
        <v>0</v>
      </c>
      <c r="CU264" s="408">
        <v>0</v>
      </c>
      <c r="CV264" s="408">
        <v>0</v>
      </c>
      <c r="CW264" s="408">
        <v>0</v>
      </c>
      <c r="CX264" s="408">
        <v>0</v>
      </c>
      <c r="CY264" s="408">
        <v>0</v>
      </c>
      <c r="CZ264" s="408">
        <v>-17.739215158473598</v>
      </c>
      <c r="DA264" s="408">
        <v>0</v>
      </c>
      <c r="DB264" s="408">
        <v>0</v>
      </c>
      <c r="DC264" s="408">
        <v>97.367396491555837</v>
      </c>
      <c r="DD264" s="408">
        <v>0</v>
      </c>
      <c r="DE264" s="408">
        <v>0</v>
      </c>
      <c r="DF264" s="408">
        <v>0.46758101226776105</v>
      </c>
      <c r="DG264" s="408">
        <v>6.3339566110142584</v>
      </c>
      <c r="DH264" s="408">
        <v>0</v>
      </c>
      <c r="DI264" s="408">
        <v>-20.260635601532329</v>
      </c>
      <c r="DJ264" s="408"/>
      <c r="DK264" s="408">
        <v>0</v>
      </c>
      <c r="DL264" s="408">
        <v>0</v>
      </c>
      <c r="DM264" s="408">
        <v>0</v>
      </c>
      <c r="DN264" s="408">
        <v>0</v>
      </c>
      <c r="DO264" s="408">
        <v>-3.1771274149527713</v>
      </c>
      <c r="DP264" s="408">
        <v>-0.52518990283631606</v>
      </c>
      <c r="DQ264" s="408">
        <v>0</v>
      </c>
      <c r="DR264" s="408">
        <v>0</v>
      </c>
      <c r="DS264" s="408"/>
      <c r="DT264" s="408"/>
      <c r="DU264" s="408"/>
      <c r="DV264" s="408">
        <v>14646.073655109249</v>
      </c>
      <c r="DW264" s="408">
        <v>0</v>
      </c>
      <c r="DX264" s="408">
        <v>0</v>
      </c>
      <c r="DY264" s="408">
        <v>-9872.2687600000008</v>
      </c>
      <c r="DZ264" s="408">
        <v>97.411080000000084</v>
      </c>
      <c r="EA264" s="408">
        <v>0</v>
      </c>
      <c r="EB264" s="408">
        <v>0</v>
      </c>
      <c r="EC264" s="408">
        <v>-9837.3966672145252</v>
      </c>
      <c r="ED264" s="408">
        <v>0</v>
      </c>
      <c r="EE264" s="408">
        <v>0</v>
      </c>
      <c r="EF264" s="408">
        <v>0</v>
      </c>
      <c r="EG264" s="408">
        <v>0</v>
      </c>
      <c r="EH264" s="408">
        <v>0</v>
      </c>
      <c r="EI264" s="408">
        <v>0</v>
      </c>
      <c r="EJ264" s="408">
        <v>0</v>
      </c>
      <c r="EK264" s="408">
        <v>0</v>
      </c>
      <c r="EL264" s="408">
        <v>0</v>
      </c>
      <c r="EM264" s="408">
        <v>0</v>
      </c>
      <c r="EN264" s="408">
        <v>0</v>
      </c>
      <c r="EO264" s="408">
        <v>0</v>
      </c>
      <c r="EP264" s="408">
        <v>0</v>
      </c>
      <c r="EQ264" s="408">
        <v>0</v>
      </c>
      <c r="ER264" s="408">
        <v>0</v>
      </c>
      <c r="ES264" s="408">
        <v>0</v>
      </c>
      <c r="ET264" s="408">
        <v>0</v>
      </c>
      <c r="EU264" s="408">
        <v>0</v>
      </c>
      <c r="EV264" s="408">
        <v>257</v>
      </c>
      <c r="EW264" s="408">
        <v>0</v>
      </c>
      <c r="EX264" s="408">
        <v>0</v>
      </c>
      <c r="EY264" s="408">
        <v>0</v>
      </c>
      <c r="EZ264" s="408"/>
      <c r="FA264" s="408">
        <v>0</v>
      </c>
      <c r="FB264" s="408"/>
      <c r="FC264" s="408"/>
      <c r="FD264" s="408"/>
      <c r="FE264" s="408"/>
      <c r="FF264" s="408">
        <v>0</v>
      </c>
      <c r="FG264" s="408">
        <v>0</v>
      </c>
      <c r="FH264" s="408">
        <v>0</v>
      </c>
      <c r="FI264" s="408">
        <v>0</v>
      </c>
    </row>
    <row r="265" spans="1:165">
      <c r="A265" s="408">
        <v>263</v>
      </c>
      <c r="B265" s="408" t="s">
        <v>2236</v>
      </c>
      <c r="C265" s="408" t="s">
        <v>2241</v>
      </c>
      <c r="D265" s="408" t="s">
        <v>596</v>
      </c>
      <c r="E265" s="408" t="s">
        <v>969</v>
      </c>
      <c r="F265" s="408" t="s">
        <v>1321</v>
      </c>
      <c r="G265" s="408" t="s">
        <v>1321</v>
      </c>
      <c r="H265" s="408" t="s">
        <v>1321</v>
      </c>
      <c r="I265" s="408" t="s">
        <v>972</v>
      </c>
      <c r="J265" s="408" t="s">
        <v>2234</v>
      </c>
      <c r="K265" s="828">
        <v>44593</v>
      </c>
      <c r="L265" s="408">
        <v>0</v>
      </c>
      <c r="M265" s="408">
        <v>0</v>
      </c>
      <c r="N265" s="408">
        <v>0.15</v>
      </c>
      <c r="O265" s="408">
        <v>0.15</v>
      </c>
      <c r="P265" s="408">
        <v>0.15</v>
      </c>
      <c r="Q265" s="408">
        <v>0.15</v>
      </c>
      <c r="R265" s="408"/>
      <c r="S265" s="408">
        <v>3130.62</v>
      </c>
      <c r="T265" s="408">
        <v>256.55</v>
      </c>
      <c r="U265" s="408"/>
      <c r="V265" s="408">
        <v>508.07549999999998</v>
      </c>
      <c r="W265" s="408">
        <v>508.07549999999998</v>
      </c>
      <c r="X265" s="408">
        <v>267.39449999999999</v>
      </c>
      <c r="Y265" s="408">
        <v>0</v>
      </c>
      <c r="Z265" s="408">
        <v>8.0224459224343789</v>
      </c>
      <c r="AA265" s="408">
        <v>0</v>
      </c>
      <c r="AB265" s="408">
        <v>0</v>
      </c>
      <c r="AC265" s="408">
        <v>0</v>
      </c>
      <c r="AD265" s="408">
        <v>96.632071090926587</v>
      </c>
      <c r="AE265" s="408">
        <v>360.62229945278847</v>
      </c>
      <c r="AF265" s="408">
        <v>38.482878259807798</v>
      </c>
      <c r="AG265" s="408">
        <v>0</v>
      </c>
      <c r="AH265" s="408">
        <v>0</v>
      </c>
      <c r="AI265" s="408">
        <v>0</v>
      </c>
      <c r="AJ265" s="408">
        <v>0</v>
      </c>
      <c r="AK265" s="408">
        <v>0</v>
      </c>
      <c r="AL265" s="408">
        <v>1.425639563313303</v>
      </c>
      <c r="AM265" s="408"/>
      <c r="AN265" s="408">
        <v>0.20235824922220949</v>
      </c>
      <c r="AO265" s="408">
        <v>0</v>
      </c>
      <c r="AP265" s="408">
        <v>0</v>
      </c>
      <c r="AQ265" s="408">
        <v>0</v>
      </c>
      <c r="AR265" s="408">
        <v>0</v>
      </c>
      <c r="AS265" s="408">
        <v>0</v>
      </c>
      <c r="AT265" s="408">
        <v>0</v>
      </c>
      <c r="AU265" s="408">
        <v>0</v>
      </c>
      <c r="AV265" s="408">
        <v>0</v>
      </c>
      <c r="AW265" s="408">
        <v>0</v>
      </c>
      <c r="AX265" s="408">
        <v>0</v>
      </c>
      <c r="AY265" s="408">
        <v>0</v>
      </c>
      <c r="AZ265" s="408">
        <v>0</v>
      </c>
      <c r="BA265" s="408"/>
      <c r="BB265" s="408">
        <v>0</v>
      </c>
      <c r="BC265" s="408">
        <v>0</v>
      </c>
      <c r="BD265" s="408">
        <v>0.18480378258093599</v>
      </c>
      <c r="BE265" s="408">
        <v>0</v>
      </c>
      <c r="BF265" s="408">
        <v>0</v>
      </c>
      <c r="BG265" s="408">
        <v>2.5033932296392947</v>
      </c>
      <c r="BH265" s="408">
        <v>0</v>
      </c>
      <c r="BI265" s="408">
        <v>0</v>
      </c>
      <c r="BJ265" s="408">
        <v>0</v>
      </c>
      <c r="BK265" s="408">
        <v>0</v>
      </c>
      <c r="BL265" s="408">
        <v>0</v>
      </c>
      <c r="BM265" s="408"/>
      <c r="BN265" s="408"/>
      <c r="BO265" s="408"/>
      <c r="BP265" s="408"/>
      <c r="BQ265" s="408"/>
      <c r="BR265" s="408"/>
      <c r="BS265" s="408"/>
      <c r="BT265" s="408"/>
      <c r="BU265" s="408"/>
      <c r="BV265" s="408">
        <v>41.171075272028027</v>
      </c>
      <c r="BW265" s="408"/>
      <c r="BX265" s="408"/>
      <c r="BY265" s="408"/>
      <c r="BZ265" s="408"/>
      <c r="CA265" s="408"/>
      <c r="CB265" s="408"/>
      <c r="CC265" s="408"/>
      <c r="CD265" s="408"/>
      <c r="CE265" s="408"/>
      <c r="CF265" s="408"/>
      <c r="CG265" s="408"/>
      <c r="CH265" s="408"/>
      <c r="CI265" s="408">
        <v>267.39449999999999</v>
      </c>
      <c r="CJ265" s="408">
        <v>-240.71099999999996</v>
      </c>
      <c r="CK265" s="408"/>
      <c r="CL265" s="408"/>
      <c r="CM265" s="408"/>
      <c r="CN265" s="408"/>
      <c r="CO265" s="408">
        <v>-243.0795</v>
      </c>
      <c r="CP265" s="408">
        <v>2.3985000000000012</v>
      </c>
      <c r="CQ265" s="408">
        <v>29</v>
      </c>
      <c r="CR265" s="408">
        <v>1.5380851781937395</v>
      </c>
      <c r="CS265" s="408">
        <v>0</v>
      </c>
      <c r="CT265" s="408">
        <v>0</v>
      </c>
      <c r="CU265" s="408">
        <v>0</v>
      </c>
      <c r="CV265" s="408">
        <v>0</v>
      </c>
      <c r="CW265" s="408">
        <v>0</v>
      </c>
      <c r="CX265" s="408">
        <v>0</v>
      </c>
      <c r="CY265" s="408">
        <v>0</v>
      </c>
      <c r="CZ265" s="408">
        <v>-0.43678303903003268</v>
      </c>
      <c r="DA265" s="408">
        <v>0</v>
      </c>
      <c r="DB265" s="408">
        <v>0</v>
      </c>
      <c r="DC265" s="408">
        <v>2.3974244047494011</v>
      </c>
      <c r="DD265" s="408">
        <v>0</v>
      </c>
      <c r="DE265" s="408">
        <v>0</v>
      </c>
      <c r="DF265" s="408">
        <v>1.151299275117601E-2</v>
      </c>
      <c r="DG265" s="408">
        <v>0.15595756593108012</v>
      </c>
      <c r="DH265" s="408">
        <v>0</v>
      </c>
      <c r="DI265" s="408">
        <v>-0.49886660213884415</v>
      </c>
      <c r="DJ265" s="408"/>
      <c r="DK265" s="408">
        <v>0</v>
      </c>
      <c r="DL265" s="408">
        <v>0</v>
      </c>
      <c r="DM265" s="408">
        <v>0</v>
      </c>
      <c r="DN265" s="408">
        <v>0</v>
      </c>
      <c r="DO265" s="408">
        <v>-7.8228678963052634E-2</v>
      </c>
      <c r="DP265" s="408">
        <v>-1.2931465105950002E-2</v>
      </c>
      <c r="DQ265" s="408">
        <v>0</v>
      </c>
      <c r="DR265" s="408">
        <v>0</v>
      </c>
      <c r="DS265" s="408"/>
      <c r="DT265" s="408"/>
      <c r="DU265" s="408"/>
      <c r="DV265" s="408">
        <v>360.62229945278847</v>
      </c>
      <c r="DW265" s="408">
        <v>0</v>
      </c>
      <c r="DX265" s="408">
        <v>0</v>
      </c>
      <c r="DY265" s="408">
        <v>-243.07949999999997</v>
      </c>
      <c r="DZ265" s="408">
        <v>2.3984999999999985</v>
      </c>
      <c r="EA265" s="408">
        <v>0</v>
      </c>
      <c r="EB265" s="408">
        <v>0</v>
      </c>
      <c r="EC265" s="408">
        <v>-242.22086344093543</v>
      </c>
      <c r="ED265" s="408">
        <v>0</v>
      </c>
      <c r="EE265" s="408">
        <v>0</v>
      </c>
      <c r="EF265" s="408">
        <v>0</v>
      </c>
      <c r="EG265" s="408">
        <v>0</v>
      </c>
      <c r="EH265" s="408">
        <v>0</v>
      </c>
      <c r="EI265" s="408">
        <v>0</v>
      </c>
      <c r="EJ265" s="408">
        <v>0</v>
      </c>
      <c r="EK265" s="408">
        <v>0</v>
      </c>
      <c r="EL265" s="408">
        <v>0</v>
      </c>
      <c r="EM265" s="408">
        <v>0</v>
      </c>
      <c r="EN265" s="408">
        <v>0</v>
      </c>
      <c r="EO265" s="408">
        <v>0</v>
      </c>
      <c r="EP265" s="408">
        <v>0</v>
      </c>
      <c r="EQ265" s="408">
        <v>0</v>
      </c>
      <c r="ER265" s="408">
        <v>0</v>
      </c>
      <c r="ES265" s="408">
        <v>0</v>
      </c>
      <c r="ET265" s="408">
        <v>0</v>
      </c>
      <c r="EU265" s="408">
        <v>0</v>
      </c>
      <c r="EV265" s="408">
        <v>257</v>
      </c>
      <c r="EW265" s="408">
        <v>0</v>
      </c>
      <c r="EX265" s="408">
        <v>0</v>
      </c>
      <c r="EY265" s="408">
        <v>0</v>
      </c>
      <c r="EZ265" s="408"/>
      <c r="FA265" s="408">
        <v>0</v>
      </c>
      <c r="FB265" s="408"/>
      <c r="FC265" s="408"/>
      <c r="FD265" s="408"/>
      <c r="FE265" s="408"/>
      <c r="FF265" s="408">
        <v>0</v>
      </c>
      <c r="FG265" s="408">
        <v>0</v>
      </c>
      <c r="FH265" s="408">
        <v>0</v>
      </c>
      <c r="FI265" s="408">
        <v>0</v>
      </c>
    </row>
    <row r="266" spans="1:165">
      <c r="A266" s="408">
        <v>264</v>
      </c>
      <c r="B266" s="408" t="s">
        <v>1035</v>
      </c>
      <c r="C266" s="408" t="s">
        <v>2241</v>
      </c>
      <c r="D266" s="408" t="s">
        <v>596</v>
      </c>
      <c r="E266" s="408" t="s">
        <v>969</v>
      </c>
      <c r="F266" s="408" t="s">
        <v>1321</v>
      </c>
      <c r="G266" s="408" t="s">
        <v>1321</v>
      </c>
      <c r="H266" s="408" t="s">
        <v>1321</v>
      </c>
      <c r="I266" s="408" t="s">
        <v>2242</v>
      </c>
      <c r="J266" s="408" t="s">
        <v>2234</v>
      </c>
      <c r="K266" s="828">
        <v>44593</v>
      </c>
      <c r="L266" s="408">
        <v>0</v>
      </c>
      <c r="M266" s="408">
        <v>0</v>
      </c>
      <c r="N266" s="408">
        <v>208.33</v>
      </c>
      <c r="O266" s="408">
        <v>208.33</v>
      </c>
      <c r="P266" s="408">
        <v>208.33</v>
      </c>
      <c r="Q266" s="408">
        <v>208.33</v>
      </c>
      <c r="R266" s="408"/>
      <c r="S266" s="408">
        <v>82.26</v>
      </c>
      <c r="T266" s="408">
        <v>256.55</v>
      </c>
      <c r="U266" s="408"/>
      <c r="V266" s="408">
        <v>70584.287300000011</v>
      </c>
      <c r="W266" s="408">
        <v>70584.287300000011</v>
      </c>
      <c r="X266" s="408">
        <v>73327.993400000007</v>
      </c>
      <c r="Y266" s="408">
        <v>0</v>
      </c>
      <c r="Z266" s="408">
        <v>11142.10772680503</v>
      </c>
      <c r="AA266" s="408">
        <v>0</v>
      </c>
      <c r="AB266" s="408">
        <v>0</v>
      </c>
      <c r="AC266" s="408">
        <v>0</v>
      </c>
      <c r="AD266" s="408">
        <v>0</v>
      </c>
      <c r="AE266" s="408">
        <v>0</v>
      </c>
      <c r="AF266" s="408">
        <v>53447.586852438399</v>
      </c>
      <c r="AG266" s="408">
        <v>0</v>
      </c>
      <c r="AH266" s="408">
        <v>0</v>
      </c>
      <c r="AI266" s="408">
        <v>0</v>
      </c>
      <c r="AJ266" s="408">
        <v>0</v>
      </c>
      <c r="AK266" s="408">
        <v>0</v>
      </c>
      <c r="AL266" s="408">
        <v>1980.0232681670695</v>
      </c>
      <c r="AM266" s="408"/>
      <c r="AN266" s="408">
        <v>281.04862706975268</v>
      </c>
      <c r="AO266" s="408">
        <v>0</v>
      </c>
      <c r="AP266" s="408">
        <v>0</v>
      </c>
      <c r="AQ266" s="408">
        <v>0</v>
      </c>
      <c r="AR266" s="408">
        <v>0</v>
      </c>
      <c r="AS266" s="408">
        <v>0</v>
      </c>
      <c r="AT266" s="408">
        <v>0</v>
      </c>
      <c r="AU266" s="408">
        <v>0</v>
      </c>
      <c r="AV266" s="408">
        <v>0</v>
      </c>
      <c r="AW266" s="408">
        <v>0</v>
      </c>
      <c r="AX266" s="408">
        <v>0</v>
      </c>
      <c r="AY266" s="408">
        <v>0</v>
      </c>
      <c r="AZ266" s="408">
        <v>0</v>
      </c>
      <c r="BA266" s="408"/>
      <c r="BB266" s="408">
        <v>0</v>
      </c>
      <c r="BC266" s="408">
        <v>0</v>
      </c>
      <c r="BD266" s="408">
        <v>256.66781350057602</v>
      </c>
      <c r="BE266" s="408">
        <v>0</v>
      </c>
      <c r="BF266" s="408">
        <v>0</v>
      </c>
      <c r="BG266" s="408">
        <v>3476.8794102050288</v>
      </c>
      <c r="BH266" s="408">
        <v>0</v>
      </c>
      <c r="BI266" s="408">
        <v>0</v>
      </c>
      <c r="BJ266" s="408">
        <v>0</v>
      </c>
      <c r="BK266" s="408">
        <v>0</v>
      </c>
      <c r="BL266" s="408">
        <v>0</v>
      </c>
      <c r="BM266" s="408"/>
      <c r="BN266" s="408"/>
      <c r="BO266" s="408"/>
      <c r="BP266" s="408"/>
      <c r="BQ266" s="408"/>
      <c r="BR266" s="408"/>
      <c r="BS266" s="408"/>
      <c r="BT266" s="408"/>
      <c r="BU266" s="408"/>
      <c r="BV266" s="408">
        <v>57181.134076144008</v>
      </c>
      <c r="BW266" s="408"/>
      <c r="BX266" s="408"/>
      <c r="BY266" s="408"/>
      <c r="BZ266" s="408"/>
      <c r="CA266" s="408"/>
      <c r="CB266" s="408"/>
      <c r="CC266" s="408"/>
      <c r="CD266" s="408"/>
      <c r="CE266" s="408"/>
      <c r="CF266" s="408"/>
      <c r="CG266" s="408"/>
      <c r="CH266" s="408"/>
      <c r="CI266" s="408">
        <v>73327.993400000007</v>
      </c>
      <c r="CJ266" s="408">
        <v>2743.6761000000115</v>
      </c>
      <c r="CK266" s="408"/>
      <c r="CL266" s="408"/>
      <c r="CM266" s="408"/>
      <c r="CN266" s="408"/>
      <c r="CO266" s="408">
        <v>-587.49060000000156</v>
      </c>
      <c r="CP266" s="408">
        <v>3331.1967000000022</v>
      </c>
      <c r="CQ266" s="408">
        <v>29</v>
      </c>
      <c r="CR266" s="408">
        <v>2742.8286379615747</v>
      </c>
      <c r="CS266" s="408">
        <v>0</v>
      </c>
      <c r="CT266" s="408">
        <v>0</v>
      </c>
      <c r="CU266" s="408">
        <v>0</v>
      </c>
      <c r="CV266" s="408">
        <v>0</v>
      </c>
      <c r="CW266" s="408">
        <v>0</v>
      </c>
      <c r="CX266" s="408">
        <v>0</v>
      </c>
      <c r="CY266" s="408">
        <v>0</v>
      </c>
      <c r="CZ266" s="408">
        <v>0</v>
      </c>
      <c r="DA266" s="408">
        <v>0</v>
      </c>
      <c r="DB266" s="408">
        <v>0</v>
      </c>
      <c r="DC266" s="408">
        <v>3329.7028416096218</v>
      </c>
      <c r="DD266" s="408">
        <v>0</v>
      </c>
      <c r="DE266" s="408">
        <v>0</v>
      </c>
      <c r="DF266" s="408">
        <v>15.9900118656833</v>
      </c>
      <c r="DG266" s="408">
        <v>216.60426473614598</v>
      </c>
      <c r="DH266" s="408">
        <v>0</v>
      </c>
      <c r="DI266" s="408">
        <v>-692.85919482390455</v>
      </c>
      <c r="DJ266" s="408"/>
      <c r="DK266" s="408">
        <v>0</v>
      </c>
      <c r="DL266" s="408">
        <v>0</v>
      </c>
      <c r="DM266" s="408">
        <v>0</v>
      </c>
      <c r="DN266" s="408">
        <v>0</v>
      </c>
      <c r="DO266" s="408">
        <v>-108.64920458915162</v>
      </c>
      <c r="DP266" s="408">
        <v>-17.960080836817099</v>
      </c>
      <c r="DQ266" s="408">
        <v>0</v>
      </c>
      <c r="DR266" s="408">
        <v>0</v>
      </c>
      <c r="DS266" s="408"/>
      <c r="DT266" s="408"/>
      <c r="DU266" s="408"/>
      <c r="DV266" s="408">
        <v>0</v>
      </c>
      <c r="DW266" s="408">
        <v>0</v>
      </c>
      <c r="DX266" s="408">
        <v>0</v>
      </c>
      <c r="DY266" s="408">
        <v>-587.49060000000463</v>
      </c>
      <c r="DZ266" s="408">
        <v>3331.1967000000077</v>
      </c>
      <c r="EA266" s="408">
        <v>0</v>
      </c>
      <c r="EB266" s="408">
        <v>0</v>
      </c>
      <c r="EC266" s="408">
        <v>0</v>
      </c>
      <c r="ED266" s="408">
        <v>0</v>
      </c>
      <c r="EE266" s="408">
        <v>0</v>
      </c>
      <c r="EF266" s="408">
        <v>0</v>
      </c>
      <c r="EG266" s="408">
        <v>0</v>
      </c>
      <c r="EH266" s="408">
        <v>0</v>
      </c>
      <c r="EI266" s="408">
        <v>0</v>
      </c>
      <c r="EJ266" s="408">
        <v>0</v>
      </c>
      <c r="EK266" s="408">
        <v>0</v>
      </c>
      <c r="EL266" s="408">
        <v>0</v>
      </c>
      <c r="EM266" s="408">
        <v>0</v>
      </c>
      <c r="EN266" s="408">
        <v>0</v>
      </c>
      <c r="EO266" s="408">
        <v>0</v>
      </c>
      <c r="EP266" s="408">
        <v>0</v>
      </c>
      <c r="EQ266" s="408">
        <v>0</v>
      </c>
      <c r="ER266" s="408">
        <v>0</v>
      </c>
      <c r="ES266" s="408">
        <v>0</v>
      </c>
      <c r="ET266" s="408">
        <v>0</v>
      </c>
      <c r="EU266" s="408">
        <v>0</v>
      </c>
      <c r="EV266" s="408">
        <v>257</v>
      </c>
      <c r="EW266" s="408">
        <v>0</v>
      </c>
      <c r="EX266" s="408">
        <v>0</v>
      </c>
      <c r="EY266" s="408">
        <v>0</v>
      </c>
      <c r="EZ266" s="408"/>
      <c r="FA266" s="408">
        <v>0</v>
      </c>
      <c r="FB266" s="408"/>
      <c r="FC266" s="408"/>
      <c r="FD266" s="408"/>
      <c r="FE266" s="408"/>
      <c r="FF266" s="408">
        <v>0</v>
      </c>
      <c r="FG266" s="408">
        <v>0</v>
      </c>
      <c r="FH266" s="408">
        <v>0</v>
      </c>
      <c r="FI266" s="408">
        <v>0</v>
      </c>
    </row>
    <row r="267" spans="1:165">
      <c r="A267" s="408">
        <v>265</v>
      </c>
      <c r="B267" s="408" t="s">
        <v>2236</v>
      </c>
      <c r="C267" s="408" t="s">
        <v>2241</v>
      </c>
      <c r="D267" s="408" t="s">
        <v>596</v>
      </c>
      <c r="E267" s="408" t="s">
        <v>969</v>
      </c>
      <c r="F267" s="408" t="s">
        <v>1321</v>
      </c>
      <c r="G267" s="408" t="s">
        <v>1321</v>
      </c>
      <c r="H267" s="408" t="s">
        <v>1321</v>
      </c>
      <c r="I267" s="408" t="s">
        <v>2242</v>
      </c>
      <c r="J267" s="408" t="s">
        <v>2234</v>
      </c>
      <c r="K267" s="828">
        <v>44593</v>
      </c>
      <c r="L267" s="408">
        <v>0</v>
      </c>
      <c r="M267" s="408">
        <v>0</v>
      </c>
      <c r="N267" s="408">
        <v>1.278</v>
      </c>
      <c r="O267" s="408">
        <v>1.278</v>
      </c>
      <c r="P267" s="408">
        <v>1.278</v>
      </c>
      <c r="Q267" s="408">
        <v>1.278</v>
      </c>
      <c r="R267" s="408"/>
      <c r="S267" s="408">
        <v>82.26</v>
      </c>
      <c r="T267" s="408">
        <v>256.55</v>
      </c>
      <c r="U267" s="408"/>
      <c r="V267" s="408">
        <v>432.99918000000002</v>
      </c>
      <c r="W267" s="408">
        <v>432.99918000000002</v>
      </c>
      <c r="X267" s="408">
        <v>449.83044000000001</v>
      </c>
      <c r="Y267" s="408">
        <v>0</v>
      </c>
      <c r="Z267" s="408">
        <v>68.351239259140925</v>
      </c>
      <c r="AA267" s="408">
        <v>0</v>
      </c>
      <c r="AB267" s="408">
        <v>0</v>
      </c>
      <c r="AC267" s="408">
        <v>0</v>
      </c>
      <c r="AD267" s="408">
        <v>0</v>
      </c>
      <c r="AE267" s="408">
        <v>0</v>
      </c>
      <c r="AF267" s="408">
        <v>327.87412277356248</v>
      </c>
      <c r="AG267" s="408">
        <v>0</v>
      </c>
      <c r="AH267" s="408">
        <v>0</v>
      </c>
      <c r="AI267" s="408">
        <v>0</v>
      </c>
      <c r="AJ267" s="408">
        <v>0</v>
      </c>
      <c r="AK267" s="408">
        <v>0</v>
      </c>
      <c r="AL267" s="408">
        <v>12.146449079429342</v>
      </c>
      <c r="AM267" s="408"/>
      <c r="AN267" s="408">
        <v>1.7240922833732248</v>
      </c>
      <c r="AO267" s="408">
        <v>0</v>
      </c>
      <c r="AP267" s="408">
        <v>0</v>
      </c>
      <c r="AQ267" s="408">
        <v>0</v>
      </c>
      <c r="AR267" s="408">
        <v>0</v>
      </c>
      <c r="AS267" s="408">
        <v>0</v>
      </c>
      <c r="AT267" s="408">
        <v>0</v>
      </c>
      <c r="AU267" s="408">
        <v>0</v>
      </c>
      <c r="AV267" s="408">
        <v>0</v>
      </c>
      <c r="AW267" s="408">
        <v>0</v>
      </c>
      <c r="AX267" s="408">
        <v>0</v>
      </c>
      <c r="AY267" s="408">
        <v>0</v>
      </c>
      <c r="AZ267" s="408">
        <v>0</v>
      </c>
      <c r="BA267" s="408"/>
      <c r="BB267" s="408">
        <v>0</v>
      </c>
      <c r="BC267" s="408">
        <v>0</v>
      </c>
      <c r="BD267" s="408">
        <v>1.5745282275895749</v>
      </c>
      <c r="BE267" s="408">
        <v>0</v>
      </c>
      <c r="BF267" s="408">
        <v>0</v>
      </c>
      <c r="BG267" s="408">
        <v>21.328910316526795</v>
      </c>
      <c r="BH267" s="408">
        <v>0</v>
      </c>
      <c r="BI267" s="408">
        <v>0</v>
      </c>
      <c r="BJ267" s="408">
        <v>0</v>
      </c>
      <c r="BK267" s="408">
        <v>0</v>
      </c>
      <c r="BL267" s="408">
        <v>0</v>
      </c>
      <c r="BM267" s="408"/>
      <c r="BN267" s="408"/>
      <c r="BO267" s="408"/>
      <c r="BP267" s="408"/>
      <c r="BQ267" s="408"/>
      <c r="BR267" s="408"/>
      <c r="BS267" s="408"/>
      <c r="BT267" s="408"/>
      <c r="BU267" s="408"/>
      <c r="BV267" s="408">
        <v>350.77756131767882</v>
      </c>
      <c r="BW267" s="408"/>
      <c r="BX267" s="408"/>
      <c r="BY267" s="408"/>
      <c r="BZ267" s="408"/>
      <c r="CA267" s="408"/>
      <c r="CB267" s="408"/>
      <c r="CC267" s="408"/>
      <c r="CD267" s="408"/>
      <c r="CE267" s="408"/>
      <c r="CF267" s="408"/>
      <c r="CG267" s="408"/>
      <c r="CH267" s="408"/>
      <c r="CI267" s="408">
        <v>450.53440000000001</v>
      </c>
      <c r="CJ267" s="408">
        <v>17.505220000000008</v>
      </c>
      <c r="CK267" s="408"/>
      <c r="CL267" s="408"/>
      <c r="CM267" s="408"/>
      <c r="CN267" s="408"/>
      <c r="CO267" s="408">
        <v>-3.6039600000000096</v>
      </c>
      <c r="CP267" s="408">
        <v>20.435220000000012</v>
      </c>
      <c r="CQ267" s="408">
        <v>29</v>
      </c>
      <c r="CR267" s="408">
        <v>16.82587721074691</v>
      </c>
      <c r="CS267" s="408">
        <v>0</v>
      </c>
      <c r="CT267" s="408">
        <v>0</v>
      </c>
      <c r="CU267" s="408">
        <v>0</v>
      </c>
      <c r="CV267" s="408">
        <v>0</v>
      </c>
      <c r="CW267" s="408">
        <v>0</v>
      </c>
      <c r="CX267" s="408">
        <v>0</v>
      </c>
      <c r="CY267" s="408">
        <v>0</v>
      </c>
      <c r="CZ267" s="408">
        <v>0</v>
      </c>
      <c r="DA267" s="408">
        <v>0</v>
      </c>
      <c r="DB267" s="408">
        <v>0</v>
      </c>
      <c r="DC267" s="408">
        <v>20.426055928464905</v>
      </c>
      <c r="DD267" s="408">
        <v>0</v>
      </c>
      <c r="DE267" s="408">
        <v>0</v>
      </c>
      <c r="DF267" s="408">
        <v>9.8090698240019591E-2</v>
      </c>
      <c r="DG267" s="408">
        <v>1.3287584617328001</v>
      </c>
      <c r="DH267" s="408">
        <v>0</v>
      </c>
      <c r="DI267" s="408">
        <v>-4.2503434502229709</v>
      </c>
      <c r="DJ267" s="408"/>
      <c r="DK267" s="408">
        <v>0</v>
      </c>
      <c r="DL267" s="408">
        <v>0</v>
      </c>
      <c r="DM267" s="408">
        <v>0</v>
      </c>
      <c r="DN267" s="408">
        <v>0</v>
      </c>
      <c r="DO267" s="408">
        <v>-0.66650834476520693</v>
      </c>
      <c r="DP267" s="408">
        <v>-0.11017608270269408</v>
      </c>
      <c r="DQ267" s="408">
        <v>0</v>
      </c>
      <c r="DR267" s="408">
        <v>0</v>
      </c>
      <c r="DS267" s="408"/>
      <c r="DT267" s="408"/>
      <c r="DU267" s="408"/>
      <c r="DV267" s="408">
        <v>0</v>
      </c>
      <c r="DW267" s="408">
        <v>0</v>
      </c>
      <c r="DX267" s="408">
        <v>0</v>
      </c>
      <c r="DY267" s="408">
        <v>-3.6039600000000007</v>
      </c>
      <c r="DZ267" s="408">
        <v>20.435220000000015</v>
      </c>
      <c r="EA267" s="408">
        <v>0</v>
      </c>
      <c r="EB267" s="408">
        <v>0</v>
      </c>
      <c r="EC267" s="408">
        <v>0</v>
      </c>
      <c r="ED267" s="408">
        <v>0</v>
      </c>
      <c r="EE267" s="408">
        <v>0</v>
      </c>
      <c r="EF267" s="408">
        <v>0</v>
      </c>
      <c r="EG267" s="408">
        <v>0</v>
      </c>
      <c r="EH267" s="408">
        <v>0</v>
      </c>
      <c r="EI267" s="408">
        <v>0</v>
      </c>
      <c r="EJ267" s="408">
        <v>0</v>
      </c>
      <c r="EK267" s="408">
        <v>0</v>
      </c>
      <c r="EL267" s="408">
        <v>0</v>
      </c>
      <c r="EM267" s="408">
        <v>0</v>
      </c>
      <c r="EN267" s="408">
        <v>0</v>
      </c>
      <c r="EO267" s="408">
        <v>0</v>
      </c>
      <c r="EP267" s="408">
        <v>0</v>
      </c>
      <c r="EQ267" s="408">
        <v>0</v>
      </c>
      <c r="ER267" s="408">
        <v>0</v>
      </c>
      <c r="ES267" s="408">
        <v>0</v>
      </c>
      <c r="ET267" s="408">
        <v>0</v>
      </c>
      <c r="EU267" s="408">
        <v>0</v>
      </c>
      <c r="EV267" s="408">
        <v>257</v>
      </c>
      <c r="EW267" s="408">
        <v>0</v>
      </c>
      <c r="EX267" s="408">
        <v>0</v>
      </c>
      <c r="EY267" s="408">
        <v>0</v>
      </c>
      <c r="EZ267" s="408"/>
      <c r="FA267" s="408">
        <v>0</v>
      </c>
      <c r="FB267" s="408"/>
      <c r="FC267" s="408"/>
      <c r="FD267" s="408"/>
      <c r="FE267" s="408"/>
      <c r="FF267" s="408">
        <v>0</v>
      </c>
      <c r="FG267" s="408">
        <v>0</v>
      </c>
      <c r="FH267" s="408">
        <v>0</v>
      </c>
      <c r="FI267" s="408">
        <v>0</v>
      </c>
    </row>
    <row r="268" spans="1:165">
      <c r="A268" s="408">
        <v>266</v>
      </c>
      <c r="B268" s="408" t="s">
        <v>1035</v>
      </c>
      <c r="C268" s="408" t="s">
        <v>2241</v>
      </c>
      <c r="D268" s="408" t="s">
        <v>596</v>
      </c>
      <c r="E268" s="408" t="s">
        <v>969</v>
      </c>
      <c r="F268" s="408" t="s">
        <v>1321</v>
      </c>
      <c r="G268" s="408" t="s">
        <v>1321</v>
      </c>
      <c r="H268" s="408" t="s">
        <v>1321</v>
      </c>
      <c r="I268" s="408" t="s">
        <v>1321</v>
      </c>
      <c r="J268" s="408" t="s">
        <v>2234</v>
      </c>
      <c r="K268" s="828">
        <v>44593</v>
      </c>
      <c r="L268" s="408">
        <v>1488</v>
      </c>
      <c r="M268" s="408">
        <v>1488</v>
      </c>
      <c r="N268" s="408">
        <v>0</v>
      </c>
      <c r="O268" s="408">
        <v>0</v>
      </c>
      <c r="P268" s="408">
        <v>0</v>
      </c>
      <c r="Q268" s="408">
        <v>0</v>
      </c>
      <c r="R268" s="408">
        <v>47.39</v>
      </c>
      <c r="S268" s="408"/>
      <c r="T268" s="408"/>
      <c r="U268" s="408">
        <v>70516.320000000007</v>
      </c>
      <c r="V268" s="408"/>
      <c r="W268" s="408">
        <v>70516.320000000007</v>
      </c>
      <c r="X268" s="408">
        <v>47943.360000000001</v>
      </c>
      <c r="Y268" s="408">
        <v>0</v>
      </c>
      <c r="Z268" s="408">
        <v>0</v>
      </c>
      <c r="AA268" s="408">
        <v>0</v>
      </c>
      <c r="AB268" s="408">
        <v>0</v>
      </c>
      <c r="AC268" s="408">
        <v>0</v>
      </c>
      <c r="AD268" s="408">
        <v>37155.509067044964</v>
      </c>
      <c r="AE268" s="408">
        <v>33360.762461645492</v>
      </c>
      <c r="AF268" s="408"/>
      <c r="AG268" s="408"/>
      <c r="AH268" s="408"/>
      <c r="AI268" s="408">
        <v>0</v>
      </c>
      <c r="AJ268" s="408">
        <v>0</v>
      </c>
      <c r="AK268" s="408">
        <v>0</v>
      </c>
      <c r="AL268" s="408">
        <v>0</v>
      </c>
      <c r="AM268" s="408"/>
      <c r="AN268" s="408">
        <v>0</v>
      </c>
      <c r="AO268" s="408">
        <v>0</v>
      </c>
      <c r="AP268" s="408">
        <v>0</v>
      </c>
      <c r="AQ268" s="408">
        <v>0</v>
      </c>
      <c r="AR268" s="408">
        <v>0</v>
      </c>
      <c r="AS268" s="408"/>
      <c r="AT268" s="408"/>
      <c r="AU268" s="408">
        <v>0</v>
      </c>
      <c r="AV268" s="408">
        <v>0</v>
      </c>
      <c r="AW268" s="408">
        <v>0</v>
      </c>
      <c r="AX268" s="408"/>
      <c r="AY268" s="408"/>
      <c r="AZ268" s="408">
        <v>0</v>
      </c>
      <c r="BA268" s="408"/>
      <c r="BB268" s="408">
        <v>0</v>
      </c>
      <c r="BC268" s="408">
        <v>0</v>
      </c>
      <c r="BD268" s="408">
        <v>0</v>
      </c>
      <c r="BE268" s="408">
        <v>0</v>
      </c>
      <c r="BF268" s="408"/>
      <c r="BG268" s="408">
        <v>0</v>
      </c>
      <c r="BH268" s="408">
        <v>0</v>
      </c>
      <c r="BI268" s="408">
        <v>0</v>
      </c>
      <c r="BJ268" s="408">
        <v>0.01</v>
      </c>
      <c r="BK268" s="408">
        <v>32672.31</v>
      </c>
      <c r="BL268" s="408">
        <v>10</v>
      </c>
      <c r="BM268" s="408"/>
      <c r="BN268" s="408"/>
      <c r="BO268" s="408"/>
      <c r="BP268" s="408"/>
      <c r="BQ268" s="408"/>
      <c r="BR268" s="408"/>
      <c r="BS268" s="408"/>
      <c r="BT268" s="408"/>
      <c r="BU268" s="408"/>
      <c r="BV268" s="408">
        <v>0</v>
      </c>
      <c r="BW268" s="408"/>
      <c r="BX268" s="408"/>
      <c r="BY268" s="408"/>
      <c r="BZ268" s="408"/>
      <c r="CA268" s="408"/>
      <c r="CB268" s="408"/>
      <c r="CC268" s="408"/>
      <c r="CD268" s="408"/>
      <c r="CE268" s="408"/>
      <c r="CF268" s="408"/>
      <c r="CG268" s="408"/>
      <c r="CH268" s="408"/>
      <c r="CI268" s="408">
        <v>47943.360000000001</v>
      </c>
      <c r="CJ268" s="408">
        <v>-22572.989999999991</v>
      </c>
      <c r="CK268" s="408"/>
      <c r="CL268" s="408"/>
      <c r="CM268" s="408"/>
      <c r="CN268" s="408"/>
      <c r="CO268" s="408">
        <v>-22572.960000000003</v>
      </c>
      <c r="CP268" s="408">
        <v>0</v>
      </c>
      <c r="CQ268" s="408">
        <v>29</v>
      </c>
      <c r="CR268" s="408">
        <v>-167.94523788840888</v>
      </c>
      <c r="CS268" s="408">
        <v>0</v>
      </c>
      <c r="CT268" s="408">
        <v>0</v>
      </c>
      <c r="CU268" s="408">
        <v>0</v>
      </c>
      <c r="CV268" s="408">
        <v>0</v>
      </c>
      <c r="CW268" s="408"/>
      <c r="CX268" s="408"/>
      <c r="CY268" s="408"/>
      <c r="CZ268" s="408">
        <v>-167.94523788840888</v>
      </c>
      <c r="DA268" s="408">
        <v>0</v>
      </c>
      <c r="DB268" s="408">
        <v>0</v>
      </c>
      <c r="DC268" s="408"/>
      <c r="DD268" s="408"/>
      <c r="DE268" s="408">
        <v>0</v>
      </c>
      <c r="DF268" s="408">
        <v>0</v>
      </c>
      <c r="DG268" s="408">
        <v>0</v>
      </c>
      <c r="DH268" s="408">
        <v>0</v>
      </c>
      <c r="DI268" s="408">
        <v>0</v>
      </c>
      <c r="DJ268" s="408"/>
      <c r="DK268" s="408">
        <v>0</v>
      </c>
      <c r="DL268" s="408">
        <v>0</v>
      </c>
      <c r="DM268" s="408"/>
      <c r="DN268" s="408">
        <v>0</v>
      </c>
      <c r="DO268" s="408">
        <v>0</v>
      </c>
      <c r="DP268" s="408">
        <v>0</v>
      </c>
      <c r="DQ268" s="408">
        <v>0</v>
      </c>
      <c r="DR268" s="408">
        <v>0</v>
      </c>
      <c r="DS268" s="408"/>
      <c r="DT268" s="408"/>
      <c r="DU268" s="408">
        <v>33360.762461645492</v>
      </c>
      <c r="DV268" s="408"/>
      <c r="DW268" s="408">
        <v>0</v>
      </c>
      <c r="DX268" s="408">
        <v>0</v>
      </c>
      <c r="DY268" s="408">
        <v>-22572.960000000006</v>
      </c>
      <c r="DZ268" s="408"/>
      <c r="EA268" s="408">
        <v>0</v>
      </c>
      <c r="EB268" s="408"/>
      <c r="EC268" s="408">
        <v>-22407.579067543546</v>
      </c>
      <c r="ED268" s="408"/>
      <c r="EE268" s="408">
        <v>0</v>
      </c>
      <c r="EF268" s="408">
        <v>0</v>
      </c>
      <c r="EG268" s="408"/>
      <c r="EH268" s="408">
        <v>0</v>
      </c>
      <c r="EI268" s="408">
        <v>0</v>
      </c>
      <c r="EJ268" s="408">
        <v>0</v>
      </c>
      <c r="EK268" s="408">
        <v>0</v>
      </c>
      <c r="EL268" s="408">
        <v>0</v>
      </c>
      <c r="EM268" s="408"/>
      <c r="EN268" s="408"/>
      <c r="EO268" s="408">
        <v>0</v>
      </c>
      <c r="EP268" s="408">
        <v>0</v>
      </c>
      <c r="EQ268" s="408"/>
      <c r="ER268" s="408">
        <v>0</v>
      </c>
      <c r="ES268" s="408"/>
      <c r="ET268" s="408">
        <v>0</v>
      </c>
      <c r="EU268" s="408"/>
      <c r="EV268" s="408">
        <v>257</v>
      </c>
      <c r="EW268" s="408"/>
      <c r="EX268" s="408"/>
      <c r="EY268" s="408"/>
      <c r="EZ268" s="408"/>
      <c r="FA268" s="408">
        <v>0</v>
      </c>
      <c r="FB268" s="408"/>
      <c r="FC268" s="408"/>
      <c r="FD268" s="408"/>
      <c r="FE268" s="408"/>
      <c r="FF268" s="408">
        <v>0</v>
      </c>
      <c r="FG268" s="408">
        <v>0</v>
      </c>
      <c r="FH268" s="408">
        <v>0</v>
      </c>
      <c r="FI268" s="408">
        <v>0</v>
      </c>
    </row>
    <row r="269" spans="1:165">
      <c r="A269" s="408">
        <v>267</v>
      </c>
      <c r="B269" s="408" t="s">
        <v>2236</v>
      </c>
      <c r="C269" s="408" t="s">
        <v>2241</v>
      </c>
      <c r="D269" s="408" t="s">
        <v>596</v>
      </c>
      <c r="E269" s="408" t="s">
        <v>969</v>
      </c>
      <c r="F269" s="408" t="s">
        <v>1321</v>
      </c>
      <c r="G269" s="408" t="s">
        <v>1321</v>
      </c>
      <c r="H269" s="408" t="s">
        <v>1321</v>
      </c>
      <c r="I269" s="408" t="s">
        <v>1321</v>
      </c>
      <c r="J269" s="408" t="s">
        <v>2234</v>
      </c>
      <c r="K269" s="828">
        <v>44593</v>
      </c>
      <c r="L269" s="408">
        <v>726</v>
      </c>
      <c r="M269" s="408">
        <v>726</v>
      </c>
      <c r="N269" s="408">
        <v>0</v>
      </c>
      <c r="O269" s="408">
        <v>0</v>
      </c>
      <c r="P269" s="408">
        <v>0</v>
      </c>
      <c r="Q269" s="408">
        <v>0</v>
      </c>
      <c r="R269" s="408">
        <v>47.39</v>
      </c>
      <c r="S269" s="408"/>
      <c r="T269" s="408"/>
      <c r="U269" s="408">
        <v>34405.14</v>
      </c>
      <c r="V269" s="408"/>
      <c r="W269" s="408">
        <v>34405.14</v>
      </c>
      <c r="X269" s="408">
        <v>23391.719999999998</v>
      </c>
      <c r="Y269" s="408">
        <v>0</v>
      </c>
      <c r="Z269" s="408">
        <v>0</v>
      </c>
      <c r="AA269" s="408">
        <v>0</v>
      </c>
      <c r="AB269" s="408">
        <v>0</v>
      </c>
      <c r="AC269" s="408">
        <v>0</v>
      </c>
      <c r="AD269" s="408">
        <v>18128.292730292098</v>
      </c>
      <c r="AE269" s="408">
        <v>16276.823620399617</v>
      </c>
      <c r="AF269" s="408"/>
      <c r="AG269" s="408"/>
      <c r="AH269" s="408"/>
      <c r="AI269" s="408">
        <v>0</v>
      </c>
      <c r="AJ269" s="408">
        <v>0</v>
      </c>
      <c r="AK269" s="408">
        <v>0</v>
      </c>
      <c r="AL269" s="408">
        <v>0</v>
      </c>
      <c r="AM269" s="408"/>
      <c r="AN269" s="408">
        <v>0</v>
      </c>
      <c r="AO269" s="408">
        <v>0</v>
      </c>
      <c r="AP269" s="408">
        <v>0</v>
      </c>
      <c r="AQ269" s="408">
        <v>0</v>
      </c>
      <c r="AR269" s="408">
        <v>0</v>
      </c>
      <c r="AS269" s="408"/>
      <c r="AT269" s="408"/>
      <c r="AU269" s="408">
        <v>0</v>
      </c>
      <c r="AV269" s="408">
        <v>0</v>
      </c>
      <c r="AW269" s="408">
        <v>0</v>
      </c>
      <c r="AX269" s="408"/>
      <c r="AY269" s="408"/>
      <c r="AZ269" s="408">
        <v>0</v>
      </c>
      <c r="BA269" s="408"/>
      <c r="BB269" s="408">
        <v>0</v>
      </c>
      <c r="BC269" s="408">
        <v>0</v>
      </c>
      <c r="BD269" s="408">
        <v>0</v>
      </c>
      <c r="BE269" s="408">
        <v>0</v>
      </c>
      <c r="BF269" s="408"/>
      <c r="BG269" s="408">
        <v>0</v>
      </c>
      <c r="BH269" s="408">
        <v>0</v>
      </c>
      <c r="BI269" s="408">
        <v>24.72</v>
      </c>
      <c r="BJ269" s="408">
        <v>114.07</v>
      </c>
      <c r="BK269" s="408">
        <v>5390.14</v>
      </c>
      <c r="BL269" s="408">
        <v>5</v>
      </c>
      <c r="BM269" s="408"/>
      <c r="BN269" s="408"/>
      <c r="BO269" s="408"/>
      <c r="BP269" s="408"/>
      <c r="BQ269" s="408"/>
      <c r="BR269" s="408"/>
      <c r="BS269" s="408"/>
      <c r="BT269" s="408"/>
      <c r="BU269" s="408"/>
      <c r="BV269" s="408">
        <v>0</v>
      </c>
      <c r="BW269" s="408"/>
      <c r="BX269" s="408"/>
      <c r="BY269" s="408"/>
      <c r="BZ269" s="408"/>
      <c r="CA269" s="408"/>
      <c r="CB269" s="408"/>
      <c r="CC269" s="408"/>
      <c r="CD269" s="408"/>
      <c r="CE269" s="408"/>
      <c r="CF269" s="408"/>
      <c r="CG269" s="408"/>
      <c r="CH269" s="408"/>
      <c r="CI269" s="408">
        <v>23391.719999999998</v>
      </c>
      <c r="CJ269" s="408">
        <v>-11013.450000000008</v>
      </c>
      <c r="CK269" s="408"/>
      <c r="CL269" s="408"/>
      <c r="CM269" s="408"/>
      <c r="CN269" s="408"/>
      <c r="CO269" s="408">
        <v>-11013.420000000002</v>
      </c>
      <c r="CP269" s="408">
        <v>0</v>
      </c>
      <c r="CQ269" s="408">
        <v>29</v>
      </c>
      <c r="CR269" s="408">
        <v>-81.941023324583512</v>
      </c>
      <c r="CS269" s="408">
        <v>0</v>
      </c>
      <c r="CT269" s="408">
        <v>0</v>
      </c>
      <c r="CU269" s="408">
        <v>0</v>
      </c>
      <c r="CV269" s="408">
        <v>0</v>
      </c>
      <c r="CW269" s="408"/>
      <c r="CX269" s="408"/>
      <c r="CY269" s="408"/>
      <c r="CZ269" s="408">
        <v>-81.941023324583512</v>
      </c>
      <c r="DA269" s="408">
        <v>0</v>
      </c>
      <c r="DB269" s="408">
        <v>0</v>
      </c>
      <c r="DC269" s="408"/>
      <c r="DD269" s="408"/>
      <c r="DE269" s="408">
        <v>0</v>
      </c>
      <c r="DF269" s="408">
        <v>0</v>
      </c>
      <c r="DG269" s="408">
        <v>0</v>
      </c>
      <c r="DH269" s="408">
        <v>0</v>
      </c>
      <c r="DI269" s="408">
        <v>0</v>
      </c>
      <c r="DJ269" s="408"/>
      <c r="DK269" s="408">
        <v>0</v>
      </c>
      <c r="DL269" s="408">
        <v>0</v>
      </c>
      <c r="DM269" s="408"/>
      <c r="DN269" s="408">
        <v>0</v>
      </c>
      <c r="DO269" s="408">
        <v>0</v>
      </c>
      <c r="DP269" s="408">
        <v>0</v>
      </c>
      <c r="DQ269" s="408">
        <v>0</v>
      </c>
      <c r="DR269" s="408">
        <v>0</v>
      </c>
      <c r="DS269" s="408"/>
      <c r="DT269" s="408"/>
      <c r="DU269" s="408">
        <v>16276.823620399617</v>
      </c>
      <c r="DV269" s="408"/>
      <c r="DW269" s="408">
        <v>0</v>
      </c>
      <c r="DX269" s="408">
        <v>0</v>
      </c>
      <c r="DY269" s="408">
        <v>-11013.420000000002</v>
      </c>
      <c r="DZ269" s="408"/>
      <c r="EA269" s="408">
        <v>0</v>
      </c>
      <c r="EB269" s="408"/>
      <c r="EC269" s="408">
        <v>-10932.730109567619</v>
      </c>
      <c r="ED269" s="408"/>
      <c r="EE269" s="408">
        <v>0</v>
      </c>
      <c r="EF269" s="408">
        <v>0</v>
      </c>
      <c r="EG269" s="408"/>
      <c r="EH269" s="408">
        <v>0</v>
      </c>
      <c r="EI269" s="408">
        <v>0</v>
      </c>
      <c r="EJ269" s="408">
        <v>0</v>
      </c>
      <c r="EK269" s="408">
        <v>0</v>
      </c>
      <c r="EL269" s="408">
        <v>0</v>
      </c>
      <c r="EM269" s="408"/>
      <c r="EN269" s="408"/>
      <c r="EO269" s="408">
        <v>0</v>
      </c>
      <c r="EP269" s="408">
        <v>0</v>
      </c>
      <c r="EQ269" s="408"/>
      <c r="ER269" s="408">
        <v>0</v>
      </c>
      <c r="ES269" s="408"/>
      <c r="ET269" s="408">
        <v>0</v>
      </c>
      <c r="EU269" s="408"/>
      <c r="EV269" s="408">
        <v>257</v>
      </c>
      <c r="EW269" s="408"/>
      <c r="EX269" s="408"/>
      <c r="EY269" s="408"/>
      <c r="EZ269" s="408"/>
      <c r="FA269" s="408">
        <v>0</v>
      </c>
      <c r="FB269" s="408"/>
      <c r="FC269" s="408"/>
      <c r="FD269" s="408"/>
      <c r="FE269" s="408"/>
      <c r="FF269" s="408">
        <v>0</v>
      </c>
      <c r="FG269" s="408">
        <v>0</v>
      </c>
      <c r="FH269" s="408">
        <v>0</v>
      </c>
      <c r="FI269" s="408">
        <v>0</v>
      </c>
    </row>
    <row r="270" spans="1:165">
      <c r="A270" s="408">
        <v>268</v>
      </c>
      <c r="B270" s="408" t="s">
        <v>1035</v>
      </c>
      <c r="C270" s="408" t="s">
        <v>2233</v>
      </c>
      <c r="D270" s="408" t="s">
        <v>1958</v>
      </c>
      <c r="E270" s="408" t="s">
        <v>997</v>
      </c>
      <c r="F270" s="408" t="s">
        <v>1321</v>
      </c>
      <c r="G270" s="408" t="s">
        <v>1321</v>
      </c>
      <c r="H270" s="408" t="s">
        <v>1321</v>
      </c>
      <c r="I270" s="408" t="s">
        <v>1321</v>
      </c>
      <c r="J270" s="408" t="s">
        <v>2234</v>
      </c>
      <c r="K270" s="828">
        <v>44593</v>
      </c>
      <c r="L270" s="408">
        <v>0</v>
      </c>
      <c r="M270" s="408">
        <v>0</v>
      </c>
      <c r="N270" s="408">
        <v>419.85700000000003</v>
      </c>
      <c r="O270" s="408">
        <v>419.85700000000003</v>
      </c>
      <c r="P270" s="408">
        <v>419.85700000000003</v>
      </c>
      <c r="Q270" s="408">
        <v>419.85700000000003</v>
      </c>
      <c r="R270" s="408"/>
      <c r="S270" s="408">
        <v>710.91</v>
      </c>
      <c r="T270" s="408">
        <v>256.55</v>
      </c>
      <c r="U270" s="408"/>
      <c r="V270" s="408">
        <v>406194.85321999999</v>
      </c>
      <c r="W270" s="408">
        <v>406194.85321999999</v>
      </c>
      <c r="X270" s="408">
        <v>277286.15851000004</v>
      </c>
      <c r="Y270" s="408">
        <v>0</v>
      </c>
      <c r="Z270" s="408">
        <v>25810.575307705225</v>
      </c>
      <c r="AA270" s="408">
        <v>0</v>
      </c>
      <c r="AB270" s="408">
        <v>0</v>
      </c>
      <c r="AC270" s="408">
        <v>0</v>
      </c>
      <c r="AD270" s="408">
        <v>51677.170878474361</v>
      </c>
      <c r="AE270" s="408">
        <v>200234.02776900461</v>
      </c>
      <c r="AF270" s="408">
        <v>107715.37211685417</v>
      </c>
      <c r="AG270" s="408">
        <v>0</v>
      </c>
      <c r="AH270" s="408">
        <v>0</v>
      </c>
      <c r="AI270" s="408">
        <v>0</v>
      </c>
      <c r="AJ270" s="408">
        <v>0</v>
      </c>
      <c r="AK270" s="408">
        <v>0</v>
      </c>
      <c r="AL270" s="408">
        <v>3990.4316675602231</v>
      </c>
      <c r="AM270" s="408"/>
      <c r="AN270" s="408">
        <v>921.9239513891996</v>
      </c>
      <c r="AO270" s="408">
        <v>0</v>
      </c>
      <c r="AP270" s="408">
        <v>0</v>
      </c>
      <c r="AQ270" s="408">
        <v>0</v>
      </c>
      <c r="AR270" s="408">
        <v>0</v>
      </c>
      <c r="AS270" s="408">
        <v>0</v>
      </c>
      <c r="AT270" s="408">
        <v>0</v>
      </c>
      <c r="AU270" s="408">
        <v>0</v>
      </c>
      <c r="AV270" s="408">
        <v>0</v>
      </c>
      <c r="AW270" s="408">
        <v>0</v>
      </c>
      <c r="AX270" s="408">
        <v>0</v>
      </c>
      <c r="AY270" s="408">
        <v>0</v>
      </c>
      <c r="AZ270" s="408">
        <v>0</v>
      </c>
      <c r="BA270" s="408"/>
      <c r="BB270" s="408">
        <v>0</v>
      </c>
      <c r="BC270" s="408">
        <v>0</v>
      </c>
      <c r="BD270" s="408">
        <v>625.72142284130769</v>
      </c>
      <c r="BE270" s="408">
        <v>0</v>
      </c>
      <c r="BF270" s="408">
        <v>0</v>
      </c>
      <c r="BG270" s="408">
        <v>15221.244718909682</v>
      </c>
      <c r="BH270" s="408">
        <v>0</v>
      </c>
      <c r="BI270" s="408">
        <v>1.58</v>
      </c>
      <c r="BJ270" s="408">
        <v>7.4</v>
      </c>
      <c r="BK270" s="408">
        <v>112297.79</v>
      </c>
      <c r="BL270" s="408">
        <v>964</v>
      </c>
      <c r="BM270" s="408"/>
      <c r="BN270" s="408"/>
      <c r="BO270" s="408"/>
      <c r="BP270" s="408"/>
      <c r="BQ270" s="408"/>
      <c r="BR270" s="408"/>
      <c r="BS270" s="408"/>
      <c r="BT270" s="408"/>
      <c r="BU270" s="408"/>
      <c r="BV270" s="408">
        <v>123562.33825860516</v>
      </c>
      <c r="BW270" s="408"/>
      <c r="BX270" s="408"/>
      <c r="BY270" s="408"/>
      <c r="BZ270" s="408"/>
      <c r="CA270" s="408"/>
      <c r="CB270" s="408"/>
      <c r="CC270" s="408"/>
      <c r="CD270" s="408"/>
      <c r="CE270" s="408"/>
      <c r="CF270" s="408"/>
      <c r="CG270" s="408"/>
      <c r="CH270" s="408"/>
      <c r="CI270" s="408">
        <v>277288.1398</v>
      </c>
      <c r="CJ270" s="408">
        <v>-128906.74342000001</v>
      </c>
      <c r="CK270" s="408"/>
      <c r="CL270" s="408"/>
      <c r="CM270" s="408"/>
      <c r="CN270" s="408"/>
      <c r="CO270" s="408">
        <v>-135622.20814</v>
      </c>
      <c r="CP270" s="408">
        <v>6713.5134300000045</v>
      </c>
      <c r="CQ270" s="408">
        <v>29</v>
      </c>
      <c r="CR270" s="408">
        <v>5581.2792381707404</v>
      </c>
      <c r="CS270" s="408">
        <v>0</v>
      </c>
      <c r="CT270" s="408">
        <v>0</v>
      </c>
      <c r="CU270" s="408">
        <v>0</v>
      </c>
      <c r="CV270" s="408">
        <v>0</v>
      </c>
      <c r="CW270" s="408">
        <v>0</v>
      </c>
      <c r="CX270" s="408">
        <v>0</v>
      </c>
      <c r="CY270" s="408">
        <v>0</v>
      </c>
      <c r="CZ270" s="408">
        <v>-233.5840626196732</v>
      </c>
      <c r="DA270" s="408">
        <v>0</v>
      </c>
      <c r="DB270" s="408">
        <v>0</v>
      </c>
      <c r="DC270" s="408">
        <v>6710.5027886991302</v>
      </c>
      <c r="DD270" s="408">
        <v>0</v>
      </c>
      <c r="DE270" s="408">
        <v>0</v>
      </c>
      <c r="DF270" s="408">
        <v>38.981486768390823</v>
      </c>
      <c r="DG270" s="408">
        <v>948.26024481359673</v>
      </c>
      <c r="DH270" s="408">
        <v>0</v>
      </c>
      <c r="DI270" s="408">
        <v>-1605.0010342851165</v>
      </c>
      <c r="DJ270" s="408"/>
      <c r="DK270" s="408">
        <v>0</v>
      </c>
      <c r="DL270" s="408">
        <v>0</v>
      </c>
      <c r="DM270" s="408">
        <v>0</v>
      </c>
      <c r="DN270" s="408">
        <v>0</v>
      </c>
      <c r="DO270" s="408">
        <v>-218.96572308926898</v>
      </c>
      <c r="DP270" s="408">
        <v>-58.914462116329446</v>
      </c>
      <c r="DQ270" s="408">
        <v>0</v>
      </c>
      <c r="DR270" s="408">
        <v>0</v>
      </c>
      <c r="DS270" s="408"/>
      <c r="DT270" s="408"/>
      <c r="DU270" s="408"/>
      <c r="DV270" s="408">
        <v>200234.02776900461</v>
      </c>
      <c r="DW270" s="408">
        <v>0</v>
      </c>
      <c r="DX270" s="408">
        <v>0</v>
      </c>
      <c r="DY270" s="408">
        <v>-135622.20813999997</v>
      </c>
      <c r="DZ270" s="408">
        <v>6713.5134300000063</v>
      </c>
      <c r="EA270" s="408">
        <v>0</v>
      </c>
      <c r="EB270" s="408">
        <v>0</v>
      </c>
      <c r="EC270" s="408">
        <v>-134492.12422542984</v>
      </c>
      <c r="ED270" s="408">
        <v>0</v>
      </c>
      <c r="EE270" s="408">
        <v>0</v>
      </c>
      <c r="EF270" s="408">
        <v>0</v>
      </c>
      <c r="EG270" s="408">
        <v>0</v>
      </c>
      <c r="EH270" s="408">
        <v>0</v>
      </c>
      <c r="EI270" s="408">
        <v>0</v>
      </c>
      <c r="EJ270" s="408">
        <v>0</v>
      </c>
      <c r="EK270" s="408">
        <v>0</v>
      </c>
      <c r="EL270" s="408">
        <v>0</v>
      </c>
      <c r="EM270" s="408">
        <v>0</v>
      </c>
      <c r="EN270" s="408">
        <v>0</v>
      </c>
      <c r="EO270" s="408">
        <v>0</v>
      </c>
      <c r="EP270" s="408">
        <v>0</v>
      </c>
      <c r="EQ270" s="408">
        <v>0</v>
      </c>
      <c r="ER270" s="408">
        <v>0</v>
      </c>
      <c r="ES270" s="408">
        <v>0</v>
      </c>
      <c r="ET270" s="408">
        <v>0</v>
      </c>
      <c r="EU270" s="408">
        <v>0</v>
      </c>
      <c r="EV270" s="408">
        <v>257</v>
      </c>
      <c r="EW270" s="408">
        <v>0</v>
      </c>
      <c r="EX270" s="408">
        <v>0</v>
      </c>
      <c r="EY270" s="408">
        <v>0</v>
      </c>
      <c r="EZ270" s="408"/>
      <c r="FA270" s="408">
        <v>0</v>
      </c>
      <c r="FB270" s="408"/>
      <c r="FC270" s="408"/>
      <c r="FD270" s="408"/>
      <c r="FE270" s="408"/>
      <c r="FF270" s="408">
        <v>0</v>
      </c>
      <c r="FG270" s="408">
        <v>0</v>
      </c>
      <c r="FH270" s="408">
        <v>0</v>
      </c>
      <c r="FI270" s="408">
        <v>0</v>
      </c>
    </row>
    <row r="271" spans="1:165">
      <c r="A271" s="408">
        <v>269</v>
      </c>
      <c r="B271" s="408" t="s">
        <v>2235</v>
      </c>
      <c r="C271" s="408" t="s">
        <v>2233</v>
      </c>
      <c r="D271" s="408" t="s">
        <v>1958</v>
      </c>
      <c r="E271" s="408" t="s">
        <v>997</v>
      </c>
      <c r="F271" s="408" t="s">
        <v>1321</v>
      </c>
      <c r="G271" s="408" t="s">
        <v>1321</v>
      </c>
      <c r="H271" s="408" t="s">
        <v>1321</v>
      </c>
      <c r="I271" s="408" t="s">
        <v>1321</v>
      </c>
      <c r="J271" s="408" t="s">
        <v>2234</v>
      </c>
      <c r="K271" s="828">
        <v>44593</v>
      </c>
      <c r="L271" s="408">
        <v>0</v>
      </c>
      <c r="M271" s="408">
        <v>0</v>
      </c>
      <c r="N271" s="408">
        <v>-1.119</v>
      </c>
      <c r="O271" s="408">
        <v>-1.119</v>
      </c>
      <c r="P271" s="408">
        <v>-1.119</v>
      </c>
      <c r="Q271" s="408">
        <v>-1.119</v>
      </c>
      <c r="R271" s="408"/>
      <c r="S271" s="408">
        <v>710.91</v>
      </c>
      <c r="T271" s="408">
        <v>256.55</v>
      </c>
      <c r="U271" s="408"/>
      <c r="V271" s="408">
        <v>-1082.5877399999999</v>
      </c>
      <c r="W271" s="408">
        <v>-1082.5877399999999</v>
      </c>
      <c r="X271" s="408">
        <v>-739.02116999999998</v>
      </c>
      <c r="Y271" s="408">
        <v>0</v>
      </c>
      <c r="Z271" s="408">
        <v>-68.790168484322393</v>
      </c>
      <c r="AA271" s="408">
        <v>0</v>
      </c>
      <c r="AB271" s="408">
        <v>0</v>
      </c>
      <c r="AC271" s="408">
        <v>0</v>
      </c>
      <c r="AD271" s="408">
        <v>-137.72964178997327</v>
      </c>
      <c r="AE271" s="408">
        <v>-533.66235902584958</v>
      </c>
      <c r="AF271" s="408">
        <v>-287.08227181816619</v>
      </c>
      <c r="AG271" s="408">
        <v>0</v>
      </c>
      <c r="AH271" s="408">
        <v>0</v>
      </c>
      <c r="AI271" s="408">
        <v>0</v>
      </c>
      <c r="AJ271" s="408">
        <v>0</v>
      </c>
      <c r="AK271" s="408">
        <v>0</v>
      </c>
      <c r="AL271" s="408">
        <v>-10.63527114231724</v>
      </c>
      <c r="AM271" s="408"/>
      <c r="AN271" s="408">
        <v>-2.4571053992300098</v>
      </c>
      <c r="AO271" s="408">
        <v>0</v>
      </c>
      <c r="AP271" s="408">
        <v>0</v>
      </c>
      <c r="AQ271" s="408">
        <v>0</v>
      </c>
      <c r="AR271" s="408">
        <v>0</v>
      </c>
      <c r="AS271" s="408">
        <v>0</v>
      </c>
      <c r="AT271" s="408">
        <v>0</v>
      </c>
      <c r="AU271" s="408">
        <v>0</v>
      </c>
      <c r="AV271" s="408">
        <v>0</v>
      </c>
      <c r="AW271" s="408">
        <v>0</v>
      </c>
      <c r="AX271" s="408">
        <v>0</v>
      </c>
      <c r="AY271" s="408">
        <v>0</v>
      </c>
      <c r="AZ271" s="408">
        <v>0</v>
      </c>
      <c r="BA271" s="408"/>
      <c r="BB271" s="408">
        <v>0</v>
      </c>
      <c r="BC271" s="408">
        <v>0</v>
      </c>
      <c r="BD271" s="408">
        <v>-1.6676684493992555</v>
      </c>
      <c r="BE271" s="408">
        <v>0</v>
      </c>
      <c r="BF271" s="408">
        <v>0</v>
      </c>
      <c r="BG271" s="408">
        <v>-40.567557145551781</v>
      </c>
      <c r="BH271" s="408">
        <v>0</v>
      </c>
      <c r="BI271" s="408">
        <v>-1.24</v>
      </c>
      <c r="BJ271" s="408">
        <v>-5.74</v>
      </c>
      <c r="BK271" s="408">
        <v>-301.63</v>
      </c>
      <c r="BL271" s="408">
        <v>0</v>
      </c>
      <c r="BM271" s="408"/>
      <c r="BN271" s="408"/>
      <c r="BO271" s="408"/>
      <c r="BP271" s="408"/>
      <c r="BQ271" s="408"/>
      <c r="BR271" s="408"/>
      <c r="BS271" s="408"/>
      <c r="BT271" s="408"/>
      <c r="BU271" s="408"/>
      <c r="BV271" s="408">
        <v>-329.31749741311722</v>
      </c>
      <c r="BW271" s="408"/>
      <c r="BX271" s="408"/>
      <c r="BY271" s="408"/>
      <c r="BZ271" s="408"/>
      <c r="CA271" s="408"/>
      <c r="CB271" s="408"/>
      <c r="CC271" s="408"/>
      <c r="CD271" s="408"/>
      <c r="CE271" s="408"/>
      <c r="CF271" s="408"/>
      <c r="CG271" s="408"/>
      <c r="CH271" s="408"/>
      <c r="CI271" s="408">
        <v>-739.68160000000012</v>
      </c>
      <c r="CJ271" s="408">
        <v>342.87613999999985</v>
      </c>
      <c r="CK271" s="408"/>
      <c r="CL271" s="408"/>
      <c r="CM271" s="408"/>
      <c r="CN271" s="408"/>
      <c r="CO271" s="408">
        <v>361.45937999999995</v>
      </c>
      <c r="CP271" s="408">
        <v>-17.892810000000011</v>
      </c>
      <c r="CQ271" s="408">
        <v>29</v>
      </c>
      <c r="CR271" s="408">
        <v>-14.875187188764244</v>
      </c>
      <c r="CS271" s="408">
        <v>0</v>
      </c>
      <c r="CT271" s="408">
        <v>0</v>
      </c>
      <c r="CU271" s="408">
        <v>0</v>
      </c>
      <c r="CV271" s="408">
        <v>0</v>
      </c>
      <c r="CW271" s="408">
        <v>0</v>
      </c>
      <c r="CX271" s="408">
        <v>0</v>
      </c>
      <c r="CY271" s="408">
        <v>0</v>
      </c>
      <c r="CZ271" s="408">
        <v>0.62254664343197419</v>
      </c>
      <c r="DA271" s="408">
        <v>0</v>
      </c>
      <c r="DB271" s="408">
        <v>0</v>
      </c>
      <c r="DC271" s="408">
        <v>-17.884786059430553</v>
      </c>
      <c r="DD271" s="408">
        <v>0</v>
      </c>
      <c r="DE271" s="408">
        <v>0</v>
      </c>
      <c r="DF271" s="408">
        <v>-0.10389319147669185</v>
      </c>
      <c r="DG271" s="408">
        <v>-2.5272967080372908</v>
      </c>
      <c r="DH271" s="408">
        <v>0</v>
      </c>
      <c r="DI271" s="408">
        <v>4.2776377608687</v>
      </c>
      <c r="DJ271" s="408"/>
      <c r="DK271" s="408">
        <v>0</v>
      </c>
      <c r="DL271" s="408">
        <v>0</v>
      </c>
      <c r="DM271" s="408">
        <v>0</v>
      </c>
      <c r="DN271" s="408">
        <v>0</v>
      </c>
      <c r="DO271" s="408">
        <v>0.583585945064371</v>
      </c>
      <c r="DP271" s="408">
        <v>0.15701842081511685</v>
      </c>
      <c r="DQ271" s="408">
        <v>0</v>
      </c>
      <c r="DR271" s="408">
        <v>0</v>
      </c>
      <c r="DS271" s="408"/>
      <c r="DT271" s="408"/>
      <c r="DU271" s="408"/>
      <c r="DV271" s="408">
        <v>-533.66235902584958</v>
      </c>
      <c r="DW271" s="408">
        <v>0</v>
      </c>
      <c r="DX271" s="408">
        <v>0</v>
      </c>
      <c r="DY271" s="408">
        <v>361.45938000000001</v>
      </c>
      <c r="DZ271" s="408">
        <v>-17.892809999999997</v>
      </c>
      <c r="EA271" s="408">
        <v>0</v>
      </c>
      <c r="EB271" s="408">
        <v>0</v>
      </c>
      <c r="EC271" s="408">
        <v>358.44748809298397</v>
      </c>
      <c r="ED271" s="408">
        <v>0</v>
      </c>
      <c r="EE271" s="408">
        <v>0</v>
      </c>
      <c r="EF271" s="408">
        <v>0</v>
      </c>
      <c r="EG271" s="408">
        <v>0</v>
      </c>
      <c r="EH271" s="408">
        <v>0</v>
      </c>
      <c r="EI271" s="408">
        <v>0</v>
      </c>
      <c r="EJ271" s="408">
        <v>0</v>
      </c>
      <c r="EK271" s="408">
        <v>0</v>
      </c>
      <c r="EL271" s="408">
        <v>0</v>
      </c>
      <c r="EM271" s="408">
        <v>0</v>
      </c>
      <c r="EN271" s="408">
        <v>0</v>
      </c>
      <c r="EO271" s="408">
        <v>0</v>
      </c>
      <c r="EP271" s="408">
        <v>0</v>
      </c>
      <c r="EQ271" s="408">
        <v>0</v>
      </c>
      <c r="ER271" s="408">
        <v>0</v>
      </c>
      <c r="ES271" s="408">
        <v>0</v>
      </c>
      <c r="ET271" s="408">
        <v>0</v>
      </c>
      <c r="EU271" s="408">
        <v>0</v>
      </c>
      <c r="EV271" s="408">
        <v>257</v>
      </c>
      <c r="EW271" s="408">
        <v>0</v>
      </c>
      <c r="EX271" s="408">
        <v>0</v>
      </c>
      <c r="EY271" s="408">
        <v>0</v>
      </c>
      <c r="EZ271" s="408"/>
      <c r="FA271" s="408">
        <v>0</v>
      </c>
      <c r="FB271" s="408"/>
      <c r="FC271" s="408"/>
      <c r="FD271" s="408"/>
      <c r="FE271" s="408"/>
      <c r="FF271" s="408">
        <v>0</v>
      </c>
      <c r="FG271" s="408">
        <v>0</v>
      </c>
      <c r="FH271" s="408">
        <v>0</v>
      </c>
      <c r="FI271" s="408">
        <v>0</v>
      </c>
    </row>
    <row r="272" spans="1:165">
      <c r="A272" s="408">
        <v>270</v>
      </c>
      <c r="B272" s="408" t="s">
        <v>2236</v>
      </c>
      <c r="C272" s="408" t="s">
        <v>2233</v>
      </c>
      <c r="D272" s="408" t="s">
        <v>1958</v>
      </c>
      <c r="E272" s="408" t="s">
        <v>997</v>
      </c>
      <c r="F272" s="408" t="s">
        <v>1321</v>
      </c>
      <c r="G272" s="408" t="s">
        <v>1321</v>
      </c>
      <c r="H272" s="408" t="s">
        <v>1321</v>
      </c>
      <c r="I272" s="408" t="s">
        <v>1321</v>
      </c>
      <c r="J272" s="408" t="s">
        <v>2234</v>
      </c>
      <c r="K272" s="828">
        <v>44593</v>
      </c>
      <c r="L272" s="408">
        <v>0</v>
      </c>
      <c r="M272" s="408">
        <v>0</v>
      </c>
      <c r="N272" s="408">
        <v>15.893000000000001</v>
      </c>
      <c r="O272" s="408">
        <v>15.893000000000001</v>
      </c>
      <c r="P272" s="408">
        <v>15.893000000000001</v>
      </c>
      <c r="Q272" s="408">
        <v>15.893000000000001</v>
      </c>
      <c r="R272" s="408"/>
      <c r="S272" s="408">
        <v>710.91</v>
      </c>
      <c r="T272" s="408">
        <v>256.55</v>
      </c>
      <c r="U272" s="408"/>
      <c r="V272" s="408">
        <v>15375.841780000001</v>
      </c>
      <c r="W272" s="408">
        <v>15375.841780000001</v>
      </c>
      <c r="X272" s="408">
        <v>10496.21399</v>
      </c>
      <c r="Y272" s="408">
        <v>0</v>
      </c>
      <c r="Z272" s="408">
        <v>977.01711145785146</v>
      </c>
      <c r="AA272" s="408">
        <v>0</v>
      </c>
      <c r="AB272" s="408">
        <v>0</v>
      </c>
      <c r="AC272" s="408">
        <v>0</v>
      </c>
      <c r="AD272" s="408">
        <v>1956.1547783449912</v>
      </c>
      <c r="AE272" s="408">
        <v>7579.5316103644573</v>
      </c>
      <c r="AF272" s="408">
        <v>4077.3892278875028</v>
      </c>
      <c r="AG272" s="408">
        <v>0</v>
      </c>
      <c r="AH272" s="408">
        <v>0</v>
      </c>
      <c r="AI272" s="408">
        <v>0</v>
      </c>
      <c r="AJ272" s="408">
        <v>0</v>
      </c>
      <c r="AK272" s="408">
        <v>0</v>
      </c>
      <c r="AL272" s="408">
        <v>151.05126386492216</v>
      </c>
      <c r="AM272" s="408"/>
      <c r="AN272" s="408">
        <v>34.897923243934358</v>
      </c>
      <c r="AO272" s="408">
        <v>0</v>
      </c>
      <c r="AP272" s="408">
        <v>0</v>
      </c>
      <c r="AQ272" s="408">
        <v>0</v>
      </c>
      <c r="AR272" s="408">
        <v>0</v>
      </c>
      <c r="AS272" s="408">
        <v>0</v>
      </c>
      <c r="AT272" s="408">
        <v>0</v>
      </c>
      <c r="AU272" s="408">
        <v>0</v>
      </c>
      <c r="AV272" s="408">
        <v>0</v>
      </c>
      <c r="AW272" s="408">
        <v>0</v>
      </c>
      <c r="AX272" s="408">
        <v>0</v>
      </c>
      <c r="AY272" s="408">
        <v>0</v>
      </c>
      <c r="AZ272" s="408">
        <v>0</v>
      </c>
      <c r="BA272" s="408"/>
      <c r="BB272" s="408">
        <v>0</v>
      </c>
      <c r="BC272" s="408">
        <v>0</v>
      </c>
      <c r="BD272" s="408">
        <v>23.685661006525798</v>
      </c>
      <c r="BE272" s="408">
        <v>0</v>
      </c>
      <c r="BF272" s="408">
        <v>0</v>
      </c>
      <c r="BG272" s="408">
        <v>576.17532235411477</v>
      </c>
      <c r="BH272" s="408">
        <v>0</v>
      </c>
      <c r="BI272" s="408">
        <v>0</v>
      </c>
      <c r="BJ272" s="408">
        <v>0</v>
      </c>
      <c r="BK272" s="408">
        <v>10145.469999999999</v>
      </c>
      <c r="BL272" s="408">
        <v>43</v>
      </c>
      <c r="BM272" s="408"/>
      <c r="BN272" s="408"/>
      <c r="BO272" s="408"/>
      <c r="BP272" s="408"/>
      <c r="BQ272" s="408"/>
      <c r="BR272" s="408"/>
      <c r="BS272" s="408"/>
      <c r="BT272" s="408"/>
      <c r="BU272" s="408"/>
      <c r="BV272" s="408">
        <v>4677.2502112481434</v>
      </c>
      <c r="BW272" s="408"/>
      <c r="BX272" s="408"/>
      <c r="BY272" s="408"/>
      <c r="BZ272" s="408"/>
      <c r="CA272" s="408"/>
      <c r="CB272" s="408"/>
      <c r="CC272" s="408"/>
      <c r="CD272" s="408"/>
      <c r="CE272" s="408"/>
      <c r="CF272" s="408"/>
      <c r="CG272" s="408"/>
      <c r="CH272" s="408"/>
      <c r="CI272" s="408">
        <v>10494.2327</v>
      </c>
      <c r="CJ272" s="408">
        <v>-4881.6390800000008</v>
      </c>
      <c r="CK272" s="408"/>
      <c r="CL272" s="408"/>
      <c r="CM272" s="408"/>
      <c r="CN272" s="408"/>
      <c r="CO272" s="408">
        <v>-5133.7568599999995</v>
      </c>
      <c r="CP272" s="408">
        <v>254.12907000000016</v>
      </c>
      <c r="CQ272" s="408">
        <v>29</v>
      </c>
      <c r="CR272" s="408">
        <v>211.27019659609687</v>
      </c>
      <c r="CS272" s="408">
        <v>0</v>
      </c>
      <c r="CT272" s="408">
        <v>0</v>
      </c>
      <c r="CU272" s="408">
        <v>0</v>
      </c>
      <c r="CV272" s="408">
        <v>0</v>
      </c>
      <c r="CW272" s="408">
        <v>0</v>
      </c>
      <c r="CX272" s="408">
        <v>0</v>
      </c>
      <c r="CY272" s="408">
        <v>0</v>
      </c>
      <c r="CZ272" s="408">
        <v>-8.8419426309778828</v>
      </c>
      <c r="DA272" s="408">
        <v>0</v>
      </c>
      <c r="DB272" s="408">
        <v>0</v>
      </c>
      <c r="DC272" s="408">
        <v>254.01510709788181</v>
      </c>
      <c r="DD272" s="408">
        <v>0</v>
      </c>
      <c r="DE272" s="408">
        <v>0</v>
      </c>
      <c r="DF272" s="408">
        <v>1.4755804219294575</v>
      </c>
      <c r="DG272" s="408">
        <v>35.894840554813868</v>
      </c>
      <c r="DH272" s="408">
        <v>0</v>
      </c>
      <c r="DI272" s="408">
        <v>-60.754688948602393</v>
      </c>
      <c r="DJ272" s="408"/>
      <c r="DK272" s="408">
        <v>0</v>
      </c>
      <c r="DL272" s="408">
        <v>0</v>
      </c>
      <c r="DM272" s="408">
        <v>0</v>
      </c>
      <c r="DN272" s="408">
        <v>0</v>
      </c>
      <c r="DO272" s="408">
        <v>-8.2885892983986196</v>
      </c>
      <c r="DP272" s="408">
        <v>-2.2301106005492883</v>
      </c>
      <c r="DQ272" s="408">
        <v>0</v>
      </c>
      <c r="DR272" s="408">
        <v>0</v>
      </c>
      <c r="DS272" s="408"/>
      <c r="DT272" s="408"/>
      <c r="DU272" s="408"/>
      <c r="DV272" s="408">
        <v>7579.5316103644573</v>
      </c>
      <c r="DW272" s="408">
        <v>0</v>
      </c>
      <c r="DX272" s="408">
        <v>0</v>
      </c>
      <c r="DY272" s="408">
        <v>-5133.7568600000004</v>
      </c>
      <c r="DZ272" s="408">
        <v>254.12907000000041</v>
      </c>
      <c r="EA272" s="408">
        <v>0</v>
      </c>
      <c r="EB272" s="408">
        <v>0</v>
      </c>
      <c r="EC272" s="408">
        <v>-5090.9793818246599</v>
      </c>
      <c r="ED272" s="408">
        <v>0</v>
      </c>
      <c r="EE272" s="408">
        <v>0</v>
      </c>
      <c r="EF272" s="408">
        <v>0</v>
      </c>
      <c r="EG272" s="408">
        <v>0</v>
      </c>
      <c r="EH272" s="408">
        <v>0</v>
      </c>
      <c r="EI272" s="408">
        <v>0</v>
      </c>
      <c r="EJ272" s="408">
        <v>0</v>
      </c>
      <c r="EK272" s="408">
        <v>0</v>
      </c>
      <c r="EL272" s="408">
        <v>0</v>
      </c>
      <c r="EM272" s="408">
        <v>0</v>
      </c>
      <c r="EN272" s="408">
        <v>0</v>
      </c>
      <c r="EO272" s="408">
        <v>0</v>
      </c>
      <c r="EP272" s="408">
        <v>0</v>
      </c>
      <c r="EQ272" s="408">
        <v>0</v>
      </c>
      <c r="ER272" s="408">
        <v>0</v>
      </c>
      <c r="ES272" s="408">
        <v>0</v>
      </c>
      <c r="ET272" s="408">
        <v>0</v>
      </c>
      <c r="EU272" s="408">
        <v>0</v>
      </c>
      <c r="EV272" s="408">
        <v>257</v>
      </c>
      <c r="EW272" s="408">
        <v>0</v>
      </c>
      <c r="EX272" s="408">
        <v>0</v>
      </c>
      <c r="EY272" s="408">
        <v>0</v>
      </c>
      <c r="EZ272" s="408"/>
      <c r="FA272" s="408">
        <v>0</v>
      </c>
      <c r="FB272" s="408"/>
      <c r="FC272" s="408"/>
      <c r="FD272" s="408"/>
      <c r="FE272" s="408"/>
      <c r="FF272" s="408">
        <v>0</v>
      </c>
      <c r="FG272" s="408">
        <v>0</v>
      </c>
      <c r="FH272" s="408">
        <v>0</v>
      </c>
      <c r="FI272" s="408">
        <v>0</v>
      </c>
    </row>
    <row r="273" spans="1:165">
      <c r="A273" s="408">
        <v>271</v>
      </c>
      <c r="B273" s="408" t="s">
        <v>1035</v>
      </c>
      <c r="C273" s="408" t="s">
        <v>2241</v>
      </c>
      <c r="D273" s="408" t="s">
        <v>596</v>
      </c>
      <c r="E273" s="408" t="s">
        <v>997</v>
      </c>
      <c r="F273" s="408" t="s">
        <v>1321</v>
      </c>
      <c r="G273" s="408" t="s">
        <v>1321</v>
      </c>
      <c r="H273" s="408" t="s">
        <v>1321</v>
      </c>
      <c r="I273" s="408" t="s">
        <v>972</v>
      </c>
      <c r="J273" s="408" t="s">
        <v>2234</v>
      </c>
      <c r="K273" s="828">
        <v>44593</v>
      </c>
      <c r="L273" s="408">
        <v>0</v>
      </c>
      <c r="M273" s="408">
        <v>0</v>
      </c>
      <c r="N273" s="408">
        <v>14.048999999999999</v>
      </c>
      <c r="O273" s="408">
        <v>14.048999999999999</v>
      </c>
      <c r="P273" s="408">
        <v>14.048999999999999</v>
      </c>
      <c r="Q273" s="408">
        <v>14.048999999999999</v>
      </c>
      <c r="R273" s="408"/>
      <c r="S273" s="408">
        <v>3130.62</v>
      </c>
      <c r="T273" s="408">
        <v>256.55</v>
      </c>
      <c r="U273" s="408"/>
      <c r="V273" s="408">
        <v>47586.351329999998</v>
      </c>
      <c r="W273" s="408">
        <v>47586.351329999998</v>
      </c>
      <c r="X273" s="408">
        <v>25044.168869999998</v>
      </c>
      <c r="Y273" s="408">
        <v>0</v>
      </c>
      <c r="Z273" s="408">
        <v>751.382285095204</v>
      </c>
      <c r="AA273" s="408">
        <v>0</v>
      </c>
      <c r="AB273" s="408">
        <v>0</v>
      </c>
      <c r="AC273" s="408">
        <v>0</v>
      </c>
      <c r="AD273" s="408">
        <v>9050.5597783761841</v>
      </c>
      <c r="AE273" s="408">
        <v>33775.884566748173</v>
      </c>
      <c r="AF273" s="408">
        <v>3604.3063778135988</v>
      </c>
      <c r="AG273" s="408">
        <v>0</v>
      </c>
      <c r="AH273" s="408">
        <v>0</v>
      </c>
      <c r="AI273" s="408">
        <v>0</v>
      </c>
      <c r="AJ273" s="408">
        <v>0</v>
      </c>
      <c r="AK273" s="408">
        <v>0</v>
      </c>
      <c r="AL273" s="408">
        <v>133.52540149992396</v>
      </c>
      <c r="AM273" s="408"/>
      <c r="AN273" s="408">
        <v>18.95287362215214</v>
      </c>
      <c r="AO273" s="408">
        <v>0</v>
      </c>
      <c r="AP273" s="408">
        <v>0</v>
      </c>
      <c r="AQ273" s="408">
        <v>0</v>
      </c>
      <c r="AR273" s="408">
        <v>0</v>
      </c>
      <c r="AS273" s="408">
        <v>0</v>
      </c>
      <c r="AT273" s="408">
        <v>0</v>
      </c>
      <c r="AU273" s="408">
        <v>0</v>
      </c>
      <c r="AV273" s="408">
        <v>0</v>
      </c>
      <c r="AW273" s="408">
        <v>0</v>
      </c>
      <c r="AX273" s="408">
        <v>0</v>
      </c>
      <c r="AY273" s="408">
        <v>0</v>
      </c>
      <c r="AZ273" s="408">
        <v>0</v>
      </c>
      <c r="BA273" s="408"/>
      <c r="BB273" s="408">
        <v>0</v>
      </c>
      <c r="BC273" s="408">
        <v>0</v>
      </c>
      <c r="BD273" s="408">
        <v>17.308722276530464</v>
      </c>
      <c r="BE273" s="408">
        <v>0</v>
      </c>
      <c r="BF273" s="408">
        <v>0</v>
      </c>
      <c r="BG273" s="408">
        <v>234.46780988801635</v>
      </c>
      <c r="BH273" s="408">
        <v>0</v>
      </c>
      <c r="BI273" s="408">
        <v>0</v>
      </c>
      <c r="BJ273" s="408">
        <v>0</v>
      </c>
      <c r="BK273" s="408">
        <v>0</v>
      </c>
      <c r="BL273" s="408">
        <v>0</v>
      </c>
      <c r="BM273" s="408"/>
      <c r="BN273" s="408"/>
      <c r="BO273" s="408"/>
      <c r="BP273" s="408"/>
      <c r="BQ273" s="408"/>
      <c r="BR273" s="408"/>
      <c r="BS273" s="408"/>
      <c r="BT273" s="408"/>
      <c r="BU273" s="408"/>
      <c r="BV273" s="408">
        <v>3856.0829099781454</v>
      </c>
      <c r="BW273" s="408"/>
      <c r="BX273" s="408"/>
      <c r="BY273" s="408"/>
      <c r="BZ273" s="408"/>
      <c r="CA273" s="408"/>
      <c r="CB273" s="408"/>
      <c r="CC273" s="408"/>
      <c r="CD273" s="408"/>
      <c r="CE273" s="408"/>
      <c r="CF273" s="408"/>
      <c r="CG273" s="408"/>
      <c r="CH273" s="408"/>
      <c r="CI273" s="408">
        <v>25045.951500000003</v>
      </c>
      <c r="CJ273" s="408">
        <v>-22540.429830000001</v>
      </c>
      <c r="CK273" s="408"/>
      <c r="CL273" s="408"/>
      <c r="CM273" s="408"/>
      <c r="CN273" s="408"/>
      <c r="CO273" s="408">
        <v>-22766.825969999998</v>
      </c>
      <c r="CP273" s="408">
        <v>224.64351000000011</v>
      </c>
      <c r="CQ273" s="408">
        <v>29</v>
      </c>
      <c r="CR273" s="408">
        <v>144.05705778962692</v>
      </c>
      <c r="CS273" s="408">
        <v>0</v>
      </c>
      <c r="CT273" s="408">
        <v>0</v>
      </c>
      <c r="CU273" s="408">
        <v>0</v>
      </c>
      <c r="CV273" s="408">
        <v>0</v>
      </c>
      <c r="CW273" s="408">
        <v>0</v>
      </c>
      <c r="CX273" s="408">
        <v>0</v>
      </c>
      <c r="CY273" s="408">
        <v>0</v>
      </c>
      <c r="CZ273" s="408">
        <v>-40.909099435553799</v>
      </c>
      <c r="DA273" s="408">
        <v>0</v>
      </c>
      <c r="DB273" s="408">
        <v>0</v>
      </c>
      <c r="DC273" s="408">
        <v>224.5427697488285</v>
      </c>
      <c r="DD273" s="408">
        <v>0</v>
      </c>
      <c r="DE273" s="408">
        <v>0</v>
      </c>
      <c r="DF273" s="408">
        <v>1.0783069010751483</v>
      </c>
      <c r="DG273" s="408">
        <v>14.606985625104954</v>
      </c>
      <c r="DH273" s="408">
        <v>0</v>
      </c>
      <c r="DI273" s="408">
        <v>-46.723845956324226</v>
      </c>
      <c r="DJ273" s="408"/>
      <c r="DK273" s="408">
        <v>0</v>
      </c>
      <c r="DL273" s="408">
        <v>0</v>
      </c>
      <c r="DM273" s="408">
        <v>0</v>
      </c>
      <c r="DN273" s="408">
        <v>0</v>
      </c>
      <c r="DO273" s="408">
        <v>-7.3268980716795085</v>
      </c>
      <c r="DP273" s="408">
        <v>-1.2111610218232762</v>
      </c>
      <c r="DQ273" s="408">
        <v>0</v>
      </c>
      <c r="DR273" s="408">
        <v>0</v>
      </c>
      <c r="DS273" s="408"/>
      <c r="DT273" s="408"/>
      <c r="DU273" s="408"/>
      <c r="DV273" s="408">
        <v>33775.884566748173</v>
      </c>
      <c r="DW273" s="408">
        <v>0</v>
      </c>
      <c r="DX273" s="408">
        <v>0</v>
      </c>
      <c r="DY273" s="408">
        <v>-22766.825970000002</v>
      </c>
      <c r="DZ273" s="408">
        <v>224.64350999999988</v>
      </c>
      <c r="EA273" s="408">
        <v>0</v>
      </c>
      <c r="EB273" s="408">
        <v>0</v>
      </c>
      <c r="EC273" s="408">
        <v>-22686.406069878016</v>
      </c>
      <c r="ED273" s="408">
        <v>0</v>
      </c>
      <c r="EE273" s="408">
        <v>0</v>
      </c>
      <c r="EF273" s="408">
        <v>0</v>
      </c>
      <c r="EG273" s="408">
        <v>0</v>
      </c>
      <c r="EH273" s="408">
        <v>0</v>
      </c>
      <c r="EI273" s="408">
        <v>0</v>
      </c>
      <c r="EJ273" s="408">
        <v>0</v>
      </c>
      <c r="EK273" s="408">
        <v>0</v>
      </c>
      <c r="EL273" s="408">
        <v>0</v>
      </c>
      <c r="EM273" s="408">
        <v>0</v>
      </c>
      <c r="EN273" s="408">
        <v>0</v>
      </c>
      <c r="EO273" s="408">
        <v>0</v>
      </c>
      <c r="EP273" s="408">
        <v>0</v>
      </c>
      <c r="EQ273" s="408">
        <v>0</v>
      </c>
      <c r="ER273" s="408">
        <v>0</v>
      </c>
      <c r="ES273" s="408">
        <v>0</v>
      </c>
      <c r="ET273" s="408">
        <v>0</v>
      </c>
      <c r="EU273" s="408">
        <v>0</v>
      </c>
      <c r="EV273" s="408">
        <v>257</v>
      </c>
      <c r="EW273" s="408">
        <v>0</v>
      </c>
      <c r="EX273" s="408">
        <v>0</v>
      </c>
      <c r="EY273" s="408">
        <v>0</v>
      </c>
      <c r="EZ273" s="408"/>
      <c r="FA273" s="408">
        <v>0</v>
      </c>
      <c r="FB273" s="408"/>
      <c r="FC273" s="408"/>
      <c r="FD273" s="408"/>
      <c r="FE273" s="408"/>
      <c r="FF273" s="408">
        <v>0</v>
      </c>
      <c r="FG273" s="408">
        <v>0</v>
      </c>
      <c r="FH273" s="408">
        <v>0</v>
      </c>
      <c r="FI273" s="408">
        <v>0</v>
      </c>
    </row>
    <row r="274" spans="1:165">
      <c r="A274" s="408">
        <v>272</v>
      </c>
      <c r="B274" s="408" t="s">
        <v>2236</v>
      </c>
      <c r="C274" s="408" t="s">
        <v>2241</v>
      </c>
      <c r="D274" s="408" t="s">
        <v>596</v>
      </c>
      <c r="E274" s="408" t="s">
        <v>997</v>
      </c>
      <c r="F274" s="408" t="s">
        <v>1321</v>
      </c>
      <c r="G274" s="408" t="s">
        <v>1321</v>
      </c>
      <c r="H274" s="408" t="s">
        <v>1321</v>
      </c>
      <c r="I274" s="408" t="s">
        <v>972</v>
      </c>
      <c r="J274" s="408" t="s">
        <v>2234</v>
      </c>
      <c r="K274" s="828">
        <v>44593</v>
      </c>
      <c r="L274" s="408">
        <v>0</v>
      </c>
      <c r="M274" s="408">
        <v>0</v>
      </c>
      <c r="N274" s="408">
        <v>5.5E-2</v>
      </c>
      <c r="O274" s="408">
        <v>5.5E-2</v>
      </c>
      <c r="P274" s="408">
        <v>5.5E-2</v>
      </c>
      <c r="Q274" s="408">
        <v>5.5E-2</v>
      </c>
      <c r="R274" s="408"/>
      <c r="S274" s="408">
        <v>3130.62</v>
      </c>
      <c r="T274" s="408">
        <v>256.55</v>
      </c>
      <c r="U274" s="408"/>
      <c r="V274" s="408">
        <v>186.29435000000001</v>
      </c>
      <c r="W274" s="408">
        <v>186.29435000000001</v>
      </c>
      <c r="X274" s="408">
        <v>98.04464999999999</v>
      </c>
      <c r="Y274" s="408">
        <v>0</v>
      </c>
      <c r="Z274" s="408">
        <v>2.9415635048926059</v>
      </c>
      <c r="AA274" s="408">
        <v>0</v>
      </c>
      <c r="AB274" s="408">
        <v>0</v>
      </c>
      <c r="AC274" s="408">
        <v>0</v>
      </c>
      <c r="AD274" s="408">
        <v>35.43175940000642</v>
      </c>
      <c r="AE274" s="408">
        <v>132.22817646602246</v>
      </c>
      <c r="AF274" s="408">
        <v>14.110388695262861</v>
      </c>
      <c r="AG274" s="408">
        <v>0</v>
      </c>
      <c r="AH274" s="408">
        <v>0</v>
      </c>
      <c r="AI274" s="408">
        <v>0</v>
      </c>
      <c r="AJ274" s="408">
        <v>0</v>
      </c>
      <c r="AK274" s="408">
        <v>0</v>
      </c>
      <c r="AL274" s="408">
        <v>0.52273450654821108</v>
      </c>
      <c r="AM274" s="408"/>
      <c r="AN274" s="408">
        <v>7.4198024714810143E-2</v>
      </c>
      <c r="AO274" s="408">
        <v>0</v>
      </c>
      <c r="AP274" s="408">
        <v>0</v>
      </c>
      <c r="AQ274" s="408">
        <v>0</v>
      </c>
      <c r="AR274" s="408">
        <v>0</v>
      </c>
      <c r="AS274" s="408">
        <v>0</v>
      </c>
      <c r="AT274" s="408">
        <v>0</v>
      </c>
      <c r="AU274" s="408">
        <v>0</v>
      </c>
      <c r="AV274" s="408">
        <v>0</v>
      </c>
      <c r="AW274" s="408">
        <v>0</v>
      </c>
      <c r="AX274" s="408">
        <v>0</v>
      </c>
      <c r="AY274" s="408">
        <v>0</v>
      </c>
      <c r="AZ274" s="408">
        <v>0</v>
      </c>
      <c r="BA274" s="408"/>
      <c r="BB274" s="408">
        <v>0</v>
      </c>
      <c r="BC274" s="408">
        <v>0</v>
      </c>
      <c r="BD274" s="408">
        <v>6.7761386946343205E-2</v>
      </c>
      <c r="BE274" s="408">
        <v>0</v>
      </c>
      <c r="BF274" s="408">
        <v>0</v>
      </c>
      <c r="BG274" s="408">
        <v>0.91791085086774149</v>
      </c>
      <c r="BH274" s="408">
        <v>0</v>
      </c>
      <c r="BI274" s="408">
        <v>0</v>
      </c>
      <c r="BJ274" s="408">
        <v>0</v>
      </c>
      <c r="BK274" s="408">
        <v>0</v>
      </c>
      <c r="BL274" s="408">
        <v>0</v>
      </c>
      <c r="BM274" s="408"/>
      <c r="BN274" s="408"/>
      <c r="BO274" s="408"/>
      <c r="BP274" s="408"/>
      <c r="BQ274" s="408"/>
      <c r="BR274" s="408"/>
      <c r="BS274" s="408"/>
      <c r="BT274" s="408"/>
      <c r="BU274" s="408"/>
      <c r="BV274" s="408">
        <v>15.096060933076945</v>
      </c>
      <c r="BW274" s="408"/>
      <c r="BX274" s="408"/>
      <c r="BY274" s="408"/>
      <c r="BZ274" s="408"/>
      <c r="CA274" s="408"/>
      <c r="CB274" s="408"/>
      <c r="CC274" s="408"/>
      <c r="CD274" s="408"/>
      <c r="CE274" s="408"/>
      <c r="CF274" s="408"/>
      <c r="CG274" s="408"/>
      <c r="CH274" s="408"/>
      <c r="CI274" s="408">
        <v>106.95779999999999</v>
      </c>
      <c r="CJ274" s="408">
        <v>-79.366549999999989</v>
      </c>
      <c r="CK274" s="408"/>
      <c r="CL274" s="408"/>
      <c r="CM274" s="408"/>
      <c r="CN274" s="408"/>
      <c r="CO274" s="408">
        <v>-89.129149999999996</v>
      </c>
      <c r="CP274" s="408">
        <v>0.87945000000000051</v>
      </c>
      <c r="CQ274" s="408">
        <v>29</v>
      </c>
      <c r="CR274" s="408">
        <v>0.56396456533770589</v>
      </c>
      <c r="CS274" s="408">
        <v>0</v>
      </c>
      <c r="CT274" s="408">
        <v>0</v>
      </c>
      <c r="CU274" s="408">
        <v>0</v>
      </c>
      <c r="CV274" s="408">
        <v>0</v>
      </c>
      <c r="CW274" s="408">
        <v>0</v>
      </c>
      <c r="CX274" s="408">
        <v>0</v>
      </c>
      <c r="CY274" s="408">
        <v>0</v>
      </c>
      <c r="CZ274" s="408">
        <v>-0.16015378097768718</v>
      </c>
      <c r="DA274" s="408">
        <v>0</v>
      </c>
      <c r="DB274" s="408">
        <v>0</v>
      </c>
      <c r="DC274" s="408">
        <v>0.87905561507477969</v>
      </c>
      <c r="DD274" s="408">
        <v>0</v>
      </c>
      <c r="DE274" s="408">
        <v>0</v>
      </c>
      <c r="DF274" s="408">
        <v>4.2214306754311953E-3</v>
      </c>
      <c r="DG274" s="408">
        <v>5.7184440841395956E-2</v>
      </c>
      <c r="DH274" s="408">
        <v>0</v>
      </c>
      <c r="DI274" s="408">
        <v>-0.18291775411757616</v>
      </c>
      <c r="DJ274" s="408"/>
      <c r="DK274" s="408">
        <v>0</v>
      </c>
      <c r="DL274" s="408">
        <v>0</v>
      </c>
      <c r="DM274" s="408">
        <v>0</v>
      </c>
      <c r="DN274" s="408">
        <v>0</v>
      </c>
      <c r="DO274" s="408">
        <v>-2.8683848953119262E-2</v>
      </c>
      <c r="DP274" s="408">
        <v>-4.7415372055149979E-3</v>
      </c>
      <c r="DQ274" s="408">
        <v>0</v>
      </c>
      <c r="DR274" s="408">
        <v>0</v>
      </c>
      <c r="DS274" s="408"/>
      <c r="DT274" s="408"/>
      <c r="DU274" s="408"/>
      <c r="DV274" s="408">
        <v>132.22817646602246</v>
      </c>
      <c r="DW274" s="408">
        <v>0</v>
      </c>
      <c r="DX274" s="408">
        <v>0</v>
      </c>
      <c r="DY274" s="408">
        <v>-89.12915000000001</v>
      </c>
      <c r="DZ274" s="408">
        <v>0.87945000000000029</v>
      </c>
      <c r="EA274" s="408">
        <v>0</v>
      </c>
      <c r="EB274" s="408">
        <v>0</v>
      </c>
      <c r="EC274" s="408">
        <v>-88.814316595009672</v>
      </c>
      <c r="ED274" s="408">
        <v>0</v>
      </c>
      <c r="EE274" s="408">
        <v>0</v>
      </c>
      <c r="EF274" s="408">
        <v>0</v>
      </c>
      <c r="EG274" s="408">
        <v>0</v>
      </c>
      <c r="EH274" s="408">
        <v>0</v>
      </c>
      <c r="EI274" s="408">
        <v>0</v>
      </c>
      <c r="EJ274" s="408">
        <v>0</v>
      </c>
      <c r="EK274" s="408">
        <v>0</v>
      </c>
      <c r="EL274" s="408">
        <v>0</v>
      </c>
      <c r="EM274" s="408">
        <v>0</v>
      </c>
      <c r="EN274" s="408">
        <v>0</v>
      </c>
      <c r="EO274" s="408">
        <v>0</v>
      </c>
      <c r="EP274" s="408">
        <v>0</v>
      </c>
      <c r="EQ274" s="408">
        <v>0</v>
      </c>
      <c r="ER274" s="408">
        <v>0</v>
      </c>
      <c r="ES274" s="408">
        <v>0</v>
      </c>
      <c r="ET274" s="408">
        <v>0</v>
      </c>
      <c r="EU274" s="408">
        <v>0</v>
      </c>
      <c r="EV274" s="408">
        <v>257</v>
      </c>
      <c r="EW274" s="408">
        <v>0</v>
      </c>
      <c r="EX274" s="408">
        <v>0</v>
      </c>
      <c r="EY274" s="408">
        <v>0</v>
      </c>
      <c r="EZ274" s="408"/>
      <c r="FA274" s="408">
        <v>0</v>
      </c>
      <c r="FB274" s="408"/>
      <c r="FC274" s="408"/>
      <c r="FD274" s="408"/>
      <c r="FE274" s="408"/>
      <c r="FF274" s="408">
        <v>0</v>
      </c>
      <c r="FG274" s="408">
        <v>0</v>
      </c>
      <c r="FH274" s="408">
        <v>0</v>
      </c>
      <c r="FI274" s="408">
        <v>0</v>
      </c>
    </row>
    <row r="275" spans="1:165">
      <c r="A275" s="408">
        <v>273</v>
      </c>
      <c r="B275" s="408" t="s">
        <v>1035</v>
      </c>
      <c r="C275" s="408" t="s">
        <v>2241</v>
      </c>
      <c r="D275" s="408" t="s">
        <v>596</v>
      </c>
      <c r="E275" s="408" t="s">
        <v>997</v>
      </c>
      <c r="F275" s="408" t="s">
        <v>1321</v>
      </c>
      <c r="G275" s="408" t="s">
        <v>1321</v>
      </c>
      <c r="H275" s="408" t="s">
        <v>1321</v>
      </c>
      <c r="I275" s="408" t="s">
        <v>2242</v>
      </c>
      <c r="J275" s="408" t="s">
        <v>2234</v>
      </c>
      <c r="K275" s="828">
        <v>44593</v>
      </c>
      <c r="L275" s="408">
        <v>0</v>
      </c>
      <c r="M275" s="408">
        <v>0</v>
      </c>
      <c r="N275" s="408">
        <v>112.458</v>
      </c>
      <c r="O275" s="408">
        <v>112.458</v>
      </c>
      <c r="P275" s="408">
        <v>112.458</v>
      </c>
      <c r="Q275" s="408">
        <v>112.458</v>
      </c>
      <c r="R275" s="408"/>
      <c r="S275" s="408">
        <v>82.26</v>
      </c>
      <c r="T275" s="408">
        <v>256.55</v>
      </c>
      <c r="U275" s="408"/>
      <c r="V275" s="408">
        <v>38101.894979999997</v>
      </c>
      <c r="W275" s="408">
        <v>38101.894979999997</v>
      </c>
      <c r="X275" s="408">
        <v>39582.966840000001</v>
      </c>
      <c r="Y275" s="408">
        <v>0</v>
      </c>
      <c r="Z275" s="408">
        <v>6014.588156967503</v>
      </c>
      <c r="AA275" s="408">
        <v>0</v>
      </c>
      <c r="AB275" s="408">
        <v>0</v>
      </c>
      <c r="AC275" s="408">
        <v>0</v>
      </c>
      <c r="AD275" s="408">
        <v>0</v>
      </c>
      <c r="AE275" s="408">
        <v>0</v>
      </c>
      <c r="AF275" s="408">
        <v>28851.383488943105</v>
      </c>
      <c r="AG275" s="408">
        <v>0</v>
      </c>
      <c r="AH275" s="408">
        <v>0</v>
      </c>
      <c r="AI275" s="408">
        <v>0</v>
      </c>
      <c r="AJ275" s="408">
        <v>0</v>
      </c>
      <c r="AK275" s="408">
        <v>0</v>
      </c>
      <c r="AL275" s="408">
        <v>1068.8304934072496</v>
      </c>
      <c r="AM275" s="408"/>
      <c r="AN275" s="408">
        <v>151.7120266068749</v>
      </c>
      <c r="AO275" s="408">
        <v>0</v>
      </c>
      <c r="AP275" s="408">
        <v>0</v>
      </c>
      <c r="AQ275" s="408">
        <v>0</v>
      </c>
      <c r="AR275" s="408">
        <v>0</v>
      </c>
      <c r="AS275" s="408">
        <v>0</v>
      </c>
      <c r="AT275" s="408">
        <v>0</v>
      </c>
      <c r="AU275" s="408">
        <v>0</v>
      </c>
      <c r="AV275" s="408">
        <v>0</v>
      </c>
      <c r="AW275" s="408">
        <v>0</v>
      </c>
      <c r="AX275" s="408">
        <v>0</v>
      </c>
      <c r="AY275" s="408">
        <v>0</v>
      </c>
      <c r="AZ275" s="408">
        <v>0</v>
      </c>
      <c r="BA275" s="408"/>
      <c r="BB275" s="408">
        <v>0</v>
      </c>
      <c r="BC275" s="408">
        <v>0</v>
      </c>
      <c r="BD275" s="408">
        <v>138.55109187657933</v>
      </c>
      <c r="BE275" s="408">
        <v>0</v>
      </c>
      <c r="BF275" s="408">
        <v>0</v>
      </c>
      <c r="BG275" s="408">
        <v>1876.8439721251723</v>
      </c>
      <c r="BH275" s="408">
        <v>0</v>
      </c>
      <c r="BI275" s="408">
        <v>0</v>
      </c>
      <c r="BJ275" s="408">
        <v>0</v>
      </c>
      <c r="BK275" s="408">
        <v>0</v>
      </c>
      <c r="BL275" s="408">
        <v>0</v>
      </c>
      <c r="BM275" s="408"/>
      <c r="BN275" s="408"/>
      <c r="BO275" s="408"/>
      <c r="BP275" s="408"/>
      <c r="BQ275" s="408"/>
      <c r="BR275" s="408"/>
      <c r="BS275" s="408"/>
      <c r="BT275" s="408"/>
      <c r="BU275" s="408"/>
      <c r="BV275" s="408">
        <v>30866.778552944856</v>
      </c>
      <c r="BW275" s="408"/>
      <c r="BX275" s="408"/>
      <c r="BY275" s="408"/>
      <c r="BZ275" s="408"/>
      <c r="CA275" s="408"/>
      <c r="CB275" s="408"/>
      <c r="CC275" s="408"/>
      <c r="CD275" s="408"/>
      <c r="CE275" s="408"/>
      <c r="CF275" s="408"/>
      <c r="CG275" s="408"/>
      <c r="CH275" s="408"/>
      <c r="CI275" s="408">
        <v>39583.6708</v>
      </c>
      <c r="CJ275" s="408">
        <v>1481.7458199999965</v>
      </c>
      <c r="CK275" s="408"/>
      <c r="CL275" s="408"/>
      <c r="CM275" s="408"/>
      <c r="CN275" s="408"/>
      <c r="CO275" s="408">
        <v>-317.13156000000083</v>
      </c>
      <c r="CP275" s="408">
        <v>1798.203420000001</v>
      </c>
      <c r="CQ275" s="408">
        <v>29</v>
      </c>
      <c r="CR275" s="408">
        <v>1480.5981998170464</v>
      </c>
      <c r="CS275" s="408">
        <v>0</v>
      </c>
      <c r="CT275" s="408">
        <v>0</v>
      </c>
      <c r="CU275" s="408">
        <v>0</v>
      </c>
      <c r="CV275" s="408">
        <v>0</v>
      </c>
      <c r="CW275" s="408">
        <v>0</v>
      </c>
      <c r="CX275" s="408">
        <v>0</v>
      </c>
      <c r="CY275" s="408">
        <v>0</v>
      </c>
      <c r="CZ275" s="408">
        <v>0</v>
      </c>
      <c r="DA275" s="408">
        <v>0</v>
      </c>
      <c r="DB275" s="408">
        <v>0</v>
      </c>
      <c r="DC275" s="408">
        <v>1797.3970247287216</v>
      </c>
      <c r="DD275" s="408">
        <v>0</v>
      </c>
      <c r="DE275" s="408">
        <v>0</v>
      </c>
      <c r="DF275" s="408">
        <v>8.631520925411678</v>
      </c>
      <c r="DG275" s="408">
        <v>116.92450632984901</v>
      </c>
      <c r="DH275" s="408">
        <v>0</v>
      </c>
      <c r="DI275" s="408">
        <v>-374.01026895553423</v>
      </c>
      <c r="DJ275" s="408"/>
      <c r="DK275" s="408">
        <v>0</v>
      </c>
      <c r="DL275" s="408">
        <v>0</v>
      </c>
      <c r="DM275" s="408">
        <v>0</v>
      </c>
      <c r="DN275" s="408">
        <v>0</v>
      </c>
      <c r="DO275" s="408">
        <v>-58.64960519217982</v>
      </c>
      <c r="DP275" s="408">
        <v>-9.694978019232849</v>
      </c>
      <c r="DQ275" s="408">
        <v>0</v>
      </c>
      <c r="DR275" s="408">
        <v>0</v>
      </c>
      <c r="DS275" s="408"/>
      <c r="DT275" s="408"/>
      <c r="DU275" s="408"/>
      <c r="DV275" s="408">
        <v>0</v>
      </c>
      <c r="DW275" s="408">
        <v>0</v>
      </c>
      <c r="DX275" s="408">
        <v>0</v>
      </c>
      <c r="DY275" s="408">
        <v>-317.13155999999981</v>
      </c>
      <c r="DZ275" s="408">
        <v>1798.2034200000016</v>
      </c>
      <c r="EA275" s="408">
        <v>0</v>
      </c>
      <c r="EB275" s="408">
        <v>0</v>
      </c>
      <c r="EC275" s="408">
        <v>0</v>
      </c>
      <c r="ED275" s="408">
        <v>0</v>
      </c>
      <c r="EE275" s="408">
        <v>0</v>
      </c>
      <c r="EF275" s="408">
        <v>0</v>
      </c>
      <c r="EG275" s="408">
        <v>0</v>
      </c>
      <c r="EH275" s="408">
        <v>0</v>
      </c>
      <c r="EI275" s="408">
        <v>0</v>
      </c>
      <c r="EJ275" s="408">
        <v>0</v>
      </c>
      <c r="EK275" s="408">
        <v>0</v>
      </c>
      <c r="EL275" s="408">
        <v>0</v>
      </c>
      <c r="EM275" s="408">
        <v>0</v>
      </c>
      <c r="EN275" s="408">
        <v>0</v>
      </c>
      <c r="EO275" s="408">
        <v>0</v>
      </c>
      <c r="EP275" s="408">
        <v>0</v>
      </c>
      <c r="EQ275" s="408">
        <v>0</v>
      </c>
      <c r="ER275" s="408">
        <v>0</v>
      </c>
      <c r="ES275" s="408">
        <v>0</v>
      </c>
      <c r="ET275" s="408">
        <v>0</v>
      </c>
      <c r="EU275" s="408">
        <v>0</v>
      </c>
      <c r="EV275" s="408">
        <v>257</v>
      </c>
      <c r="EW275" s="408">
        <v>0</v>
      </c>
      <c r="EX275" s="408">
        <v>0</v>
      </c>
      <c r="EY275" s="408">
        <v>0</v>
      </c>
      <c r="EZ275" s="408"/>
      <c r="FA275" s="408">
        <v>0</v>
      </c>
      <c r="FB275" s="408"/>
      <c r="FC275" s="408"/>
      <c r="FD275" s="408"/>
      <c r="FE275" s="408"/>
      <c r="FF275" s="408">
        <v>0</v>
      </c>
      <c r="FG275" s="408">
        <v>0</v>
      </c>
      <c r="FH275" s="408">
        <v>0</v>
      </c>
      <c r="FI275" s="408">
        <v>0</v>
      </c>
    </row>
    <row r="276" spans="1:165">
      <c r="A276" s="408">
        <v>274</v>
      </c>
      <c r="B276" s="408" t="s">
        <v>1035</v>
      </c>
      <c r="C276" s="408" t="s">
        <v>2241</v>
      </c>
      <c r="D276" s="408" t="s">
        <v>596</v>
      </c>
      <c r="E276" s="408" t="s">
        <v>997</v>
      </c>
      <c r="F276" s="408" t="s">
        <v>1321</v>
      </c>
      <c r="G276" s="408" t="s">
        <v>1321</v>
      </c>
      <c r="H276" s="408" t="s">
        <v>1321</v>
      </c>
      <c r="I276" s="408" t="s">
        <v>1321</v>
      </c>
      <c r="J276" s="408" t="s">
        <v>2234</v>
      </c>
      <c r="K276" s="828">
        <v>44593</v>
      </c>
      <c r="L276" s="408">
        <v>784</v>
      </c>
      <c r="M276" s="408">
        <v>784</v>
      </c>
      <c r="N276" s="408">
        <v>0</v>
      </c>
      <c r="O276" s="408">
        <v>0</v>
      </c>
      <c r="P276" s="408">
        <v>0</v>
      </c>
      <c r="Q276" s="408">
        <v>0</v>
      </c>
      <c r="R276" s="408">
        <v>47.39</v>
      </c>
      <c r="S276" s="408"/>
      <c r="T276" s="408"/>
      <c r="U276" s="408">
        <v>37153.760000000002</v>
      </c>
      <c r="V276" s="408"/>
      <c r="W276" s="408">
        <v>37153.760000000002</v>
      </c>
      <c r="X276" s="408">
        <v>25260.48</v>
      </c>
      <c r="Y276" s="408">
        <v>0</v>
      </c>
      <c r="Z276" s="408">
        <v>0</v>
      </c>
      <c r="AA276" s="408">
        <v>0</v>
      </c>
      <c r="AB276" s="408">
        <v>0</v>
      </c>
      <c r="AC276" s="408">
        <v>0</v>
      </c>
      <c r="AD276" s="408">
        <v>19576.558540701109</v>
      </c>
      <c r="AE276" s="408">
        <v>17577.175920651927</v>
      </c>
      <c r="AF276" s="408"/>
      <c r="AG276" s="408"/>
      <c r="AH276" s="408"/>
      <c r="AI276" s="408">
        <v>0</v>
      </c>
      <c r="AJ276" s="408">
        <v>0</v>
      </c>
      <c r="AK276" s="408">
        <v>0</v>
      </c>
      <c r="AL276" s="408">
        <v>0</v>
      </c>
      <c r="AM276" s="408"/>
      <c r="AN276" s="408">
        <v>0</v>
      </c>
      <c r="AO276" s="408">
        <v>0</v>
      </c>
      <c r="AP276" s="408">
        <v>0</v>
      </c>
      <c r="AQ276" s="408">
        <v>0</v>
      </c>
      <c r="AR276" s="408">
        <v>0</v>
      </c>
      <c r="AS276" s="408"/>
      <c r="AT276" s="408"/>
      <c r="AU276" s="408">
        <v>0</v>
      </c>
      <c r="AV276" s="408">
        <v>0</v>
      </c>
      <c r="AW276" s="408">
        <v>0</v>
      </c>
      <c r="AX276" s="408"/>
      <c r="AY276" s="408"/>
      <c r="AZ276" s="408">
        <v>0</v>
      </c>
      <c r="BA276" s="408"/>
      <c r="BB276" s="408">
        <v>0</v>
      </c>
      <c r="BC276" s="408">
        <v>0</v>
      </c>
      <c r="BD276" s="408">
        <v>0</v>
      </c>
      <c r="BE276" s="408">
        <v>0</v>
      </c>
      <c r="BF276" s="408"/>
      <c r="BG276" s="408">
        <v>0</v>
      </c>
      <c r="BH276" s="408">
        <v>0</v>
      </c>
      <c r="BI276" s="408">
        <v>0</v>
      </c>
      <c r="BJ276" s="408">
        <v>0</v>
      </c>
      <c r="BK276" s="408">
        <v>35531.550000000003</v>
      </c>
      <c r="BL276" s="408">
        <v>10</v>
      </c>
      <c r="BM276" s="408"/>
      <c r="BN276" s="408"/>
      <c r="BO276" s="408"/>
      <c r="BP276" s="408"/>
      <c r="BQ276" s="408"/>
      <c r="BR276" s="408"/>
      <c r="BS276" s="408"/>
      <c r="BT276" s="408"/>
      <c r="BU276" s="408"/>
      <c r="BV276" s="408">
        <v>0</v>
      </c>
      <c r="BW276" s="408"/>
      <c r="BX276" s="408"/>
      <c r="BY276" s="408"/>
      <c r="BZ276" s="408"/>
      <c r="CA276" s="408"/>
      <c r="CB276" s="408"/>
      <c r="CC276" s="408"/>
      <c r="CD276" s="408"/>
      <c r="CE276" s="408"/>
      <c r="CF276" s="408"/>
      <c r="CG276" s="408"/>
      <c r="CH276" s="408"/>
      <c r="CI276" s="408">
        <v>25260.48</v>
      </c>
      <c r="CJ276" s="408">
        <v>-11893.310000000009</v>
      </c>
      <c r="CK276" s="408"/>
      <c r="CL276" s="408"/>
      <c r="CM276" s="408"/>
      <c r="CN276" s="408"/>
      <c r="CO276" s="408">
        <v>-11893.28</v>
      </c>
      <c r="CP276" s="408">
        <v>0</v>
      </c>
      <c r="CQ276" s="408">
        <v>29</v>
      </c>
      <c r="CR276" s="408">
        <v>-88.487275876686908</v>
      </c>
      <c r="CS276" s="408">
        <v>0</v>
      </c>
      <c r="CT276" s="408">
        <v>0</v>
      </c>
      <c r="CU276" s="408">
        <v>0</v>
      </c>
      <c r="CV276" s="408">
        <v>0</v>
      </c>
      <c r="CW276" s="408"/>
      <c r="CX276" s="408"/>
      <c r="CY276" s="408"/>
      <c r="CZ276" s="408">
        <v>-88.487275876686908</v>
      </c>
      <c r="DA276" s="408">
        <v>0</v>
      </c>
      <c r="DB276" s="408">
        <v>0</v>
      </c>
      <c r="DC276" s="408"/>
      <c r="DD276" s="408"/>
      <c r="DE276" s="408">
        <v>0</v>
      </c>
      <c r="DF276" s="408">
        <v>0</v>
      </c>
      <c r="DG276" s="408">
        <v>0</v>
      </c>
      <c r="DH276" s="408">
        <v>0</v>
      </c>
      <c r="DI276" s="408">
        <v>0</v>
      </c>
      <c r="DJ276" s="408"/>
      <c r="DK276" s="408">
        <v>0</v>
      </c>
      <c r="DL276" s="408">
        <v>0</v>
      </c>
      <c r="DM276" s="408"/>
      <c r="DN276" s="408">
        <v>0</v>
      </c>
      <c r="DO276" s="408">
        <v>0</v>
      </c>
      <c r="DP276" s="408">
        <v>0</v>
      </c>
      <c r="DQ276" s="408">
        <v>0</v>
      </c>
      <c r="DR276" s="408">
        <v>0</v>
      </c>
      <c r="DS276" s="408"/>
      <c r="DT276" s="408"/>
      <c r="DU276" s="408">
        <v>17577.175920651927</v>
      </c>
      <c r="DV276" s="408"/>
      <c r="DW276" s="408">
        <v>0</v>
      </c>
      <c r="DX276" s="408">
        <v>0</v>
      </c>
      <c r="DY276" s="408">
        <v>-11893.280000000002</v>
      </c>
      <c r="DZ276" s="408"/>
      <c r="EA276" s="408">
        <v>0</v>
      </c>
      <c r="EB276" s="408"/>
      <c r="EC276" s="408">
        <v>-11806.14380978101</v>
      </c>
      <c r="ED276" s="408"/>
      <c r="EE276" s="408">
        <v>0</v>
      </c>
      <c r="EF276" s="408">
        <v>0</v>
      </c>
      <c r="EG276" s="408"/>
      <c r="EH276" s="408">
        <v>0</v>
      </c>
      <c r="EI276" s="408">
        <v>0</v>
      </c>
      <c r="EJ276" s="408">
        <v>0</v>
      </c>
      <c r="EK276" s="408">
        <v>0</v>
      </c>
      <c r="EL276" s="408">
        <v>0</v>
      </c>
      <c r="EM276" s="408"/>
      <c r="EN276" s="408"/>
      <c r="EO276" s="408">
        <v>0</v>
      </c>
      <c r="EP276" s="408">
        <v>0</v>
      </c>
      <c r="EQ276" s="408"/>
      <c r="ER276" s="408">
        <v>0</v>
      </c>
      <c r="ES276" s="408"/>
      <c r="ET276" s="408">
        <v>0</v>
      </c>
      <c r="EU276" s="408"/>
      <c r="EV276" s="408">
        <v>257</v>
      </c>
      <c r="EW276" s="408"/>
      <c r="EX276" s="408"/>
      <c r="EY276" s="408"/>
      <c r="EZ276" s="408"/>
      <c r="FA276" s="408">
        <v>0</v>
      </c>
      <c r="FB276" s="408"/>
      <c r="FC276" s="408"/>
      <c r="FD276" s="408"/>
      <c r="FE276" s="408"/>
      <c r="FF276" s="408">
        <v>0</v>
      </c>
      <c r="FG276" s="408">
        <v>0</v>
      </c>
      <c r="FH276" s="408">
        <v>0</v>
      </c>
      <c r="FI276" s="408">
        <v>0</v>
      </c>
    </row>
    <row r="277" spans="1:165">
      <c r="A277" s="408">
        <v>275</v>
      </c>
      <c r="B277" s="408" t="s">
        <v>2236</v>
      </c>
      <c r="C277" s="408" t="s">
        <v>2241</v>
      </c>
      <c r="D277" s="408" t="s">
        <v>596</v>
      </c>
      <c r="E277" s="408" t="s">
        <v>997</v>
      </c>
      <c r="F277" s="408" t="s">
        <v>1321</v>
      </c>
      <c r="G277" s="408" t="s">
        <v>1321</v>
      </c>
      <c r="H277" s="408" t="s">
        <v>1321</v>
      </c>
      <c r="I277" s="408" t="s">
        <v>1321</v>
      </c>
      <c r="J277" s="408" t="s">
        <v>2234</v>
      </c>
      <c r="K277" s="828">
        <v>44593</v>
      </c>
      <c r="L277" s="408">
        <v>45</v>
      </c>
      <c r="M277" s="408">
        <v>45</v>
      </c>
      <c r="N277" s="408">
        <v>0</v>
      </c>
      <c r="O277" s="408">
        <v>0</v>
      </c>
      <c r="P277" s="408">
        <v>0</v>
      </c>
      <c r="Q277" s="408">
        <v>0</v>
      </c>
      <c r="R277" s="408">
        <v>47.39</v>
      </c>
      <c r="S277" s="408"/>
      <c r="T277" s="408"/>
      <c r="U277" s="408">
        <v>2132.5500000000002</v>
      </c>
      <c r="V277" s="408"/>
      <c r="W277" s="408">
        <v>2132.5500000000002</v>
      </c>
      <c r="X277" s="408">
        <v>1449.8999999999999</v>
      </c>
      <c r="Y277" s="408">
        <v>0</v>
      </c>
      <c r="Z277" s="408">
        <v>0</v>
      </c>
      <c r="AA277" s="408">
        <v>0</v>
      </c>
      <c r="AB277" s="408">
        <v>0</v>
      </c>
      <c r="AC277" s="408">
        <v>0</v>
      </c>
      <c r="AD277" s="408">
        <v>1123.6545080759565</v>
      </c>
      <c r="AE277" s="408">
        <v>1008.8940260578274</v>
      </c>
      <c r="AF277" s="408"/>
      <c r="AG277" s="408"/>
      <c r="AH277" s="408"/>
      <c r="AI277" s="408">
        <v>0</v>
      </c>
      <c r="AJ277" s="408">
        <v>0</v>
      </c>
      <c r="AK277" s="408">
        <v>0</v>
      </c>
      <c r="AL277" s="408">
        <v>0</v>
      </c>
      <c r="AM277" s="408"/>
      <c r="AN277" s="408">
        <v>0</v>
      </c>
      <c r="AO277" s="408">
        <v>0</v>
      </c>
      <c r="AP277" s="408">
        <v>0</v>
      </c>
      <c r="AQ277" s="408">
        <v>0</v>
      </c>
      <c r="AR277" s="408">
        <v>0</v>
      </c>
      <c r="AS277" s="408"/>
      <c r="AT277" s="408"/>
      <c r="AU277" s="408">
        <v>0</v>
      </c>
      <c r="AV277" s="408">
        <v>0</v>
      </c>
      <c r="AW277" s="408">
        <v>0</v>
      </c>
      <c r="AX277" s="408"/>
      <c r="AY277" s="408"/>
      <c r="AZ277" s="408">
        <v>0</v>
      </c>
      <c r="BA277" s="408"/>
      <c r="BB277" s="408">
        <v>0</v>
      </c>
      <c r="BC277" s="408">
        <v>0</v>
      </c>
      <c r="BD277" s="408">
        <v>0</v>
      </c>
      <c r="BE277" s="408">
        <v>0</v>
      </c>
      <c r="BF277" s="408"/>
      <c r="BG277" s="408">
        <v>0</v>
      </c>
      <c r="BH277" s="408">
        <v>0</v>
      </c>
      <c r="BI277" s="408">
        <v>0</v>
      </c>
      <c r="BJ277" s="408">
        <v>0</v>
      </c>
      <c r="BK277" s="408">
        <v>919.56</v>
      </c>
      <c r="BL277" s="408">
        <v>1</v>
      </c>
      <c r="BM277" s="408"/>
      <c r="BN277" s="408"/>
      <c r="BO277" s="408"/>
      <c r="BP277" s="408"/>
      <c r="BQ277" s="408"/>
      <c r="BR277" s="408"/>
      <c r="BS277" s="408"/>
      <c r="BT277" s="408"/>
      <c r="BU277" s="408"/>
      <c r="BV277" s="408">
        <v>0</v>
      </c>
      <c r="BW277" s="408"/>
      <c r="BX277" s="408"/>
      <c r="BY277" s="408"/>
      <c r="BZ277" s="408"/>
      <c r="CA277" s="408"/>
      <c r="CB277" s="408"/>
      <c r="CC277" s="408"/>
      <c r="CD277" s="408"/>
      <c r="CE277" s="408"/>
      <c r="CF277" s="408"/>
      <c r="CG277" s="408"/>
      <c r="CH277" s="408"/>
      <c r="CI277" s="408">
        <v>1449.8999999999999</v>
      </c>
      <c r="CJ277" s="408">
        <v>-682.68000000000097</v>
      </c>
      <c r="CK277" s="408"/>
      <c r="CL277" s="408"/>
      <c r="CM277" s="408"/>
      <c r="CN277" s="408"/>
      <c r="CO277" s="408">
        <v>-682.65000000000009</v>
      </c>
      <c r="CP277" s="408">
        <v>0</v>
      </c>
      <c r="CQ277" s="408">
        <v>29</v>
      </c>
      <c r="CR277" s="408">
        <v>-5.0789890490445941</v>
      </c>
      <c r="CS277" s="408">
        <v>0</v>
      </c>
      <c r="CT277" s="408">
        <v>0</v>
      </c>
      <c r="CU277" s="408">
        <v>0</v>
      </c>
      <c r="CV277" s="408">
        <v>0</v>
      </c>
      <c r="CW277" s="408"/>
      <c r="CX277" s="408"/>
      <c r="CY277" s="408"/>
      <c r="CZ277" s="408">
        <v>-5.0789890490445941</v>
      </c>
      <c r="DA277" s="408">
        <v>0</v>
      </c>
      <c r="DB277" s="408">
        <v>0</v>
      </c>
      <c r="DC277" s="408"/>
      <c r="DD277" s="408"/>
      <c r="DE277" s="408">
        <v>0</v>
      </c>
      <c r="DF277" s="408">
        <v>0</v>
      </c>
      <c r="DG277" s="408">
        <v>0</v>
      </c>
      <c r="DH277" s="408">
        <v>0</v>
      </c>
      <c r="DI277" s="408">
        <v>0</v>
      </c>
      <c r="DJ277" s="408"/>
      <c r="DK277" s="408">
        <v>0</v>
      </c>
      <c r="DL277" s="408">
        <v>0</v>
      </c>
      <c r="DM277" s="408"/>
      <c r="DN277" s="408">
        <v>0</v>
      </c>
      <c r="DO277" s="408">
        <v>0</v>
      </c>
      <c r="DP277" s="408">
        <v>0</v>
      </c>
      <c r="DQ277" s="408">
        <v>0</v>
      </c>
      <c r="DR277" s="408">
        <v>0</v>
      </c>
      <c r="DS277" s="408"/>
      <c r="DT277" s="408"/>
      <c r="DU277" s="408">
        <v>1008.8940260578274</v>
      </c>
      <c r="DV277" s="408"/>
      <c r="DW277" s="408">
        <v>0</v>
      </c>
      <c r="DX277" s="408">
        <v>0</v>
      </c>
      <c r="DY277" s="408">
        <v>-682.65000000000032</v>
      </c>
      <c r="DZ277" s="408"/>
      <c r="EA277" s="408">
        <v>0</v>
      </c>
      <c r="EB277" s="408"/>
      <c r="EC277" s="408">
        <v>-677.64856051038953</v>
      </c>
      <c r="ED277" s="408"/>
      <c r="EE277" s="408">
        <v>0</v>
      </c>
      <c r="EF277" s="408">
        <v>0</v>
      </c>
      <c r="EG277" s="408"/>
      <c r="EH277" s="408">
        <v>0</v>
      </c>
      <c r="EI277" s="408">
        <v>0</v>
      </c>
      <c r="EJ277" s="408">
        <v>0</v>
      </c>
      <c r="EK277" s="408">
        <v>0</v>
      </c>
      <c r="EL277" s="408">
        <v>0</v>
      </c>
      <c r="EM277" s="408"/>
      <c r="EN277" s="408"/>
      <c r="EO277" s="408">
        <v>0</v>
      </c>
      <c r="EP277" s="408">
        <v>0</v>
      </c>
      <c r="EQ277" s="408"/>
      <c r="ER277" s="408">
        <v>0</v>
      </c>
      <c r="ES277" s="408"/>
      <c r="ET277" s="408">
        <v>0</v>
      </c>
      <c r="EU277" s="408"/>
      <c r="EV277" s="408">
        <v>257</v>
      </c>
      <c r="EW277" s="408"/>
      <c r="EX277" s="408"/>
      <c r="EY277" s="408"/>
      <c r="EZ277" s="408"/>
      <c r="FA277" s="408">
        <v>0</v>
      </c>
      <c r="FB277" s="408"/>
      <c r="FC277" s="408"/>
      <c r="FD277" s="408"/>
      <c r="FE277" s="408"/>
      <c r="FF277" s="408">
        <v>0</v>
      </c>
      <c r="FG277" s="408">
        <v>0</v>
      </c>
      <c r="FH277" s="408">
        <v>0</v>
      </c>
      <c r="FI277" s="408">
        <v>0</v>
      </c>
    </row>
    <row r="278" spans="1:165">
      <c r="A278" s="408">
        <v>276</v>
      </c>
      <c r="B278" s="408" t="s">
        <v>1035</v>
      </c>
      <c r="C278" s="408" t="s">
        <v>2233</v>
      </c>
      <c r="D278" s="408" t="s">
        <v>2243</v>
      </c>
      <c r="E278" s="408" t="s">
        <v>973</v>
      </c>
      <c r="F278" s="408" t="s">
        <v>1321</v>
      </c>
      <c r="G278" s="408" t="s">
        <v>1321</v>
      </c>
      <c r="H278" s="408" t="s">
        <v>1321</v>
      </c>
      <c r="I278" s="408" t="s">
        <v>1321</v>
      </c>
      <c r="J278" s="408" t="s">
        <v>2234</v>
      </c>
      <c r="K278" s="828">
        <v>44593</v>
      </c>
      <c r="L278" s="408">
        <v>0</v>
      </c>
      <c r="M278" s="408">
        <v>0</v>
      </c>
      <c r="N278" s="408">
        <v>3572.7930000000001</v>
      </c>
      <c r="O278" s="408">
        <v>3572.7930000000001</v>
      </c>
      <c r="P278" s="408">
        <v>3572.7930000000001</v>
      </c>
      <c r="Q278" s="408">
        <v>3572.7930000000001</v>
      </c>
      <c r="R278" s="408"/>
      <c r="S278" s="408">
        <v>710.91</v>
      </c>
      <c r="T278" s="408">
        <v>256.55</v>
      </c>
      <c r="U278" s="408"/>
      <c r="V278" s="408">
        <v>3456534.3157799998</v>
      </c>
      <c r="W278" s="408">
        <v>3456534.3157799998</v>
      </c>
      <c r="X278" s="408">
        <v>2359579.6809900003</v>
      </c>
      <c r="Y278" s="408">
        <v>0</v>
      </c>
      <c r="Z278" s="408">
        <v>219636.31137587814</v>
      </c>
      <c r="AA278" s="408">
        <v>0</v>
      </c>
      <c r="AB278" s="408">
        <v>0</v>
      </c>
      <c r="AC278" s="408">
        <v>0</v>
      </c>
      <c r="AD278" s="408">
        <v>439749.32982995885</v>
      </c>
      <c r="AE278" s="408">
        <v>1703900.9300188045</v>
      </c>
      <c r="AF278" s="408">
        <v>916609.05377662333</v>
      </c>
      <c r="AG278" s="408">
        <v>0</v>
      </c>
      <c r="AH278" s="408">
        <v>0</v>
      </c>
      <c r="AI278" s="408">
        <v>0</v>
      </c>
      <c r="AJ278" s="408">
        <v>0</v>
      </c>
      <c r="AK278" s="408">
        <v>0</v>
      </c>
      <c r="AL278" s="408">
        <v>33956.767015525504</v>
      </c>
      <c r="AM278" s="408"/>
      <c r="AN278" s="408">
        <v>7845.155469732962</v>
      </c>
      <c r="AO278" s="408">
        <v>0</v>
      </c>
      <c r="AP278" s="408">
        <v>0</v>
      </c>
      <c r="AQ278" s="408">
        <v>0</v>
      </c>
      <c r="AR278" s="408">
        <v>0</v>
      </c>
      <c r="AS278" s="408">
        <v>0</v>
      </c>
      <c r="AT278" s="408">
        <v>0</v>
      </c>
      <c r="AU278" s="408">
        <v>0</v>
      </c>
      <c r="AV278" s="408">
        <v>0</v>
      </c>
      <c r="AW278" s="408">
        <v>0</v>
      </c>
      <c r="AX278" s="408">
        <v>0</v>
      </c>
      <c r="AY278" s="408">
        <v>0</v>
      </c>
      <c r="AZ278" s="408">
        <v>0</v>
      </c>
      <c r="BA278" s="408"/>
      <c r="BB278" s="408">
        <v>0</v>
      </c>
      <c r="BC278" s="408">
        <v>0</v>
      </c>
      <c r="BD278" s="408">
        <v>5324.6060431943833</v>
      </c>
      <c r="BE278" s="408">
        <v>0</v>
      </c>
      <c r="BF278" s="408">
        <v>0</v>
      </c>
      <c r="BG278" s="408">
        <v>129525.90187375101</v>
      </c>
      <c r="BH278" s="408">
        <v>0</v>
      </c>
      <c r="BI278" s="408">
        <v>53.77</v>
      </c>
      <c r="BJ278" s="408">
        <v>250.15</v>
      </c>
      <c r="BK278" s="408">
        <v>148086.26999999999</v>
      </c>
      <c r="BL278" s="408">
        <v>8872</v>
      </c>
      <c r="BM278" s="408"/>
      <c r="BN278" s="408"/>
      <c r="BO278" s="408"/>
      <c r="BP278" s="408"/>
      <c r="BQ278" s="408"/>
      <c r="BR278" s="408">
        <v>283143.8452499999</v>
      </c>
      <c r="BS278" s="408"/>
      <c r="BT278" s="408"/>
      <c r="BU278" s="408"/>
      <c r="BV278" s="408">
        <v>1051459.5616935687</v>
      </c>
      <c r="BW278" s="408"/>
      <c r="BX278" s="408"/>
      <c r="BY278" s="408"/>
      <c r="BZ278" s="408"/>
      <c r="CA278" s="408"/>
      <c r="CB278" s="408"/>
      <c r="CC278" s="408"/>
      <c r="CD278" s="408"/>
      <c r="CE278" s="408"/>
      <c r="CF278" s="408"/>
      <c r="CG278" s="408"/>
      <c r="CH278" s="408"/>
      <c r="CI278" s="408">
        <v>2076434.0922000001</v>
      </c>
      <c r="CJ278" s="408">
        <v>-965334.71420999966</v>
      </c>
      <c r="CK278" s="408"/>
      <c r="CL278" s="408"/>
      <c r="CM278" s="408"/>
      <c r="CN278" s="408"/>
      <c r="CO278" s="408">
        <v>-1154083.5948600001</v>
      </c>
      <c r="CP278" s="408">
        <v>57128.960070000037</v>
      </c>
      <c r="CQ278" s="408">
        <v>29</v>
      </c>
      <c r="CR278" s="408">
        <v>47494.159661936341</v>
      </c>
      <c r="CS278" s="408">
        <v>0</v>
      </c>
      <c r="CT278" s="408">
        <v>0</v>
      </c>
      <c r="CU278" s="408">
        <v>0</v>
      </c>
      <c r="CV278" s="408">
        <v>0</v>
      </c>
      <c r="CW278" s="408">
        <v>0</v>
      </c>
      <c r="CX278" s="408">
        <v>0</v>
      </c>
      <c r="CY278" s="408">
        <v>0</v>
      </c>
      <c r="CZ278" s="408">
        <v>-1987.6946289787302</v>
      </c>
      <c r="DA278" s="408">
        <v>0</v>
      </c>
      <c r="DB278" s="408">
        <v>0</v>
      </c>
      <c r="DC278" s="408">
        <v>57103.340875452152</v>
      </c>
      <c r="DD278" s="408">
        <v>0</v>
      </c>
      <c r="DE278" s="408">
        <v>0</v>
      </c>
      <c r="DF278" s="408">
        <v>331.71480541160327</v>
      </c>
      <c r="DG278" s="408">
        <v>8069.2654042883805</v>
      </c>
      <c r="DH278" s="408">
        <v>0</v>
      </c>
      <c r="DI278" s="408">
        <v>-13657.832214984199</v>
      </c>
      <c r="DJ278" s="408"/>
      <c r="DK278" s="408">
        <v>0</v>
      </c>
      <c r="DL278" s="408">
        <v>0</v>
      </c>
      <c r="DM278" s="408">
        <v>0</v>
      </c>
      <c r="DN278" s="408">
        <v>0</v>
      </c>
      <c r="DO278" s="408">
        <v>-1863.2991773229405</v>
      </c>
      <c r="DP278" s="408">
        <v>-501.33540192967303</v>
      </c>
      <c r="DQ278" s="408">
        <v>0</v>
      </c>
      <c r="DR278" s="408">
        <v>0</v>
      </c>
      <c r="DS278" s="408"/>
      <c r="DT278" s="408"/>
      <c r="DU278" s="408"/>
      <c r="DV278" s="408">
        <v>1703900.9300188045</v>
      </c>
      <c r="DW278" s="408">
        <v>0</v>
      </c>
      <c r="DX278" s="408">
        <v>0</v>
      </c>
      <c r="DY278" s="408">
        <v>-1154083.5948599998</v>
      </c>
      <c r="DZ278" s="408">
        <v>57128.96007000003</v>
      </c>
      <c r="EA278" s="408">
        <v>0</v>
      </c>
      <c r="EB278" s="408">
        <v>0</v>
      </c>
      <c r="EC278" s="408">
        <v>-1144467.0923379771</v>
      </c>
      <c r="ED278" s="408">
        <v>0</v>
      </c>
      <c r="EE278" s="408">
        <v>0</v>
      </c>
      <c r="EF278" s="408">
        <v>0</v>
      </c>
      <c r="EG278" s="408">
        <v>0</v>
      </c>
      <c r="EH278" s="408">
        <v>0</v>
      </c>
      <c r="EI278" s="408">
        <v>0</v>
      </c>
      <c r="EJ278" s="408">
        <v>0</v>
      </c>
      <c r="EK278" s="408">
        <v>0</v>
      </c>
      <c r="EL278" s="408">
        <v>0</v>
      </c>
      <c r="EM278" s="408">
        <v>0</v>
      </c>
      <c r="EN278" s="408">
        <v>0</v>
      </c>
      <c r="EO278" s="408">
        <v>0</v>
      </c>
      <c r="EP278" s="408">
        <v>0</v>
      </c>
      <c r="EQ278" s="408">
        <v>0</v>
      </c>
      <c r="ER278" s="408">
        <v>0</v>
      </c>
      <c r="ES278" s="408">
        <v>0</v>
      </c>
      <c r="ET278" s="408">
        <v>0</v>
      </c>
      <c r="EU278" s="408">
        <v>0</v>
      </c>
      <c r="EV278" s="408">
        <v>257</v>
      </c>
      <c r="EW278" s="408">
        <v>0</v>
      </c>
      <c r="EX278" s="408">
        <v>0</v>
      </c>
      <c r="EY278" s="408">
        <v>0</v>
      </c>
      <c r="EZ278" s="408"/>
      <c r="FA278" s="408">
        <v>0</v>
      </c>
      <c r="FB278" s="408"/>
      <c r="FC278" s="408"/>
      <c r="FD278" s="408"/>
      <c r="FE278" s="408"/>
      <c r="FF278" s="408">
        <v>0</v>
      </c>
      <c r="FG278" s="408">
        <v>0</v>
      </c>
      <c r="FH278" s="408">
        <v>0</v>
      </c>
      <c r="FI278" s="408">
        <v>0</v>
      </c>
    </row>
    <row r="279" spans="1:165">
      <c r="A279" s="408">
        <v>277</v>
      </c>
      <c r="B279" s="408" t="s">
        <v>2235</v>
      </c>
      <c r="C279" s="408" t="s">
        <v>2233</v>
      </c>
      <c r="D279" s="408" t="s">
        <v>2243</v>
      </c>
      <c r="E279" s="408" t="s">
        <v>973</v>
      </c>
      <c r="F279" s="408" t="s">
        <v>1321</v>
      </c>
      <c r="G279" s="408" t="s">
        <v>1321</v>
      </c>
      <c r="H279" s="408" t="s">
        <v>1321</v>
      </c>
      <c r="I279" s="408" t="s">
        <v>1321</v>
      </c>
      <c r="J279" s="408" t="s">
        <v>2234</v>
      </c>
      <c r="K279" s="828">
        <v>44593</v>
      </c>
      <c r="L279" s="408">
        <v>0</v>
      </c>
      <c r="M279" s="408">
        <v>0</v>
      </c>
      <c r="N279" s="408">
        <v>5.7889999999999997</v>
      </c>
      <c r="O279" s="408">
        <v>5.7889999999999997</v>
      </c>
      <c r="P279" s="408">
        <v>5.7889999999999997</v>
      </c>
      <c r="Q279" s="408">
        <v>5.7889999999999997</v>
      </c>
      <c r="R279" s="408"/>
      <c r="S279" s="408">
        <v>710.91</v>
      </c>
      <c r="T279" s="408">
        <v>256.55</v>
      </c>
      <c r="U279" s="408"/>
      <c r="V279" s="408">
        <v>5600.6259399999999</v>
      </c>
      <c r="W279" s="408">
        <v>5600.6259399999999</v>
      </c>
      <c r="X279" s="408">
        <v>3823.2292699999998</v>
      </c>
      <c r="Y279" s="408">
        <v>0</v>
      </c>
      <c r="Z279" s="408">
        <v>355.87693061281709</v>
      </c>
      <c r="AA279" s="408">
        <v>0</v>
      </c>
      <c r="AB279" s="408">
        <v>0</v>
      </c>
      <c r="AC279" s="408">
        <v>0</v>
      </c>
      <c r="AD279" s="408">
        <v>712.5262701717204</v>
      </c>
      <c r="AE279" s="408">
        <v>2760.8323470961959</v>
      </c>
      <c r="AF279" s="408">
        <v>1485.182548306849</v>
      </c>
      <c r="AG279" s="408">
        <v>0</v>
      </c>
      <c r="AH279" s="408">
        <v>0</v>
      </c>
      <c r="AI279" s="408">
        <v>0</v>
      </c>
      <c r="AJ279" s="408">
        <v>0</v>
      </c>
      <c r="AK279" s="408">
        <v>0</v>
      </c>
      <c r="AL279" s="408">
        <v>55.020182880138073</v>
      </c>
      <c r="AM279" s="408"/>
      <c r="AN279" s="408">
        <v>12.71151309753577</v>
      </c>
      <c r="AO279" s="408">
        <v>0</v>
      </c>
      <c r="AP279" s="408">
        <v>0</v>
      </c>
      <c r="AQ279" s="408">
        <v>0</v>
      </c>
      <c r="AR279" s="408">
        <v>0</v>
      </c>
      <c r="AS279" s="408">
        <v>0</v>
      </c>
      <c r="AT279" s="408">
        <v>0</v>
      </c>
      <c r="AU279" s="408">
        <v>0</v>
      </c>
      <c r="AV279" s="408">
        <v>0</v>
      </c>
      <c r="AW279" s="408">
        <v>0</v>
      </c>
      <c r="AX279" s="408">
        <v>0</v>
      </c>
      <c r="AY279" s="408">
        <v>0</v>
      </c>
      <c r="AZ279" s="408">
        <v>0</v>
      </c>
      <c r="BA279" s="408"/>
      <c r="BB279" s="408">
        <v>0</v>
      </c>
      <c r="BC279" s="408">
        <v>0</v>
      </c>
      <c r="BD279" s="408">
        <v>8.6274643910386857</v>
      </c>
      <c r="BE279" s="408">
        <v>0</v>
      </c>
      <c r="BF279" s="408">
        <v>0</v>
      </c>
      <c r="BG279" s="408">
        <v>209.87094576907884</v>
      </c>
      <c r="BH279" s="408">
        <v>0</v>
      </c>
      <c r="BI279" s="408">
        <v>5.78</v>
      </c>
      <c r="BJ279" s="408">
        <v>26.74</v>
      </c>
      <c r="BK279" s="408">
        <v>-244.87</v>
      </c>
      <c r="BL279" s="408">
        <v>0</v>
      </c>
      <c r="BM279" s="408"/>
      <c r="BN279" s="408"/>
      <c r="BO279" s="408"/>
      <c r="BP279" s="408"/>
      <c r="BQ279" s="408"/>
      <c r="BR279" s="408">
        <v>458.77824999999979</v>
      </c>
      <c r="BS279" s="408"/>
      <c r="BT279" s="408"/>
      <c r="BU279" s="408"/>
      <c r="BV279" s="408">
        <v>1703.6809584669666</v>
      </c>
      <c r="BW279" s="408"/>
      <c r="BX279" s="408"/>
      <c r="BY279" s="408"/>
      <c r="BZ279" s="408"/>
      <c r="CA279" s="408"/>
      <c r="CB279" s="408"/>
      <c r="CC279" s="408"/>
      <c r="CD279" s="408"/>
      <c r="CE279" s="408"/>
      <c r="CF279" s="408"/>
      <c r="CG279" s="408"/>
      <c r="CH279" s="408"/>
      <c r="CI279" s="408">
        <v>3365.0322000000001</v>
      </c>
      <c r="CJ279" s="408">
        <v>-1563.5787300000006</v>
      </c>
      <c r="CK279" s="408"/>
      <c r="CL279" s="408"/>
      <c r="CM279" s="408"/>
      <c r="CN279" s="408"/>
      <c r="CO279" s="408">
        <v>-1869.9627799999998</v>
      </c>
      <c r="CP279" s="408">
        <v>92.566110000000052</v>
      </c>
      <c r="CQ279" s="408">
        <v>29</v>
      </c>
      <c r="CR279" s="408">
        <v>76.954833454652999</v>
      </c>
      <c r="CS279" s="408">
        <v>0</v>
      </c>
      <c r="CT279" s="408">
        <v>0</v>
      </c>
      <c r="CU279" s="408">
        <v>0</v>
      </c>
      <c r="CV279" s="408">
        <v>0</v>
      </c>
      <c r="CW279" s="408">
        <v>0</v>
      </c>
      <c r="CX279" s="408">
        <v>0</v>
      </c>
      <c r="CY279" s="408">
        <v>0</v>
      </c>
      <c r="CZ279" s="408">
        <v>-3.2206635556993888</v>
      </c>
      <c r="DA279" s="408">
        <v>0</v>
      </c>
      <c r="DB279" s="408">
        <v>0</v>
      </c>
      <c r="DC279" s="408">
        <v>92.524599193961876</v>
      </c>
      <c r="DD279" s="408">
        <v>0</v>
      </c>
      <c r="DE279" s="408">
        <v>0</v>
      </c>
      <c r="DF279" s="408">
        <v>0.53747782435975822</v>
      </c>
      <c r="DG279" s="408">
        <v>13.0746386441715</v>
      </c>
      <c r="DH279" s="408">
        <v>0</v>
      </c>
      <c r="DI279" s="408">
        <v>-22.129798925530736</v>
      </c>
      <c r="DJ279" s="408"/>
      <c r="DK279" s="408">
        <v>0</v>
      </c>
      <c r="DL279" s="408">
        <v>0</v>
      </c>
      <c r="DM279" s="408">
        <v>0</v>
      </c>
      <c r="DN279" s="408">
        <v>0</v>
      </c>
      <c r="DO279" s="408">
        <v>-3.0191054834474116</v>
      </c>
      <c r="DP279" s="408">
        <v>-0.81231424316238865</v>
      </c>
      <c r="DQ279" s="408">
        <v>0</v>
      </c>
      <c r="DR279" s="408">
        <v>0</v>
      </c>
      <c r="DS279" s="408"/>
      <c r="DT279" s="408"/>
      <c r="DU279" s="408"/>
      <c r="DV279" s="408">
        <v>2760.8323470961959</v>
      </c>
      <c r="DW279" s="408">
        <v>0</v>
      </c>
      <c r="DX279" s="408">
        <v>0</v>
      </c>
      <c r="DY279" s="408">
        <v>-1869.9627800000003</v>
      </c>
      <c r="DZ279" s="408">
        <v>92.566109999999981</v>
      </c>
      <c r="EA279" s="408">
        <v>0</v>
      </c>
      <c r="EB279" s="408">
        <v>0</v>
      </c>
      <c r="EC279" s="408">
        <v>-1854.3811515373407</v>
      </c>
      <c r="ED279" s="408">
        <v>0</v>
      </c>
      <c r="EE279" s="408">
        <v>0</v>
      </c>
      <c r="EF279" s="408">
        <v>0</v>
      </c>
      <c r="EG279" s="408">
        <v>0</v>
      </c>
      <c r="EH279" s="408">
        <v>0</v>
      </c>
      <c r="EI279" s="408">
        <v>0</v>
      </c>
      <c r="EJ279" s="408">
        <v>0</v>
      </c>
      <c r="EK279" s="408">
        <v>0</v>
      </c>
      <c r="EL279" s="408">
        <v>0</v>
      </c>
      <c r="EM279" s="408">
        <v>0</v>
      </c>
      <c r="EN279" s="408">
        <v>0</v>
      </c>
      <c r="EO279" s="408">
        <v>0</v>
      </c>
      <c r="EP279" s="408">
        <v>0</v>
      </c>
      <c r="EQ279" s="408">
        <v>0</v>
      </c>
      <c r="ER279" s="408">
        <v>0</v>
      </c>
      <c r="ES279" s="408">
        <v>0</v>
      </c>
      <c r="ET279" s="408">
        <v>0</v>
      </c>
      <c r="EU279" s="408">
        <v>0</v>
      </c>
      <c r="EV279" s="408">
        <v>257</v>
      </c>
      <c r="EW279" s="408">
        <v>0</v>
      </c>
      <c r="EX279" s="408">
        <v>0</v>
      </c>
      <c r="EY279" s="408">
        <v>0</v>
      </c>
      <c r="EZ279" s="408"/>
      <c r="FA279" s="408">
        <v>0</v>
      </c>
      <c r="FB279" s="408"/>
      <c r="FC279" s="408"/>
      <c r="FD279" s="408"/>
      <c r="FE279" s="408"/>
      <c r="FF279" s="408">
        <v>0</v>
      </c>
      <c r="FG279" s="408">
        <v>0</v>
      </c>
      <c r="FH279" s="408">
        <v>0</v>
      </c>
      <c r="FI279" s="408">
        <v>0</v>
      </c>
    </row>
    <row r="280" spans="1:165">
      <c r="A280" s="408">
        <v>278</v>
      </c>
      <c r="B280" s="408" t="s">
        <v>2236</v>
      </c>
      <c r="C280" s="408" t="s">
        <v>2233</v>
      </c>
      <c r="D280" s="408" t="s">
        <v>2243</v>
      </c>
      <c r="E280" s="408" t="s">
        <v>973</v>
      </c>
      <c r="F280" s="408" t="s">
        <v>1321</v>
      </c>
      <c r="G280" s="408" t="s">
        <v>1321</v>
      </c>
      <c r="H280" s="408" t="s">
        <v>1321</v>
      </c>
      <c r="I280" s="408" t="s">
        <v>1321</v>
      </c>
      <c r="J280" s="408" t="s">
        <v>2234</v>
      </c>
      <c r="K280" s="828">
        <v>44593</v>
      </c>
      <c r="L280" s="408">
        <v>0</v>
      </c>
      <c r="M280" s="408">
        <v>0</v>
      </c>
      <c r="N280" s="408">
        <v>130.018</v>
      </c>
      <c r="O280" s="408">
        <v>130.018</v>
      </c>
      <c r="P280" s="408">
        <v>130.018</v>
      </c>
      <c r="Q280" s="408">
        <v>130.018</v>
      </c>
      <c r="R280" s="408"/>
      <c r="S280" s="408">
        <v>710.91</v>
      </c>
      <c r="T280" s="408">
        <v>256.55</v>
      </c>
      <c r="U280" s="408"/>
      <c r="V280" s="408">
        <v>125787.21428000001</v>
      </c>
      <c r="W280" s="408">
        <v>125787.21428000001</v>
      </c>
      <c r="X280" s="408">
        <v>85867.78774</v>
      </c>
      <c r="Y280" s="408">
        <v>0</v>
      </c>
      <c r="Z280" s="408">
        <v>7992.8151260005616</v>
      </c>
      <c r="AA280" s="408">
        <v>0</v>
      </c>
      <c r="AB280" s="408">
        <v>0</v>
      </c>
      <c r="AC280" s="408">
        <v>0</v>
      </c>
      <c r="AD280" s="408">
        <v>16002.97816465482</v>
      </c>
      <c r="AE280" s="408">
        <v>62006.892400199205</v>
      </c>
      <c r="AF280" s="408">
        <v>33356.445770557941</v>
      </c>
      <c r="AG280" s="408">
        <v>0</v>
      </c>
      <c r="AH280" s="408">
        <v>0</v>
      </c>
      <c r="AI280" s="408">
        <v>0</v>
      </c>
      <c r="AJ280" s="408">
        <v>0</v>
      </c>
      <c r="AK280" s="408">
        <v>0</v>
      </c>
      <c r="AL280" s="408">
        <v>1235.7253649524603</v>
      </c>
      <c r="AM280" s="408"/>
      <c r="AN280" s="408">
        <v>285.49412850499323</v>
      </c>
      <c r="AO280" s="408">
        <v>0</v>
      </c>
      <c r="AP280" s="408">
        <v>0</v>
      </c>
      <c r="AQ280" s="408">
        <v>0</v>
      </c>
      <c r="AR280" s="408">
        <v>0</v>
      </c>
      <c r="AS280" s="408">
        <v>0</v>
      </c>
      <c r="AT280" s="408">
        <v>0</v>
      </c>
      <c r="AU280" s="408">
        <v>0</v>
      </c>
      <c r="AV280" s="408">
        <v>0</v>
      </c>
      <c r="AW280" s="408">
        <v>0</v>
      </c>
      <c r="AX280" s="408">
        <v>0</v>
      </c>
      <c r="AY280" s="408">
        <v>0</v>
      </c>
      <c r="AZ280" s="408">
        <v>0</v>
      </c>
      <c r="BA280" s="408"/>
      <c r="BB280" s="408">
        <v>0</v>
      </c>
      <c r="BC280" s="408">
        <v>0</v>
      </c>
      <c r="BD280" s="408">
        <v>193.76846868095836</v>
      </c>
      <c r="BE280" s="408">
        <v>0</v>
      </c>
      <c r="BF280" s="408">
        <v>0</v>
      </c>
      <c r="BG280" s="408">
        <v>4713.5948569708235</v>
      </c>
      <c r="BH280" s="408">
        <v>0</v>
      </c>
      <c r="BI280" s="408">
        <v>0.4</v>
      </c>
      <c r="BJ280" s="408">
        <v>1.84</v>
      </c>
      <c r="BK280" s="408">
        <v>2365.58</v>
      </c>
      <c r="BL280" s="408">
        <v>195</v>
      </c>
      <c r="BM280" s="408"/>
      <c r="BN280" s="408"/>
      <c r="BO280" s="408"/>
      <c r="BP280" s="408"/>
      <c r="BQ280" s="408"/>
      <c r="BR280" s="408">
        <v>10303.926499999998</v>
      </c>
      <c r="BS280" s="408"/>
      <c r="BT280" s="408"/>
      <c r="BU280" s="408"/>
      <c r="BV280" s="408">
        <v>38263.809096209719</v>
      </c>
      <c r="BW280" s="408"/>
      <c r="BX280" s="408"/>
      <c r="BY280" s="408"/>
      <c r="BZ280" s="408"/>
      <c r="CA280" s="408"/>
      <c r="CB280" s="408"/>
      <c r="CC280" s="408"/>
      <c r="CD280" s="408"/>
      <c r="CE280" s="408"/>
      <c r="CF280" s="408"/>
      <c r="CG280" s="408"/>
      <c r="CH280" s="408"/>
      <c r="CI280" s="408">
        <v>75565.023600000015</v>
      </c>
      <c r="CJ280" s="408">
        <v>-35128.431059999974</v>
      </c>
      <c r="CK280" s="408"/>
      <c r="CL280" s="408"/>
      <c r="CM280" s="408"/>
      <c r="CN280" s="408"/>
      <c r="CO280" s="408">
        <v>-41998.414359999995</v>
      </c>
      <c r="CP280" s="408">
        <v>2078.9878200000012</v>
      </c>
      <c r="CQ280" s="408">
        <v>29</v>
      </c>
      <c r="CR280" s="408">
        <v>1728.3664771302647</v>
      </c>
      <c r="CS280" s="408">
        <v>0</v>
      </c>
      <c r="CT280" s="408">
        <v>0</v>
      </c>
      <c r="CU280" s="408">
        <v>0</v>
      </c>
      <c r="CV280" s="408">
        <v>0</v>
      </c>
      <c r="CW280" s="408">
        <v>0</v>
      </c>
      <c r="CX280" s="408">
        <v>0</v>
      </c>
      <c r="CY280" s="408">
        <v>0</v>
      </c>
      <c r="CZ280" s="408">
        <v>-72.334467815671815</v>
      </c>
      <c r="DA280" s="408">
        <v>0</v>
      </c>
      <c r="DB280" s="408">
        <v>0</v>
      </c>
      <c r="DC280" s="408">
        <v>2078.0555083780491</v>
      </c>
      <c r="DD280" s="408">
        <v>0</v>
      </c>
      <c r="DE280" s="408">
        <v>0</v>
      </c>
      <c r="DF280" s="408">
        <v>12.071478971775264</v>
      </c>
      <c r="DG280" s="408">
        <v>293.64974386558788</v>
      </c>
      <c r="DH280" s="408">
        <v>0</v>
      </c>
      <c r="DI280" s="408">
        <v>-497.02404503362413</v>
      </c>
      <c r="DJ280" s="408"/>
      <c r="DK280" s="408">
        <v>0</v>
      </c>
      <c r="DL280" s="408">
        <v>0</v>
      </c>
      <c r="DM280" s="408">
        <v>0</v>
      </c>
      <c r="DN280" s="408">
        <v>0</v>
      </c>
      <c r="DO280" s="408">
        <v>-67.807575876121064</v>
      </c>
      <c r="DP280" s="408">
        <v>-18.244165359731767</v>
      </c>
      <c r="DQ280" s="408">
        <v>0</v>
      </c>
      <c r="DR280" s="408">
        <v>0</v>
      </c>
      <c r="DS280" s="408"/>
      <c r="DT280" s="408"/>
      <c r="DU280" s="408"/>
      <c r="DV280" s="408">
        <v>62006.892400199205</v>
      </c>
      <c r="DW280" s="408">
        <v>0</v>
      </c>
      <c r="DX280" s="408">
        <v>0</v>
      </c>
      <c r="DY280" s="408">
        <v>-41998.414360000002</v>
      </c>
      <c r="DZ280" s="408">
        <v>2078.9878199999948</v>
      </c>
      <c r="EA280" s="408">
        <v>0</v>
      </c>
      <c r="EB280" s="408">
        <v>0</v>
      </c>
      <c r="EC280" s="408">
        <v>-41648.458898010358</v>
      </c>
      <c r="ED280" s="408">
        <v>0</v>
      </c>
      <c r="EE280" s="408">
        <v>0</v>
      </c>
      <c r="EF280" s="408">
        <v>0</v>
      </c>
      <c r="EG280" s="408">
        <v>0</v>
      </c>
      <c r="EH280" s="408">
        <v>0</v>
      </c>
      <c r="EI280" s="408">
        <v>0</v>
      </c>
      <c r="EJ280" s="408">
        <v>0</v>
      </c>
      <c r="EK280" s="408">
        <v>0</v>
      </c>
      <c r="EL280" s="408">
        <v>0</v>
      </c>
      <c r="EM280" s="408">
        <v>0</v>
      </c>
      <c r="EN280" s="408">
        <v>0</v>
      </c>
      <c r="EO280" s="408">
        <v>0</v>
      </c>
      <c r="EP280" s="408">
        <v>0</v>
      </c>
      <c r="EQ280" s="408">
        <v>0</v>
      </c>
      <c r="ER280" s="408">
        <v>0</v>
      </c>
      <c r="ES280" s="408">
        <v>0</v>
      </c>
      <c r="ET280" s="408">
        <v>0</v>
      </c>
      <c r="EU280" s="408">
        <v>0</v>
      </c>
      <c r="EV280" s="408">
        <v>257</v>
      </c>
      <c r="EW280" s="408">
        <v>0</v>
      </c>
      <c r="EX280" s="408">
        <v>0</v>
      </c>
      <c r="EY280" s="408">
        <v>0</v>
      </c>
      <c r="EZ280" s="408"/>
      <c r="FA280" s="408">
        <v>0</v>
      </c>
      <c r="FB280" s="408"/>
      <c r="FC280" s="408"/>
      <c r="FD280" s="408"/>
      <c r="FE280" s="408"/>
      <c r="FF280" s="408">
        <v>0</v>
      </c>
      <c r="FG280" s="408">
        <v>0</v>
      </c>
      <c r="FH280" s="408">
        <v>0</v>
      </c>
      <c r="FI280" s="408">
        <v>0</v>
      </c>
    </row>
    <row r="281" spans="1:165">
      <c r="A281" s="408">
        <v>279</v>
      </c>
      <c r="B281" s="408" t="s">
        <v>1035</v>
      </c>
      <c r="C281" s="408" t="s">
        <v>2241</v>
      </c>
      <c r="D281" s="408" t="s">
        <v>596</v>
      </c>
      <c r="E281" s="408" t="s">
        <v>973</v>
      </c>
      <c r="F281" s="408" t="s">
        <v>1321</v>
      </c>
      <c r="G281" s="408" t="s">
        <v>1321</v>
      </c>
      <c r="H281" s="408" t="s">
        <v>1321</v>
      </c>
      <c r="I281" s="408" t="s">
        <v>972</v>
      </c>
      <c r="J281" s="408" t="s">
        <v>2234</v>
      </c>
      <c r="K281" s="828">
        <v>44593</v>
      </c>
      <c r="L281" s="408">
        <v>0</v>
      </c>
      <c r="M281" s="408">
        <v>0</v>
      </c>
      <c r="N281" s="408">
        <v>13.686</v>
      </c>
      <c r="O281" s="408">
        <v>13.13856</v>
      </c>
      <c r="P281" s="408">
        <v>13.686</v>
      </c>
      <c r="Q281" s="408">
        <v>13.13856</v>
      </c>
      <c r="R281" s="408"/>
      <c r="S281" s="408">
        <v>3130.62</v>
      </c>
      <c r="T281" s="408">
        <v>256.55</v>
      </c>
      <c r="U281" s="408"/>
      <c r="V281" s="408">
        <v>46356.808620000003</v>
      </c>
      <c r="W281" s="408">
        <v>46356.808620000003</v>
      </c>
      <c r="X281" s="408">
        <v>24397.07418</v>
      </c>
      <c r="Y281" s="408">
        <v>0</v>
      </c>
      <c r="Z281" s="408">
        <v>731.96796596291279</v>
      </c>
      <c r="AA281" s="408">
        <v>0</v>
      </c>
      <c r="AB281" s="408">
        <v>0</v>
      </c>
      <c r="AC281" s="408">
        <v>0</v>
      </c>
      <c r="AD281" s="408">
        <v>8816.7101663361427</v>
      </c>
      <c r="AE281" s="408">
        <v>32903.178602072425</v>
      </c>
      <c r="AF281" s="408">
        <v>3511.177812424864</v>
      </c>
      <c r="AG281" s="408">
        <v>0</v>
      </c>
      <c r="AH281" s="408">
        <v>0</v>
      </c>
      <c r="AI281" s="408">
        <v>0</v>
      </c>
      <c r="AJ281" s="408">
        <v>0</v>
      </c>
      <c r="AK281" s="408">
        <v>0</v>
      </c>
      <c r="AL281" s="408">
        <v>130.07535375670577</v>
      </c>
      <c r="AM281" s="408"/>
      <c r="AN281" s="408">
        <v>18.463166659034393</v>
      </c>
      <c r="AO281" s="408">
        <v>0</v>
      </c>
      <c r="AP281" s="408">
        <v>0</v>
      </c>
      <c r="AQ281" s="408">
        <v>0</v>
      </c>
      <c r="AR281" s="408">
        <v>0</v>
      </c>
      <c r="AS281" s="408">
        <v>0</v>
      </c>
      <c r="AT281" s="408">
        <v>0</v>
      </c>
      <c r="AU281" s="408">
        <v>0</v>
      </c>
      <c r="AV281" s="408">
        <v>0</v>
      </c>
      <c r="AW281" s="408">
        <v>0</v>
      </c>
      <c r="AX281" s="408">
        <v>0</v>
      </c>
      <c r="AY281" s="408">
        <v>0</v>
      </c>
      <c r="AZ281" s="408">
        <v>0</v>
      </c>
      <c r="BA281" s="408"/>
      <c r="BB281" s="408">
        <v>0</v>
      </c>
      <c r="BC281" s="408">
        <v>0</v>
      </c>
      <c r="BD281" s="408">
        <v>16.8614971226846</v>
      </c>
      <c r="BE281" s="408">
        <v>0</v>
      </c>
      <c r="BF281" s="408">
        <v>0</v>
      </c>
      <c r="BG281" s="408">
        <v>228.40959827228926</v>
      </c>
      <c r="BH281" s="408">
        <v>0</v>
      </c>
      <c r="BI281" s="408">
        <v>0</v>
      </c>
      <c r="BJ281" s="408">
        <v>0</v>
      </c>
      <c r="BK281" s="408">
        <v>0</v>
      </c>
      <c r="BL281" s="408">
        <v>0</v>
      </c>
      <c r="BM281" s="408"/>
      <c r="BN281" s="408"/>
      <c r="BO281" s="408"/>
      <c r="BP281" s="408"/>
      <c r="BQ281" s="408"/>
      <c r="BR281" s="408">
        <v>975.88296719999983</v>
      </c>
      <c r="BS281" s="408"/>
      <c r="BT281" s="408"/>
      <c r="BU281" s="408"/>
      <c r="BV281" s="408">
        <v>3756.448907819838</v>
      </c>
      <c r="BW281" s="408"/>
      <c r="BX281" s="408"/>
      <c r="BY281" s="408"/>
      <c r="BZ281" s="408"/>
      <c r="CA281" s="408"/>
      <c r="CB281" s="408"/>
      <c r="CC281" s="408"/>
      <c r="CD281" s="408"/>
      <c r="CE281" s="408"/>
      <c r="CF281" s="408"/>
      <c r="CG281" s="408"/>
      <c r="CH281" s="408"/>
      <c r="CI281" s="408">
        <v>23423.758200000004</v>
      </c>
      <c r="CJ281" s="408">
        <v>-21078.808075200002</v>
      </c>
      <c r="CK281" s="408"/>
      <c r="CL281" s="408"/>
      <c r="CM281" s="408"/>
      <c r="CN281" s="408"/>
      <c r="CO281" s="408">
        <v>-22178.57358</v>
      </c>
      <c r="CP281" s="408">
        <v>218.83914000000013</v>
      </c>
      <c r="CQ281" s="408">
        <v>29</v>
      </c>
      <c r="CR281" s="408">
        <v>140.33489165840183</v>
      </c>
      <c r="CS281" s="408">
        <v>0</v>
      </c>
      <c r="CT281" s="408">
        <v>0</v>
      </c>
      <c r="CU281" s="408">
        <v>0</v>
      </c>
      <c r="CV281" s="408">
        <v>0</v>
      </c>
      <c r="CW281" s="408">
        <v>0</v>
      </c>
      <c r="CX281" s="408">
        <v>0</v>
      </c>
      <c r="CY281" s="408">
        <v>0</v>
      </c>
      <c r="CZ281" s="408">
        <v>-39.852084481100974</v>
      </c>
      <c r="DA281" s="408">
        <v>0</v>
      </c>
      <c r="DB281" s="408">
        <v>0</v>
      </c>
      <c r="DC281" s="408">
        <v>218.74100268933535</v>
      </c>
      <c r="DD281" s="408">
        <v>0</v>
      </c>
      <c r="DE281" s="408">
        <v>0</v>
      </c>
      <c r="DF281" s="408">
        <v>1.0504454586173004</v>
      </c>
      <c r="DG281" s="408">
        <v>14.229568315551745</v>
      </c>
      <c r="DH281" s="408">
        <v>0</v>
      </c>
      <c r="DI281" s="408">
        <v>-45.516588779148151</v>
      </c>
      <c r="DJ281" s="408"/>
      <c r="DK281" s="408">
        <v>0</v>
      </c>
      <c r="DL281" s="408">
        <v>0</v>
      </c>
      <c r="DM281" s="408">
        <v>0</v>
      </c>
      <c r="DN281" s="408">
        <v>0</v>
      </c>
      <c r="DO281" s="408">
        <v>-7.1375846685889144</v>
      </c>
      <c r="DP281" s="408">
        <v>-1.1798668762668783</v>
      </c>
      <c r="DQ281" s="408">
        <v>0</v>
      </c>
      <c r="DR281" s="408">
        <v>0</v>
      </c>
      <c r="DS281" s="408"/>
      <c r="DT281" s="408"/>
      <c r="DU281" s="408"/>
      <c r="DV281" s="408">
        <v>32903.178602072425</v>
      </c>
      <c r="DW281" s="408">
        <v>0</v>
      </c>
      <c r="DX281" s="408">
        <v>0</v>
      </c>
      <c r="DY281" s="408">
        <v>-22178.57358</v>
      </c>
      <c r="DZ281" s="408">
        <v>218.83914000000004</v>
      </c>
      <c r="EA281" s="408">
        <v>0</v>
      </c>
      <c r="EB281" s="408">
        <v>0</v>
      </c>
      <c r="EC281" s="408">
        <v>-22100.231580350955</v>
      </c>
      <c r="ED281" s="408">
        <v>0</v>
      </c>
      <c r="EE281" s="408">
        <v>0</v>
      </c>
      <c r="EF281" s="408">
        <v>0</v>
      </c>
      <c r="EG281" s="408">
        <v>0</v>
      </c>
      <c r="EH281" s="408">
        <v>0</v>
      </c>
      <c r="EI281" s="408">
        <v>0</v>
      </c>
      <c r="EJ281" s="408">
        <v>0</v>
      </c>
      <c r="EK281" s="408">
        <v>0</v>
      </c>
      <c r="EL281" s="408">
        <v>0</v>
      </c>
      <c r="EM281" s="408">
        <v>0</v>
      </c>
      <c r="EN281" s="408">
        <v>0</v>
      </c>
      <c r="EO281" s="408">
        <v>0</v>
      </c>
      <c r="EP281" s="408">
        <v>0</v>
      </c>
      <c r="EQ281" s="408">
        <v>0</v>
      </c>
      <c r="ER281" s="408">
        <v>0</v>
      </c>
      <c r="ES281" s="408">
        <v>0</v>
      </c>
      <c r="ET281" s="408">
        <v>0</v>
      </c>
      <c r="EU281" s="408">
        <v>0</v>
      </c>
      <c r="EV281" s="408">
        <v>257</v>
      </c>
      <c r="EW281" s="408">
        <v>0</v>
      </c>
      <c r="EX281" s="408">
        <v>0</v>
      </c>
      <c r="EY281" s="408">
        <v>0</v>
      </c>
      <c r="EZ281" s="408"/>
      <c r="FA281" s="408">
        <v>0</v>
      </c>
      <c r="FB281" s="408"/>
      <c r="FC281" s="408"/>
      <c r="FD281" s="408"/>
      <c r="FE281" s="408"/>
      <c r="FF281" s="408">
        <v>0</v>
      </c>
      <c r="FG281" s="408">
        <v>0</v>
      </c>
      <c r="FH281" s="408">
        <v>0</v>
      </c>
      <c r="FI281" s="408">
        <v>0</v>
      </c>
    </row>
    <row r="282" spans="1:165">
      <c r="A282" s="408">
        <v>280</v>
      </c>
      <c r="B282" s="408" t="s">
        <v>2236</v>
      </c>
      <c r="C282" s="408" t="s">
        <v>2241</v>
      </c>
      <c r="D282" s="408" t="s">
        <v>596</v>
      </c>
      <c r="E282" s="408" t="s">
        <v>973</v>
      </c>
      <c r="F282" s="408" t="s">
        <v>1321</v>
      </c>
      <c r="G282" s="408" t="s">
        <v>1321</v>
      </c>
      <c r="H282" s="408" t="s">
        <v>1321</v>
      </c>
      <c r="I282" s="408" t="s">
        <v>972</v>
      </c>
      <c r="J282" s="408" t="s">
        <v>2234</v>
      </c>
      <c r="K282" s="828">
        <v>44593</v>
      </c>
      <c r="L282" s="408">
        <v>0</v>
      </c>
      <c r="M282" s="408">
        <v>0</v>
      </c>
      <c r="N282" s="408">
        <v>1.917</v>
      </c>
      <c r="O282" s="408">
        <v>1.84032</v>
      </c>
      <c r="P282" s="408">
        <v>1.917</v>
      </c>
      <c r="Q282" s="408">
        <v>1.84032</v>
      </c>
      <c r="R282" s="408"/>
      <c r="S282" s="408">
        <v>3130.62</v>
      </c>
      <c r="T282" s="408">
        <v>256.55</v>
      </c>
      <c r="U282" s="408"/>
      <c r="V282" s="408">
        <v>6493.20489</v>
      </c>
      <c r="W282" s="408">
        <v>6493.20489</v>
      </c>
      <c r="X282" s="408">
        <v>3417.3017099999997</v>
      </c>
      <c r="Y282" s="408">
        <v>0</v>
      </c>
      <c r="Z282" s="408">
        <v>102.52685888871137</v>
      </c>
      <c r="AA282" s="408">
        <v>0</v>
      </c>
      <c r="AB282" s="408">
        <v>0</v>
      </c>
      <c r="AC282" s="408">
        <v>0</v>
      </c>
      <c r="AD282" s="408">
        <v>1234.957868542042</v>
      </c>
      <c r="AE282" s="408">
        <v>4608.7529870066373</v>
      </c>
      <c r="AF282" s="408">
        <v>491.81118416034371</v>
      </c>
      <c r="AG282" s="408">
        <v>0</v>
      </c>
      <c r="AH282" s="408">
        <v>0</v>
      </c>
      <c r="AI282" s="408">
        <v>0</v>
      </c>
      <c r="AJ282" s="408">
        <v>0</v>
      </c>
      <c r="AK282" s="408">
        <v>0</v>
      </c>
      <c r="AL282" s="408">
        <v>18.219673619144011</v>
      </c>
      <c r="AM282" s="408"/>
      <c r="AN282" s="408">
        <v>2.5861384250598372</v>
      </c>
      <c r="AO282" s="408">
        <v>0</v>
      </c>
      <c r="AP282" s="408">
        <v>0</v>
      </c>
      <c r="AQ282" s="408">
        <v>0</v>
      </c>
      <c r="AR282" s="408">
        <v>0</v>
      </c>
      <c r="AS282" s="408">
        <v>0</v>
      </c>
      <c r="AT282" s="408">
        <v>0</v>
      </c>
      <c r="AU282" s="408">
        <v>0</v>
      </c>
      <c r="AV282" s="408">
        <v>0</v>
      </c>
      <c r="AW282" s="408">
        <v>0</v>
      </c>
      <c r="AX282" s="408">
        <v>0</v>
      </c>
      <c r="AY282" s="408">
        <v>0</v>
      </c>
      <c r="AZ282" s="408">
        <v>0</v>
      </c>
      <c r="BA282" s="408"/>
      <c r="BB282" s="408">
        <v>0</v>
      </c>
      <c r="BC282" s="408">
        <v>0</v>
      </c>
      <c r="BD282" s="408">
        <v>2.361792341384362</v>
      </c>
      <c r="BE282" s="408">
        <v>0</v>
      </c>
      <c r="BF282" s="408">
        <v>0</v>
      </c>
      <c r="BG282" s="408">
        <v>31.993365474790188</v>
      </c>
      <c r="BH282" s="408">
        <v>0</v>
      </c>
      <c r="BI282" s="408">
        <v>0</v>
      </c>
      <c r="BJ282" s="408">
        <v>0</v>
      </c>
      <c r="BK282" s="408">
        <v>0</v>
      </c>
      <c r="BL282" s="408">
        <v>0</v>
      </c>
      <c r="BM282" s="408"/>
      <c r="BN282" s="408"/>
      <c r="BO282" s="408"/>
      <c r="BP282" s="408"/>
      <c r="BQ282" s="408"/>
      <c r="BR282" s="408">
        <v>136.69206840000015</v>
      </c>
      <c r="BS282" s="408"/>
      <c r="BT282" s="408"/>
      <c r="BU282" s="408"/>
      <c r="BV282" s="408">
        <v>526.16634197651831</v>
      </c>
      <c r="BW282" s="408"/>
      <c r="BX282" s="408"/>
      <c r="BY282" s="408"/>
      <c r="BZ282" s="408"/>
      <c r="CA282" s="408"/>
      <c r="CB282" s="408"/>
      <c r="CC282" s="408"/>
      <c r="CD282" s="408"/>
      <c r="CE282" s="408"/>
      <c r="CF282" s="408"/>
      <c r="CG282" s="408"/>
      <c r="CH282" s="408"/>
      <c r="CI282" s="408">
        <v>3280.0392000000002</v>
      </c>
      <c r="CJ282" s="408">
        <v>-2953.4674943999999</v>
      </c>
      <c r="CK282" s="408"/>
      <c r="CL282" s="408"/>
      <c r="CM282" s="408"/>
      <c r="CN282" s="408"/>
      <c r="CO282" s="408">
        <v>-3106.5560099999998</v>
      </c>
      <c r="CP282" s="408">
        <v>30.652830000000019</v>
      </c>
      <c r="CQ282" s="408">
        <v>29</v>
      </c>
      <c r="CR282" s="408">
        <v>19.656728577316471</v>
      </c>
      <c r="CS282" s="408">
        <v>0</v>
      </c>
      <c r="CT282" s="408">
        <v>0</v>
      </c>
      <c r="CU282" s="408">
        <v>0</v>
      </c>
      <c r="CV282" s="408">
        <v>0</v>
      </c>
      <c r="CW282" s="408">
        <v>0</v>
      </c>
      <c r="CX282" s="408">
        <v>0</v>
      </c>
      <c r="CY282" s="408">
        <v>0</v>
      </c>
      <c r="CZ282" s="408">
        <v>-5.5820872388039788</v>
      </c>
      <c r="DA282" s="408">
        <v>0</v>
      </c>
      <c r="DB282" s="408">
        <v>0</v>
      </c>
      <c r="DC282" s="408">
        <v>30.639083892697386</v>
      </c>
      <c r="DD282" s="408">
        <v>0</v>
      </c>
      <c r="DE282" s="408">
        <v>0</v>
      </c>
      <c r="DF282" s="408">
        <v>0.14713604736002939</v>
      </c>
      <c r="DG282" s="408">
        <v>1.9931376925992055</v>
      </c>
      <c r="DH282" s="408">
        <v>0</v>
      </c>
      <c r="DI282" s="408">
        <v>-6.3755151753344421</v>
      </c>
      <c r="DJ282" s="408"/>
      <c r="DK282" s="408">
        <v>0</v>
      </c>
      <c r="DL282" s="408">
        <v>0</v>
      </c>
      <c r="DM282" s="408">
        <v>0</v>
      </c>
      <c r="DN282" s="408">
        <v>0</v>
      </c>
      <c r="DO282" s="408">
        <v>-0.99976251714781128</v>
      </c>
      <c r="DP282" s="408">
        <v>-0.1652641240540409</v>
      </c>
      <c r="DQ282" s="408">
        <v>0</v>
      </c>
      <c r="DR282" s="408">
        <v>0</v>
      </c>
      <c r="DS282" s="408"/>
      <c r="DT282" s="408"/>
      <c r="DU282" s="408"/>
      <c r="DV282" s="408">
        <v>4608.7529870066373</v>
      </c>
      <c r="DW282" s="408">
        <v>0</v>
      </c>
      <c r="DX282" s="408">
        <v>0</v>
      </c>
      <c r="DY282" s="408">
        <v>-3106.5560100000002</v>
      </c>
      <c r="DZ282" s="408">
        <v>30.652830000000051</v>
      </c>
      <c r="EA282" s="408">
        <v>0</v>
      </c>
      <c r="EB282" s="408">
        <v>0</v>
      </c>
      <c r="EC282" s="408">
        <v>-3095.5826347751554</v>
      </c>
      <c r="ED282" s="408">
        <v>0</v>
      </c>
      <c r="EE282" s="408">
        <v>0</v>
      </c>
      <c r="EF282" s="408">
        <v>0</v>
      </c>
      <c r="EG282" s="408">
        <v>0</v>
      </c>
      <c r="EH282" s="408">
        <v>0</v>
      </c>
      <c r="EI282" s="408">
        <v>0</v>
      </c>
      <c r="EJ282" s="408">
        <v>0</v>
      </c>
      <c r="EK282" s="408">
        <v>0</v>
      </c>
      <c r="EL282" s="408">
        <v>0</v>
      </c>
      <c r="EM282" s="408">
        <v>0</v>
      </c>
      <c r="EN282" s="408">
        <v>0</v>
      </c>
      <c r="EO282" s="408">
        <v>0</v>
      </c>
      <c r="EP282" s="408">
        <v>0</v>
      </c>
      <c r="EQ282" s="408">
        <v>0</v>
      </c>
      <c r="ER282" s="408">
        <v>0</v>
      </c>
      <c r="ES282" s="408">
        <v>0</v>
      </c>
      <c r="ET282" s="408">
        <v>0</v>
      </c>
      <c r="EU282" s="408">
        <v>0</v>
      </c>
      <c r="EV282" s="408">
        <v>257</v>
      </c>
      <c r="EW282" s="408">
        <v>0</v>
      </c>
      <c r="EX282" s="408">
        <v>0</v>
      </c>
      <c r="EY282" s="408">
        <v>0</v>
      </c>
      <c r="EZ282" s="408"/>
      <c r="FA282" s="408">
        <v>0</v>
      </c>
      <c r="FB282" s="408"/>
      <c r="FC282" s="408"/>
      <c r="FD282" s="408"/>
      <c r="FE282" s="408"/>
      <c r="FF282" s="408">
        <v>0</v>
      </c>
      <c r="FG282" s="408">
        <v>0</v>
      </c>
      <c r="FH282" s="408">
        <v>0</v>
      </c>
      <c r="FI282" s="408">
        <v>0</v>
      </c>
    </row>
    <row r="283" spans="1:165">
      <c r="A283" s="408">
        <v>281</v>
      </c>
      <c r="B283" s="408" t="s">
        <v>1035</v>
      </c>
      <c r="C283" s="408" t="s">
        <v>2241</v>
      </c>
      <c r="D283" s="408" t="s">
        <v>596</v>
      </c>
      <c r="E283" s="408" t="s">
        <v>973</v>
      </c>
      <c r="F283" s="408" t="s">
        <v>1321</v>
      </c>
      <c r="G283" s="408" t="s">
        <v>1321</v>
      </c>
      <c r="H283" s="408" t="s">
        <v>1321</v>
      </c>
      <c r="I283" s="408" t="s">
        <v>2242</v>
      </c>
      <c r="J283" s="408" t="s">
        <v>2234</v>
      </c>
      <c r="K283" s="828">
        <v>44593</v>
      </c>
      <c r="L283" s="408">
        <v>0</v>
      </c>
      <c r="M283" s="408">
        <v>0</v>
      </c>
      <c r="N283" s="408">
        <v>126.959</v>
      </c>
      <c r="O283" s="408">
        <v>121.88064</v>
      </c>
      <c r="P283" s="408">
        <v>126.959</v>
      </c>
      <c r="Q283" s="408">
        <v>121.88064</v>
      </c>
      <c r="R283" s="408"/>
      <c r="S283" s="408">
        <v>82.26</v>
      </c>
      <c r="T283" s="408">
        <v>256.55</v>
      </c>
      <c r="U283" s="408"/>
      <c r="V283" s="408">
        <v>43014.978790000001</v>
      </c>
      <c r="W283" s="408">
        <v>43014.978790000001</v>
      </c>
      <c r="X283" s="408">
        <v>44687.028820000007</v>
      </c>
      <c r="Y283" s="408">
        <v>0</v>
      </c>
      <c r="Z283" s="408">
        <v>6790.1447457756431</v>
      </c>
      <c r="AA283" s="408">
        <v>0</v>
      </c>
      <c r="AB283" s="408">
        <v>0</v>
      </c>
      <c r="AC283" s="408">
        <v>0</v>
      </c>
      <c r="AD283" s="408">
        <v>0</v>
      </c>
      <c r="AE283" s="408">
        <v>0</v>
      </c>
      <c r="AF283" s="408">
        <v>32571.651606579591</v>
      </c>
      <c r="AG283" s="408">
        <v>0</v>
      </c>
      <c r="AH283" s="408">
        <v>0</v>
      </c>
      <c r="AI283" s="408">
        <v>0</v>
      </c>
      <c r="AJ283" s="408">
        <v>0</v>
      </c>
      <c r="AK283" s="408">
        <v>0</v>
      </c>
      <c r="AL283" s="408">
        <v>1206.6518221246242</v>
      </c>
      <c r="AM283" s="408"/>
      <c r="AN283" s="408">
        <v>171.27467308668329</v>
      </c>
      <c r="AO283" s="408">
        <v>0</v>
      </c>
      <c r="AP283" s="408">
        <v>0</v>
      </c>
      <c r="AQ283" s="408">
        <v>0</v>
      </c>
      <c r="AR283" s="408">
        <v>0</v>
      </c>
      <c r="AS283" s="408">
        <v>0</v>
      </c>
      <c r="AT283" s="408">
        <v>0</v>
      </c>
      <c r="AU283" s="408">
        <v>0</v>
      </c>
      <c r="AV283" s="408">
        <v>0</v>
      </c>
      <c r="AW283" s="408">
        <v>0</v>
      </c>
      <c r="AX283" s="408">
        <v>0</v>
      </c>
      <c r="AY283" s="408">
        <v>0</v>
      </c>
      <c r="AZ283" s="408">
        <v>0</v>
      </c>
      <c r="BA283" s="408"/>
      <c r="BB283" s="408">
        <v>0</v>
      </c>
      <c r="BC283" s="408">
        <v>0</v>
      </c>
      <c r="BD283" s="408">
        <v>156.41668955128702</v>
      </c>
      <c r="BE283" s="408">
        <v>0</v>
      </c>
      <c r="BF283" s="408">
        <v>0</v>
      </c>
      <c r="BG283" s="408">
        <v>2118.8553402785019</v>
      </c>
      <c r="BH283" s="408">
        <v>0</v>
      </c>
      <c r="BI283" s="408">
        <v>0</v>
      </c>
      <c r="BJ283" s="408">
        <v>0</v>
      </c>
      <c r="BK283" s="408">
        <v>0</v>
      </c>
      <c r="BL283" s="408">
        <v>0</v>
      </c>
      <c r="BM283" s="408"/>
      <c r="BN283" s="408"/>
      <c r="BO283" s="408"/>
      <c r="BP283" s="408"/>
      <c r="BQ283" s="408"/>
      <c r="BR283" s="408">
        <v>1787.4811528000014</v>
      </c>
      <c r="BS283" s="408"/>
      <c r="BT283" s="408"/>
      <c r="BU283" s="408"/>
      <c r="BV283" s="408">
        <v>34846.923636409381</v>
      </c>
      <c r="BW283" s="408"/>
      <c r="BX283" s="408"/>
      <c r="BY283" s="408"/>
      <c r="BZ283" s="408"/>
      <c r="CA283" s="408"/>
      <c r="CB283" s="408"/>
      <c r="CC283" s="408"/>
      <c r="CD283" s="408"/>
      <c r="CE283" s="408"/>
      <c r="CF283" s="408"/>
      <c r="CG283" s="408"/>
      <c r="CH283" s="408"/>
      <c r="CI283" s="408">
        <v>42899.322399999997</v>
      </c>
      <c r="CJ283" s="408">
        <v>1604.9127615999896</v>
      </c>
      <c r="CK283" s="408"/>
      <c r="CL283" s="408"/>
      <c r="CM283" s="408"/>
      <c r="CN283" s="408"/>
      <c r="CO283" s="408">
        <v>-358.02438000000097</v>
      </c>
      <c r="CP283" s="408">
        <v>2030.0744100000013</v>
      </c>
      <c r="CQ283" s="408">
        <v>29</v>
      </c>
      <c r="CR283" s="408">
        <v>1671.5152932701167</v>
      </c>
      <c r="CS283" s="408">
        <v>0</v>
      </c>
      <c r="CT283" s="408">
        <v>0</v>
      </c>
      <c r="CU283" s="408">
        <v>0</v>
      </c>
      <c r="CV283" s="408">
        <v>0</v>
      </c>
      <c r="CW283" s="408">
        <v>0</v>
      </c>
      <c r="CX283" s="408">
        <v>0</v>
      </c>
      <c r="CY283" s="408">
        <v>0</v>
      </c>
      <c r="CZ283" s="408">
        <v>0</v>
      </c>
      <c r="DA283" s="408">
        <v>0</v>
      </c>
      <c r="DB283" s="408">
        <v>0</v>
      </c>
      <c r="DC283" s="408">
        <v>2029.1640333505311</v>
      </c>
      <c r="DD283" s="408">
        <v>0</v>
      </c>
      <c r="DE283" s="408">
        <v>0</v>
      </c>
      <c r="DF283" s="408">
        <v>9.7445203113103673</v>
      </c>
      <c r="DG283" s="408">
        <v>132.00144408695951</v>
      </c>
      <c r="DH283" s="408">
        <v>0</v>
      </c>
      <c r="DI283" s="408">
        <v>-422.23736627297058</v>
      </c>
      <c r="DJ283" s="408"/>
      <c r="DK283" s="408">
        <v>0</v>
      </c>
      <c r="DL283" s="408">
        <v>0</v>
      </c>
      <c r="DM283" s="408">
        <v>0</v>
      </c>
      <c r="DN283" s="408">
        <v>0</v>
      </c>
      <c r="DO283" s="408">
        <v>-66.212232349801297</v>
      </c>
      <c r="DP283" s="408">
        <v>-10.945105855908707</v>
      </c>
      <c r="DQ283" s="408">
        <v>0</v>
      </c>
      <c r="DR283" s="408">
        <v>0</v>
      </c>
      <c r="DS283" s="408"/>
      <c r="DT283" s="408"/>
      <c r="DU283" s="408"/>
      <c r="DV283" s="408">
        <v>0</v>
      </c>
      <c r="DW283" s="408">
        <v>0</v>
      </c>
      <c r="DX283" s="408">
        <v>0</v>
      </c>
      <c r="DY283" s="408">
        <v>-358.02438000000075</v>
      </c>
      <c r="DZ283" s="408">
        <v>2030.0744100000047</v>
      </c>
      <c r="EA283" s="408">
        <v>0</v>
      </c>
      <c r="EB283" s="408">
        <v>0</v>
      </c>
      <c r="EC283" s="408">
        <v>0</v>
      </c>
      <c r="ED283" s="408">
        <v>0</v>
      </c>
      <c r="EE283" s="408">
        <v>0</v>
      </c>
      <c r="EF283" s="408">
        <v>0</v>
      </c>
      <c r="EG283" s="408">
        <v>0</v>
      </c>
      <c r="EH283" s="408">
        <v>0</v>
      </c>
      <c r="EI283" s="408">
        <v>0</v>
      </c>
      <c r="EJ283" s="408">
        <v>0</v>
      </c>
      <c r="EK283" s="408">
        <v>0</v>
      </c>
      <c r="EL283" s="408">
        <v>0</v>
      </c>
      <c r="EM283" s="408">
        <v>0</v>
      </c>
      <c r="EN283" s="408">
        <v>0</v>
      </c>
      <c r="EO283" s="408">
        <v>0</v>
      </c>
      <c r="EP283" s="408">
        <v>0</v>
      </c>
      <c r="EQ283" s="408">
        <v>0</v>
      </c>
      <c r="ER283" s="408">
        <v>0</v>
      </c>
      <c r="ES283" s="408">
        <v>0</v>
      </c>
      <c r="ET283" s="408">
        <v>0</v>
      </c>
      <c r="EU283" s="408">
        <v>0</v>
      </c>
      <c r="EV283" s="408">
        <v>257</v>
      </c>
      <c r="EW283" s="408">
        <v>0</v>
      </c>
      <c r="EX283" s="408">
        <v>0</v>
      </c>
      <c r="EY283" s="408">
        <v>0</v>
      </c>
      <c r="EZ283" s="408"/>
      <c r="FA283" s="408">
        <v>0</v>
      </c>
      <c r="FB283" s="408"/>
      <c r="FC283" s="408"/>
      <c r="FD283" s="408"/>
      <c r="FE283" s="408"/>
      <c r="FF283" s="408">
        <v>0</v>
      </c>
      <c r="FG283" s="408">
        <v>0</v>
      </c>
      <c r="FH283" s="408">
        <v>0</v>
      </c>
      <c r="FI283" s="408">
        <v>0</v>
      </c>
    </row>
    <row r="284" spans="1:165">
      <c r="A284" s="408">
        <v>282</v>
      </c>
      <c r="B284" s="408" t="s">
        <v>2236</v>
      </c>
      <c r="C284" s="408" t="s">
        <v>2241</v>
      </c>
      <c r="D284" s="408" t="s">
        <v>596</v>
      </c>
      <c r="E284" s="408" t="s">
        <v>973</v>
      </c>
      <c r="F284" s="408" t="s">
        <v>1321</v>
      </c>
      <c r="G284" s="408" t="s">
        <v>1321</v>
      </c>
      <c r="H284" s="408" t="s">
        <v>1321</v>
      </c>
      <c r="I284" s="408" t="s">
        <v>2242</v>
      </c>
      <c r="J284" s="408" t="s">
        <v>2234</v>
      </c>
      <c r="K284" s="828">
        <v>44593</v>
      </c>
      <c r="L284" s="408">
        <v>0</v>
      </c>
      <c r="M284" s="408">
        <v>0</v>
      </c>
      <c r="N284" s="408">
        <v>11.250999999999999</v>
      </c>
      <c r="O284" s="408">
        <v>10.80096</v>
      </c>
      <c r="P284" s="408">
        <v>11.250999999999999</v>
      </c>
      <c r="Q284" s="408">
        <v>10.80096</v>
      </c>
      <c r="R284" s="408"/>
      <c r="S284" s="408">
        <v>82.26</v>
      </c>
      <c r="T284" s="408">
        <v>256.55</v>
      </c>
      <c r="U284" s="408"/>
      <c r="V284" s="408">
        <v>3811.9513099999999</v>
      </c>
      <c r="W284" s="408">
        <v>3811.9513099999999</v>
      </c>
      <c r="X284" s="408">
        <v>3960.12698</v>
      </c>
      <c r="Y284" s="408">
        <v>0</v>
      </c>
      <c r="Z284" s="408">
        <v>601.73692715539471</v>
      </c>
      <c r="AA284" s="408">
        <v>0</v>
      </c>
      <c r="AB284" s="408">
        <v>0</v>
      </c>
      <c r="AC284" s="408">
        <v>0</v>
      </c>
      <c r="AD284" s="408">
        <v>0</v>
      </c>
      <c r="AE284" s="408">
        <v>0</v>
      </c>
      <c r="AF284" s="408">
        <v>2886.4724220073172</v>
      </c>
      <c r="AG284" s="408">
        <v>0</v>
      </c>
      <c r="AH284" s="408">
        <v>0</v>
      </c>
      <c r="AI284" s="408">
        <v>0</v>
      </c>
      <c r="AJ284" s="408">
        <v>0</v>
      </c>
      <c r="AK284" s="408">
        <v>0</v>
      </c>
      <c r="AL284" s="408">
        <v>106.93247151225314</v>
      </c>
      <c r="AM284" s="408"/>
      <c r="AN284" s="408">
        <v>15.178217746660525</v>
      </c>
      <c r="AO284" s="408">
        <v>0</v>
      </c>
      <c r="AP284" s="408">
        <v>0</v>
      </c>
      <c r="AQ284" s="408">
        <v>0</v>
      </c>
      <c r="AR284" s="408">
        <v>0</v>
      </c>
      <c r="AS284" s="408">
        <v>0</v>
      </c>
      <c r="AT284" s="408">
        <v>0</v>
      </c>
      <c r="AU284" s="408">
        <v>0</v>
      </c>
      <c r="AV284" s="408">
        <v>0</v>
      </c>
      <c r="AW284" s="408">
        <v>0</v>
      </c>
      <c r="AX284" s="408">
        <v>0</v>
      </c>
      <c r="AY284" s="408">
        <v>0</v>
      </c>
      <c r="AZ284" s="408">
        <v>0</v>
      </c>
      <c r="BA284" s="408"/>
      <c r="BB284" s="408">
        <v>0</v>
      </c>
      <c r="BC284" s="408">
        <v>0</v>
      </c>
      <c r="BD284" s="408">
        <v>13.861515718787405</v>
      </c>
      <c r="BE284" s="408">
        <v>0</v>
      </c>
      <c r="BF284" s="408">
        <v>0</v>
      </c>
      <c r="BG284" s="408">
        <v>187.7711815111447</v>
      </c>
      <c r="BH284" s="408">
        <v>0</v>
      </c>
      <c r="BI284" s="408">
        <v>0</v>
      </c>
      <c r="BJ284" s="408">
        <v>0</v>
      </c>
      <c r="BK284" s="408">
        <v>0</v>
      </c>
      <c r="BL284" s="408">
        <v>0</v>
      </c>
      <c r="BM284" s="408"/>
      <c r="BN284" s="408"/>
      <c r="BO284" s="408"/>
      <c r="BP284" s="408"/>
      <c r="BQ284" s="408"/>
      <c r="BR284" s="408">
        <v>158.40507919999985</v>
      </c>
      <c r="BS284" s="408"/>
      <c r="BT284" s="408"/>
      <c r="BU284" s="408"/>
      <c r="BV284" s="408">
        <v>3088.1051192372493</v>
      </c>
      <c r="BW284" s="408"/>
      <c r="BX284" s="408"/>
      <c r="BY284" s="408"/>
      <c r="BZ284" s="408"/>
      <c r="CA284" s="408"/>
      <c r="CB284" s="408"/>
      <c r="CC284" s="408"/>
      <c r="CD284" s="408"/>
      <c r="CE284" s="408"/>
      <c r="CF284" s="408"/>
      <c r="CG284" s="408"/>
      <c r="CH284" s="408"/>
      <c r="CI284" s="408">
        <v>3801.384</v>
      </c>
      <c r="CJ284" s="408">
        <v>141.88074239999969</v>
      </c>
      <c r="CK284" s="408"/>
      <c r="CL284" s="408"/>
      <c r="CM284" s="408"/>
      <c r="CN284" s="408"/>
      <c r="CO284" s="408">
        <v>-31.727820000000083</v>
      </c>
      <c r="CP284" s="408">
        <v>179.90349000000009</v>
      </c>
      <c r="CQ284" s="408">
        <v>29</v>
      </c>
      <c r="CR284" s="408">
        <v>148.1282820799006</v>
      </c>
      <c r="CS284" s="408">
        <v>0</v>
      </c>
      <c r="CT284" s="408">
        <v>0</v>
      </c>
      <c r="CU284" s="408">
        <v>0</v>
      </c>
      <c r="CV284" s="408">
        <v>0</v>
      </c>
      <c r="CW284" s="408">
        <v>0</v>
      </c>
      <c r="CX284" s="408">
        <v>0</v>
      </c>
      <c r="CY284" s="408">
        <v>0</v>
      </c>
      <c r="CZ284" s="408">
        <v>0</v>
      </c>
      <c r="DA284" s="408">
        <v>0</v>
      </c>
      <c r="DB284" s="408">
        <v>0</v>
      </c>
      <c r="DC284" s="408">
        <v>179.82281318556988</v>
      </c>
      <c r="DD284" s="408">
        <v>0</v>
      </c>
      <c r="DE284" s="408">
        <v>0</v>
      </c>
      <c r="DF284" s="408">
        <v>0.86355120962320875</v>
      </c>
      <c r="DG284" s="408">
        <v>11.697857161937208</v>
      </c>
      <c r="DH284" s="408">
        <v>0</v>
      </c>
      <c r="DI284" s="408">
        <v>-37.418320937760996</v>
      </c>
      <c r="DJ284" s="408"/>
      <c r="DK284" s="408">
        <v>0</v>
      </c>
      <c r="DL284" s="408">
        <v>0</v>
      </c>
      <c r="DM284" s="408">
        <v>0</v>
      </c>
      <c r="DN284" s="408">
        <v>0</v>
      </c>
      <c r="DO284" s="408">
        <v>-5.867672446755364</v>
      </c>
      <c r="DP284" s="408">
        <v>-0.96994609271362364</v>
      </c>
      <c r="DQ284" s="408">
        <v>0</v>
      </c>
      <c r="DR284" s="408">
        <v>0</v>
      </c>
      <c r="DS284" s="408"/>
      <c r="DT284" s="408"/>
      <c r="DU284" s="408"/>
      <c r="DV284" s="408">
        <v>0</v>
      </c>
      <c r="DW284" s="408">
        <v>0</v>
      </c>
      <c r="DX284" s="408">
        <v>0</v>
      </c>
      <c r="DY284" s="408">
        <v>-31.727820000000065</v>
      </c>
      <c r="DZ284" s="408">
        <v>179.90349000000015</v>
      </c>
      <c r="EA284" s="408">
        <v>0</v>
      </c>
      <c r="EB284" s="408">
        <v>0</v>
      </c>
      <c r="EC284" s="408">
        <v>0</v>
      </c>
      <c r="ED284" s="408">
        <v>0</v>
      </c>
      <c r="EE284" s="408">
        <v>0</v>
      </c>
      <c r="EF284" s="408">
        <v>0</v>
      </c>
      <c r="EG284" s="408">
        <v>0</v>
      </c>
      <c r="EH284" s="408">
        <v>0</v>
      </c>
      <c r="EI284" s="408">
        <v>0</v>
      </c>
      <c r="EJ284" s="408">
        <v>0</v>
      </c>
      <c r="EK284" s="408">
        <v>0</v>
      </c>
      <c r="EL284" s="408">
        <v>0</v>
      </c>
      <c r="EM284" s="408">
        <v>0</v>
      </c>
      <c r="EN284" s="408">
        <v>0</v>
      </c>
      <c r="EO284" s="408">
        <v>0</v>
      </c>
      <c r="EP284" s="408">
        <v>0</v>
      </c>
      <c r="EQ284" s="408">
        <v>0</v>
      </c>
      <c r="ER284" s="408">
        <v>0</v>
      </c>
      <c r="ES284" s="408">
        <v>0</v>
      </c>
      <c r="ET284" s="408">
        <v>0</v>
      </c>
      <c r="EU284" s="408">
        <v>0</v>
      </c>
      <c r="EV284" s="408">
        <v>257</v>
      </c>
      <c r="EW284" s="408">
        <v>0</v>
      </c>
      <c r="EX284" s="408">
        <v>0</v>
      </c>
      <c r="EY284" s="408">
        <v>0</v>
      </c>
      <c r="EZ284" s="408"/>
      <c r="FA284" s="408">
        <v>0</v>
      </c>
      <c r="FB284" s="408"/>
      <c r="FC284" s="408"/>
      <c r="FD284" s="408"/>
      <c r="FE284" s="408"/>
      <c r="FF284" s="408">
        <v>0</v>
      </c>
      <c r="FG284" s="408">
        <v>0</v>
      </c>
      <c r="FH284" s="408">
        <v>0</v>
      </c>
      <c r="FI284" s="408">
        <v>0</v>
      </c>
    </row>
    <row r="285" spans="1:165">
      <c r="A285" s="408">
        <v>283</v>
      </c>
      <c r="B285" s="408" t="s">
        <v>1035</v>
      </c>
      <c r="C285" s="408" t="s">
        <v>2241</v>
      </c>
      <c r="D285" s="408" t="s">
        <v>596</v>
      </c>
      <c r="E285" s="408" t="s">
        <v>973</v>
      </c>
      <c r="F285" s="408" t="s">
        <v>1321</v>
      </c>
      <c r="G285" s="408" t="s">
        <v>1321</v>
      </c>
      <c r="H285" s="408" t="s">
        <v>1321</v>
      </c>
      <c r="I285" s="408" t="s">
        <v>1321</v>
      </c>
      <c r="J285" s="408" t="s">
        <v>2234</v>
      </c>
      <c r="K285" s="828">
        <v>44593</v>
      </c>
      <c r="L285" s="408">
        <v>732</v>
      </c>
      <c r="M285" s="408">
        <v>702.72</v>
      </c>
      <c r="N285" s="408">
        <v>0</v>
      </c>
      <c r="O285" s="408">
        <v>0</v>
      </c>
      <c r="P285" s="408">
        <v>0</v>
      </c>
      <c r="Q285" s="408">
        <v>0</v>
      </c>
      <c r="R285" s="408">
        <v>47.39</v>
      </c>
      <c r="S285" s="408"/>
      <c r="T285" s="408"/>
      <c r="U285" s="408">
        <v>34689.480000000003</v>
      </c>
      <c r="V285" s="408"/>
      <c r="W285" s="408">
        <v>34689.480000000003</v>
      </c>
      <c r="X285" s="408">
        <v>23585.040000000001</v>
      </c>
      <c r="Y285" s="408">
        <v>0</v>
      </c>
      <c r="Z285" s="408">
        <v>0</v>
      </c>
      <c r="AA285" s="408">
        <v>0</v>
      </c>
      <c r="AB285" s="408">
        <v>0</v>
      </c>
      <c r="AC285" s="408">
        <v>0</v>
      </c>
      <c r="AD285" s="408">
        <v>18278.113331368892</v>
      </c>
      <c r="AE285" s="408">
        <v>16411.342823873994</v>
      </c>
      <c r="AF285" s="408"/>
      <c r="AG285" s="408"/>
      <c r="AH285" s="408"/>
      <c r="AI285" s="408">
        <v>0</v>
      </c>
      <c r="AJ285" s="408">
        <v>0</v>
      </c>
      <c r="AK285" s="408">
        <v>0</v>
      </c>
      <c r="AL285" s="408">
        <v>0</v>
      </c>
      <c r="AM285" s="408"/>
      <c r="AN285" s="408">
        <v>0</v>
      </c>
      <c r="AO285" s="408">
        <v>0</v>
      </c>
      <c r="AP285" s="408">
        <v>0</v>
      </c>
      <c r="AQ285" s="408">
        <v>0</v>
      </c>
      <c r="AR285" s="408">
        <v>0</v>
      </c>
      <c r="AS285" s="408"/>
      <c r="AT285" s="408"/>
      <c r="AU285" s="408">
        <v>0</v>
      </c>
      <c r="AV285" s="408">
        <v>0</v>
      </c>
      <c r="AW285" s="408">
        <v>0</v>
      </c>
      <c r="AX285" s="408"/>
      <c r="AY285" s="408"/>
      <c r="AZ285" s="408">
        <v>0</v>
      </c>
      <c r="BA285" s="408"/>
      <c r="BB285" s="408">
        <v>0</v>
      </c>
      <c r="BC285" s="408">
        <v>0</v>
      </c>
      <c r="BD285" s="408">
        <v>0</v>
      </c>
      <c r="BE285" s="408">
        <v>0</v>
      </c>
      <c r="BF285" s="408"/>
      <c r="BG285" s="408">
        <v>0</v>
      </c>
      <c r="BH285" s="408">
        <v>0</v>
      </c>
      <c r="BI285" s="408">
        <v>0</v>
      </c>
      <c r="BJ285" s="408">
        <v>0.01</v>
      </c>
      <c r="BK285" s="408">
        <v>1426.22</v>
      </c>
      <c r="BL285" s="408">
        <v>6</v>
      </c>
      <c r="BM285" s="408"/>
      <c r="BN285" s="408"/>
      <c r="BO285" s="408"/>
      <c r="BP285" s="408"/>
      <c r="BQ285" s="408"/>
      <c r="BR285" s="408">
        <v>943.40159999999912</v>
      </c>
      <c r="BS285" s="408"/>
      <c r="BT285" s="408"/>
      <c r="BU285" s="408"/>
      <c r="BV285" s="408">
        <v>0</v>
      </c>
      <c r="BW285" s="408"/>
      <c r="BX285" s="408"/>
      <c r="BY285" s="408"/>
      <c r="BZ285" s="408"/>
      <c r="CA285" s="408"/>
      <c r="CB285" s="408"/>
      <c r="CC285" s="408"/>
      <c r="CD285" s="408"/>
      <c r="CE285" s="408"/>
      <c r="CF285" s="408"/>
      <c r="CG285" s="408"/>
      <c r="CH285" s="408"/>
      <c r="CI285" s="408">
        <v>22641.6384</v>
      </c>
      <c r="CJ285" s="408">
        <v>-10660.292400000009</v>
      </c>
      <c r="CK285" s="408"/>
      <c r="CL285" s="408"/>
      <c r="CM285" s="408"/>
      <c r="CN285" s="408"/>
      <c r="CO285" s="408">
        <v>-11104.44</v>
      </c>
      <c r="CP285" s="408">
        <v>0</v>
      </c>
      <c r="CQ285" s="408">
        <v>29</v>
      </c>
      <c r="CR285" s="408">
        <v>-82.618221864457155</v>
      </c>
      <c r="CS285" s="408">
        <v>0</v>
      </c>
      <c r="CT285" s="408">
        <v>0</v>
      </c>
      <c r="CU285" s="408">
        <v>0</v>
      </c>
      <c r="CV285" s="408">
        <v>0</v>
      </c>
      <c r="CW285" s="408"/>
      <c r="CX285" s="408"/>
      <c r="CY285" s="408"/>
      <c r="CZ285" s="408">
        <v>-82.618221864457155</v>
      </c>
      <c r="DA285" s="408">
        <v>0</v>
      </c>
      <c r="DB285" s="408">
        <v>0</v>
      </c>
      <c r="DC285" s="408"/>
      <c r="DD285" s="408"/>
      <c r="DE285" s="408">
        <v>0</v>
      </c>
      <c r="DF285" s="408">
        <v>0</v>
      </c>
      <c r="DG285" s="408">
        <v>0</v>
      </c>
      <c r="DH285" s="408">
        <v>0</v>
      </c>
      <c r="DI285" s="408">
        <v>0</v>
      </c>
      <c r="DJ285" s="408"/>
      <c r="DK285" s="408">
        <v>0</v>
      </c>
      <c r="DL285" s="408">
        <v>0</v>
      </c>
      <c r="DM285" s="408"/>
      <c r="DN285" s="408">
        <v>0</v>
      </c>
      <c r="DO285" s="408">
        <v>0</v>
      </c>
      <c r="DP285" s="408">
        <v>0</v>
      </c>
      <c r="DQ285" s="408">
        <v>0</v>
      </c>
      <c r="DR285" s="408">
        <v>0</v>
      </c>
      <c r="DS285" s="408"/>
      <c r="DT285" s="408"/>
      <c r="DU285" s="408">
        <v>16411.342823873994</v>
      </c>
      <c r="DV285" s="408"/>
      <c r="DW285" s="408">
        <v>0</v>
      </c>
      <c r="DX285" s="408">
        <v>0</v>
      </c>
      <c r="DY285" s="408">
        <v>-11104.440000000002</v>
      </c>
      <c r="DZ285" s="408"/>
      <c r="EA285" s="408">
        <v>0</v>
      </c>
      <c r="EB285" s="408"/>
      <c r="EC285" s="408">
        <v>-11023.083250969004</v>
      </c>
      <c r="ED285" s="408"/>
      <c r="EE285" s="408">
        <v>0</v>
      </c>
      <c r="EF285" s="408">
        <v>0</v>
      </c>
      <c r="EG285" s="408"/>
      <c r="EH285" s="408">
        <v>0</v>
      </c>
      <c r="EI285" s="408">
        <v>0</v>
      </c>
      <c r="EJ285" s="408">
        <v>0</v>
      </c>
      <c r="EK285" s="408">
        <v>0</v>
      </c>
      <c r="EL285" s="408">
        <v>0</v>
      </c>
      <c r="EM285" s="408"/>
      <c r="EN285" s="408"/>
      <c r="EO285" s="408">
        <v>0</v>
      </c>
      <c r="EP285" s="408">
        <v>0</v>
      </c>
      <c r="EQ285" s="408"/>
      <c r="ER285" s="408">
        <v>0</v>
      </c>
      <c r="ES285" s="408"/>
      <c r="ET285" s="408">
        <v>0</v>
      </c>
      <c r="EU285" s="408"/>
      <c r="EV285" s="408">
        <v>257</v>
      </c>
      <c r="EW285" s="408"/>
      <c r="EX285" s="408"/>
      <c r="EY285" s="408"/>
      <c r="EZ285" s="408"/>
      <c r="FA285" s="408">
        <v>0</v>
      </c>
      <c r="FB285" s="408"/>
      <c r="FC285" s="408"/>
      <c r="FD285" s="408"/>
      <c r="FE285" s="408"/>
      <c r="FF285" s="408">
        <v>0</v>
      </c>
      <c r="FG285" s="408">
        <v>0</v>
      </c>
      <c r="FH285" s="408">
        <v>0</v>
      </c>
      <c r="FI285" s="408">
        <v>0</v>
      </c>
    </row>
    <row r="286" spans="1:165">
      <c r="A286" s="408">
        <v>284</v>
      </c>
      <c r="B286" s="408" t="s">
        <v>2236</v>
      </c>
      <c r="C286" s="408" t="s">
        <v>2241</v>
      </c>
      <c r="D286" s="408" t="s">
        <v>596</v>
      </c>
      <c r="E286" s="408" t="s">
        <v>973</v>
      </c>
      <c r="F286" s="408" t="s">
        <v>1321</v>
      </c>
      <c r="G286" s="408" t="s">
        <v>1321</v>
      </c>
      <c r="H286" s="408" t="s">
        <v>1321</v>
      </c>
      <c r="I286" s="408" t="s">
        <v>1321</v>
      </c>
      <c r="J286" s="408" t="s">
        <v>2234</v>
      </c>
      <c r="K286" s="828">
        <v>44593</v>
      </c>
      <c r="L286" s="408">
        <v>123</v>
      </c>
      <c r="M286" s="408">
        <v>118.08</v>
      </c>
      <c r="N286" s="408">
        <v>0</v>
      </c>
      <c r="O286" s="408">
        <v>0</v>
      </c>
      <c r="P286" s="408">
        <v>0</v>
      </c>
      <c r="Q286" s="408">
        <v>0</v>
      </c>
      <c r="R286" s="408">
        <v>47.39</v>
      </c>
      <c r="S286" s="408"/>
      <c r="T286" s="408"/>
      <c r="U286" s="408">
        <v>5828.97</v>
      </c>
      <c r="V286" s="408"/>
      <c r="W286" s="408">
        <v>5828.97</v>
      </c>
      <c r="X286" s="408">
        <v>3963.06</v>
      </c>
      <c r="Y286" s="408">
        <v>0</v>
      </c>
      <c r="Z286" s="408">
        <v>0</v>
      </c>
      <c r="AA286" s="408">
        <v>0</v>
      </c>
      <c r="AB286" s="408">
        <v>0</v>
      </c>
      <c r="AC286" s="408">
        <v>0</v>
      </c>
      <c r="AD286" s="408">
        <v>3071.3223220742811</v>
      </c>
      <c r="AE286" s="408">
        <v>2757.6436712247282</v>
      </c>
      <c r="AF286" s="408"/>
      <c r="AG286" s="408"/>
      <c r="AH286" s="408"/>
      <c r="AI286" s="408">
        <v>0</v>
      </c>
      <c r="AJ286" s="408">
        <v>0</v>
      </c>
      <c r="AK286" s="408">
        <v>0</v>
      </c>
      <c r="AL286" s="408">
        <v>0</v>
      </c>
      <c r="AM286" s="408"/>
      <c r="AN286" s="408">
        <v>0</v>
      </c>
      <c r="AO286" s="408">
        <v>0</v>
      </c>
      <c r="AP286" s="408">
        <v>0</v>
      </c>
      <c r="AQ286" s="408">
        <v>0</v>
      </c>
      <c r="AR286" s="408">
        <v>0</v>
      </c>
      <c r="AS286" s="408"/>
      <c r="AT286" s="408"/>
      <c r="AU286" s="408">
        <v>0</v>
      </c>
      <c r="AV286" s="408">
        <v>0</v>
      </c>
      <c r="AW286" s="408">
        <v>0</v>
      </c>
      <c r="AX286" s="408"/>
      <c r="AY286" s="408"/>
      <c r="AZ286" s="408">
        <v>0</v>
      </c>
      <c r="BA286" s="408"/>
      <c r="BB286" s="408">
        <v>0</v>
      </c>
      <c r="BC286" s="408">
        <v>0</v>
      </c>
      <c r="BD286" s="408">
        <v>0</v>
      </c>
      <c r="BE286" s="408">
        <v>0</v>
      </c>
      <c r="BF286" s="408"/>
      <c r="BG286" s="408">
        <v>0</v>
      </c>
      <c r="BH286" s="408">
        <v>0</v>
      </c>
      <c r="BI286" s="408">
        <v>0</v>
      </c>
      <c r="BJ286" s="408">
        <v>0</v>
      </c>
      <c r="BK286" s="408">
        <v>9.65</v>
      </c>
      <c r="BL286" s="408">
        <v>1</v>
      </c>
      <c r="BM286" s="408"/>
      <c r="BN286" s="408"/>
      <c r="BO286" s="408"/>
      <c r="BP286" s="408"/>
      <c r="BQ286" s="408"/>
      <c r="BR286" s="408">
        <v>158.52240000000006</v>
      </c>
      <c r="BS286" s="408"/>
      <c r="BT286" s="408"/>
      <c r="BU286" s="408"/>
      <c r="BV286" s="408">
        <v>0</v>
      </c>
      <c r="BW286" s="408"/>
      <c r="BX286" s="408"/>
      <c r="BY286" s="408"/>
      <c r="BZ286" s="408"/>
      <c r="CA286" s="408"/>
      <c r="CB286" s="408"/>
      <c r="CC286" s="408"/>
      <c r="CD286" s="408"/>
      <c r="CE286" s="408"/>
      <c r="CF286" s="408"/>
      <c r="CG286" s="408"/>
      <c r="CH286" s="408"/>
      <c r="CI286" s="408">
        <v>3804.5375999999997</v>
      </c>
      <c r="CJ286" s="408">
        <v>-1791.3036000000011</v>
      </c>
      <c r="CK286" s="408"/>
      <c r="CL286" s="408"/>
      <c r="CM286" s="408"/>
      <c r="CN286" s="408"/>
      <c r="CO286" s="408">
        <v>-1865.9100000000003</v>
      </c>
      <c r="CP286" s="408">
        <v>0</v>
      </c>
      <c r="CQ286" s="408">
        <v>29</v>
      </c>
      <c r="CR286" s="408">
        <v>-13.882570067388315</v>
      </c>
      <c r="CS286" s="408">
        <v>0</v>
      </c>
      <c r="CT286" s="408">
        <v>0</v>
      </c>
      <c r="CU286" s="408">
        <v>0</v>
      </c>
      <c r="CV286" s="408">
        <v>0</v>
      </c>
      <c r="CW286" s="408"/>
      <c r="CX286" s="408"/>
      <c r="CY286" s="408"/>
      <c r="CZ286" s="408">
        <v>-13.882570067388315</v>
      </c>
      <c r="DA286" s="408">
        <v>0</v>
      </c>
      <c r="DB286" s="408">
        <v>0</v>
      </c>
      <c r="DC286" s="408"/>
      <c r="DD286" s="408"/>
      <c r="DE286" s="408">
        <v>0</v>
      </c>
      <c r="DF286" s="408">
        <v>0</v>
      </c>
      <c r="DG286" s="408">
        <v>0</v>
      </c>
      <c r="DH286" s="408">
        <v>0</v>
      </c>
      <c r="DI286" s="408">
        <v>0</v>
      </c>
      <c r="DJ286" s="408"/>
      <c r="DK286" s="408">
        <v>0</v>
      </c>
      <c r="DL286" s="408">
        <v>0</v>
      </c>
      <c r="DM286" s="408"/>
      <c r="DN286" s="408">
        <v>0</v>
      </c>
      <c r="DO286" s="408">
        <v>0</v>
      </c>
      <c r="DP286" s="408">
        <v>0</v>
      </c>
      <c r="DQ286" s="408">
        <v>0</v>
      </c>
      <c r="DR286" s="408">
        <v>0</v>
      </c>
      <c r="DS286" s="408"/>
      <c r="DT286" s="408"/>
      <c r="DU286" s="408">
        <v>2757.6436712247282</v>
      </c>
      <c r="DV286" s="408"/>
      <c r="DW286" s="408">
        <v>0</v>
      </c>
      <c r="DX286" s="408">
        <v>0</v>
      </c>
      <c r="DY286" s="408">
        <v>-1865.9100000000003</v>
      </c>
      <c r="DZ286" s="408"/>
      <c r="EA286" s="408">
        <v>0</v>
      </c>
      <c r="EB286" s="408"/>
      <c r="EC286" s="408">
        <v>-1852.2393987283981</v>
      </c>
      <c r="ED286" s="408"/>
      <c r="EE286" s="408">
        <v>0</v>
      </c>
      <c r="EF286" s="408">
        <v>0</v>
      </c>
      <c r="EG286" s="408"/>
      <c r="EH286" s="408">
        <v>0</v>
      </c>
      <c r="EI286" s="408">
        <v>0</v>
      </c>
      <c r="EJ286" s="408">
        <v>0</v>
      </c>
      <c r="EK286" s="408">
        <v>0</v>
      </c>
      <c r="EL286" s="408">
        <v>0</v>
      </c>
      <c r="EM286" s="408"/>
      <c r="EN286" s="408"/>
      <c r="EO286" s="408">
        <v>0</v>
      </c>
      <c r="EP286" s="408">
        <v>0</v>
      </c>
      <c r="EQ286" s="408"/>
      <c r="ER286" s="408">
        <v>0</v>
      </c>
      <c r="ES286" s="408"/>
      <c r="ET286" s="408">
        <v>0</v>
      </c>
      <c r="EU286" s="408"/>
      <c r="EV286" s="408">
        <v>257</v>
      </c>
      <c r="EW286" s="408"/>
      <c r="EX286" s="408"/>
      <c r="EY286" s="408"/>
      <c r="EZ286" s="408"/>
      <c r="FA286" s="408">
        <v>0</v>
      </c>
      <c r="FB286" s="408"/>
      <c r="FC286" s="408"/>
      <c r="FD286" s="408"/>
      <c r="FE286" s="408"/>
      <c r="FF286" s="408">
        <v>0</v>
      </c>
      <c r="FG286" s="408">
        <v>0</v>
      </c>
      <c r="FH286" s="408">
        <v>0</v>
      </c>
      <c r="FI286" s="408">
        <v>0</v>
      </c>
    </row>
    <row r="287" spans="1:165">
      <c r="A287" s="408">
        <v>285</v>
      </c>
      <c r="B287" s="408" t="s">
        <v>1035</v>
      </c>
      <c r="C287" s="408" t="s">
        <v>2233</v>
      </c>
      <c r="D287" s="408" t="s">
        <v>1958</v>
      </c>
      <c r="E287" s="408" t="s">
        <v>2244</v>
      </c>
      <c r="F287" s="408" t="s">
        <v>1321</v>
      </c>
      <c r="G287" s="408" t="s">
        <v>1321</v>
      </c>
      <c r="H287" s="408" t="s">
        <v>1321</v>
      </c>
      <c r="I287" s="408" t="s">
        <v>1321</v>
      </c>
      <c r="J287" s="408" t="s">
        <v>2234</v>
      </c>
      <c r="K287" s="828">
        <v>44593</v>
      </c>
      <c r="L287" s="408">
        <v>0</v>
      </c>
      <c r="M287" s="408">
        <v>0</v>
      </c>
      <c r="N287" s="408">
        <v>197.51300000000001</v>
      </c>
      <c r="O287" s="408">
        <v>197.51300000000001</v>
      </c>
      <c r="P287" s="408">
        <v>197.51300000000001</v>
      </c>
      <c r="Q287" s="408">
        <v>197.51300000000001</v>
      </c>
      <c r="R287" s="408"/>
      <c r="S287" s="408">
        <v>710.91</v>
      </c>
      <c r="T287" s="408">
        <v>256.55</v>
      </c>
      <c r="U287" s="408"/>
      <c r="V287" s="408">
        <v>191085.92697999999</v>
      </c>
      <c r="W287" s="408">
        <v>191085.92697999999</v>
      </c>
      <c r="X287" s="408">
        <v>130443.51059000001</v>
      </c>
      <c r="Y287" s="408">
        <v>0</v>
      </c>
      <c r="Z287" s="408">
        <v>12142.048746956183</v>
      </c>
      <c r="AA287" s="408">
        <v>0</v>
      </c>
      <c r="AB287" s="408">
        <v>0</v>
      </c>
      <c r="AC287" s="408">
        <v>0</v>
      </c>
      <c r="AD287" s="408">
        <v>24310.451062433414</v>
      </c>
      <c r="AE287" s="408">
        <v>94195.937013648465</v>
      </c>
      <c r="AF287" s="408">
        <v>50672.458224862792</v>
      </c>
      <c r="AG287" s="408">
        <v>0</v>
      </c>
      <c r="AH287" s="408">
        <v>0</v>
      </c>
      <c r="AI287" s="408">
        <v>0</v>
      </c>
      <c r="AJ287" s="408">
        <v>0</v>
      </c>
      <c r="AK287" s="408">
        <v>0</v>
      </c>
      <c r="AL287" s="408">
        <v>1877.2156471246694</v>
      </c>
      <c r="AM287" s="408"/>
      <c r="AN287" s="408">
        <v>433.69996310823677</v>
      </c>
      <c r="AO287" s="408">
        <v>0</v>
      </c>
      <c r="AP287" s="408">
        <v>0</v>
      </c>
      <c r="AQ287" s="408">
        <v>0</v>
      </c>
      <c r="AR287" s="408">
        <v>0</v>
      </c>
      <c r="AS287" s="408">
        <v>0</v>
      </c>
      <c r="AT287" s="408">
        <v>0</v>
      </c>
      <c r="AU287" s="408">
        <v>0</v>
      </c>
      <c r="AV287" s="408">
        <v>0</v>
      </c>
      <c r="AW287" s="408">
        <v>0</v>
      </c>
      <c r="AX287" s="408">
        <v>0</v>
      </c>
      <c r="AY287" s="408">
        <v>0</v>
      </c>
      <c r="AZ287" s="408">
        <v>0</v>
      </c>
      <c r="BA287" s="408"/>
      <c r="BB287" s="408">
        <v>0</v>
      </c>
      <c r="BC287" s="408">
        <v>0</v>
      </c>
      <c r="BD287" s="408">
        <v>294.35763936210469</v>
      </c>
      <c r="BE287" s="408">
        <v>0</v>
      </c>
      <c r="BF287" s="408">
        <v>0</v>
      </c>
      <c r="BG287" s="408">
        <v>7160.5182435115003</v>
      </c>
      <c r="BH287" s="408">
        <v>0</v>
      </c>
      <c r="BI287" s="408">
        <v>4.1100000000000003</v>
      </c>
      <c r="BJ287" s="408">
        <v>19.03</v>
      </c>
      <c r="BK287" s="408">
        <v>50903.360000000001</v>
      </c>
      <c r="BL287" s="408">
        <v>302</v>
      </c>
      <c r="BM287" s="408"/>
      <c r="BN287" s="408"/>
      <c r="BO287" s="408"/>
      <c r="BP287" s="408"/>
      <c r="BQ287" s="408"/>
      <c r="BR287" s="408"/>
      <c r="BS287" s="408"/>
      <c r="BT287" s="408"/>
      <c r="BU287" s="408"/>
      <c r="BV287" s="408">
        <v>58127.334107736395</v>
      </c>
      <c r="BW287" s="408"/>
      <c r="BX287" s="408"/>
      <c r="BY287" s="408"/>
      <c r="BZ287" s="408"/>
      <c r="CA287" s="408"/>
      <c r="CB287" s="408"/>
      <c r="CC287" s="408"/>
      <c r="CD287" s="408"/>
      <c r="CE287" s="408"/>
      <c r="CF287" s="408"/>
      <c r="CG287" s="408"/>
      <c r="CH287" s="408"/>
      <c r="CI287" s="408">
        <v>130441.52929999999</v>
      </c>
      <c r="CJ287" s="408">
        <v>-60644.427680000023</v>
      </c>
      <c r="CK287" s="408"/>
      <c r="CL287" s="408"/>
      <c r="CM287" s="408"/>
      <c r="CN287" s="408"/>
      <c r="CO287" s="408">
        <v>-63800.649259999998</v>
      </c>
      <c r="CP287" s="408">
        <v>3158.2328700000021</v>
      </c>
      <c r="CQ287" s="408">
        <v>29</v>
      </c>
      <c r="CR287" s="408">
        <v>2625.5968250352162</v>
      </c>
      <c r="CS287" s="408">
        <v>0</v>
      </c>
      <c r="CT287" s="408">
        <v>0</v>
      </c>
      <c r="CU287" s="408">
        <v>0</v>
      </c>
      <c r="CV287" s="408">
        <v>0</v>
      </c>
      <c r="CW287" s="408">
        <v>0</v>
      </c>
      <c r="CX287" s="408">
        <v>0</v>
      </c>
      <c r="CY287" s="408">
        <v>0</v>
      </c>
      <c r="CZ287" s="408">
        <v>-109.88476781427744</v>
      </c>
      <c r="DA287" s="408">
        <v>0</v>
      </c>
      <c r="DB287" s="408">
        <v>0</v>
      </c>
      <c r="DC287" s="408">
        <v>3156.8165763684519</v>
      </c>
      <c r="DD287" s="408">
        <v>0</v>
      </c>
      <c r="DE287" s="408">
        <v>0</v>
      </c>
      <c r="DF287" s="408">
        <v>18.338030320049882</v>
      </c>
      <c r="DG287" s="408">
        <v>446.08932501748859</v>
      </c>
      <c r="DH287" s="408">
        <v>0</v>
      </c>
      <c r="DI287" s="408">
        <v>-755.03938075286715</v>
      </c>
      <c r="DJ287" s="408"/>
      <c r="DK287" s="408">
        <v>0</v>
      </c>
      <c r="DL287" s="408">
        <v>0</v>
      </c>
      <c r="DM287" s="408">
        <v>0</v>
      </c>
      <c r="DN287" s="408">
        <v>0</v>
      </c>
      <c r="DO287" s="408">
        <v>-103.00787378686255</v>
      </c>
      <c r="DP287" s="408">
        <v>-27.71508431676159</v>
      </c>
      <c r="DQ287" s="408">
        <v>0</v>
      </c>
      <c r="DR287" s="408">
        <v>0</v>
      </c>
      <c r="DS287" s="408"/>
      <c r="DT287" s="408"/>
      <c r="DU287" s="408"/>
      <c r="DV287" s="408">
        <v>94195.937013648465</v>
      </c>
      <c r="DW287" s="408">
        <v>0</v>
      </c>
      <c r="DX287" s="408">
        <v>0</v>
      </c>
      <c r="DY287" s="408">
        <v>-63800.649259999991</v>
      </c>
      <c r="DZ287" s="408">
        <v>3158.2328699999998</v>
      </c>
      <c r="EA287" s="408">
        <v>0</v>
      </c>
      <c r="EB287" s="408">
        <v>0</v>
      </c>
      <c r="EC287" s="408">
        <v>-63269.02476828378</v>
      </c>
      <c r="ED287" s="408">
        <v>0</v>
      </c>
      <c r="EE287" s="408">
        <v>0</v>
      </c>
      <c r="EF287" s="408">
        <v>0</v>
      </c>
      <c r="EG287" s="408">
        <v>0</v>
      </c>
      <c r="EH287" s="408">
        <v>0</v>
      </c>
      <c r="EI287" s="408">
        <v>0</v>
      </c>
      <c r="EJ287" s="408">
        <v>0</v>
      </c>
      <c r="EK287" s="408">
        <v>0</v>
      </c>
      <c r="EL287" s="408">
        <v>0</v>
      </c>
      <c r="EM287" s="408">
        <v>0</v>
      </c>
      <c r="EN287" s="408">
        <v>0</v>
      </c>
      <c r="EO287" s="408">
        <v>0</v>
      </c>
      <c r="EP287" s="408">
        <v>0</v>
      </c>
      <c r="EQ287" s="408">
        <v>0</v>
      </c>
      <c r="ER287" s="408">
        <v>0</v>
      </c>
      <c r="ES287" s="408">
        <v>0</v>
      </c>
      <c r="ET287" s="408">
        <v>0</v>
      </c>
      <c r="EU287" s="408">
        <v>0</v>
      </c>
      <c r="EV287" s="408">
        <v>257</v>
      </c>
      <c r="EW287" s="408">
        <v>0</v>
      </c>
      <c r="EX287" s="408">
        <v>0</v>
      </c>
      <c r="EY287" s="408">
        <v>0</v>
      </c>
      <c r="EZ287" s="408"/>
      <c r="FA287" s="408">
        <v>0</v>
      </c>
      <c r="FB287" s="408"/>
      <c r="FC287" s="408"/>
      <c r="FD287" s="408"/>
      <c r="FE287" s="408"/>
      <c r="FF287" s="408">
        <v>0</v>
      </c>
      <c r="FG287" s="408">
        <v>0</v>
      </c>
      <c r="FH287" s="408">
        <v>0</v>
      </c>
      <c r="FI287" s="408">
        <v>0</v>
      </c>
    </row>
    <row r="288" spans="1:165">
      <c r="A288" s="408">
        <v>286</v>
      </c>
      <c r="B288" s="408" t="s">
        <v>1035</v>
      </c>
      <c r="C288" s="408" t="s">
        <v>2233</v>
      </c>
      <c r="D288" s="408" t="s">
        <v>2245</v>
      </c>
      <c r="E288" s="408" t="s">
        <v>2246</v>
      </c>
      <c r="F288" s="408" t="s">
        <v>2247</v>
      </c>
      <c r="G288" s="408" t="s">
        <v>1321</v>
      </c>
      <c r="H288" s="408" t="s">
        <v>1321</v>
      </c>
      <c r="I288" s="408" t="s">
        <v>1321</v>
      </c>
      <c r="J288" s="408" t="s">
        <v>2234</v>
      </c>
      <c r="K288" s="828">
        <v>44593</v>
      </c>
      <c r="L288" s="408">
        <v>0</v>
      </c>
      <c r="M288" s="408">
        <v>0</v>
      </c>
      <c r="N288" s="408">
        <v>198.732</v>
      </c>
      <c r="O288" s="408">
        <v>198.732</v>
      </c>
      <c r="P288" s="408">
        <v>198.732</v>
      </c>
      <c r="Q288" s="408">
        <v>198.732</v>
      </c>
      <c r="R288" s="408"/>
      <c r="S288" s="408">
        <v>391</v>
      </c>
      <c r="T288" s="408">
        <v>141.1</v>
      </c>
      <c r="U288" s="408"/>
      <c r="V288" s="408">
        <v>105745.2972</v>
      </c>
      <c r="W288" s="408">
        <v>105745.2972</v>
      </c>
      <c r="X288" s="408">
        <v>72185.424360000005</v>
      </c>
      <c r="Y288" s="408">
        <v>0</v>
      </c>
      <c r="Z288" s="408">
        <v>6719.3425109691798</v>
      </c>
      <c r="AA288" s="408">
        <v>0</v>
      </c>
      <c r="AB288" s="408">
        <v>0</v>
      </c>
      <c r="AC288" s="408">
        <v>0</v>
      </c>
      <c r="AD288" s="408">
        <v>13453.268940762047</v>
      </c>
      <c r="AE288" s="408">
        <v>52127.509708363476</v>
      </c>
      <c r="AF288" s="408">
        <v>28041.857661869868</v>
      </c>
      <c r="AG288" s="408">
        <v>0</v>
      </c>
      <c r="AH288" s="408">
        <v>0</v>
      </c>
      <c r="AI288" s="408">
        <v>0</v>
      </c>
      <c r="AJ288" s="408">
        <v>0</v>
      </c>
      <c r="AK288" s="408">
        <v>0</v>
      </c>
      <c r="AL288" s="408">
        <v>1038.8407395533907</v>
      </c>
      <c r="AM288" s="408"/>
      <c r="AN288" s="408">
        <v>240.00715693465571</v>
      </c>
      <c r="AO288" s="408">
        <v>0</v>
      </c>
      <c r="AP288" s="408">
        <v>0</v>
      </c>
      <c r="AQ288" s="408">
        <v>0</v>
      </c>
      <c r="AR288" s="408">
        <v>0</v>
      </c>
      <c r="AS288" s="408">
        <v>0</v>
      </c>
      <c r="AT288" s="408">
        <v>0</v>
      </c>
      <c r="AU288" s="408">
        <v>0</v>
      </c>
      <c r="AV288" s="408">
        <v>0</v>
      </c>
      <c r="AW288" s="408">
        <v>0</v>
      </c>
      <c r="AX288" s="408">
        <v>0</v>
      </c>
      <c r="AY288" s="408">
        <v>0</v>
      </c>
      <c r="AZ288" s="408">
        <v>0</v>
      </c>
      <c r="BA288" s="408"/>
      <c r="BB288" s="408">
        <v>0</v>
      </c>
      <c r="BC288" s="408">
        <v>0</v>
      </c>
      <c r="BD288" s="408">
        <v>162.89588691448364</v>
      </c>
      <c r="BE288" s="408">
        <v>0</v>
      </c>
      <c r="BF288" s="408">
        <v>0</v>
      </c>
      <c r="BG288" s="408">
        <v>3962.591127486503</v>
      </c>
      <c r="BH288" s="408">
        <v>0</v>
      </c>
      <c r="BI288" s="408">
        <v>138.44</v>
      </c>
      <c r="BJ288" s="408">
        <v>639.19000000000005</v>
      </c>
      <c r="BK288" s="408">
        <v>25295.53</v>
      </c>
      <c r="BL288" s="408">
        <v>27</v>
      </c>
      <c r="BM288" s="408"/>
      <c r="BN288" s="408"/>
      <c r="BO288" s="408"/>
      <c r="BP288" s="408"/>
      <c r="BQ288" s="408"/>
      <c r="BR288" s="408"/>
      <c r="BS288" s="408"/>
      <c r="BT288" s="408"/>
      <c r="BU288" s="408"/>
      <c r="BV288" s="408">
        <v>32167.344676270855</v>
      </c>
      <c r="BW288" s="408"/>
      <c r="BX288" s="408"/>
      <c r="BY288" s="408"/>
      <c r="BZ288" s="408"/>
      <c r="CA288" s="408"/>
      <c r="CB288" s="408"/>
      <c r="CC288" s="408"/>
      <c r="CD288" s="408"/>
      <c r="CE288" s="408"/>
      <c r="CF288" s="408"/>
      <c r="CG288" s="408"/>
      <c r="CH288" s="408"/>
      <c r="CI288" s="408">
        <v>72184.697899999999</v>
      </c>
      <c r="CJ288" s="408">
        <v>-33560.629299999986</v>
      </c>
      <c r="CK288" s="408"/>
      <c r="CL288" s="408"/>
      <c r="CM288" s="408"/>
      <c r="CN288" s="408"/>
      <c r="CO288" s="408">
        <v>-35306.727119999996</v>
      </c>
      <c r="CP288" s="408">
        <v>1746.8542799999984</v>
      </c>
      <c r="CQ288" s="408">
        <v>29</v>
      </c>
      <c r="CR288" s="408">
        <v>1452.9907374607938</v>
      </c>
      <c r="CS288" s="408">
        <v>0</v>
      </c>
      <c r="CT288" s="408">
        <v>0</v>
      </c>
      <c r="CU288" s="408">
        <v>0</v>
      </c>
      <c r="CV288" s="408">
        <v>0</v>
      </c>
      <c r="CW288" s="408">
        <v>0</v>
      </c>
      <c r="CX288" s="408">
        <v>0</v>
      </c>
      <c r="CY288" s="408">
        <v>0</v>
      </c>
      <c r="CZ288" s="408">
        <v>-60.80962175906825</v>
      </c>
      <c r="DA288" s="408">
        <v>0</v>
      </c>
      <c r="DB288" s="408">
        <v>0</v>
      </c>
      <c r="DC288" s="408">
        <v>1746.9648049504503</v>
      </c>
      <c r="DD288" s="408">
        <v>0</v>
      </c>
      <c r="DE288" s="408">
        <v>0</v>
      </c>
      <c r="DF288" s="408">
        <v>10.148164388471884</v>
      </c>
      <c r="DG288" s="408">
        <v>246.86336117953761</v>
      </c>
      <c r="DH288" s="408">
        <v>0</v>
      </c>
      <c r="DI288" s="408">
        <v>-417.83461047464971</v>
      </c>
      <c r="DJ288" s="408"/>
      <c r="DK288" s="408">
        <v>0</v>
      </c>
      <c r="DL288" s="408">
        <v>0</v>
      </c>
      <c r="DM288" s="408">
        <v>0</v>
      </c>
      <c r="DN288" s="408">
        <v>0</v>
      </c>
      <c r="DO288" s="408">
        <v>-57.003986701512417</v>
      </c>
      <c r="DP288" s="408">
        <v>-15.337374122420073</v>
      </c>
      <c r="DQ288" s="408">
        <v>0</v>
      </c>
      <c r="DR288" s="408">
        <v>0</v>
      </c>
      <c r="DS288" s="408"/>
      <c r="DT288" s="408"/>
      <c r="DU288" s="408"/>
      <c r="DV288" s="408">
        <v>52127.509708363476</v>
      </c>
      <c r="DW288" s="408">
        <v>0</v>
      </c>
      <c r="DX288" s="408">
        <v>0</v>
      </c>
      <c r="DY288" s="408">
        <v>-35306.727119999996</v>
      </c>
      <c r="DZ288" s="408">
        <v>1746.8542799999996</v>
      </c>
      <c r="EA288" s="408">
        <v>0</v>
      </c>
      <c r="EB288" s="408">
        <v>0</v>
      </c>
      <c r="EC288" s="408">
        <v>-35012.727803424583</v>
      </c>
      <c r="ED288" s="408">
        <v>0</v>
      </c>
      <c r="EE288" s="408">
        <v>0</v>
      </c>
      <c r="EF288" s="408">
        <v>0</v>
      </c>
      <c r="EG288" s="408">
        <v>0</v>
      </c>
      <c r="EH288" s="408">
        <v>0</v>
      </c>
      <c r="EI288" s="408">
        <v>0</v>
      </c>
      <c r="EJ288" s="408">
        <v>0</v>
      </c>
      <c r="EK288" s="408">
        <v>0</v>
      </c>
      <c r="EL288" s="408">
        <v>0</v>
      </c>
      <c r="EM288" s="408">
        <v>0</v>
      </c>
      <c r="EN288" s="408">
        <v>0</v>
      </c>
      <c r="EO288" s="408">
        <v>0</v>
      </c>
      <c r="EP288" s="408">
        <v>0</v>
      </c>
      <c r="EQ288" s="408">
        <v>0</v>
      </c>
      <c r="ER288" s="408">
        <v>0</v>
      </c>
      <c r="ES288" s="408">
        <v>0</v>
      </c>
      <c r="ET288" s="408">
        <v>0</v>
      </c>
      <c r="EU288" s="408">
        <v>0</v>
      </c>
      <c r="EV288" s="408">
        <v>257</v>
      </c>
      <c r="EW288" s="408">
        <v>0</v>
      </c>
      <c r="EX288" s="408">
        <v>0</v>
      </c>
      <c r="EY288" s="408">
        <v>0</v>
      </c>
      <c r="EZ288" s="408"/>
      <c r="FA288" s="408">
        <v>0</v>
      </c>
      <c r="FB288" s="408"/>
      <c r="FC288" s="408"/>
      <c r="FD288" s="408"/>
      <c r="FE288" s="408"/>
      <c r="FF288" s="408">
        <v>0</v>
      </c>
      <c r="FG288" s="408">
        <v>0</v>
      </c>
      <c r="FH288" s="408">
        <v>0</v>
      </c>
      <c r="FI288" s="408">
        <v>0</v>
      </c>
    </row>
    <row r="289" spans="1:165">
      <c r="A289" s="408">
        <v>287</v>
      </c>
      <c r="B289" s="408" t="s">
        <v>1035</v>
      </c>
      <c r="C289" s="408" t="s">
        <v>2233</v>
      </c>
      <c r="D289" s="408" t="s">
        <v>1958</v>
      </c>
      <c r="E289" s="408" t="s">
        <v>1000</v>
      </c>
      <c r="F289" s="408" t="s">
        <v>2248</v>
      </c>
      <c r="G289" s="408" t="s">
        <v>1321</v>
      </c>
      <c r="H289" s="408" t="s">
        <v>1321</v>
      </c>
      <c r="I289" s="408" t="s">
        <v>1321</v>
      </c>
      <c r="J289" s="408" t="s">
        <v>2234</v>
      </c>
      <c r="K289" s="828">
        <v>44593</v>
      </c>
      <c r="L289" s="408">
        <v>0</v>
      </c>
      <c r="M289" s="408">
        <v>0</v>
      </c>
      <c r="N289" s="408">
        <v>27.190999999999999</v>
      </c>
      <c r="O289" s="408">
        <v>25.559539999999998</v>
      </c>
      <c r="P289" s="408">
        <v>27.190999999999999</v>
      </c>
      <c r="Q289" s="408">
        <v>25.559539999999998</v>
      </c>
      <c r="R289" s="408"/>
      <c r="S289" s="408">
        <v>710.91</v>
      </c>
      <c r="T289" s="408">
        <v>256.55</v>
      </c>
      <c r="U289" s="408"/>
      <c r="V289" s="408">
        <v>26306.204859999998</v>
      </c>
      <c r="W289" s="408">
        <v>26306.204859999998</v>
      </c>
      <c r="X289" s="408">
        <v>17957.752130000001</v>
      </c>
      <c r="Y289" s="408">
        <v>0</v>
      </c>
      <c r="Z289" s="408">
        <v>1671.5580618920553</v>
      </c>
      <c r="AA289" s="408">
        <v>0</v>
      </c>
      <c r="AB289" s="408">
        <v>0</v>
      </c>
      <c r="AC289" s="408">
        <v>0</v>
      </c>
      <c r="AD289" s="408">
        <v>3346.7441375434878</v>
      </c>
      <c r="AE289" s="408">
        <v>12967.661487284964</v>
      </c>
      <c r="AF289" s="408">
        <v>6975.9196184162256</v>
      </c>
      <c r="AG289" s="408">
        <v>0</v>
      </c>
      <c r="AH289" s="408">
        <v>0</v>
      </c>
      <c r="AI289" s="408">
        <v>0</v>
      </c>
      <c r="AJ289" s="408">
        <v>0</v>
      </c>
      <c r="AK289" s="408">
        <v>0</v>
      </c>
      <c r="AL289" s="408">
        <v>258.43043577368013</v>
      </c>
      <c r="AM289" s="408"/>
      <c r="AN289" s="408">
        <v>59.706124138036813</v>
      </c>
      <c r="AO289" s="408">
        <v>0</v>
      </c>
      <c r="AP289" s="408">
        <v>0</v>
      </c>
      <c r="AQ289" s="408">
        <v>0</v>
      </c>
      <c r="AR289" s="408">
        <v>0</v>
      </c>
      <c r="AS289" s="408">
        <v>0</v>
      </c>
      <c r="AT289" s="408">
        <v>0</v>
      </c>
      <c r="AU289" s="408">
        <v>0</v>
      </c>
      <c r="AV289" s="408">
        <v>0</v>
      </c>
      <c r="AW289" s="408">
        <v>0</v>
      </c>
      <c r="AX289" s="408">
        <v>0</v>
      </c>
      <c r="AY289" s="408">
        <v>0</v>
      </c>
      <c r="AZ289" s="408">
        <v>0</v>
      </c>
      <c r="BA289" s="408"/>
      <c r="BB289" s="408">
        <v>0</v>
      </c>
      <c r="BC289" s="408">
        <v>0</v>
      </c>
      <c r="BD289" s="408">
        <v>40.523300096170829</v>
      </c>
      <c r="BE289" s="408">
        <v>0</v>
      </c>
      <c r="BF289" s="408">
        <v>0</v>
      </c>
      <c r="BG289" s="408">
        <v>985.76626125531584</v>
      </c>
      <c r="BH289" s="408">
        <v>0</v>
      </c>
      <c r="BI289" s="408">
        <v>0</v>
      </c>
      <c r="BJ289" s="408">
        <v>0</v>
      </c>
      <c r="BK289" s="408">
        <v>7272.88</v>
      </c>
      <c r="BL289" s="408">
        <v>10</v>
      </c>
      <c r="BM289" s="408"/>
      <c r="BN289" s="408"/>
      <c r="BO289" s="408"/>
      <c r="BP289" s="408"/>
      <c r="BQ289" s="408">
        <v>1077.4651278000003</v>
      </c>
      <c r="BR289" s="408"/>
      <c r="BS289" s="408"/>
      <c r="BT289" s="408"/>
      <c r="BU289" s="408"/>
      <c r="BV289" s="408">
        <v>8002.2091797677122</v>
      </c>
      <c r="BW289" s="408"/>
      <c r="BX289" s="408"/>
      <c r="BY289" s="408"/>
      <c r="BZ289" s="408"/>
      <c r="CA289" s="408"/>
      <c r="CB289" s="408"/>
      <c r="CC289" s="408"/>
      <c r="CD289" s="408"/>
      <c r="CE289" s="408"/>
      <c r="CF289" s="408"/>
      <c r="CG289" s="408"/>
      <c r="CH289" s="408"/>
      <c r="CI289" s="408">
        <v>16880.590799999998</v>
      </c>
      <c r="CJ289" s="408">
        <v>-7847.2717683999945</v>
      </c>
      <c r="CK289" s="408"/>
      <c r="CL289" s="408"/>
      <c r="CM289" s="408"/>
      <c r="CN289" s="408"/>
      <c r="CO289" s="408">
        <v>-8783.2368199999983</v>
      </c>
      <c r="CP289" s="408">
        <v>434.78409000000022</v>
      </c>
      <c r="CQ289" s="408">
        <v>29</v>
      </c>
      <c r="CR289" s="408">
        <v>361.45774338667979</v>
      </c>
      <c r="CS289" s="408">
        <v>0</v>
      </c>
      <c r="CT289" s="408">
        <v>0</v>
      </c>
      <c r="CU289" s="408">
        <v>0</v>
      </c>
      <c r="CV289" s="408">
        <v>0</v>
      </c>
      <c r="CW289" s="408">
        <v>0</v>
      </c>
      <c r="CX289" s="408">
        <v>0</v>
      </c>
      <c r="CY289" s="408">
        <v>0</v>
      </c>
      <c r="CZ289" s="408">
        <v>-15.127493996030807</v>
      </c>
      <c r="DA289" s="408">
        <v>0</v>
      </c>
      <c r="DB289" s="408">
        <v>0</v>
      </c>
      <c r="DC289" s="408">
        <v>434.58911326360703</v>
      </c>
      <c r="DD289" s="408">
        <v>0</v>
      </c>
      <c r="DE289" s="408">
        <v>0</v>
      </c>
      <c r="DF289" s="408">
        <v>2.5245395616110144</v>
      </c>
      <c r="DG289" s="408">
        <v>61.411729033281517</v>
      </c>
      <c r="DH289" s="408">
        <v>0</v>
      </c>
      <c r="DI289" s="408">
        <v>-103.94392167630076</v>
      </c>
      <c r="DJ289" s="408"/>
      <c r="DK289" s="408">
        <v>0</v>
      </c>
      <c r="DL289" s="408">
        <v>0</v>
      </c>
      <c r="DM289" s="408">
        <v>0</v>
      </c>
      <c r="DN289" s="408">
        <v>0</v>
      </c>
      <c r="DO289" s="408">
        <v>-14.180773397895734</v>
      </c>
      <c r="DP289" s="408">
        <v>-3.8154494015941438</v>
      </c>
      <c r="DQ289" s="408">
        <v>0</v>
      </c>
      <c r="DR289" s="408">
        <v>0</v>
      </c>
      <c r="DS289" s="408"/>
      <c r="DT289" s="408"/>
      <c r="DU289" s="408"/>
      <c r="DV289" s="408">
        <v>12967.661487284964</v>
      </c>
      <c r="DW289" s="408">
        <v>0</v>
      </c>
      <c r="DX289" s="408">
        <v>0</v>
      </c>
      <c r="DY289" s="408">
        <v>-8783.2368199999983</v>
      </c>
      <c r="DZ289" s="408">
        <v>434.78409000000011</v>
      </c>
      <c r="EA289" s="408">
        <v>0</v>
      </c>
      <c r="EB289" s="408">
        <v>0</v>
      </c>
      <c r="EC289" s="408">
        <v>-8710.0497307741971</v>
      </c>
      <c r="ED289" s="408">
        <v>0</v>
      </c>
      <c r="EE289" s="408">
        <v>0</v>
      </c>
      <c r="EF289" s="408">
        <v>0</v>
      </c>
      <c r="EG289" s="408">
        <v>0</v>
      </c>
      <c r="EH289" s="408">
        <v>0</v>
      </c>
      <c r="EI289" s="408">
        <v>0</v>
      </c>
      <c r="EJ289" s="408">
        <v>0</v>
      </c>
      <c r="EK289" s="408">
        <v>0</v>
      </c>
      <c r="EL289" s="408">
        <v>0</v>
      </c>
      <c r="EM289" s="408">
        <v>0</v>
      </c>
      <c r="EN289" s="408">
        <v>0</v>
      </c>
      <c r="EO289" s="408">
        <v>0</v>
      </c>
      <c r="EP289" s="408">
        <v>0</v>
      </c>
      <c r="EQ289" s="408">
        <v>0</v>
      </c>
      <c r="ER289" s="408">
        <v>0</v>
      </c>
      <c r="ES289" s="408">
        <v>0</v>
      </c>
      <c r="ET289" s="408">
        <v>0</v>
      </c>
      <c r="EU289" s="408">
        <v>0</v>
      </c>
      <c r="EV289" s="408">
        <v>257</v>
      </c>
      <c r="EW289" s="408">
        <v>0</v>
      </c>
      <c r="EX289" s="408">
        <v>0</v>
      </c>
      <c r="EY289" s="408">
        <v>0</v>
      </c>
      <c r="EZ289" s="408"/>
      <c r="FA289" s="408">
        <v>0</v>
      </c>
      <c r="FB289" s="408"/>
      <c r="FC289" s="408"/>
      <c r="FD289" s="408"/>
      <c r="FE289" s="408"/>
      <c r="FF289" s="408">
        <v>0</v>
      </c>
      <c r="FG289" s="408">
        <v>0</v>
      </c>
      <c r="FH289" s="408">
        <v>0</v>
      </c>
      <c r="FI289" s="408">
        <v>0</v>
      </c>
    </row>
    <row r="290" spans="1:165">
      <c r="A290" s="408">
        <v>288</v>
      </c>
      <c r="B290" s="408" t="s">
        <v>1035</v>
      </c>
      <c r="C290" s="408" t="s">
        <v>2241</v>
      </c>
      <c r="D290" s="408" t="s">
        <v>596</v>
      </c>
      <c r="E290" s="408" t="s">
        <v>1000</v>
      </c>
      <c r="F290" s="408" t="s">
        <v>2248</v>
      </c>
      <c r="G290" s="408" t="s">
        <v>1321</v>
      </c>
      <c r="H290" s="408" t="s">
        <v>1321</v>
      </c>
      <c r="I290" s="408" t="s">
        <v>972</v>
      </c>
      <c r="J290" s="408" t="s">
        <v>2234</v>
      </c>
      <c r="K290" s="828">
        <v>44593</v>
      </c>
      <c r="L290" s="408">
        <v>0</v>
      </c>
      <c r="M290" s="408">
        <v>0</v>
      </c>
      <c r="N290" s="408">
        <v>1.2190000000000001</v>
      </c>
      <c r="O290" s="408">
        <v>1.1458600000000001</v>
      </c>
      <c r="P290" s="408">
        <v>1.2190000000000001</v>
      </c>
      <c r="Q290" s="408">
        <v>1.1458600000000001</v>
      </c>
      <c r="R290" s="408"/>
      <c r="S290" s="408">
        <v>3130.62</v>
      </c>
      <c r="T290" s="408">
        <v>256.55</v>
      </c>
      <c r="U290" s="408"/>
      <c r="V290" s="408">
        <v>4128.9602300000006</v>
      </c>
      <c r="W290" s="408">
        <v>4128.9602300000006</v>
      </c>
      <c r="X290" s="408">
        <v>2173.0259700000001</v>
      </c>
      <c r="Y290" s="408">
        <v>0</v>
      </c>
      <c r="Z290" s="408">
        <v>65.195743862983406</v>
      </c>
      <c r="AA290" s="408">
        <v>0</v>
      </c>
      <c r="AB290" s="408">
        <v>0</v>
      </c>
      <c r="AC290" s="408">
        <v>0</v>
      </c>
      <c r="AD290" s="408">
        <v>785.29663106559678</v>
      </c>
      <c r="AE290" s="408">
        <v>2930.6572202196612</v>
      </c>
      <c r="AF290" s="408">
        <v>312.7375239913714</v>
      </c>
      <c r="AG290" s="408">
        <v>0</v>
      </c>
      <c r="AH290" s="408">
        <v>0</v>
      </c>
      <c r="AI290" s="408">
        <v>0</v>
      </c>
      <c r="AJ290" s="408">
        <v>0</v>
      </c>
      <c r="AK290" s="408">
        <v>0</v>
      </c>
      <c r="AL290" s="408">
        <v>11.585697517859444</v>
      </c>
      <c r="AM290" s="408"/>
      <c r="AN290" s="408">
        <v>1.6444980386791559</v>
      </c>
      <c r="AO290" s="408">
        <v>0</v>
      </c>
      <c r="AP290" s="408">
        <v>0</v>
      </c>
      <c r="AQ290" s="408">
        <v>0</v>
      </c>
      <c r="AR290" s="408">
        <v>0</v>
      </c>
      <c r="AS290" s="408">
        <v>0</v>
      </c>
      <c r="AT290" s="408">
        <v>0</v>
      </c>
      <c r="AU290" s="408">
        <v>0</v>
      </c>
      <c r="AV290" s="408">
        <v>0</v>
      </c>
      <c r="AW290" s="408">
        <v>0</v>
      </c>
      <c r="AX290" s="408">
        <v>0</v>
      </c>
      <c r="AY290" s="408">
        <v>0</v>
      </c>
      <c r="AZ290" s="408">
        <v>0</v>
      </c>
      <c r="BA290" s="408"/>
      <c r="BB290" s="408">
        <v>0</v>
      </c>
      <c r="BC290" s="408">
        <v>0</v>
      </c>
      <c r="BD290" s="408">
        <v>1.5018387397744066</v>
      </c>
      <c r="BE290" s="408">
        <v>0</v>
      </c>
      <c r="BF290" s="408">
        <v>0</v>
      </c>
      <c r="BG290" s="408">
        <v>20.344242312868673</v>
      </c>
      <c r="BH290" s="408">
        <v>0</v>
      </c>
      <c r="BI290" s="408">
        <v>0</v>
      </c>
      <c r="BJ290" s="408">
        <v>0</v>
      </c>
      <c r="BK290" s="408">
        <v>0</v>
      </c>
      <c r="BL290" s="408">
        <v>0</v>
      </c>
      <c r="BM290" s="408"/>
      <c r="BN290" s="408"/>
      <c r="BO290" s="408"/>
      <c r="BP290" s="408"/>
      <c r="BQ290" s="408">
        <v>130.38155819999997</v>
      </c>
      <c r="BR290" s="408"/>
      <c r="BS290" s="408"/>
      <c r="BT290" s="408"/>
      <c r="BU290" s="408"/>
      <c r="BV290" s="408">
        <v>334.58360504401452</v>
      </c>
      <c r="BW290" s="408"/>
      <c r="BX290" s="408"/>
      <c r="BY290" s="408"/>
      <c r="BZ290" s="408"/>
      <c r="CA290" s="408"/>
      <c r="CB290" s="408"/>
      <c r="CC290" s="408"/>
      <c r="CD290" s="408"/>
      <c r="CE290" s="408"/>
      <c r="CF290" s="408"/>
      <c r="CG290" s="408"/>
      <c r="CH290" s="408"/>
      <c r="CI290" s="408">
        <v>2050.0244999999995</v>
      </c>
      <c r="CJ290" s="408">
        <v>-1831.2281162000013</v>
      </c>
      <c r="CK290" s="408"/>
      <c r="CL290" s="408"/>
      <c r="CM290" s="408"/>
      <c r="CN290" s="408"/>
      <c r="CO290" s="408">
        <v>-1975.4260700000002</v>
      </c>
      <c r="CP290" s="408">
        <v>19.491810000000012</v>
      </c>
      <c r="CQ290" s="408">
        <v>29</v>
      </c>
      <c r="CR290" s="408">
        <v>12.499505548121306</v>
      </c>
      <c r="CS290" s="408">
        <v>0</v>
      </c>
      <c r="CT290" s="408">
        <v>0</v>
      </c>
      <c r="CU290" s="408">
        <v>0</v>
      </c>
      <c r="CV290" s="408">
        <v>0</v>
      </c>
      <c r="CW290" s="408">
        <v>0</v>
      </c>
      <c r="CX290" s="408">
        <v>0</v>
      </c>
      <c r="CY290" s="408">
        <v>0</v>
      </c>
      <c r="CZ290" s="408">
        <v>-3.5495901638507803</v>
      </c>
      <c r="DA290" s="408">
        <v>0</v>
      </c>
      <c r="DB290" s="408">
        <v>0</v>
      </c>
      <c r="DC290" s="408">
        <v>19.483068995930182</v>
      </c>
      <c r="DD290" s="408">
        <v>0</v>
      </c>
      <c r="DE290" s="408">
        <v>0</v>
      </c>
      <c r="DF290" s="408">
        <v>9.3562254424557123E-2</v>
      </c>
      <c r="DG290" s="408">
        <v>1.267415152466576</v>
      </c>
      <c r="DH290" s="408">
        <v>0</v>
      </c>
      <c r="DI290" s="408">
        <v>-4.0541225867150175</v>
      </c>
      <c r="DJ290" s="408"/>
      <c r="DK290" s="408">
        <v>0</v>
      </c>
      <c r="DL290" s="408">
        <v>0</v>
      </c>
      <c r="DM290" s="408">
        <v>0</v>
      </c>
      <c r="DN290" s="408">
        <v>0</v>
      </c>
      <c r="DO290" s="408">
        <v>-0.63573839770640816</v>
      </c>
      <c r="DP290" s="408">
        <v>-0.105089706427687</v>
      </c>
      <c r="DQ290" s="408">
        <v>0</v>
      </c>
      <c r="DR290" s="408">
        <v>0</v>
      </c>
      <c r="DS290" s="408"/>
      <c r="DT290" s="408"/>
      <c r="DU290" s="408"/>
      <c r="DV290" s="408">
        <v>2930.6572202196612</v>
      </c>
      <c r="DW290" s="408">
        <v>0</v>
      </c>
      <c r="DX290" s="408">
        <v>0</v>
      </c>
      <c r="DY290" s="408">
        <v>-1975.4260700000002</v>
      </c>
      <c r="DZ290" s="408">
        <v>19.491809999999987</v>
      </c>
      <c r="EA290" s="408">
        <v>0</v>
      </c>
      <c r="EB290" s="408">
        <v>0</v>
      </c>
      <c r="EC290" s="408">
        <v>-1968.4482168966688</v>
      </c>
      <c r="ED290" s="408">
        <v>0</v>
      </c>
      <c r="EE290" s="408">
        <v>0</v>
      </c>
      <c r="EF290" s="408">
        <v>0</v>
      </c>
      <c r="EG290" s="408">
        <v>0</v>
      </c>
      <c r="EH290" s="408">
        <v>0</v>
      </c>
      <c r="EI290" s="408">
        <v>0</v>
      </c>
      <c r="EJ290" s="408">
        <v>0</v>
      </c>
      <c r="EK290" s="408">
        <v>0</v>
      </c>
      <c r="EL290" s="408">
        <v>0</v>
      </c>
      <c r="EM290" s="408">
        <v>0</v>
      </c>
      <c r="EN290" s="408">
        <v>0</v>
      </c>
      <c r="EO290" s="408">
        <v>0</v>
      </c>
      <c r="EP290" s="408">
        <v>0</v>
      </c>
      <c r="EQ290" s="408">
        <v>0</v>
      </c>
      <c r="ER290" s="408">
        <v>0</v>
      </c>
      <c r="ES290" s="408">
        <v>0</v>
      </c>
      <c r="ET290" s="408">
        <v>0</v>
      </c>
      <c r="EU290" s="408">
        <v>0</v>
      </c>
      <c r="EV290" s="408">
        <v>257</v>
      </c>
      <c r="EW290" s="408">
        <v>0</v>
      </c>
      <c r="EX290" s="408">
        <v>0</v>
      </c>
      <c r="EY290" s="408">
        <v>0</v>
      </c>
      <c r="EZ290" s="408"/>
      <c r="FA290" s="408">
        <v>0</v>
      </c>
      <c r="FB290" s="408"/>
      <c r="FC290" s="408"/>
      <c r="FD290" s="408"/>
      <c r="FE290" s="408"/>
      <c r="FF290" s="408">
        <v>0</v>
      </c>
      <c r="FG290" s="408">
        <v>0</v>
      </c>
      <c r="FH290" s="408">
        <v>0</v>
      </c>
      <c r="FI290" s="408">
        <v>0</v>
      </c>
    </row>
    <row r="291" spans="1:165">
      <c r="A291" s="408">
        <v>289</v>
      </c>
      <c r="B291" s="408" t="s">
        <v>1035</v>
      </c>
      <c r="C291" s="408" t="s">
        <v>2241</v>
      </c>
      <c r="D291" s="408" t="s">
        <v>596</v>
      </c>
      <c r="E291" s="408" t="s">
        <v>1000</v>
      </c>
      <c r="F291" s="408" t="s">
        <v>2248</v>
      </c>
      <c r="G291" s="408" t="s">
        <v>1321</v>
      </c>
      <c r="H291" s="408" t="s">
        <v>1321</v>
      </c>
      <c r="I291" s="408" t="s">
        <v>2242</v>
      </c>
      <c r="J291" s="408" t="s">
        <v>2234</v>
      </c>
      <c r="K291" s="828">
        <v>44593</v>
      </c>
      <c r="L291" s="408">
        <v>0</v>
      </c>
      <c r="M291" s="408">
        <v>0</v>
      </c>
      <c r="N291" s="408">
        <v>19.22</v>
      </c>
      <c r="O291" s="408">
        <v>18.066800000000001</v>
      </c>
      <c r="P291" s="408">
        <v>19.22</v>
      </c>
      <c r="Q291" s="408">
        <v>18.066800000000001</v>
      </c>
      <c r="R291" s="408"/>
      <c r="S291" s="408">
        <v>82.26</v>
      </c>
      <c r="T291" s="408">
        <v>256.55</v>
      </c>
      <c r="U291" s="408"/>
      <c r="V291" s="408">
        <v>6511.9281999999994</v>
      </c>
      <c r="W291" s="408">
        <v>6511.9281999999994</v>
      </c>
      <c r="X291" s="408">
        <v>6765.0555999999997</v>
      </c>
      <c r="Y291" s="408">
        <v>0</v>
      </c>
      <c r="Z291" s="408">
        <v>1027.9427375279251</v>
      </c>
      <c r="AA291" s="408">
        <v>0</v>
      </c>
      <c r="AB291" s="408">
        <v>0</v>
      </c>
      <c r="AC291" s="408">
        <v>0</v>
      </c>
      <c r="AD291" s="408">
        <v>0</v>
      </c>
      <c r="AE291" s="408">
        <v>0</v>
      </c>
      <c r="AF291" s="408">
        <v>4930.9394676900392</v>
      </c>
      <c r="AG291" s="408">
        <v>0</v>
      </c>
      <c r="AH291" s="408">
        <v>0</v>
      </c>
      <c r="AI291" s="408">
        <v>0</v>
      </c>
      <c r="AJ291" s="408">
        <v>0</v>
      </c>
      <c r="AK291" s="408">
        <v>0</v>
      </c>
      <c r="AL291" s="408">
        <v>182.67194937921121</v>
      </c>
      <c r="AM291" s="408"/>
      <c r="AN291" s="408">
        <v>25.928837000339108</v>
      </c>
      <c r="AO291" s="408">
        <v>0</v>
      </c>
      <c r="AP291" s="408">
        <v>0</v>
      </c>
      <c r="AQ291" s="408">
        <v>0</v>
      </c>
      <c r="AR291" s="408">
        <v>0</v>
      </c>
      <c r="AS291" s="408">
        <v>0</v>
      </c>
      <c r="AT291" s="408">
        <v>0</v>
      </c>
      <c r="AU291" s="408">
        <v>0</v>
      </c>
      <c r="AV291" s="408">
        <v>0</v>
      </c>
      <c r="AW291" s="408">
        <v>0</v>
      </c>
      <c r="AX291" s="408">
        <v>0</v>
      </c>
      <c r="AY291" s="408">
        <v>0</v>
      </c>
      <c r="AZ291" s="408">
        <v>0</v>
      </c>
      <c r="BA291" s="408"/>
      <c r="BB291" s="408">
        <v>0</v>
      </c>
      <c r="BC291" s="408">
        <v>0</v>
      </c>
      <c r="BD291" s="408">
        <v>23.679524674703931</v>
      </c>
      <c r="BE291" s="408">
        <v>0</v>
      </c>
      <c r="BF291" s="408">
        <v>0</v>
      </c>
      <c r="BG291" s="408">
        <v>320.76811915778165</v>
      </c>
      <c r="BH291" s="408">
        <v>0</v>
      </c>
      <c r="BI291" s="408">
        <v>0</v>
      </c>
      <c r="BJ291" s="408">
        <v>0</v>
      </c>
      <c r="BK291" s="408">
        <v>0</v>
      </c>
      <c r="BL291" s="408">
        <v>0</v>
      </c>
      <c r="BM291" s="408"/>
      <c r="BN291" s="408"/>
      <c r="BO291" s="408"/>
      <c r="BP291" s="408"/>
      <c r="BQ291" s="408">
        <v>405.9033359999994</v>
      </c>
      <c r="BR291" s="408"/>
      <c r="BS291" s="408"/>
      <c r="BT291" s="408"/>
      <c r="BU291" s="408"/>
      <c r="BV291" s="408">
        <v>5275.3871115225247</v>
      </c>
      <c r="BW291" s="408"/>
      <c r="BX291" s="408"/>
      <c r="BY291" s="408"/>
      <c r="BZ291" s="408"/>
      <c r="CA291" s="408"/>
      <c r="CB291" s="408"/>
      <c r="CC291" s="408"/>
      <c r="CD291" s="408"/>
      <c r="CE291" s="408"/>
      <c r="CF291" s="408"/>
      <c r="CG291" s="408"/>
      <c r="CH291" s="408"/>
      <c r="CI291" s="408">
        <v>6360.2786000000006</v>
      </c>
      <c r="CJ291" s="408">
        <v>239.03609200000028</v>
      </c>
      <c r="CK291" s="408"/>
      <c r="CL291" s="408"/>
      <c r="CM291" s="408"/>
      <c r="CN291" s="408"/>
      <c r="CO291" s="408">
        <v>-54.200400000000137</v>
      </c>
      <c r="CP291" s="408">
        <v>307.32780000000014</v>
      </c>
      <c r="CQ291" s="408">
        <v>29</v>
      </c>
      <c r="CR291" s="408">
        <v>253.04644756694506</v>
      </c>
      <c r="CS291" s="408">
        <v>0</v>
      </c>
      <c r="CT291" s="408">
        <v>0</v>
      </c>
      <c r="CU291" s="408">
        <v>0</v>
      </c>
      <c r="CV291" s="408">
        <v>0</v>
      </c>
      <c r="CW291" s="408">
        <v>0</v>
      </c>
      <c r="CX291" s="408">
        <v>0</v>
      </c>
      <c r="CY291" s="408">
        <v>0</v>
      </c>
      <c r="CZ291" s="408">
        <v>0</v>
      </c>
      <c r="DA291" s="408">
        <v>0</v>
      </c>
      <c r="DB291" s="408">
        <v>0</v>
      </c>
      <c r="DC291" s="408">
        <v>307.18998039522376</v>
      </c>
      <c r="DD291" s="408">
        <v>0</v>
      </c>
      <c r="DE291" s="408">
        <v>0</v>
      </c>
      <c r="DF291" s="408">
        <v>1.4751981378506862</v>
      </c>
      <c r="DG291" s="408">
        <v>19.983362781302333</v>
      </c>
      <c r="DH291" s="408">
        <v>0</v>
      </c>
      <c r="DI291" s="408">
        <v>-63.921440620723956</v>
      </c>
      <c r="DJ291" s="408"/>
      <c r="DK291" s="408">
        <v>0</v>
      </c>
      <c r="DL291" s="408">
        <v>0</v>
      </c>
      <c r="DM291" s="408">
        <v>0</v>
      </c>
      <c r="DN291" s="408">
        <v>0</v>
      </c>
      <c r="DO291" s="408">
        <v>-10.02370139779913</v>
      </c>
      <c r="DP291" s="408">
        <v>-1.6569517289090605</v>
      </c>
      <c r="DQ291" s="408">
        <v>0</v>
      </c>
      <c r="DR291" s="408">
        <v>0</v>
      </c>
      <c r="DS291" s="408"/>
      <c r="DT291" s="408"/>
      <c r="DU291" s="408"/>
      <c r="DV291" s="408">
        <v>0</v>
      </c>
      <c r="DW291" s="408">
        <v>0</v>
      </c>
      <c r="DX291" s="408">
        <v>0</v>
      </c>
      <c r="DY291" s="408">
        <v>-54.200400000000172</v>
      </c>
      <c r="DZ291" s="408">
        <v>307.32780000000002</v>
      </c>
      <c r="EA291" s="408">
        <v>0</v>
      </c>
      <c r="EB291" s="408">
        <v>0</v>
      </c>
      <c r="EC291" s="408">
        <v>0</v>
      </c>
      <c r="ED291" s="408">
        <v>0</v>
      </c>
      <c r="EE291" s="408">
        <v>0</v>
      </c>
      <c r="EF291" s="408">
        <v>0</v>
      </c>
      <c r="EG291" s="408">
        <v>0</v>
      </c>
      <c r="EH291" s="408">
        <v>0</v>
      </c>
      <c r="EI291" s="408">
        <v>0</v>
      </c>
      <c r="EJ291" s="408">
        <v>0</v>
      </c>
      <c r="EK291" s="408">
        <v>0</v>
      </c>
      <c r="EL291" s="408">
        <v>0</v>
      </c>
      <c r="EM291" s="408">
        <v>0</v>
      </c>
      <c r="EN291" s="408">
        <v>0</v>
      </c>
      <c r="EO291" s="408">
        <v>0</v>
      </c>
      <c r="EP291" s="408">
        <v>0</v>
      </c>
      <c r="EQ291" s="408">
        <v>0</v>
      </c>
      <c r="ER291" s="408">
        <v>0</v>
      </c>
      <c r="ES291" s="408">
        <v>0</v>
      </c>
      <c r="ET291" s="408">
        <v>0</v>
      </c>
      <c r="EU291" s="408">
        <v>0</v>
      </c>
      <c r="EV291" s="408">
        <v>257</v>
      </c>
      <c r="EW291" s="408">
        <v>0</v>
      </c>
      <c r="EX291" s="408">
        <v>0</v>
      </c>
      <c r="EY291" s="408">
        <v>0</v>
      </c>
      <c r="EZ291" s="408"/>
      <c r="FA291" s="408">
        <v>0</v>
      </c>
      <c r="FB291" s="408"/>
      <c r="FC291" s="408"/>
      <c r="FD291" s="408"/>
      <c r="FE291" s="408"/>
      <c r="FF291" s="408">
        <v>0</v>
      </c>
      <c r="FG291" s="408">
        <v>0</v>
      </c>
      <c r="FH291" s="408">
        <v>0</v>
      </c>
      <c r="FI291" s="408">
        <v>0</v>
      </c>
    </row>
    <row r="292" spans="1:165">
      <c r="A292" s="408">
        <v>290</v>
      </c>
      <c r="B292" s="408" t="s">
        <v>1035</v>
      </c>
      <c r="C292" s="408" t="s">
        <v>2241</v>
      </c>
      <c r="D292" s="408" t="s">
        <v>596</v>
      </c>
      <c r="E292" s="408" t="s">
        <v>1000</v>
      </c>
      <c r="F292" s="408" t="s">
        <v>2248</v>
      </c>
      <c r="G292" s="408" t="s">
        <v>1321</v>
      </c>
      <c r="H292" s="408" t="s">
        <v>1321</v>
      </c>
      <c r="I292" s="408" t="s">
        <v>1321</v>
      </c>
      <c r="J292" s="408" t="s">
        <v>2234</v>
      </c>
      <c r="K292" s="828">
        <v>44593</v>
      </c>
      <c r="L292" s="408">
        <v>79</v>
      </c>
      <c r="M292" s="408">
        <v>74.260000000000005</v>
      </c>
      <c r="N292" s="408">
        <v>0</v>
      </c>
      <c r="O292" s="408">
        <v>0</v>
      </c>
      <c r="P292" s="408">
        <v>0</v>
      </c>
      <c r="Q292" s="408">
        <v>0</v>
      </c>
      <c r="R292" s="408">
        <v>47.39</v>
      </c>
      <c r="S292" s="408"/>
      <c r="T292" s="408"/>
      <c r="U292" s="408">
        <v>3743.81</v>
      </c>
      <c r="V292" s="408"/>
      <c r="W292" s="408">
        <v>3743.81</v>
      </c>
      <c r="X292" s="408">
        <v>2545.38</v>
      </c>
      <c r="Y292" s="408">
        <v>0</v>
      </c>
      <c r="Z292" s="408">
        <v>0</v>
      </c>
      <c r="AA292" s="408">
        <v>0</v>
      </c>
      <c r="AB292" s="408">
        <v>0</v>
      </c>
      <c r="AC292" s="408">
        <v>0</v>
      </c>
      <c r="AD292" s="408">
        <v>1972.6379141777902</v>
      </c>
      <c r="AE292" s="408">
        <v>1771.1695124126304</v>
      </c>
      <c r="AF292" s="408"/>
      <c r="AG292" s="408"/>
      <c r="AH292" s="408"/>
      <c r="AI292" s="408">
        <v>0</v>
      </c>
      <c r="AJ292" s="408">
        <v>0</v>
      </c>
      <c r="AK292" s="408">
        <v>0</v>
      </c>
      <c r="AL292" s="408">
        <v>0</v>
      </c>
      <c r="AM292" s="408"/>
      <c r="AN292" s="408">
        <v>0</v>
      </c>
      <c r="AO292" s="408">
        <v>0</v>
      </c>
      <c r="AP292" s="408">
        <v>0</v>
      </c>
      <c r="AQ292" s="408">
        <v>0</v>
      </c>
      <c r="AR292" s="408">
        <v>0</v>
      </c>
      <c r="AS292" s="408"/>
      <c r="AT292" s="408"/>
      <c r="AU292" s="408">
        <v>0</v>
      </c>
      <c r="AV292" s="408">
        <v>0</v>
      </c>
      <c r="AW292" s="408">
        <v>0</v>
      </c>
      <c r="AX292" s="408"/>
      <c r="AY292" s="408"/>
      <c r="AZ292" s="408">
        <v>0</v>
      </c>
      <c r="BA292" s="408"/>
      <c r="BB292" s="408">
        <v>0</v>
      </c>
      <c r="BC292" s="408">
        <v>0</v>
      </c>
      <c r="BD292" s="408">
        <v>0</v>
      </c>
      <c r="BE292" s="408">
        <v>0</v>
      </c>
      <c r="BF292" s="408"/>
      <c r="BG292" s="408">
        <v>0</v>
      </c>
      <c r="BH292" s="408">
        <v>0</v>
      </c>
      <c r="BI292" s="408">
        <v>0</v>
      </c>
      <c r="BJ292" s="408">
        <v>0</v>
      </c>
      <c r="BK292" s="408">
        <v>4666.37</v>
      </c>
      <c r="BL292" s="408">
        <v>1</v>
      </c>
      <c r="BM292" s="408"/>
      <c r="BN292" s="408"/>
      <c r="BO292" s="408"/>
      <c r="BP292" s="408"/>
      <c r="BQ292" s="408">
        <v>152.72279999999984</v>
      </c>
      <c r="BR292" s="408"/>
      <c r="BS292" s="408"/>
      <c r="BT292" s="408"/>
      <c r="BU292" s="408"/>
      <c r="BV292" s="408">
        <v>0</v>
      </c>
      <c r="BW292" s="408"/>
      <c r="BX292" s="408"/>
      <c r="BY292" s="408"/>
      <c r="BZ292" s="408"/>
      <c r="CA292" s="408"/>
      <c r="CB292" s="408"/>
      <c r="CC292" s="408"/>
      <c r="CD292" s="408"/>
      <c r="CE292" s="408"/>
      <c r="CF292" s="408"/>
      <c r="CG292" s="408"/>
      <c r="CH292" s="408"/>
      <c r="CI292" s="408">
        <v>2392.6572000000001</v>
      </c>
      <c r="CJ292" s="408">
        <v>-1126.5542000000009</v>
      </c>
      <c r="CK292" s="408"/>
      <c r="CL292" s="408"/>
      <c r="CM292" s="408"/>
      <c r="CN292" s="408"/>
      <c r="CO292" s="408">
        <v>-1198.43</v>
      </c>
      <c r="CP292" s="408">
        <v>0</v>
      </c>
      <c r="CQ292" s="408">
        <v>29</v>
      </c>
      <c r="CR292" s="408">
        <v>-8.9164474416556914</v>
      </c>
      <c r="CS292" s="408">
        <v>0</v>
      </c>
      <c r="CT292" s="408">
        <v>0</v>
      </c>
      <c r="CU292" s="408">
        <v>0</v>
      </c>
      <c r="CV292" s="408">
        <v>0</v>
      </c>
      <c r="CW292" s="408"/>
      <c r="CX292" s="408"/>
      <c r="CY292" s="408"/>
      <c r="CZ292" s="408">
        <v>-8.9164474416556914</v>
      </c>
      <c r="DA292" s="408">
        <v>0</v>
      </c>
      <c r="DB292" s="408">
        <v>0</v>
      </c>
      <c r="DC292" s="408"/>
      <c r="DD292" s="408"/>
      <c r="DE292" s="408">
        <v>0</v>
      </c>
      <c r="DF292" s="408">
        <v>0</v>
      </c>
      <c r="DG292" s="408">
        <v>0</v>
      </c>
      <c r="DH292" s="408">
        <v>0</v>
      </c>
      <c r="DI292" s="408">
        <v>0</v>
      </c>
      <c r="DJ292" s="408"/>
      <c r="DK292" s="408">
        <v>0</v>
      </c>
      <c r="DL292" s="408">
        <v>0</v>
      </c>
      <c r="DM292" s="408"/>
      <c r="DN292" s="408">
        <v>0</v>
      </c>
      <c r="DO292" s="408">
        <v>0</v>
      </c>
      <c r="DP292" s="408">
        <v>0</v>
      </c>
      <c r="DQ292" s="408">
        <v>0</v>
      </c>
      <c r="DR292" s="408">
        <v>0</v>
      </c>
      <c r="DS292" s="408"/>
      <c r="DT292" s="408"/>
      <c r="DU292" s="408">
        <v>1771.1695124126304</v>
      </c>
      <c r="DV292" s="408"/>
      <c r="DW292" s="408">
        <v>0</v>
      </c>
      <c r="DX292" s="408">
        <v>0</v>
      </c>
      <c r="DY292" s="408">
        <v>-1198.4299999999998</v>
      </c>
      <c r="DZ292" s="408"/>
      <c r="EA292" s="408">
        <v>0</v>
      </c>
      <c r="EB292" s="408"/>
      <c r="EC292" s="408">
        <v>-1189.6496951182394</v>
      </c>
      <c r="ED292" s="408"/>
      <c r="EE292" s="408">
        <v>0</v>
      </c>
      <c r="EF292" s="408">
        <v>0</v>
      </c>
      <c r="EG292" s="408"/>
      <c r="EH292" s="408">
        <v>0</v>
      </c>
      <c r="EI292" s="408">
        <v>0</v>
      </c>
      <c r="EJ292" s="408">
        <v>0</v>
      </c>
      <c r="EK292" s="408">
        <v>0</v>
      </c>
      <c r="EL292" s="408">
        <v>0</v>
      </c>
      <c r="EM292" s="408"/>
      <c r="EN292" s="408"/>
      <c r="EO292" s="408">
        <v>0</v>
      </c>
      <c r="EP292" s="408">
        <v>0</v>
      </c>
      <c r="EQ292" s="408"/>
      <c r="ER292" s="408">
        <v>0</v>
      </c>
      <c r="ES292" s="408"/>
      <c r="ET292" s="408">
        <v>0</v>
      </c>
      <c r="EU292" s="408"/>
      <c r="EV292" s="408">
        <v>257</v>
      </c>
      <c r="EW292" s="408"/>
      <c r="EX292" s="408"/>
      <c r="EY292" s="408"/>
      <c r="EZ292" s="408"/>
      <c r="FA292" s="408">
        <v>0</v>
      </c>
      <c r="FB292" s="408"/>
      <c r="FC292" s="408"/>
      <c r="FD292" s="408"/>
      <c r="FE292" s="408"/>
      <c r="FF292" s="408">
        <v>0</v>
      </c>
      <c r="FG292" s="408">
        <v>0</v>
      </c>
      <c r="FH292" s="408">
        <v>0</v>
      </c>
      <c r="FI292" s="408">
        <v>0</v>
      </c>
    </row>
    <row r="293" spans="1:165">
      <c r="A293" s="408">
        <v>291</v>
      </c>
      <c r="B293" s="408" t="s">
        <v>1035</v>
      </c>
      <c r="C293" s="408" t="s">
        <v>2233</v>
      </c>
      <c r="D293" s="408" t="s">
        <v>1958</v>
      </c>
      <c r="E293" s="408" t="s">
        <v>2249</v>
      </c>
      <c r="F293" s="408" t="s">
        <v>1321</v>
      </c>
      <c r="G293" s="408" t="s">
        <v>1321</v>
      </c>
      <c r="H293" s="408" t="s">
        <v>1321</v>
      </c>
      <c r="I293" s="408" t="s">
        <v>1321</v>
      </c>
      <c r="J293" s="408" t="s">
        <v>2234</v>
      </c>
      <c r="K293" s="828">
        <v>44593</v>
      </c>
      <c r="L293" s="408">
        <v>0</v>
      </c>
      <c r="M293" s="408">
        <v>0</v>
      </c>
      <c r="N293" s="408">
        <v>1.171</v>
      </c>
      <c r="O293" s="408">
        <v>1.171</v>
      </c>
      <c r="P293" s="408">
        <v>1.171</v>
      </c>
      <c r="Q293" s="408">
        <v>1.171</v>
      </c>
      <c r="R293" s="408"/>
      <c r="S293" s="408">
        <v>710.91</v>
      </c>
      <c r="T293" s="408">
        <v>256.55</v>
      </c>
      <c r="U293" s="408"/>
      <c r="V293" s="408">
        <v>1132.8956599999999</v>
      </c>
      <c r="W293" s="408">
        <v>1132.8956599999999</v>
      </c>
      <c r="X293" s="408">
        <v>773.36353000000008</v>
      </c>
      <c r="Y293" s="408">
        <v>0</v>
      </c>
      <c r="Z293" s="408">
        <v>71.986851917016551</v>
      </c>
      <c r="AA293" s="408">
        <v>0</v>
      </c>
      <c r="AB293" s="408">
        <v>0</v>
      </c>
      <c r="AC293" s="408">
        <v>0</v>
      </c>
      <c r="AD293" s="408">
        <v>144.1299468597486</v>
      </c>
      <c r="AE293" s="408">
        <v>558.46168223348513</v>
      </c>
      <c r="AF293" s="408">
        <v>300.42300294823292</v>
      </c>
      <c r="AG293" s="408">
        <v>0</v>
      </c>
      <c r="AH293" s="408">
        <v>0</v>
      </c>
      <c r="AI293" s="408">
        <v>0</v>
      </c>
      <c r="AJ293" s="408">
        <v>0</v>
      </c>
      <c r="AK293" s="408">
        <v>0</v>
      </c>
      <c r="AL293" s="408">
        <v>11.129492857599185</v>
      </c>
      <c r="AM293" s="408"/>
      <c r="AN293" s="408">
        <v>2.5712872408385539</v>
      </c>
      <c r="AO293" s="408">
        <v>0</v>
      </c>
      <c r="AP293" s="408">
        <v>0</v>
      </c>
      <c r="AQ293" s="408">
        <v>0</v>
      </c>
      <c r="AR293" s="408">
        <v>0</v>
      </c>
      <c r="AS293" s="408">
        <v>0</v>
      </c>
      <c r="AT293" s="408">
        <v>0</v>
      </c>
      <c r="AU293" s="408">
        <v>0</v>
      </c>
      <c r="AV293" s="408">
        <v>0</v>
      </c>
      <c r="AW293" s="408">
        <v>0</v>
      </c>
      <c r="AX293" s="408">
        <v>0</v>
      </c>
      <c r="AY293" s="408">
        <v>0</v>
      </c>
      <c r="AZ293" s="408">
        <v>0</v>
      </c>
      <c r="BA293" s="408"/>
      <c r="BB293" s="408">
        <v>0</v>
      </c>
      <c r="BC293" s="408">
        <v>0</v>
      </c>
      <c r="BD293" s="408">
        <v>1.7451651065652622</v>
      </c>
      <c r="BE293" s="408">
        <v>0</v>
      </c>
      <c r="BF293" s="408">
        <v>0</v>
      </c>
      <c r="BG293" s="408">
        <v>42.452734063843728</v>
      </c>
      <c r="BH293" s="408">
        <v>0</v>
      </c>
      <c r="BI293" s="408">
        <v>0</v>
      </c>
      <c r="BJ293" s="408">
        <v>0</v>
      </c>
      <c r="BK293" s="408">
        <v>313.18</v>
      </c>
      <c r="BL293" s="408">
        <v>5</v>
      </c>
      <c r="BM293" s="408"/>
      <c r="BN293" s="408"/>
      <c r="BO293" s="408"/>
      <c r="BP293" s="408"/>
      <c r="BQ293" s="408"/>
      <c r="BR293" s="408"/>
      <c r="BS293" s="408"/>
      <c r="BT293" s="408"/>
      <c r="BU293" s="408"/>
      <c r="BV293" s="408">
        <v>344.62090211864188</v>
      </c>
      <c r="BW293" s="408"/>
      <c r="BX293" s="408"/>
      <c r="BY293" s="408"/>
      <c r="BZ293" s="408"/>
      <c r="CA293" s="408"/>
      <c r="CB293" s="408"/>
      <c r="CC293" s="408"/>
      <c r="CD293" s="408"/>
      <c r="CE293" s="408"/>
      <c r="CF293" s="408"/>
      <c r="CG293" s="408"/>
      <c r="CH293" s="408"/>
      <c r="CI293" s="408">
        <v>772.70309999999995</v>
      </c>
      <c r="CJ293" s="408">
        <v>-360.22255999999993</v>
      </c>
      <c r="CK293" s="408"/>
      <c r="CL293" s="408"/>
      <c r="CM293" s="408"/>
      <c r="CN293" s="408"/>
      <c r="CO293" s="408">
        <v>-378.25641999999999</v>
      </c>
      <c r="CP293" s="408">
        <v>18.724290000000011</v>
      </c>
      <c r="CQ293" s="408">
        <v>29</v>
      </c>
      <c r="CR293" s="408">
        <v>15.566438067956369</v>
      </c>
      <c r="CS293" s="408">
        <v>0</v>
      </c>
      <c r="CT293" s="408">
        <v>0</v>
      </c>
      <c r="CU293" s="408">
        <v>0</v>
      </c>
      <c r="CV293" s="408">
        <v>0</v>
      </c>
      <c r="CW293" s="408">
        <v>0</v>
      </c>
      <c r="CX293" s="408">
        <v>0</v>
      </c>
      <c r="CY293" s="408">
        <v>0</v>
      </c>
      <c r="CZ293" s="408">
        <v>-0.65147642489617397</v>
      </c>
      <c r="DA293" s="408">
        <v>0</v>
      </c>
      <c r="DB293" s="408">
        <v>0</v>
      </c>
      <c r="DC293" s="408">
        <v>18.715893186410312</v>
      </c>
      <c r="DD293" s="408">
        <v>0</v>
      </c>
      <c r="DE293" s="408">
        <v>0</v>
      </c>
      <c r="DF293" s="408">
        <v>0.10872111458374079</v>
      </c>
      <c r="DG293" s="408">
        <v>2.6447403441569932</v>
      </c>
      <c r="DH293" s="408">
        <v>0</v>
      </c>
      <c r="DI293" s="408">
        <v>-4.4764198552075385</v>
      </c>
      <c r="DJ293" s="408"/>
      <c r="DK293" s="408">
        <v>0</v>
      </c>
      <c r="DL293" s="408">
        <v>0</v>
      </c>
      <c r="DM293" s="408">
        <v>0</v>
      </c>
      <c r="DN293" s="408">
        <v>0</v>
      </c>
      <c r="DO293" s="408">
        <v>-0.61070522043823061</v>
      </c>
      <c r="DP293" s="408">
        <v>-0.16431507665281675</v>
      </c>
      <c r="DQ293" s="408">
        <v>0</v>
      </c>
      <c r="DR293" s="408">
        <v>0</v>
      </c>
      <c r="DS293" s="408"/>
      <c r="DT293" s="408"/>
      <c r="DU293" s="408"/>
      <c r="DV293" s="408">
        <v>558.46168223348513</v>
      </c>
      <c r="DW293" s="408">
        <v>0</v>
      </c>
      <c r="DX293" s="408">
        <v>0</v>
      </c>
      <c r="DY293" s="408">
        <v>-378.25641999999993</v>
      </c>
      <c r="DZ293" s="408">
        <v>18.724290000000053</v>
      </c>
      <c r="EA293" s="408">
        <v>0</v>
      </c>
      <c r="EB293" s="408">
        <v>0</v>
      </c>
      <c r="EC293" s="408">
        <v>-375.10456528765349</v>
      </c>
      <c r="ED293" s="408">
        <v>0</v>
      </c>
      <c r="EE293" s="408">
        <v>0</v>
      </c>
      <c r="EF293" s="408">
        <v>0</v>
      </c>
      <c r="EG293" s="408">
        <v>0</v>
      </c>
      <c r="EH293" s="408">
        <v>0</v>
      </c>
      <c r="EI293" s="408">
        <v>0</v>
      </c>
      <c r="EJ293" s="408">
        <v>0</v>
      </c>
      <c r="EK293" s="408">
        <v>0</v>
      </c>
      <c r="EL293" s="408">
        <v>0</v>
      </c>
      <c r="EM293" s="408">
        <v>0</v>
      </c>
      <c r="EN293" s="408">
        <v>0</v>
      </c>
      <c r="EO293" s="408">
        <v>0</v>
      </c>
      <c r="EP293" s="408">
        <v>0</v>
      </c>
      <c r="EQ293" s="408">
        <v>0</v>
      </c>
      <c r="ER293" s="408">
        <v>0</v>
      </c>
      <c r="ES293" s="408">
        <v>0</v>
      </c>
      <c r="ET293" s="408">
        <v>0</v>
      </c>
      <c r="EU293" s="408">
        <v>0</v>
      </c>
      <c r="EV293" s="408">
        <v>257</v>
      </c>
      <c r="EW293" s="408">
        <v>0</v>
      </c>
      <c r="EX293" s="408">
        <v>0</v>
      </c>
      <c r="EY293" s="408">
        <v>0</v>
      </c>
      <c r="EZ293" s="408"/>
      <c r="FA293" s="408">
        <v>0</v>
      </c>
      <c r="FB293" s="408"/>
      <c r="FC293" s="408"/>
      <c r="FD293" s="408"/>
      <c r="FE293" s="408"/>
      <c r="FF293" s="408">
        <v>0</v>
      </c>
      <c r="FG293" s="408">
        <v>0</v>
      </c>
      <c r="FH293" s="408">
        <v>0</v>
      </c>
      <c r="FI293" s="408">
        <v>0</v>
      </c>
    </row>
    <row r="294" spans="1:165">
      <c r="A294" s="408">
        <v>292</v>
      </c>
      <c r="B294" s="408" t="s">
        <v>1035</v>
      </c>
      <c r="C294" s="408" t="s">
        <v>2233</v>
      </c>
      <c r="D294" s="408" t="s">
        <v>1955</v>
      </c>
      <c r="E294" s="408" t="s">
        <v>968</v>
      </c>
      <c r="F294" s="408" t="s">
        <v>968</v>
      </c>
      <c r="G294" s="408" t="s">
        <v>1321</v>
      </c>
      <c r="H294" s="408" t="s">
        <v>1321</v>
      </c>
      <c r="I294" s="408" t="s">
        <v>1321</v>
      </c>
      <c r="J294" s="408" t="s">
        <v>2234</v>
      </c>
      <c r="K294" s="828">
        <v>44621</v>
      </c>
      <c r="L294" s="408">
        <v>0</v>
      </c>
      <c r="M294" s="408">
        <v>0</v>
      </c>
      <c r="N294" s="408">
        <v>814.87</v>
      </c>
      <c r="O294" s="408">
        <v>814.87</v>
      </c>
      <c r="P294" s="408">
        <v>814.87</v>
      </c>
      <c r="Q294" s="408">
        <v>814.87</v>
      </c>
      <c r="R294" s="408"/>
      <c r="S294" s="408">
        <v>710.91</v>
      </c>
      <c r="T294" s="408">
        <v>256.55</v>
      </c>
      <c r="U294" s="408"/>
      <c r="V294" s="408">
        <v>788354.13020000001</v>
      </c>
      <c r="W294" s="408">
        <v>788354.13020000001</v>
      </c>
      <c r="X294" s="408">
        <v>538164.5941000001</v>
      </c>
      <c r="Y294" s="408">
        <v>0</v>
      </c>
      <c r="Z294" s="408">
        <v>50093.873630759415</v>
      </c>
      <c r="AA294" s="408">
        <v>0</v>
      </c>
      <c r="AB294" s="408">
        <v>0</v>
      </c>
      <c r="AC294" s="408">
        <v>0</v>
      </c>
      <c r="AD294" s="408">
        <v>100296.47292707374</v>
      </c>
      <c r="AE294" s="408">
        <v>388619.70196549961</v>
      </c>
      <c r="AF294" s="408">
        <v>209056.95338379723</v>
      </c>
      <c r="AG294" s="408">
        <v>0</v>
      </c>
      <c r="AH294" s="408">
        <v>0</v>
      </c>
      <c r="AI294" s="408">
        <v>0</v>
      </c>
      <c r="AJ294" s="408">
        <v>0</v>
      </c>
      <c r="AK294" s="408">
        <v>0</v>
      </c>
      <c r="AL294" s="408">
        <v>7744.7394063807415</v>
      </c>
      <c r="AM294" s="408"/>
      <c r="AN294" s="408">
        <v>1789.2953321452708</v>
      </c>
      <c r="AO294" s="408">
        <v>0</v>
      </c>
      <c r="AP294" s="408">
        <v>0</v>
      </c>
      <c r="AQ294" s="408">
        <v>0</v>
      </c>
      <c r="AR294" s="408">
        <v>0</v>
      </c>
      <c r="AS294" s="408">
        <v>0</v>
      </c>
      <c r="AT294" s="408">
        <v>0</v>
      </c>
      <c r="AU294" s="408">
        <v>0</v>
      </c>
      <c r="AV294" s="408">
        <v>0</v>
      </c>
      <c r="AW294" s="408">
        <v>0</v>
      </c>
      <c r="AX294" s="408">
        <v>0</v>
      </c>
      <c r="AY294" s="408">
        <v>0</v>
      </c>
      <c r="AZ294" s="408">
        <v>0</v>
      </c>
      <c r="BA294" s="408"/>
      <c r="BB294" s="408">
        <v>0</v>
      </c>
      <c r="BC294" s="408">
        <v>0</v>
      </c>
      <c r="BD294" s="408">
        <v>1214.4173274012255</v>
      </c>
      <c r="BE294" s="408">
        <v>0</v>
      </c>
      <c r="BF294" s="408">
        <v>0</v>
      </c>
      <c r="BG294" s="408">
        <v>29541.809911703109</v>
      </c>
      <c r="BH294" s="408">
        <v>0</v>
      </c>
      <c r="BI294" s="408">
        <v>0</v>
      </c>
      <c r="BJ294" s="408">
        <v>0</v>
      </c>
      <c r="BK294" s="408">
        <v>212090.22</v>
      </c>
      <c r="BL294" s="408">
        <v>5242</v>
      </c>
      <c r="BM294" s="408"/>
      <c r="BN294" s="408"/>
      <c r="BO294" s="408"/>
      <c r="BP294" s="408"/>
      <c r="BQ294" s="408"/>
      <c r="BR294" s="408"/>
      <c r="BS294" s="408"/>
      <c r="BT294" s="408"/>
      <c r="BU294" s="408"/>
      <c r="BV294" s="408">
        <v>239813.18062290156</v>
      </c>
      <c r="BW294" s="408"/>
      <c r="BX294" s="408"/>
      <c r="BY294" s="408"/>
      <c r="BZ294" s="408"/>
      <c r="CA294" s="408"/>
      <c r="CB294" s="408"/>
      <c r="CC294" s="408"/>
      <c r="CD294" s="408"/>
      <c r="CE294" s="408"/>
      <c r="CF294" s="408"/>
      <c r="CG294" s="408"/>
      <c r="CH294" s="408"/>
      <c r="CI294" s="408">
        <v>538164.5941000001</v>
      </c>
      <c r="CJ294" s="408">
        <v>-250189.56609999994</v>
      </c>
      <c r="CK294" s="408"/>
      <c r="CL294" s="408"/>
      <c r="CM294" s="408"/>
      <c r="CN294" s="408"/>
      <c r="CO294" s="408">
        <v>-263219.30739999999</v>
      </c>
      <c r="CP294" s="408">
        <v>13029.771300000008</v>
      </c>
      <c r="CQ294" s="408">
        <v>31</v>
      </c>
      <c r="CR294" s="408">
        <v>10832.30007552146</v>
      </c>
      <c r="CS294" s="408">
        <v>0</v>
      </c>
      <c r="CT294" s="408">
        <v>0</v>
      </c>
      <c r="CU294" s="408">
        <v>0</v>
      </c>
      <c r="CV294" s="408">
        <v>0</v>
      </c>
      <c r="CW294" s="408">
        <v>0</v>
      </c>
      <c r="CX294" s="408">
        <v>0</v>
      </c>
      <c r="CY294" s="408">
        <v>0</v>
      </c>
      <c r="CZ294" s="408">
        <v>-453.34636580286315</v>
      </c>
      <c r="DA294" s="408">
        <v>0</v>
      </c>
      <c r="DB294" s="408">
        <v>0</v>
      </c>
      <c r="DC294" s="408">
        <v>13023.928164654295</v>
      </c>
      <c r="DD294" s="408">
        <v>0</v>
      </c>
      <c r="DE294" s="408">
        <v>0</v>
      </c>
      <c r="DF294" s="408">
        <v>75.656340427713758</v>
      </c>
      <c r="DG294" s="408">
        <v>1840.4095339395426</v>
      </c>
      <c r="DH294" s="408">
        <v>0</v>
      </c>
      <c r="DI294" s="408">
        <v>-3115.0301002672641</v>
      </c>
      <c r="DJ294" s="408"/>
      <c r="DK294" s="408">
        <v>0</v>
      </c>
      <c r="DL294" s="408">
        <v>0</v>
      </c>
      <c r="DM294" s="408">
        <v>0</v>
      </c>
      <c r="DN294" s="408">
        <v>0</v>
      </c>
      <c r="DO294" s="408">
        <v>-424.97469084415116</v>
      </c>
      <c r="DP294" s="408">
        <v>-114.34280658589296</v>
      </c>
      <c r="DQ294" s="408">
        <v>0</v>
      </c>
      <c r="DR294" s="408">
        <v>0</v>
      </c>
      <c r="DS294" s="408"/>
      <c r="DT294" s="408"/>
      <c r="DU294" s="408"/>
      <c r="DV294" s="408">
        <v>388619.70196549961</v>
      </c>
      <c r="DW294" s="408">
        <v>0</v>
      </c>
      <c r="DX294" s="408">
        <v>0</v>
      </c>
      <c r="DY294" s="408">
        <v>-263219.30739999999</v>
      </c>
      <c r="DZ294" s="408">
        <v>13029.771300000022</v>
      </c>
      <c r="EA294" s="408">
        <v>0</v>
      </c>
      <c r="EB294" s="408">
        <v>0</v>
      </c>
      <c r="EC294" s="408">
        <v>-261026.00949269871</v>
      </c>
      <c r="ED294" s="408">
        <v>0</v>
      </c>
      <c r="EE294" s="408">
        <v>0</v>
      </c>
      <c r="EF294" s="408">
        <v>0</v>
      </c>
      <c r="EG294" s="408">
        <v>0</v>
      </c>
      <c r="EH294" s="408">
        <v>0</v>
      </c>
      <c r="EI294" s="408">
        <v>0</v>
      </c>
      <c r="EJ294" s="408">
        <v>0</v>
      </c>
      <c r="EK294" s="408">
        <v>0</v>
      </c>
      <c r="EL294" s="408">
        <v>0</v>
      </c>
      <c r="EM294" s="408">
        <v>0</v>
      </c>
      <c r="EN294" s="408">
        <v>0</v>
      </c>
      <c r="EO294" s="408">
        <v>0</v>
      </c>
      <c r="EP294" s="408">
        <v>0</v>
      </c>
      <c r="EQ294" s="408">
        <v>0</v>
      </c>
      <c r="ER294" s="408">
        <v>0</v>
      </c>
      <c r="ES294" s="408">
        <v>0</v>
      </c>
      <c r="ET294" s="408">
        <v>0</v>
      </c>
      <c r="EU294" s="408">
        <v>0</v>
      </c>
      <c r="EV294" s="408">
        <v>257</v>
      </c>
      <c r="EW294" s="408">
        <v>0</v>
      </c>
      <c r="EX294" s="408">
        <v>0</v>
      </c>
      <c r="EY294" s="408">
        <v>0</v>
      </c>
      <c r="EZ294" s="408"/>
      <c r="FA294" s="408">
        <v>0</v>
      </c>
      <c r="FB294" s="408"/>
      <c r="FC294" s="408"/>
      <c r="FD294" s="408"/>
      <c r="FE294" s="408"/>
      <c r="FF294" s="408">
        <v>0</v>
      </c>
      <c r="FG294" s="408">
        <v>0</v>
      </c>
      <c r="FH294" s="408">
        <v>0</v>
      </c>
      <c r="FI294" s="408">
        <v>0</v>
      </c>
    </row>
    <row r="295" spans="1:165">
      <c r="A295" s="408">
        <v>293</v>
      </c>
      <c r="B295" s="408" t="s">
        <v>2236</v>
      </c>
      <c r="C295" s="408" t="s">
        <v>2233</v>
      </c>
      <c r="D295" s="408" t="s">
        <v>1955</v>
      </c>
      <c r="E295" s="408" t="s">
        <v>968</v>
      </c>
      <c r="F295" s="408" t="s">
        <v>968</v>
      </c>
      <c r="G295" s="408" t="s">
        <v>1321</v>
      </c>
      <c r="H295" s="408" t="s">
        <v>1321</v>
      </c>
      <c r="I295" s="408" t="s">
        <v>1321</v>
      </c>
      <c r="J295" s="408" t="s">
        <v>2234</v>
      </c>
      <c r="K295" s="828">
        <v>44621</v>
      </c>
      <c r="L295" s="408">
        <v>0</v>
      </c>
      <c r="M295" s="408">
        <v>0</v>
      </c>
      <c r="N295" s="408">
        <v>10.611000000000001</v>
      </c>
      <c r="O295" s="408">
        <v>10.611000000000001</v>
      </c>
      <c r="P295" s="408">
        <v>10.611000000000001</v>
      </c>
      <c r="Q295" s="408">
        <v>10.611000000000001</v>
      </c>
      <c r="R295" s="408"/>
      <c r="S295" s="408">
        <v>710.91</v>
      </c>
      <c r="T295" s="408">
        <v>256.55</v>
      </c>
      <c r="U295" s="408"/>
      <c r="V295" s="408">
        <v>10265.718060000001</v>
      </c>
      <c r="W295" s="408">
        <v>10265.718060000001</v>
      </c>
      <c r="X295" s="408">
        <v>7007.8227299999999</v>
      </c>
      <c r="Y295" s="408">
        <v>0</v>
      </c>
      <c r="Z295" s="408">
        <v>652.30784431380243</v>
      </c>
      <c r="AA295" s="408">
        <v>0</v>
      </c>
      <c r="AB295" s="408">
        <v>0</v>
      </c>
      <c r="AC295" s="408">
        <v>0</v>
      </c>
      <c r="AD295" s="408">
        <v>1306.0314826035803</v>
      </c>
      <c r="AE295" s="408">
        <v>5060.4926645427086</v>
      </c>
      <c r="AF295" s="408">
        <v>2722.2788080988039</v>
      </c>
      <c r="AG295" s="408">
        <v>0</v>
      </c>
      <c r="AH295" s="408">
        <v>0</v>
      </c>
      <c r="AI295" s="408">
        <v>0</v>
      </c>
      <c r="AJ295" s="408">
        <v>0</v>
      </c>
      <c r="AK295" s="408">
        <v>0</v>
      </c>
      <c r="AL295" s="408">
        <v>100.84974270878305</v>
      </c>
      <c r="AM295" s="408"/>
      <c r="AN295" s="408">
        <v>23.29968310208189</v>
      </c>
      <c r="AO295" s="408">
        <v>0</v>
      </c>
      <c r="AP295" s="408">
        <v>0</v>
      </c>
      <c r="AQ295" s="408">
        <v>0</v>
      </c>
      <c r="AR295" s="408">
        <v>0</v>
      </c>
      <c r="AS295" s="408">
        <v>0</v>
      </c>
      <c r="AT295" s="408">
        <v>0</v>
      </c>
      <c r="AU295" s="408">
        <v>0</v>
      </c>
      <c r="AV295" s="408">
        <v>0</v>
      </c>
      <c r="AW295" s="408">
        <v>0</v>
      </c>
      <c r="AX295" s="408">
        <v>0</v>
      </c>
      <c r="AY295" s="408">
        <v>0</v>
      </c>
      <c r="AZ295" s="408">
        <v>0</v>
      </c>
      <c r="BA295" s="408"/>
      <c r="BB295" s="408">
        <v>0</v>
      </c>
      <c r="BC295" s="408">
        <v>0</v>
      </c>
      <c r="BD295" s="408">
        <v>15.813789022855676</v>
      </c>
      <c r="BE295" s="408">
        <v>0</v>
      </c>
      <c r="BF295" s="408">
        <v>0</v>
      </c>
      <c r="BG295" s="408">
        <v>384.68485153838242</v>
      </c>
      <c r="BH295" s="408">
        <v>0</v>
      </c>
      <c r="BI295" s="408">
        <v>0</v>
      </c>
      <c r="BJ295" s="408">
        <v>0</v>
      </c>
      <c r="BK295" s="408">
        <v>6701.6</v>
      </c>
      <c r="BL295" s="408">
        <v>113</v>
      </c>
      <c r="BM295" s="408"/>
      <c r="BN295" s="408"/>
      <c r="BO295" s="408"/>
      <c r="BP295" s="408"/>
      <c r="BQ295" s="408"/>
      <c r="BR295" s="408"/>
      <c r="BS295" s="408"/>
      <c r="BT295" s="408"/>
      <c r="BU295" s="408"/>
      <c r="BV295" s="408">
        <v>3122.777448660042</v>
      </c>
      <c r="BW295" s="408"/>
      <c r="BX295" s="408"/>
      <c r="BY295" s="408"/>
      <c r="BZ295" s="408"/>
      <c r="CA295" s="408"/>
      <c r="CB295" s="408"/>
      <c r="CC295" s="408"/>
      <c r="CD295" s="408"/>
      <c r="CE295" s="408"/>
      <c r="CF295" s="408"/>
      <c r="CG295" s="408"/>
      <c r="CH295" s="408"/>
      <c r="CI295" s="408">
        <v>7007.1623</v>
      </c>
      <c r="CJ295" s="408">
        <v>-3258.5857600000018</v>
      </c>
      <c r="CK295" s="408"/>
      <c r="CL295" s="408"/>
      <c r="CM295" s="408"/>
      <c r="CN295" s="408"/>
      <c r="CO295" s="408">
        <v>-3427.56522</v>
      </c>
      <c r="CP295" s="408">
        <v>169.66989000000009</v>
      </c>
      <c r="CQ295" s="408">
        <v>31</v>
      </c>
      <c r="CR295" s="408">
        <v>141.05505921356416</v>
      </c>
      <c r="CS295" s="408">
        <v>0</v>
      </c>
      <c r="CT295" s="408">
        <v>0</v>
      </c>
      <c r="CU295" s="408">
        <v>0</v>
      </c>
      <c r="CV295" s="408">
        <v>0</v>
      </c>
      <c r="CW295" s="408">
        <v>0</v>
      </c>
      <c r="CX295" s="408">
        <v>0</v>
      </c>
      <c r="CY295" s="408">
        <v>0</v>
      </c>
      <c r="CZ295" s="408">
        <v>-5.9033444445547048</v>
      </c>
      <c r="DA295" s="408">
        <v>0</v>
      </c>
      <c r="DB295" s="408">
        <v>0</v>
      </c>
      <c r="DC295" s="408">
        <v>169.59380239197299</v>
      </c>
      <c r="DD295" s="408">
        <v>0</v>
      </c>
      <c r="DE295" s="408">
        <v>0</v>
      </c>
      <c r="DF295" s="408">
        <v>0.98517484786342635</v>
      </c>
      <c r="DG295" s="408">
        <v>23.965277362809445</v>
      </c>
      <c r="DH295" s="408">
        <v>0</v>
      </c>
      <c r="DI295" s="408">
        <v>-40.563015442875553</v>
      </c>
      <c r="DJ295" s="408"/>
      <c r="DK295" s="408">
        <v>0</v>
      </c>
      <c r="DL295" s="408">
        <v>0</v>
      </c>
      <c r="DM295" s="408">
        <v>0</v>
      </c>
      <c r="DN295" s="408">
        <v>0</v>
      </c>
      <c r="DO295" s="408">
        <v>-5.5338967498463347</v>
      </c>
      <c r="DP295" s="408">
        <v>-1.4889387518044721</v>
      </c>
      <c r="DQ295" s="408">
        <v>0</v>
      </c>
      <c r="DR295" s="408">
        <v>0</v>
      </c>
      <c r="DS295" s="408"/>
      <c r="DT295" s="408"/>
      <c r="DU295" s="408"/>
      <c r="DV295" s="408">
        <v>5060.4926645427086</v>
      </c>
      <c r="DW295" s="408">
        <v>0</v>
      </c>
      <c r="DX295" s="408">
        <v>0</v>
      </c>
      <c r="DY295" s="408">
        <v>-3427.5652200000004</v>
      </c>
      <c r="DZ295" s="408">
        <v>169.66988999999967</v>
      </c>
      <c r="EA295" s="408">
        <v>0</v>
      </c>
      <c r="EB295" s="408">
        <v>0</v>
      </c>
      <c r="EC295" s="408">
        <v>-3399.0047329353474</v>
      </c>
      <c r="ED295" s="408">
        <v>0</v>
      </c>
      <c r="EE295" s="408">
        <v>0</v>
      </c>
      <c r="EF295" s="408">
        <v>0</v>
      </c>
      <c r="EG295" s="408">
        <v>0</v>
      </c>
      <c r="EH295" s="408">
        <v>0</v>
      </c>
      <c r="EI295" s="408">
        <v>0</v>
      </c>
      <c r="EJ295" s="408">
        <v>0</v>
      </c>
      <c r="EK295" s="408">
        <v>0</v>
      </c>
      <c r="EL295" s="408">
        <v>0</v>
      </c>
      <c r="EM295" s="408">
        <v>0</v>
      </c>
      <c r="EN295" s="408">
        <v>0</v>
      </c>
      <c r="EO295" s="408">
        <v>0</v>
      </c>
      <c r="EP295" s="408">
        <v>0</v>
      </c>
      <c r="EQ295" s="408">
        <v>0</v>
      </c>
      <c r="ER295" s="408">
        <v>0</v>
      </c>
      <c r="ES295" s="408">
        <v>0</v>
      </c>
      <c r="ET295" s="408">
        <v>0</v>
      </c>
      <c r="EU295" s="408">
        <v>0</v>
      </c>
      <c r="EV295" s="408">
        <v>257</v>
      </c>
      <c r="EW295" s="408">
        <v>0</v>
      </c>
      <c r="EX295" s="408">
        <v>0</v>
      </c>
      <c r="EY295" s="408">
        <v>0</v>
      </c>
      <c r="EZ295" s="408"/>
      <c r="FA295" s="408">
        <v>0</v>
      </c>
      <c r="FB295" s="408"/>
      <c r="FC295" s="408"/>
      <c r="FD295" s="408"/>
      <c r="FE295" s="408"/>
      <c r="FF295" s="408">
        <v>0</v>
      </c>
      <c r="FG295" s="408">
        <v>0</v>
      </c>
      <c r="FH295" s="408">
        <v>0</v>
      </c>
      <c r="FI295" s="408">
        <v>0</v>
      </c>
    </row>
    <row r="296" spans="1:165">
      <c r="A296" s="408">
        <v>294</v>
      </c>
      <c r="B296" s="408" t="s">
        <v>1035</v>
      </c>
      <c r="C296" s="408" t="s">
        <v>2233</v>
      </c>
      <c r="D296" s="408" t="s">
        <v>1955</v>
      </c>
      <c r="E296" s="408" t="s">
        <v>968</v>
      </c>
      <c r="F296" s="408" t="s">
        <v>2237</v>
      </c>
      <c r="G296" s="408" t="s">
        <v>1321</v>
      </c>
      <c r="H296" s="408" t="s">
        <v>1321</v>
      </c>
      <c r="I296" s="408" t="s">
        <v>1321</v>
      </c>
      <c r="J296" s="408" t="s">
        <v>2234</v>
      </c>
      <c r="K296" s="828">
        <v>44621</v>
      </c>
      <c r="L296" s="408">
        <v>0</v>
      </c>
      <c r="M296" s="408">
        <v>0</v>
      </c>
      <c r="N296" s="408">
        <v>5.49</v>
      </c>
      <c r="O296" s="408">
        <v>5.49</v>
      </c>
      <c r="P296" s="408">
        <v>5.49</v>
      </c>
      <c r="Q296" s="408">
        <v>5.49</v>
      </c>
      <c r="R296" s="408"/>
      <c r="S296" s="408">
        <v>639.92999999999995</v>
      </c>
      <c r="T296" s="408">
        <v>256.55</v>
      </c>
      <c r="U296" s="408"/>
      <c r="V296" s="408">
        <v>4921.6751999999997</v>
      </c>
      <c r="W296" s="408">
        <v>4921.6751999999997</v>
      </c>
      <c r="X296" s="408">
        <v>3259.9620000000004</v>
      </c>
      <c r="Y296" s="408">
        <v>0</v>
      </c>
      <c r="Z296" s="408">
        <v>0</v>
      </c>
      <c r="AA296" s="408">
        <v>0</v>
      </c>
      <c r="AB296" s="408">
        <v>0</v>
      </c>
      <c r="AC296" s="408">
        <v>0</v>
      </c>
      <c r="AD296" s="408">
        <v>675.72451602051228</v>
      </c>
      <c r="AE296" s="408">
        <v>2618.2362386522918</v>
      </c>
      <c r="AF296" s="408">
        <v>1408.4733443089656</v>
      </c>
      <c r="AG296" s="408">
        <v>0</v>
      </c>
      <c r="AH296" s="408">
        <v>0</v>
      </c>
      <c r="AI296" s="408">
        <v>0</v>
      </c>
      <c r="AJ296" s="408">
        <v>0</v>
      </c>
      <c r="AK296" s="408">
        <v>0</v>
      </c>
      <c r="AL296" s="408">
        <v>0</v>
      </c>
      <c r="AM296" s="408"/>
      <c r="AN296" s="408">
        <v>12.054967508286644</v>
      </c>
      <c r="AO296" s="408">
        <v>0</v>
      </c>
      <c r="AP296" s="408">
        <v>0</v>
      </c>
      <c r="AQ296" s="408">
        <v>0</v>
      </c>
      <c r="AR296" s="408">
        <v>0</v>
      </c>
      <c r="AS296" s="408">
        <v>0</v>
      </c>
      <c r="AT296" s="408">
        <v>0</v>
      </c>
      <c r="AU296" s="408">
        <v>0</v>
      </c>
      <c r="AV296" s="408">
        <v>0</v>
      </c>
      <c r="AW296" s="408">
        <v>0</v>
      </c>
      <c r="AX296" s="408">
        <v>0</v>
      </c>
      <c r="AY296" s="408">
        <v>0</v>
      </c>
      <c r="AZ296" s="408">
        <v>0</v>
      </c>
      <c r="BA296" s="408"/>
      <c r="BB296" s="408">
        <v>0</v>
      </c>
      <c r="BC296" s="408">
        <v>0</v>
      </c>
      <c r="BD296" s="408">
        <v>8.1818586123341497</v>
      </c>
      <c r="BE296" s="408">
        <v>0</v>
      </c>
      <c r="BF296" s="408">
        <v>0</v>
      </c>
      <c r="BG296" s="408">
        <v>199.03117848890017</v>
      </c>
      <c r="BH296" s="408">
        <v>0</v>
      </c>
      <c r="BI296" s="408">
        <v>0</v>
      </c>
      <c r="BJ296" s="408">
        <v>0</v>
      </c>
      <c r="BK296" s="408">
        <v>364.05</v>
      </c>
      <c r="BL296" s="408">
        <v>6</v>
      </c>
      <c r="BM296" s="408"/>
      <c r="BN296" s="408"/>
      <c r="BO296" s="408"/>
      <c r="BP296" s="408"/>
      <c r="BQ296" s="408"/>
      <c r="BR296" s="408"/>
      <c r="BS296" s="408"/>
      <c r="BT296" s="408">
        <v>2118.9753000000001</v>
      </c>
      <c r="BU296" s="408"/>
      <c r="BV296" s="408">
        <v>1615.6863814101998</v>
      </c>
      <c r="BW296" s="408"/>
      <c r="BX296" s="408"/>
      <c r="BY296" s="408"/>
      <c r="BZ296" s="408"/>
      <c r="CA296" s="408"/>
      <c r="CB296" s="408"/>
      <c r="CC296" s="408"/>
      <c r="CD296" s="408"/>
      <c r="CE296" s="408"/>
      <c r="CF296" s="408"/>
      <c r="CG296" s="408"/>
      <c r="CH296" s="408"/>
      <c r="CI296" s="408">
        <v>1140.9866999999999</v>
      </c>
      <c r="CJ296" s="408">
        <v>-581.64060000000018</v>
      </c>
      <c r="CK296" s="408"/>
      <c r="CL296" s="408"/>
      <c r="CM296" s="408"/>
      <c r="CN296" s="408"/>
      <c r="CO296" s="408">
        <v>-1749.4982999999997</v>
      </c>
      <c r="CP296" s="408">
        <v>87.785100000000057</v>
      </c>
      <c r="CQ296" s="408">
        <v>31</v>
      </c>
      <c r="CR296" s="408">
        <v>96.830112432429814</v>
      </c>
      <c r="CS296" s="408">
        <v>0</v>
      </c>
      <c r="CT296" s="408">
        <v>0</v>
      </c>
      <c r="CU296" s="408">
        <v>0</v>
      </c>
      <c r="CV296" s="408">
        <v>0</v>
      </c>
      <c r="CW296" s="408">
        <v>0</v>
      </c>
      <c r="CX296" s="408">
        <v>0</v>
      </c>
      <c r="CY296" s="408">
        <v>0</v>
      </c>
      <c r="CZ296" s="408">
        <v>-3.0543173122800908</v>
      </c>
      <c r="DA296" s="408">
        <v>0</v>
      </c>
      <c r="DB296" s="408">
        <v>0</v>
      </c>
      <c r="DC296" s="408">
        <v>87.745733213828089</v>
      </c>
      <c r="DD296" s="408">
        <v>0</v>
      </c>
      <c r="DE296" s="408">
        <v>0</v>
      </c>
      <c r="DF296" s="408">
        <v>0.50971726649422422</v>
      </c>
      <c r="DG296" s="408">
        <v>12.399337736483233</v>
      </c>
      <c r="DH296" s="408">
        <v>0</v>
      </c>
      <c r="DI296" s="408">
        <v>0</v>
      </c>
      <c r="DJ296" s="408"/>
      <c r="DK296" s="408">
        <v>0</v>
      </c>
      <c r="DL296" s="408">
        <v>0</v>
      </c>
      <c r="DM296" s="408">
        <v>0</v>
      </c>
      <c r="DN296" s="408">
        <v>0</v>
      </c>
      <c r="DO296" s="408">
        <v>0</v>
      </c>
      <c r="DP296" s="408">
        <v>-0.77035847209561403</v>
      </c>
      <c r="DQ296" s="408">
        <v>0</v>
      </c>
      <c r="DR296" s="408">
        <v>0</v>
      </c>
      <c r="DS296" s="408"/>
      <c r="DT296" s="408"/>
      <c r="DU296" s="408"/>
      <c r="DV296" s="408">
        <v>2618.2362386522918</v>
      </c>
      <c r="DW296" s="408">
        <v>0</v>
      </c>
      <c r="DX296" s="408">
        <v>0</v>
      </c>
      <c r="DY296" s="408">
        <v>-1749.4982999999997</v>
      </c>
      <c r="DZ296" s="408">
        <v>87.785100000000057</v>
      </c>
      <c r="EA296" s="408">
        <v>0</v>
      </c>
      <c r="EB296" s="408">
        <v>0</v>
      </c>
      <c r="EC296" s="408">
        <v>-1758.6029576679912</v>
      </c>
      <c r="ED296" s="408">
        <v>0</v>
      </c>
      <c r="EE296" s="408">
        <v>0</v>
      </c>
      <c r="EF296" s="408">
        <v>0</v>
      </c>
      <c r="EG296" s="408">
        <v>0</v>
      </c>
      <c r="EH296" s="408">
        <v>0</v>
      </c>
      <c r="EI296" s="408">
        <v>0</v>
      </c>
      <c r="EJ296" s="408">
        <v>0</v>
      </c>
      <c r="EK296" s="408">
        <v>0</v>
      </c>
      <c r="EL296" s="408">
        <v>0</v>
      </c>
      <c r="EM296" s="408">
        <v>0</v>
      </c>
      <c r="EN296" s="408">
        <v>0</v>
      </c>
      <c r="EO296" s="408">
        <v>0</v>
      </c>
      <c r="EP296" s="408">
        <v>0</v>
      </c>
      <c r="EQ296" s="408">
        <v>0</v>
      </c>
      <c r="ER296" s="408">
        <v>0</v>
      </c>
      <c r="ES296" s="408">
        <v>0</v>
      </c>
      <c r="ET296" s="408">
        <v>0</v>
      </c>
      <c r="EU296" s="408">
        <v>0</v>
      </c>
      <c r="EV296" s="408">
        <v>257</v>
      </c>
      <c r="EW296" s="408">
        <v>0</v>
      </c>
      <c r="EX296" s="408">
        <v>0</v>
      </c>
      <c r="EY296" s="408">
        <v>0</v>
      </c>
      <c r="EZ296" s="408"/>
      <c r="FA296" s="408">
        <v>0</v>
      </c>
      <c r="FB296" s="408"/>
      <c r="FC296" s="408"/>
      <c r="FD296" s="408"/>
      <c r="FE296" s="408"/>
      <c r="FF296" s="408">
        <v>0</v>
      </c>
      <c r="FG296" s="408">
        <v>0</v>
      </c>
      <c r="FH296" s="408">
        <v>0</v>
      </c>
      <c r="FI296" s="408">
        <v>0</v>
      </c>
    </row>
    <row r="297" spans="1:165">
      <c r="A297" s="408">
        <v>295</v>
      </c>
      <c r="B297" s="408" t="s">
        <v>1035</v>
      </c>
      <c r="C297" s="408" t="s">
        <v>2233</v>
      </c>
      <c r="D297" s="408" t="s">
        <v>1955</v>
      </c>
      <c r="E297" s="408" t="s">
        <v>968</v>
      </c>
      <c r="F297" s="408" t="s">
        <v>2238</v>
      </c>
      <c r="G297" s="408" t="s">
        <v>1321</v>
      </c>
      <c r="H297" s="408" t="s">
        <v>1321</v>
      </c>
      <c r="I297" s="408" t="s">
        <v>1321</v>
      </c>
      <c r="J297" s="408" t="s">
        <v>2234</v>
      </c>
      <c r="K297" s="828">
        <v>44621</v>
      </c>
      <c r="L297" s="408">
        <v>0</v>
      </c>
      <c r="M297" s="408">
        <v>0</v>
      </c>
      <c r="N297" s="408">
        <v>11.242000000000001</v>
      </c>
      <c r="O297" s="408">
        <v>11.242000000000001</v>
      </c>
      <c r="P297" s="408">
        <v>11.242000000000001</v>
      </c>
      <c r="Q297" s="408">
        <v>11.242000000000001</v>
      </c>
      <c r="R297" s="408"/>
      <c r="S297" s="408">
        <v>639.92999999999995</v>
      </c>
      <c r="T297" s="408">
        <v>256.55</v>
      </c>
      <c r="U297" s="408"/>
      <c r="V297" s="408">
        <v>10078.228160000001</v>
      </c>
      <c r="W297" s="408">
        <v>10078.228160000001</v>
      </c>
      <c r="X297" s="408">
        <v>6675.499600000001</v>
      </c>
      <c r="Y297" s="408">
        <v>0</v>
      </c>
      <c r="Z297" s="408">
        <v>0</v>
      </c>
      <c r="AA297" s="408">
        <v>0</v>
      </c>
      <c r="AB297" s="408">
        <v>0</v>
      </c>
      <c r="AC297" s="408">
        <v>0</v>
      </c>
      <c r="AD297" s="408">
        <v>1383.6967229695081</v>
      </c>
      <c r="AE297" s="408">
        <v>5361.4229134661318</v>
      </c>
      <c r="AF297" s="408">
        <v>2884.163449311729</v>
      </c>
      <c r="AG297" s="408">
        <v>0</v>
      </c>
      <c r="AH297" s="408">
        <v>0</v>
      </c>
      <c r="AI297" s="408">
        <v>0</v>
      </c>
      <c r="AJ297" s="408">
        <v>0</v>
      </c>
      <c r="AK297" s="408">
        <v>0</v>
      </c>
      <c r="AL297" s="408">
        <v>0</v>
      </c>
      <c r="AM297" s="408"/>
      <c r="AN297" s="408">
        <v>24.685235833908646</v>
      </c>
      <c r="AO297" s="408">
        <v>0</v>
      </c>
      <c r="AP297" s="408">
        <v>0</v>
      </c>
      <c r="AQ297" s="408">
        <v>0</v>
      </c>
      <c r="AR297" s="408">
        <v>0</v>
      </c>
      <c r="AS297" s="408">
        <v>0</v>
      </c>
      <c r="AT297" s="408">
        <v>0</v>
      </c>
      <c r="AU297" s="408">
        <v>0</v>
      </c>
      <c r="AV297" s="408">
        <v>0</v>
      </c>
      <c r="AW297" s="408">
        <v>0</v>
      </c>
      <c r="AX297" s="408">
        <v>0</v>
      </c>
      <c r="AY297" s="408">
        <v>0</v>
      </c>
      <c r="AZ297" s="408">
        <v>0</v>
      </c>
      <c r="BA297" s="408"/>
      <c r="BB297" s="408">
        <v>0</v>
      </c>
      <c r="BC297" s="408">
        <v>0</v>
      </c>
      <c r="BD297" s="408">
        <v>16.754181151158562</v>
      </c>
      <c r="BE297" s="408">
        <v>0</v>
      </c>
      <c r="BF297" s="408">
        <v>0</v>
      </c>
      <c r="BG297" s="408">
        <v>407.56074837380976</v>
      </c>
      <c r="BH297" s="408">
        <v>0</v>
      </c>
      <c r="BI297" s="408">
        <v>0</v>
      </c>
      <c r="BJ297" s="408">
        <v>0</v>
      </c>
      <c r="BK297" s="408">
        <v>1328.89</v>
      </c>
      <c r="BL297" s="408">
        <v>50</v>
      </c>
      <c r="BM297" s="408"/>
      <c r="BN297" s="408"/>
      <c r="BO297" s="408"/>
      <c r="BP297" s="408"/>
      <c r="BQ297" s="408"/>
      <c r="BR297" s="408"/>
      <c r="BS297" s="408"/>
      <c r="BT297" s="408">
        <v>2670.1998400000002</v>
      </c>
      <c r="BU297" s="408"/>
      <c r="BV297" s="408">
        <v>3308.4783788366976</v>
      </c>
      <c r="BW297" s="408"/>
      <c r="BX297" s="408"/>
      <c r="BY297" s="408"/>
      <c r="BZ297" s="408"/>
      <c r="CA297" s="408"/>
      <c r="CB297" s="408"/>
      <c r="CC297" s="408"/>
      <c r="CD297" s="408"/>
      <c r="CE297" s="408"/>
      <c r="CF297" s="408"/>
      <c r="CG297" s="408"/>
      <c r="CH297" s="408"/>
      <c r="CI297" s="408">
        <v>4004.5871999999999</v>
      </c>
      <c r="CJ297" s="408">
        <v>-2042.402180000001</v>
      </c>
      <c r="CK297" s="408"/>
      <c r="CL297" s="408"/>
      <c r="CM297" s="408"/>
      <c r="CN297" s="408"/>
      <c r="CO297" s="408">
        <v>-3582.4881399999999</v>
      </c>
      <c r="CP297" s="408">
        <v>179.75958000000011</v>
      </c>
      <c r="CQ297" s="408">
        <v>31</v>
      </c>
      <c r="CR297" s="408">
        <v>198.28126119587887</v>
      </c>
      <c r="CS297" s="408">
        <v>0</v>
      </c>
      <c r="CT297" s="408">
        <v>0</v>
      </c>
      <c r="CU297" s="408">
        <v>0</v>
      </c>
      <c r="CV297" s="408">
        <v>0</v>
      </c>
      <c r="CW297" s="408">
        <v>0</v>
      </c>
      <c r="CX297" s="408">
        <v>0</v>
      </c>
      <c r="CY297" s="408">
        <v>0</v>
      </c>
      <c r="CZ297" s="408">
        <v>-6.2543962157837996</v>
      </c>
      <c r="DA297" s="408">
        <v>0</v>
      </c>
      <c r="DB297" s="408">
        <v>0</v>
      </c>
      <c r="DC297" s="408">
        <v>179.67896772128506</v>
      </c>
      <c r="DD297" s="408">
        <v>0</v>
      </c>
      <c r="DE297" s="408">
        <v>0</v>
      </c>
      <c r="DF297" s="408">
        <v>1.0437598378739672</v>
      </c>
      <c r="DG297" s="408">
        <v>25.390410716492681</v>
      </c>
      <c r="DH297" s="408">
        <v>0</v>
      </c>
      <c r="DI297" s="408">
        <v>0</v>
      </c>
      <c r="DJ297" s="408"/>
      <c r="DK297" s="408">
        <v>0</v>
      </c>
      <c r="DL297" s="408">
        <v>0</v>
      </c>
      <c r="DM297" s="408">
        <v>0</v>
      </c>
      <c r="DN297" s="408">
        <v>0</v>
      </c>
      <c r="DO297" s="408">
        <v>0</v>
      </c>
      <c r="DP297" s="408">
        <v>-1.5774808639888711</v>
      </c>
      <c r="DQ297" s="408">
        <v>0</v>
      </c>
      <c r="DR297" s="408">
        <v>0</v>
      </c>
      <c r="DS297" s="408"/>
      <c r="DT297" s="408"/>
      <c r="DU297" s="408"/>
      <c r="DV297" s="408">
        <v>5361.4229134661318</v>
      </c>
      <c r="DW297" s="408">
        <v>0</v>
      </c>
      <c r="DX297" s="408">
        <v>0</v>
      </c>
      <c r="DY297" s="408">
        <v>-3582.4881399999999</v>
      </c>
      <c r="DZ297" s="408">
        <v>179.75957999999991</v>
      </c>
      <c r="EA297" s="408">
        <v>0</v>
      </c>
      <c r="EB297" s="408">
        <v>0</v>
      </c>
      <c r="EC297" s="408">
        <v>-3601.1319581245098</v>
      </c>
      <c r="ED297" s="408">
        <v>0</v>
      </c>
      <c r="EE297" s="408">
        <v>0</v>
      </c>
      <c r="EF297" s="408">
        <v>0</v>
      </c>
      <c r="EG297" s="408">
        <v>0</v>
      </c>
      <c r="EH297" s="408">
        <v>0</v>
      </c>
      <c r="EI297" s="408">
        <v>0</v>
      </c>
      <c r="EJ297" s="408">
        <v>0</v>
      </c>
      <c r="EK297" s="408">
        <v>0</v>
      </c>
      <c r="EL297" s="408">
        <v>0</v>
      </c>
      <c r="EM297" s="408">
        <v>0</v>
      </c>
      <c r="EN297" s="408">
        <v>0</v>
      </c>
      <c r="EO297" s="408">
        <v>0</v>
      </c>
      <c r="EP297" s="408">
        <v>0</v>
      </c>
      <c r="EQ297" s="408">
        <v>0</v>
      </c>
      <c r="ER297" s="408">
        <v>0</v>
      </c>
      <c r="ES297" s="408">
        <v>0</v>
      </c>
      <c r="ET297" s="408">
        <v>0</v>
      </c>
      <c r="EU297" s="408">
        <v>0</v>
      </c>
      <c r="EV297" s="408">
        <v>257</v>
      </c>
      <c r="EW297" s="408">
        <v>0</v>
      </c>
      <c r="EX297" s="408">
        <v>0</v>
      </c>
      <c r="EY297" s="408">
        <v>0</v>
      </c>
      <c r="EZ297" s="408"/>
      <c r="FA297" s="408">
        <v>0</v>
      </c>
      <c r="FB297" s="408"/>
      <c r="FC297" s="408"/>
      <c r="FD297" s="408"/>
      <c r="FE297" s="408"/>
      <c r="FF297" s="408">
        <v>0</v>
      </c>
      <c r="FG297" s="408">
        <v>0</v>
      </c>
      <c r="FH297" s="408">
        <v>0</v>
      </c>
      <c r="FI297" s="408">
        <v>0</v>
      </c>
    </row>
    <row r="298" spans="1:165">
      <c r="A298" s="408">
        <v>296</v>
      </c>
      <c r="B298" s="408" t="s">
        <v>1035</v>
      </c>
      <c r="C298" s="408" t="s">
        <v>2233</v>
      </c>
      <c r="D298" s="408" t="s">
        <v>1955</v>
      </c>
      <c r="E298" s="408" t="s">
        <v>968</v>
      </c>
      <c r="F298" s="408" t="s">
        <v>2239</v>
      </c>
      <c r="G298" s="408" t="s">
        <v>1321</v>
      </c>
      <c r="H298" s="408" t="s">
        <v>1321</v>
      </c>
      <c r="I298" s="408" t="s">
        <v>1321</v>
      </c>
      <c r="J298" s="408" t="s">
        <v>2234</v>
      </c>
      <c r="K298" s="828">
        <v>44621</v>
      </c>
      <c r="L298" s="408">
        <v>0</v>
      </c>
      <c r="M298" s="408">
        <v>0</v>
      </c>
      <c r="N298" s="408">
        <v>7.9530000000000003</v>
      </c>
      <c r="O298" s="408">
        <v>7.9530000000000003</v>
      </c>
      <c r="P298" s="408">
        <v>7.9530000000000003</v>
      </c>
      <c r="Q298" s="408">
        <v>7.9530000000000003</v>
      </c>
      <c r="R298" s="408"/>
      <c r="S298" s="408">
        <v>639.92999999999995</v>
      </c>
      <c r="T298" s="408">
        <v>256.55</v>
      </c>
      <c r="U298" s="408"/>
      <c r="V298" s="408">
        <v>7129.7054400000006</v>
      </c>
      <c r="W298" s="408">
        <v>7129.7054400000006</v>
      </c>
      <c r="X298" s="408">
        <v>4722.4913999999999</v>
      </c>
      <c r="Y298" s="408">
        <v>0</v>
      </c>
      <c r="Z298" s="408">
        <v>0</v>
      </c>
      <c r="AA298" s="408">
        <v>0</v>
      </c>
      <c r="AB298" s="408">
        <v>0</v>
      </c>
      <c r="AC298" s="408">
        <v>0</v>
      </c>
      <c r="AD298" s="408">
        <v>978.87742730621756</v>
      </c>
      <c r="AE298" s="408">
        <v>3792.8657205831832</v>
      </c>
      <c r="AF298" s="408">
        <v>2040.3622053350098</v>
      </c>
      <c r="AG298" s="408">
        <v>0</v>
      </c>
      <c r="AH298" s="408">
        <v>0</v>
      </c>
      <c r="AI298" s="408">
        <v>0</v>
      </c>
      <c r="AJ298" s="408">
        <v>0</v>
      </c>
      <c r="AK298" s="408">
        <v>0</v>
      </c>
      <c r="AL298" s="408">
        <v>0</v>
      </c>
      <c r="AM298" s="408"/>
      <c r="AN298" s="408">
        <v>17.463234352168246</v>
      </c>
      <c r="AO298" s="408">
        <v>0</v>
      </c>
      <c r="AP298" s="408">
        <v>0</v>
      </c>
      <c r="AQ298" s="408">
        <v>0</v>
      </c>
      <c r="AR298" s="408">
        <v>0</v>
      </c>
      <c r="AS298" s="408">
        <v>0</v>
      </c>
      <c r="AT298" s="408">
        <v>0</v>
      </c>
      <c r="AU298" s="408">
        <v>0</v>
      </c>
      <c r="AV298" s="408">
        <v>0</v>
      </c>
      <c r="AW298" s="408">
        <v>0</v>
      </c>
      <c r="AX298" s="408">
        <v>0</v>
      </c>
      <c r="AY298" s="408">
        <v>0</v>
      </c>
      <c r="AZ298" s="408">
        <v>0</v>
      </c>
      <c r="BA298" s="408"/>
      <c r="BB298" s="408">
        <v>0</v>
      </c>
      <c r="BC298" s="408">
        <v>0</v>
      </c>
      <c r="BD298" s="408">
        <v>11.85251758540865</v>
      </c>
      <c r="BE298" s="408">
        <v>0</v>
      </c>
      <c r="BF298" s="408">
        <v>0</v>
      </c>
      <c r="BG298" s="408">
        <v>288.32330829184389</v>
      </c>
      <c r="BH298" s="408">
        <v>0</v>
      </c>
      <c r="BI298" s="408">
        <v>0</v>
      </c>
      <c r="BJ298" s="408">
        <v>0</v>
      </c>
      <c r="BK298" s="408">
        <v>1416.65</v>
      </c>
      <c r="BL298" s="408">
        <v>102</v>
      </c>
      <c r="BM298" s="408"/>
      <c r="BN298" s="408"/>
      <c r="BO298" s="408"/>
      <c r="BP298" s="408"/>
      <c r="BQ298" s="408"/>
      <c r="BR298" s="408"/>
      <c r="BS298" s="408"/>
      <c r="BT298" s="408">
        <v>472.3286700000001</v>
      </c>
      <c r="BU298" s="408"/>
      <c r="BV298" s="408">
        <v>2340.5380312122625</v>
      </c>
      <c r="BW298" s="408"/>
      <c r="BX298" s="408"/>
      <c r="BY298" s="408"/>
      <c r="BZ298" s="408"/>
      <c r="CA298" s="408"/>
      <c r="CB298" s="408"/>
      <c r="CC298" s="408"/>
      <c r="CD298" s="408"/>
      <c r="CE298" s="408"/>
      <c r="CF298" s="408"/>
      <c r="CG298" s="408"/>
      <c r="CH298" s="408"/>
      <c r="CI298" s="408">
        <v>4248.5595000000003</v>
      </c>
      <c r="CJ298" s="408">
        <v>-2168.2690200000015</v>
      </c>
      <c r="CK298" s="408"/>
      <c r="CL298" s="408"/>
      <c r="CM298" s="408"/>
      <c r="CN298" s="408"/>
      <c r="CO298" s="408">
        <v>-2534.3825099999999</v>
      </c>
      <c r="CP298" s="408">
        <v>127.16847000000007</v>
      </c>
      <c r="CQ298" s="408">
        <v>31</v>
      </c>
      <c r="CR298" s="408">
        <v>140.27138145266144</v>
      </c>
      <c r="CS298" s="408">
        <v>0</v>
      </c>
      <c r="CT298" s="408">
        <v>0</v>
      </c>
      <c r="CU298" s="408">
        <v>0</v>
      </c>
      <c r="CV298" s="408">
        <v>0</v>
      </c>
      <c r="CW298" s="408">
        <v>0</v>
      </c>
      <c r="CX298" s="408">
        <v>0</v>
      </c>
      <c r="CY298" s="408">
        <v>0</v>
      </c>
      <c r="CZ298" s="408">
        <v>-4.424587538171977</v>
      </c>
      <c r="DA298" s="408">
        <v>0</v>
      </c>
      <c r="DB298" s="408">
        <v>0</v>
      </c>
      <c r="DC298" s="408">
        <v>127.1114419398134</v>
      </c>
      <c r="DD298" s="408">
        <v>0</v>
      </c>
      <c r="DE298" s="408">
        <v>0</v>
      </c>
      <c r="DF298" s="408">
        <v>0.73839370135310922</v>
      </c>
      <c r="DG298" s="408">
        <v>17.962100731921907</v>
      </c>
      <c r="DH298" s="408">
        <v>0</v>
      </c>
      <c r="DI298" s="408">
        <v>0</v>
      </c>
      <c r="DJ298" s="408"/>
      <c r="DK298" s="408">
        <v>0</v>
      </c>
      <c r="DL298" s="408">
        <v>0</v>
      </c>
      <c r="DM298" s="408">
        <v>0</v>
      </c>
      <c r="DN298" s="408">
        <v>0</v>
      </c>
      <c r="DO298" s="408">
        <v>0</v>
      </c>
      <c r="DP298" s="408">
        <v>-1.1159673822543574</v>
      </c>
      <c r="DQ298" s="408">
        <v>0</v>
      </c>
      <c r="DR298" s="408">
        <v>0</v>
      </c>
      <c r="DS298" s="408"/>
      <c r="DT298" s="408"/>
      <c r="DU298" s="408"/>
      <c r="DV298" s="408">
        <v>3792.8657205831832</v>
      </c>
      <c r="DW298" s="408">
        <v>0</v>
      </c>
      <c r="DX298" s="408">
        <v>0</v>
      </c>
      <c r="DY298" s="408">
        <v>-2534.3825100000004</v>
      </c>
      <c r="DZ298" s="408">
        <v>127.16846999999984</v>
      </c>
      <c r="EA298" s="408">
        <v>0</v>
      </c>
      <c r="EB298" s="408">
        <v>0</v>
      </c>
      <c r="EC298" s="408">
        <v>-2547.5718255616639</v>
      </c>
      <c r="ED298" s="408">
        <v>0</v>
      </c>
      <c r="EE298" s="408">
        <v>0</v>
      </c>
      <c r="EF298" s="408">
        <v>0</v>
      </c>
      <c r="EG298" s="408">
        <v>0</v>
      </c>
      <c r="EH298" s="408">
        <v>0</v>
      </c>
      <c r="EI298" s="408">
        <v>0</v>
      </c>
      <c r="EJ298" s="408">
        <v>0</v>
      </c>
      <c r="EK298" s="408">
        <v>0</v>
      </c>
      <c r="EL298" s="408">
        <v>0</v>
      </c>
      <c r="EM298" s="408">
        <v>0</v>
      </c>
      <c r="EN298" s="408">
        <v>0</v>
      </c>
      <c r="EO298" s="408">
        <v>0</v>
      </c>
      <c r="EP298" s="408">
        <v>0</v>
      </c>
      <c r="EQ298" s="408">
        <v>0</v>
      </c>
      <c r="ER298" s="408">
        <v>0</v>
      </c>
      <c r="ES298" s="408">
        <v>0</v>
      </c>
      <c r="ET298" s="408">
        <v>0</v>
      </c>
      <c r="EU298" s="408">
        <v>0</v>
      </c>
      <c r="EV298" s="408">
        <v>257</v>
      </c>
      <c r="EW298" s="408">
        <v>0</v>
      </c>
      <c r="EX298" s="408">
        <v>0</v>
      </c>
      <c r="EY298" s="408">
        <v>0</v>
      </c>
      <c r="EZ298" s="408"/>
      <c r="FA298" s="408">
        <v>0</v>
      </c>
      <c r="FB298" s="408"/>
      <c r="FC298" s="408"/>
      <c r="FD298" s="408"/>
      <c r="FE298" s="408"/>
      <c r="FF298" s="408">
        <v>0</v>
      </c>
      <c r="FG298" s="408">
        <v>0</v>
      </c>
      <c r="FH298" s="408">
        <v>0</v>
      </c>
      <c r="FI298" s="408">
        <v>0</v>
      </c>
    </row>
    <row r="299" spans="1:165">
      <c r="A299" s="408">
        <v>297</v>
      </c>
      <c r="B299" s="408" t="s">
        <v>1035</v>
      </c>
      <c r="C299" s="408" t="s">
        <v>2233</v>
      </c>
      <c r="D299" s="408" t="s">
        <v>1955</v>
      </c>
      <c r="E299" s="408" t="s">
        <v>968</v>
      </c>
      <c r="F299" s="408" t="s">
        <v>2240</v>
      </c>
      <c r="G299" s="408" t="s">
        <v>1321</v>
      </c>
      <c r="H299" s="408" t="s">
        <v>1321</v>
      </c>
      <c r="I299" s="408" t="s">
        <v>1321</v>
      </c>
      <c r="J299" s="408" t="s">
        <v>2234</v>
      </c>
      <c r="K299" s="828">
        <v>44621</v>
      </c>
      <c r="L299" s="408">
        <v>0</v>
      </c>
      <c r="M299" s="408">
        <v>0</v>
      </c>
      <c r="N299" s="408">
        <v>2.2669999999999999</v>
      </c>
      <c r="O299" s="408">
        <v>2.2669999999999999</v>
      </c>
      <c r="P299" s="408">
        <v>2.2669999999999999</v>
      </c>
      <c r="Q299" s="408">
        <v>2.2669999999999999</v>
      </c>
      <c r="R299" s="408"/>
      <c r="S299" s="408">
        <v>639.92999999999995</v>
      </c>
      <c r="T299" s="408">
        <v>256.55</v>
      </c>
      <c r="U299" s="408"/>
      <c r="V299" s="408">
        <v>2032.3201599999998</v>
      </c>
      <c r="W299" s="408">
        <v>2032.3201599999998</v>
      </c>
      <c r="X299" s="408">
        <v>1346.1446000000001</v>
      </c>
      <c r="Y299" s="408">
        <v>0</v>
      </c>
      <c r="Z299" s="408">
        <v>0</v>
      </c>
      <c r="AA299" s="408">
        <v>0</v>
      </c>
      <c r="AB299" s="408">
        <v>0</v>
      </c>
      <c r="AC299" s="408">
        <v>0</v>
      </c>
      <c r="AD299" s="408">
        <v>279.02868448424431</v>
      </c>
      <c r="AE299" s="408">
        <v>1081.1551098405728</v>
      </c>
      <c r="AF299" s="408">
        <v>581.6045667665619</v>
      </c>
      <c r="AG299" s="408">
        <v>0</v>
      </c>
      <c r="AH299" s="408">
        <v>0</v>
      </c>
      <c r="AI299" s="408">
        <v>0</v>
      </c>
      <c r="AJ299" s="408">
        <v>0</v>
      </c>
      <c r="AK299" s="408">
        <v>0</v>
      </c>
      <c r="AL299" s="408">
        <v>0</v>
      </c>
      <c r="AM299" s="408"/>
      <c r="AN299" s="408">
        <v>4.977889133203246</v>
      </c>
      <c r="AO299" s="408">
        <v>0</v>
      </c>
      <c r="AP299" s="408">
        <v>0</v>
      </c>
      <c r="AQ299" s="408">
        <v>0</v>
      </c>
      <c r="AR299" s="408">
        <v>0</v>
      </c>
      <c r="AS299" s="408">
        <v>0</v>
      </c>
      <c r="AT299" s="408">
        <v>0</v>
      </c>
      <c r="AU299" s="408">
        <v>0</v>
      </c>
      <c r="AV299" s="408">
        <v>0</v>
      </c>
      <c r="AW299" s="408">
        <v>0</v>
      </c>
      <c r="AX299" s="408">
        <v>0</v>
      </c>
      <c r="AY299" s="408">
        <v>0</v>
      </c>
      <c r="AZ299" s="408">
        <v>0</v>
      </c>
      <c r="BA299" s="408"/>
      <c r="BB299" s="408">
        <v>0</v>
      </c>
      <c r="BC299" s="408">
        <v>0</v>
      </c>
      <c r="BD299" s="408">
        <v>3.3785561883718609</v>
      </c>
      <c r="BE299" s="408">
        <v>0</v>
      </c>
      <c r="BF299" s="408">
        <v>0</v>
      </c>
      <c r="BG299" s="408">
        <v>82.18646295707407</v>
      </c>
      <c r="BH299" s="408">
        <v>0</v>
      </c>
      <c r="BI299" s="408">
        <v>0</v>
      </c>
      <c r="BJ299" s="408">
        <v>0</v>
      </c>
      <c r="BK299" s="408">
        <v>448.6</v>
      </c>
      <c r="BL299" s="408">
        <v>25</v>
      </c>
      <c r="BM299" s="408"/>
      <c r="BN299" s="408"/>
      <c r="BO299" s="408"/>
      <c r="BP299" s="408"/>
      <c r="BQ299" s="408"/>
      <c r="BR299" s="408"/>
      <c r="BS299" s="408"/>
      <c r="BT299" s="408"/>
      <c r="BU299" s="408"/>
      <c r="BV299" s="408">
        <v>667.16958591200773</v>
      </c>
      <c r="BW299" s="408"/>
      <c r="BX299" s="408"/>
      <c r="BY299" s="408"/>
      <c r="BZ299" s="408"/>
      <c r="CA299" s="408"/>
      <c r="CB299" s="408"/>
      <c r="CC299" s="408"/>
      <c r="CD299" s="408"/>
      <c r="CE299" s="408"/>
      <c r="CF299" s="408"/>
      <c r="CG299" s="408"/>
      <c r="CH299" s="408"/>
      <c r="CI299" s="408">
        <v>1347.9259999999999</v>
      </c>
      <c r="CJ299" s="408">
        <v>-684.4241599999998</v>
      </c>
      <c r="CK299" s="408"/>
      <c r="CL299" s="408"/>
      <c r="CM299" s="408"/>
      <c r="CN299" s="408"/>
      <c r="CO299" s="408">
        <v>-722.42488999999989</v>
      </c>
      <c r="CP299" s="408">
        <v>36.249330000000022</v>
      </c>
      <c r="CQ299" s="408">
        <v>31</v>
      </c>
      <c r="CR299" s="408">
        <v>39.984310543591846</v>
      </c>
      <c r="CS299" s="408">
        <v>0</v>
      </c>
      <c r="CT299" s="408">
        <v>0</v>
      </c>
      <c r="CU299" s="408">
        <v>0</v>
      </c>
      <c r="CV299" s="408">
        <v>0</v>
      </c>
      <c r="CW299" s="408">
        <v>0</v>
      </c>
      <c r="CX299" s="408">
        <v>0</v>
      </c>
      <c r="CY299" s="408">
        <v>0</v>
      </c>
      <c r="CZ299" s="408">
        <v>-1.2612272034497209</v>
      </c>
      <c r="DA299" s="408">
        <v>0</v>
      </c>
      <c r="DB299" s="408">
        <v>0</v>
      </c>
      <c r="DC299" s="408">
        <v>36.233074170445889</v>
      </c>
      <c r="DD299" s="408">
        <v>0</v>
      </c>
      <c r="DE299" s="408">
        <v>0</v>
      </c>
      <c r="DF299" s="408">
        <v>0.21047887853231462</v>
      </c>
      <c r="DG299" s="408">
        <v>5.1200908285259601</v>
      </c>
      <c r="DH299" s="408">
        <v>0</v>
      </c>
      <c r="DI299" s="408">
        <v>0</v>
      </c>
      <c r="DJ299" s="408"/>
      <c r="DK299" s="408">
        <v>0</v>
      </c>
      <c r="DL299" s="408">
        <v>0</v>
      </c>
      <c r="DM299" s="408">
        <v>0</v>
      </c>
      <c r="DN299" s="408">
        <v>0</v>
      </c>
      <c r="DO299" s="408">
        <v>0</v>
      </c>
      <c r="DP299" s="408">
        <v>-0.31810613046279723</v>
      </c>
      <c r="DQ299" s="408">
        <v>0</v>
      </c>
      <c r="DR299" s="408">
        <v>0</v>
      </c>
      <c r="DS299" s="408"/>
      <c r="DT299" s="408"/>
      <c r="DU299" s="408"/>
      <c r="DV299" s="408">
        <v>1081.1551098405728</v>
      </c>
      <c r="DW299" s="408">
        <v>0</v>
      </c>
      <c r="DX299" s="408">
        <v>0</v>
      </c>
      <c r="DY299" s="408">
        <v>-722.42489</v>
      </c>
      <c r="DZ299" s="408">
        <v>36.2493300000001</v>
      </c>
      <c r="EA299" s="408">
        <v>0</v>
      </c>
      <c r="EB299" s="408">
        <v>0</v>
      </c>
      <c r="EC299" s="408">
        <v>-726.18450000607208</v>
      </c>
      <c r="ED299" s="408">
        <v>0</v>
      </c>
      <c r="EE299" s="408">
        <v>0</v>
      </c>
      <c r="EF299" s="408">
        <v>0</v>
      </c>
      <c r="EG299" s="408">
        <v>0</v>
      </c>
      <c r="EH299" s="408">
        <v>0</v>
      </c>
      <c r="EI299" s="408">
        <v>0</v>
      </c>
      <c r="EJ299" s="408">
        <v>0</v>
      </c>
      <c r="EK299" s="408">
        <v>0</v>
      </c>
      <c r="EL299" s="408">
        <v>0</v>
      </c>
      <c r="EM299" s="408">
        <v>0</v>
      </c>
      <c r="EN299" s="408">
        <v>0</v>
      </c>
      <c r="EO299" s="408">
        <v>0</v>
      </c>
      <c r="EP299" s="408">
        <v>0</v>
      </c>
      <c r="EQ299" s="408">
        <v>0</v>
      </c>
      <c r="ER299" s="408">
        <v>0</v>
      </c>
      <c r="ES299" s="408">
        <v>0</v>
      </c>
      <c r="ET299" s="408">
        <v>0</v>
      </c>
      <c r="EU299" s="408">
        <v>0</v>
      </c>
      <c r="EV299" s="408">
        <v>257</v>
      </c>
      <c r="EW299" s="408">
        <v>0</v>
      </c>
      <c r="EX299" s="408">
        <v>0</v>
      </c>
      <c r="EY299" s="408">
        <v>0</v>
      </c>
      <c r="EZ299" s="408"/>
      <c r="FA299" s="408">
        <v>0</v>
      </c>
      <c r="FB299" s="408"/>
      <c r="FC299" s="408"/>
      <c r="FD299" s="408"/>
      <c r="FE299" s="408"/>
      <c r="FF299" s="408">
        <v>0</v>
      </c>
      <c r="FG299" s="408">
        <v>0</v>
      </c>
      <c r="FH299" s="408">
        <v>0</v>
      </c>
      <c r="FI299" s="408">
        <v>0</v>
      </c>
    </row>
    <row r="300" spans="1:165">
      <c r="A300" s="408">
        <v>298</v>
      </c>
      <c r="B300" s="408" t="s">
        <v>1035</v>
      </c>
      <c r="C300" s="408" t="s">
        <v>2233</v>
      </c>
      <c r="D300" s="408" t="s">
        <v>1958</v>
      </c>
      <c r="E300" s="408" t="s">
        <v>969</v>
      </c>
      <c r="F300" s="408" t="s">
        <v>1321</v>
      </c>
      <c r="G300" s="408" t="s">
        <v>1321</v>
      </c>
      <c r="H300" s="408" t="s">
        <v>1321</v>
      </c>
      <c r="I300" s="408" t="s">
        <v>1321</v>
      </c>
      <c r="J300" s="408" t="s">
        <v>2234</v>
      </c>
      <c r="K300" s="828">
        <v>44621</v>
      </c>
      <c r="L300" s="408">
        <v>0</v>
      </c>
      <c r="M300" s="408">
        <v>0</v>
      </c>
      <c r="N300" s="408">
        <v>60.786999999999999</v>
      </c>
      <c r="O300" s="408">
        <v>60.786999999999999</v>
      </c>
      <c r="P300" s="408">
        <v>60.786999999999999</v>
      </c>
      <c r="Q300" s="408">
        <v>60.786999999999999</v>
      </c>
      <c r="R300" s="408"/>
      <c r="S300" s="408">
        <v>710.91</v>
      </c>
      <c r="T300" s="408">
        <v>256.55</v>
      </c>
      <c r="U300" s="408"/>
      <c r="V300" s="408">
        <v>58808.991019999994</v>
      </c>
      <c r="W300" s="408">
        <v>58808.991019999994</v>
      </c>
      <c r="X300" s="408">
        <v>40145.558409999998</v>
      </c>
      <c r="Y300" s="408">
        <v>0</v>
      </c>
      <c r="Z300" s="408">
        <v>3736.8614581380743</v>
      </c>
      <c r="AA300" s="408">
        <v>0</v>
      </c>
      <c r="AB300" s="408">
        <v>0</v>
      </c>
      <c r="AC300" s="408">
        <v>0</v>
      </c>
      <c r="AD300" s="408">
        <v>7481.8335437775731</v>
      </c>
      <c r="AE300" s="408">
        <v>28989.931919664272</v>
      </c>
      <c r="AF300" s="408">
        <v>15595.058138526245</v>
      </c>
      <c r="AG300" s="408">
        <v>0</v>
      </c>
      <c r="AH300" s="408">
        <v>0</v>
      </c>
      <c r="AI300" s="408">
        <v>0</v>
      </c>
      <c r="AJ300" s="408">
        <v>0</v>
      </c>
      <c r="AK300" s="408">
        <v>0</v>
      </c>
      <c r="AL300" s="408">
        <v>577.73568090083836</v>
      </c>
      <c r="AM300" s="408"/>
      <c r="AN300" s="408">
        <v>133.47637703574139</v>
      </c>
      <c r="AO300" s="408">
        <v>0</v>
      </c>
      <c r="AP300" s="408">
        <v>0</v>
      </c>
      <c r="AQ300" s="408">
        <v>0</v>
      </c>
      <c r="AR300" s="408">
        <v>0</v>
      </c>
      <c r="AS300" s="408">
        <v>0</v>
      </c>
      <c r="AT300" s="408">
        <v>0</v>
      </c>
      <c r="AU300" s="408">
        <v>0</v>
      </c>
      <c r="AV300" s="408">
        <v>0</v>
      </c>
      <c r="AW300" s="408">
        <v>0</v>
      </c>
      <c r="AX300" s="408">
        <v>0</v>
      </c>
      <c r="AY300" s="408">
        <v>0</v>
      </c>
      <c r="AZ300" s="408">
        <v>0</v>
      </c>
      <c r="BA300" s="408"/>
      <c r="BB300" s="408">
        <v>0</v>
      </c>
      <c r="BC300" s="408">
        <v>0</v>
      </c>
      <c r="BD300" s="408">
        <v>90.5921019067315</v>
      </c>
      <c r="BE300" s="408">
        <v>0</v>
      </c>
      <c r="BF300" s="408">
        <v>0</v>
      </c>
      <c r="BG300" s="408">
        <v>2203.7355640810151</v>
      </c>
      <c r="BH300" s="408">
        <v>0</v>
      </c>
      <c r="BI300" s="408">
        <v>0</v>
      </c>
      <c r="BJ300" s="408">
        <v>0</v>
      </c>
      <c r="BK300" s="408">
        <v>10141.56</v>
      </c>
      <c r="BL300" s="408">
        <v>45</v>
      </c>
      <c r="BM300" s="408"/>
      <c r="BN300" s="408"/>
      <c r="BO300" s="408"/>
      <c r="BP300" s="408"/>
      <c r="BQ300" s="408"/>
      <c r="BR300" s="408"/>
      <c r="BS300" s="408"/>
      <c r="BT300" s="408"/>
      <c r="BU300" s="408"/>
      <c r="BV300" s="408">
        <v>17889.385804513993</v>
      </c>
      <c r="BW300" s="408"/>
      <c r="BX300" s="408"/>
      <c r="BY300" s="408"/>
      <c r="BZ300" s="408"/>
      <c r="CA300" s="408"/>
      <c r="CB300" s="408"/>
      <c r="CC300" s="408"/>
      <c r="CD300" s="408"/>
      <c r="CE300" s="408"/>
      <c r="CF300" s="408"/>
      <c r="CG300" s="408"/>
      <c r="CH300" s="408"/>
      <c r="CI300" s="408">
        <v>40147.539700000001</v>
      </c>
      <c r="CJ300" s="408">
        <v>-18661.481319999999</v>
      </c>
      <c r="CK300" s="408"/>
      <c r="CL300" s="408"/>
      <c r="CM300" s="408"/>
      <c r="CN300" s="408"/>
      <c r="CO300" s="408">
        <v>-19635.416739999997</v>
      </c>
      <c r="CP300" s="408">
        <v>971.9841300000005</v>
      </c>
      <c r="CQ300" s="408">
        <v>31</v>
      </c>
      <c r="CR300" s="408">
        <v>808.0589844891947</v>
      </c>
      <c r="CS300" s="408">
        <v>0</v>
      </c>
      <c r="CT300" s="408">
        <v>0</v>
      </c>
      <c r="CU300" s="408">
        <v>0</v>
      </c>
      <c r="CV300" s="408">
        <v>0</v>
      </c>
      <c r="CW300" s="408">
        <v>0</v>
      </c>
      <c r="CX300" s="408">
        <v>0</v>
      </c>
      <c r="CY300" s="408">
        <v>0</v>
      </c>
      <c r="CZ300" s="408">
        <v>-33.818358189721948</v>
      </c>
      <c r="DA300" s="408">
        <v>0</v>
      </c>
      <c r="DB300" s="408">
        <v>0</v>
      </c>
      <c r="DC300" s="408">
        <v>971.5482486100118</v>
      </c>
      <c r="DD300" s="408">
        <v>0</v>
      </c>
      <c r="DE300" s="408">
        <v>0</v>
      </c>
      <c r="DF300" s="408">
        <v>5.6437492674652816</v>
      </c>
      <c r="DG300" s="408">
        <v>137.28935209246038</v>
      </c>
      <c r="DH300" s="408">
        <v>0</v>
      </c>
      <c r="DI300" s="408">
        <v>-232.37244554953122</v>
      </c>
      <c r="DJ300" s="408"/>
      <c r="DK300" s="408">
        <v>0</v>
      </c>
      <c r="DL300" s="408">
        <v>0</v>
      </c>
      <c r="DM300" s="408">
        <v>0</v>
      </c>
      <c r="DN300" s="408">
        <v>0</v>
      </c>
      <c r="DO300" s="408">
        <v>-31.70191138751386</v>
      </c>
      <c r="DP300" s="408">
        <v>-8.5296503539665167</v>
      </c>
      <c r="DQ300" s="408">
        <v>0</v>
      </c>
      <c r="DR300" s="408">
        <v>0</v>
      </c>
      <c r="DS300" s="408"/>
      <c r="DT300" s="408"/>
      <c r="DU300" s="408"/>
      <c r="DV300" s="408">
        <v>28989.931919664272</v>
      </c>
      <c r="DW300" s="408">
        <v>0</v>
      </c>
      <c r="DX300" s="408">
        <v>0</v>
      </c>
      <c r="DY300" s="408">
        <v>-19635.416739999997</v>
      </c>
      <c r="DZ300" s="408">
        <v>971.98412999999891</v>
      </c>
      <c r="EA300" s="408">
        <v>0</v>
      </c>
      <c r="EB300" s="408">
        <v>0</v>
      </c>
      <c r="EC300" s="408">
        <v>-19471.802912161053</v>
      </c>
      <c r="ED300" s="408">
        <v>0</v>
      </c>
      <c r="EE300" s="408">
        <v>0</v>
      </c>
      <c r="EF300" s="408">
        <v>0</v>
      </c>
      <c r="EG300" s="408">
        <v>0</v>
      </c>
      <c r="EH300" s="408">
        <v>0</v>
      </c>
      <c r="EI300" s="408">
        <v>0</v>
      </c>
      <c r="EJ300" s="408">
        <v>0</v>
      </c>
      <c r="EK300" s="408">
        <v>0</v>
      </c>
      <c r="EL300" s="408">
        <v>0</v>
      </c>
      <c r="EM300" s="408">
        <v>0</v>
      </c>
      <c r="EN300" s="408">
        <v>0</v>
      </c>
      <c r="EO300" s="408">
        <v>0</v>
      </c>
      <c r="EP300" s="408">
        <v>0</v>
      </c>
      <c r="EQ300" s="408">
        <v>0</v>
      </c>
      <c r="ER300" s="408">
        <v>0</v>
      </c>
      <c r="ES300" s="408">
        <v>0</v>
      </c>
      <c r="ET300" s="408">
        <v>0</v>
      </c>
      <c r="EU300" s="408">
        <v>0</v>
      </c>
      <c r="EV300" s="408">
        <v>257</v>
      </c>
      <c r="EW300" s="408">
        <v>0</v>
      </c>
      <c r="EX300" s="408">
        <v>0</v>
      </c>
      <c r="EY300" s="408">
        <v>0</v>
      </c>
      <c r="EZ300" s="408"/>
      <c r="FA300" s="408">
        <v>0</v>
      </c>
      <c r="FB300" s="408"/>
      <c r="FC300" s="408"/>
      <c r="FD300" s="408"/>
      <c r="FE300" s="408"/>
      <c r="FF300" s="408">
        <v>0</v>
      </c>
      <c r="FG300" s="408">
        <v>0</v>
      </c>
      <c r="FH300" s="408">
        <v>0</v>
      </c>
      <c r="FI300" s="408">
        <v>0</v>
      </c>
    </row>
    <row r="301" spans="1:165">
      <c r="A301" s="408">
        <v>299</v>
      </c>
      <c r="B301" s="408" t="s">
        <v>2236</v>
      </c>
      <c r="C301" s="408" t="s">
        <v>2233</v>
      </c>
      <c r="D301" s="408" t="s">
        <v>1958</v>
      </c>
      <c r="E301" s="408" t="s">
        <v>969</v>
      </c>
      <c r="F301" s="408" t="s">
        <v>1321</v>
      </c>
      <c r="G301" s="408" t="s">
        <v>1321</v>
      </c>
      <c r="H301" s="408" t="s">
        <v>1321</v>
      </c>
      <c r="I301" s="408" t="s">
        <v>1321</v>
      </c>
      <c r="J301" s="408" t="s">
        <v>2234</v>
      </c>
      <c r="K301" s="828">
        <v>44621</v>
      </c>
      <c r="L301" s="408">
        <v>0</v>
      </c>
      <c r="M301" s="408">
        <v>0</v>
      </c>
      <c r="N301" s="408">
        <v>5.1130000000000004</v>
      </c>
      <c r="O301" s="408">
        <v>5.1130000000000004</v>
      </c>
      <c r="P301" s="408">
        <v>5.1130000000000004</v>
      </c>
      <c r="Q301" s="408">
        <v>5.1130000000000004</v>
      </c>
      <c r="R301" s="408"/>
      <c r="S301" s="408">
        <v>710.91</v>
      </c>
      <c r="T301" s="408">
        <v>256.55</v>
      </c>
      <c r="U301" s="408"/>
      <c r="V301" s="408">
        <v>4946.6229800000001</v>
      </c>
      <c r="W301" s="408">
        <v>4946.6229800000001</v>
      </c>
      <c r="X301" s="408">
        <v>3376.7785900000003</v>
      </c>
      <c r="Y301" s="408">
        <v>0</v>
      </c>
      <c r="Z301" s="408">
        <v>314.32004598779304</v>
      </c>
      <c r="AA301" s="408">
        <v>0</v>
      </c>
      <c r="AB301" s="408">
        <v>0</v>
      </c>
      <c r="AC301" s="408">
        <v>0</v>
      </c>
      <c r="AD301" s="408">
        <v>629.32230426464105</v>
      </c>
      <c r="AE301" s="408">
        <v>2438.4411453969342</v>
      </c>
      <c r="AF301" s="408">
        <v>1311.7530436159821</v>
      </c>
      <c r="AG301" s="408">
        <v>0</v>
      </c>
      <c r="AH301" s="408">
        <v>0</v>
      </c>
      <c r="AI301" s="408">
        <v>0</v>
      </c>
      <c r="AJ301" s="408">
        <v>0</v>
      </c>
      <c r="AK301" s="408">
        <v>0</v>
      </c>
      <c r="AL301" s="408">
        <v>48.595300581472792</v>
      </c>
      <c r="AM301" s="408"/>
      <c r="AN301" s="408">
        <v>11.227149156624701</v>
      </c>
      <c r="AO301" s="408">
        <v>0</v>
      </c>
      <c r="AP301" s="408">
        <v>0</v>
      </c>
      <c r="AQ301" s="408">
        <v>0</v>
      </c>
      <c r="AR301" s="408">
        <v>0</v>
      </c>
      <c r="AS301" s="408">
        <v>0</v>
      </c>
      <c r="AT301" s="408">
        <v>0</v>
      </c>
      <c r="AU301" s="408">
        <v>0</v>
      </c>
      <c r="AV301" s="408">
        <v>0</v>
      </c>
      <c r="AW301" s="408">
        <v>0</v>
      </c>
      <c r="AX301" s="408">
        <v>0</v>
      </c>
      <c r="AY301" s="408">
        <v>0</v>
      </c>
      <c r="AZ301" s="408">
        <v>0</v>
      </c>
      <c r="BA301" s="408"/>
      <c r="BB301" s="408">
        <v>0</v>
      </c>
      <c r="BC301" s="408">
        <v>0</v>
      </c>
      <c r="BD301" s="408">
        <v>7.6200078478806024</v>
      </c>
      <c r="BE301" s="408">
        <v>0</v>
      </c>
      <c r="BF301" s="408">
        <v>0</v>
      </c>
      <c r="BG301" s="408">
        <v>185.36364583128352</v>
      </c>
      <c r="BH301" s="408">
        <v>0</v>
      </c>
      <c r="BI301" s="408">
        <v>0</v>
      </c>
      <c r="BJ301" s="408">
        <v>0</v>
      </c>
      <c r="BK301" s="408">
        <v>1734.21</v>
      </c>
      <c r="BL301" s="408">
        <v>5</v>
      </c>
      <c r="BM301" s="408"/>
      <c r="BN301" s="408"/>
      <c r="BO301" s="408"/>
      <c r="BP301" s="408"/>
      <c r="BQ301" s="408"/>
      <c r="BR301" s="408"/>
      <c r="BS301" s="408"/>
      <c r="BT301" s="408"/>
      <c r="BU301" s="408"/>
      <c r="BV301" s="408">
        <v>1504.7366972951461</v>
      </c>
      <c r="BW301" s="408"/>
      <c r="BX301" s="408"/>
      <c r="BY301" s="408"/>
      <c r="BZ301" s="408"/>
      <c r="CA301" s="408"/>
      <c r="CB301" s="408"/>
      <c r="CC301" s="408"/>
      <c r="CD301" s="408"/>
      <c r="CE301" s="408"/>
      <c r="CF301" s="408"/>
      <c r="CG301" s="408"/>
      <c r="CH301" s="408"/>
      <c r="CI301" s="408">
        <v>3374.7973000000002</v>
      </c>
      <c r="CJ301" s="408">
        <v>-1571.8556800000006</v>
      </c>
      <c r="CK301" s="408"/>
      <c r="CL301" s="408"/>
      <c r="CM301" s="408"/>
      <c r="CN301" s="408"/>
      <c r="CO301" s="408">
        <v>-1651.6012600000001</v>
      </c>
      <c r="CP301" s="408">
        <v>81.756870000000049</v>
      </c>
      <c r="CQ301" s="408">
        <v>31</v>
      </c>
      <c r="CR301" s="408">
        <v>67.968572025158664</v>
      </c>
      <c r="CS301" s="408">
        <v>0</v>
      </c>
      <c r="CT301" s="408">
        <v>0</v>
      </c>
      <c r="CU301" s="408">
        <v>0</v>
      </c>
      <c r="CV301" s="408">
        <v>0</v>
      </c>
      <c r="CW301" s="408">
        <v>0</v>
      </c>
      <c r="CX301" s="408">
        <v>0</v>
      </c>
      <c r="CY301" s="408">
        <v>0</v>
      </c>
      <c r="CZ301" s="408">
        <v>-2.844576396664479</v>
      </c>
      <c r="DA301" s="408">
        <v>0</v>
      </c>
      <c r="DB301" s="408">
        <v>0</v>
      </c>
      <c r="DC301" s="408">
        <v>81.720206543224549</v>
      </c>
      <c r="DD301" s="408">
        <v>0</v>
      </c>
      <c r="DE301" s="408">
        <v>0</v>
      </c>
      <c r="DF301" s="408">
        <v>0.47471482396811915</v>
      </c>
      <c r="DG301" s="408">
        <v>11.547871374615454</v>
      </c>
      <c r="DH301" s="408">
        <v>0</v>
      </c>
      <c r="DI301" s="408">
        <v>-19.545631699125693</v>
      </c>
      <c r="DJ301" s="408"/>
      <c r="DK301" s="408">
        <v>0</v>
      </c>
      <c r="DL301" s="408">
        <v>0</v>
      </c>
      <c r="DM301" s="408">
        <v>0</v>
      </c>
      <c r="DN301" s="408">
        <v>0</v>
      </c>
      <c r="DO301" s="408">
        <v>-2.6665549035872473</v>
      </c>
      <c r="DP301" s="408">
        <v>-0.71745771727229091</v>
      </c>
      <c r="DQ301" s="408">
        <v>0</v>
      </c>
      <c r="DR301" s="408">
        <v>0</v>
      </c>
      <c r="DS301" s="408"/>
      <c r="DT301" s="408"/>
      <c r="DU301" s="408"/>
      <c r="DV301" s="408">
        <v>2438.4411453969342</v>
      </c>
      <c r="DW301" s="408">
        <v>0</v>
      </c>
      <c r="DX301" s="408">
        <v>0</v>
      </c>
      <c r="DY301" s="408">
        <v>-1651.6012599999999</v>
      </c>
      <c r="DZ301" s="408">
        <v>81.756870000000163</v>
      </c>
      <c r="EA301" s="408">
        <v>0</v>
      </c>
      <c r="EB301" s="408">
        <v>0</v>
      </c>
      <c r="EC301" s="408">
        <v>-1637.8391480066375</v>
      </c>
      <c r="ED301" s="408">
        <v>0</v>
      </c>
      <c r="EE301" s="408">
        <v>0</v>
      </c>
      <c r="EF301" s="408">
        <v>0</v>
      </c>
      <c r="EG301" s="408">
        <v>0</v>
      </c>
      <c r="EH301" s="408">
        <v>0</v>
      </c>
      <c r="EI301" s="408">
        <v>0</v>
      </c>
      <c r="EJ301" s="408">
        <v>0</v>
      </c>
      <c r="EK301" s="408">
        <v>0</v>
      </c>
      <c r="EL301" s="408">
        <v>0</v>
      </c>
      <c r="EM301" s="408">
        <v>0</v>
      </c>
      <c r="EN301" s="408">
        <v>0</v>
      </c>
      <c r="EO301" s="408">
        <v>0</v>
      </c>
      <c r="EP301" s="408">
        <v>0</v>
      </c>
      <c r="EQ301" s="408">
        <v>0</v>
      </c>
      <c r="ER301" s="408">
        <v>0</v>
      </c>
      <c r="ES301" s="408">
        <v>0</v>
      </c>
      <c r="ET301" s="408">
        <v>0</v>
      </c>
      <c r="EU301" s="408">
        <v>0</v>
      </c>
      <c r="EV301" s="408">
        <v>257</v>
      </c>
      <c r="EW301" s="408">
        <v>0</v>
      </c>
      <c r="EX301" s="408">
        <v>0</v>
      </c>
      <c r="EY301" s="408">
        <v>0</v>
      </c>
      <c r="EZ301" s="408"/>
      <c r="FA301" s="408">
        <v>0</v>
      </c>
      <c r="FB301" s="408"/>
      <c r="FC301" s="408"/>
      <c r="FD301" s="408"/>
      <c r="FE301" s="408"/>
      <c r="FF301" s="408">
        <v>0</v>
      </c>
      <c r="FG301" s="408">
        <v>0</v>
      </c>
      <c r="FH301" s="408">
        <v>0</v>
      </c>
      <c r="FI301" s="408">
        <v>0</v>
      </c>
    </row>
    <row r="302" spans="1:165">
      <c r="A302" s="408">
        <v>300</v>
      </c>
      <c r="B302" s="408" t="s">
        <v>1035</v>
      </c>
      <c r="C302" s="408" t="s">
        <v>2241</v>
      </c>
      <c r="D302" s="408" t="s">
        <v>596</v>
      </c>
      <c r="E302" s="408" t="s">
        <v>969</v>
      </c>
      <c r="F302" s="408" t="s">
        <v>1321</v>
      </c>
      <c r="G302" s="408" t="s">
        <v>1321</v>
      </c>
      <c r="H302" s="408" t="s">
        <v>1321</v>
      </c>
      <c r="I302" s="408" t="s">
        <v>972</v>
      </c>
      <c r="J302" s="408" t="s">
        <v>2234</v>
      </c>
      <c r="K302" s="828">
        <v>44621</v>
      </c>
      <c r="L302" s="408">
        <v>0</v>
      </c>
      <c r="M302" s="408">
        <v>0</v>
      </c>
      <c r="N302" s="408">
        <v>6.82</v>
      </c>
      <c r="O302" s="408">
        <v>6.82</v>
      </c>
      <c r="P302" s="408">
        <v>6.82</v>
      </c>
      <c r="Q302" s="408">
        <v>6.82</v>
      </c>
      <c r="R302" s="408"/>
      <c r="S302" s="408">
        <v>3130.62</v>
      </c>
      <c r="T302" s="408">
        <v>256.55</v>
      </c>
      <c r="U302" s="408"/>
      <c r="V302" s="408">
        <v>23100.499399999997</v>
      </c>
      <c r="W302" s="408">
        <v>23100.499399999997</v>
      </c>
      <c r="X302" s="408">
        <v>12157.536599999999</v>
      </c>
      <c r="Y302" s="408">
        <v>0</v>
      </c>
      <c r="Z302" s="408">
        <v>364.75387460668315</v>
      </c>
      <c r="AA302" s="408">
        <v>0</v>
      </c>
      <c r="AB302" s="408">
        <v>0</v>
      </c>
      <c r="AC302" s="408">
        <v>0</v>
      </c>
      <c r="AD302" s="408">
        <v>4393.5381656007958</v>
      </c>
      <c r="AE302" s="408">
        <v>16396.293881786783</v>
      </c>
      <c r="AF302" s="408">
        <v>1749.6881982125949</v>
      </c>
      <c r="AG302" s="408">
        <v>0</v>
      </c>
      <c r="AH302" s="408">
        <v>0</v>
      </c>
      <c r="AI302" s="408">
        <v>0</v>
      </c>
      <c r="AJ302" s="408">
        <v>0</v>
      </c>
      <c r="AK302" s="408">
        <v>0</v>
      </c>
      <c r="AL302" s="408">
        <v>64.819078811978173</v>
      </c>
      <c r="AM302" s="408"/>
      <c r="AN302" s="408">
        <v>9.2005550646364576</v>
      </c>
      <c r="AO302" s="408">
        <v>0</v>
      </c>
      <c r="AP302" s="408">
        <v>0</v>
      </c>
      <c r="AQ302" s="408">
        <v>0</v>
      </c>
      <c r="AR302" s="408">
        <v>0</v>
      </c>
      <c r="AS302" s="408">
        <v>0</v>
      </c>
      <c r="AT302" s="408">
        <v>0</v>
      </c>
      <c r="AU302" s="408">
        <v>0</v>
      </c>
      <c r="AV302" s="408">
        <v>0</v>
      </c>
      <c r="AW302" s="408">
        <v>0</v>
      </c>
      <c r="AX302" s="408">
        <v>0</v>
      </c>
      <c r="AY302" s="408">
        <v>0</v>
      </c>
      <c r="AZ302" s="408">
        <v>0</v>
      </c>
      <c r="BA302" s="408"/>
      <c r="BB302" s="408">
        <v>0</v>
      </c>
      <c r="BC302" s="408">
        <v>0</v>
      </c>
      <c r="BD302" s="408">
        <v>8.4024119813465568</v>
      </c>
      <c r="BE302" s="408">
        <v>0</v>
      </c>
      <c r="BF302" s="408">
        <v>0</v>
      </c>
      <c r="BG302" s="408">
        <v>113.82094550759994</v>
      </c>
      <c r="BH302" s="408">
        <v>0</v>
      </c>
      <c r="BI302" s="408">
        <v>0</v>
      </c>
      <c r="BJ302" s="408">
        <v>0</v>
      </c>
      <c r="BK302" s="408">
        <v>0</v>
      </c>
      <c r="BL302" s="408">
        <v>0</v>
      </c>
      <c r="BM302" s="408"/>
      <c r="BN302" s="408"/>
      <c r="BO302" s="408"/>
      <c r="BP302" s="408"/>
      <c r="BQ302" s="408"/>
      <c r="BR302" s="408"/>
      <c r="BS302" s="408"/>
      <c r="BT302" s="408"/>
      <c r="BU302" s="408"/>
      <c r="BV302" s="408">
        <v>1871.9115557015414</v>
      </c>
      <c r="BW302" s="408"/>
      <c r="BX302" s="408"/>
      <c r="BY302" s="408"/>
      <c r="BZ302" s="408"/>
      <c r="CA302" s="408"/>
      <c r="CB302" s="408"/>
      <c r="CC302" s="408"/>
      <c r="CD302" s="408"/>
      <c r="CE302" s="408"/>
      <c r="CF302" s="408"/>
      <c r="CG302" s="408"/>
      <c r="CH302" s="408"/>
      <c r="CI302" s="408">
        <v>12157.536599999999</v>
      </c>
      <c r="CJ302" s="408">
        <v>-10942.992799999993</v>
      </c>
      <c r="CK302" s="408"/>
      <c r="CL302" s="408"/>
      <c r="CM302" s="408"/>
      <c r="CN302" s="408"/>
      <c r="CO302" s="408">
        <v>-11052.0146</v>
      </c>
      <c r="CP302" s="408">
        <v>109.05180000000007</v>
      </c>
      <c r="CQ302" s="408">
        <v>31</v>
      </c>
      <c r="CR302" s="408">
        <v>69.931606101877151</v>
      </c>
      <c r="CS302" s="408">
        <v>0</v>
      </c>
      <c r="CT302" s="408">
        <v>0</v>
      </c>
      <c r="CU302" s="408">
        <v>0</v>
      </c>
      <c r="CV302" s="408">
        <v>0</v>
      </c>
      <c r="CW302" s="408">
        <v>0</v>
      </c>
      <c r="CX302" s="408">
        <v>0</v>
      </c>
      <c r="CY302" s="408">
        <v>0</v>
      </c>
      <c r="CZ302" s="408">
        <v>-19.859068841232329</v>
      </c>
      <c r="DA302" s="408">
        <v>0</v>
      </c>
      <c r="DB302" s="408">
        <v>0</v>
      </c>
      <c r="DC302" s="408">
        <v>109.0028962692727</v>
      </c>
      <c r="DD302" s="408">
        <v>0</v>
      </c>
      <c r="DE302" s="408">
        <v>0</v>
      </c>
      <c r="DF302" s="408">
        <v>0.52345740375347027</v>
      </c>
      <c r="DG302" s="408">
        <v>7.0908706643330959</v>
      </c>
      <c r="DH302" s="408">
        <v>0</v>
      </c>
      <c r="DI302" s="408">
        <v>-22.681801510579476</v>
      </c>
      <c r="DJ302" s="408"/>
      <c r="DK302" s="408">
        <v>0</v>
      </c>
      <c r="DL302" s="408">
        <v>0</v>
      </c>
      <c r="DM302" s="408">
        <v>0</v>
      </c>
      <c r="DN302" s="408">
        <v>0</v>
      </c>
      <c r="DO302" s="408">
        <v>-3.5567972701867845</v>
      </c>
      <c r="DP302" s="408">
        <v>-0.58795061348385858</v>
      </c>
      <c r="DQ302" s="408">
        <v>0</v>
      </c>
      <c r="DR302" s="408">
        <v>0</v>
      </c>
      <c r="DS302" s="408"/>
      <c r="DT302" s="408"/>
      <c r="DU302" s="408"/>
      <c r="DV302" s="408">
        <v>16396.293881786783</v>
      </c>
      <c r="DW302" s="408">
        <v>0</v>
      </c>
      <c r="DX302" s="408">
        <v>0</v>
      </c>
      <c r="DY302" s="408">
        <v>-11052.014599999999</v>
      </c>
      <c r="DZ302" s="408">
        <v>109.05180000000018</v>
      </c>
      <c r="EA302" s="408">
        <v>0</v>
      </c>
      <c r="EB302" s="408">
        <v>0</v>
      </c>
      <c r="EC302" s="408">
        <v>-11012.9752577812</v>
      </c>
      <c r="ED302" s="408">
        <v>0</v>
      </c>
      <c r="EE302" s="408">
        <v>0</v>
      </c>
      <c r="EF302" s="408">
        <v>0</v>
      </c>
      <c r="EG302" s="408">
        <v>0</v>
      </c>
      <c r="EH302" s="408">
        <v>0</v>
      </c>
      <c r="EI302" s="408">
        <v>0</v>
      </c>
      <c r="EJ302" s="408">
        <v>0</v>
      </c>
      <c r="EK302" s="408">
        <v>0</v>
      </c>
      <c r="EL302" s="408">
        <v>0</v>
      </c>
      <c r="EM302" s="408">
        <v>0</v>
      </c>
      <c r="EN302" s="408">
        <v>0</v>
      </c>
      <c r="EO302" s="408">
        <v>0</v>
      </c>
      <c r="EP302" s="408">
        <v>0</v>
      </c>
      <c r="EQ302" s="408">
        <v>0</v>
      </c>
      <c r="ER302" s="408">
        <v>0</v>
      </c>
      <c r="ES302" s="408">
        <v>0</v>
      </c>
      <c r="ET302" s="408">
        <v>0</v>
      </c>
      <c r="EU302" s="408">
        <v>0</v>
      </c>
      <c r="EV302" s="408">
        <v>257</v>
      </c>
      <c r="EW302" s="408">
        <v>0</v>
      </c>
      <c r="EX302" s="408">
        <v>0</v>
      </c>
      <c r="EY302" s="408">
        <v>0</v>
      </c>
      <c r="EZ302" s="408"/>
      <c r="FA302" s="408">
        <v>0</v>
      </c>
      <c r="FB302" s="408"/>
      <c r="FC302" s="408"/>
      <c r="FD302" s="408"/>
      <c r="FE302" s="408"/>
      <c r="FF302" s="408">
        <v>0</v>
      </c>
      <c r="FG302" s="408">
        <v>0</v>
      </c>
      <c r="FH302" s="408">
        <v>0</v>
      </c>
      <c r="FI302" s="408">
        <v>0</v>
      </c>
    </row>
    <row r="303" spans="1:165">
      <c r="A303" s="408">
        <v>301</v>
      </c>
      <c r="B303" s="408" t="s">
        <v>2236</v>
      </c>
      <c r="C303" s="408" t="s">
        <v>2241</v>
      </c>
      <c r="D303" s="408" t="s">
        <v>596</v>
      </c>
      <c r="E303" s="408" t="s">
        <v>969</v>
      </c>
      <c r="F303" s="408" t="s">
        <v>1321</v>
      </c>
      <c r="G303" s="408" t="s">
        <v>1321</v>
      </c>
      <c r="H303" s="408" t="s">
        <v>1321</v>
      </c>
      <c r="I303" s="408" t="s">
        <v>972</v>
      </c>
      <c r="J303" s="408" t="s">
        <v>2234</v>
      </c>
      <c r="K303" s="828">
        <v>44621</v>
      </c>
      <c r="L303" s="408">
        <v>0</v>
      </c>
      <c r="M303" s="408">
        <v>0</v>
      </c>
      <c r="N303" s="408">
        <v>1.026</v>
      </c>
      <c r="O303" s="408">
        <v>1.026</v>
      </c>
      <c r="P303" s="408">
        <v>1.026</v>
      </c>
      <c r="Q303" s="408">
        <v>1.026</v>
      </c>
      <c r="R303" s="408"/>
      <c r="S303" s="408">
        <v>3130.62</v>
      </c>
      <c r="T303" s="408">
        <v>256.55</v>
      </c>
      <c r="U303" s="408"/>
      <c r="V303" s="408">
        <v>3475.2364199999997</v>
      </c>
      <c r="W303" s="408">
        <v>3475.2364199999997</v>
      </c>
      <c r="X303" s="408">
        <v>1828.97838</v>
      </c>
      <c r="Y303" s="408">
        <v>0</v>
      </c>
      <c r="Z303" s="408">
        <v>54.87353010945116</v>
      </c>
      <c r="AA303" s="408">
        <v>0</v>
      </c>
      <c r="AB303" s="408">
        <v>0</v>
      </c>
      <c r="AC303" s="408">
        <v>0</v>
      </c>
      <c r="AD303" s="408">
        <v>660.96336626193795</v>
      </c>
      <c r="AE303" s="408">
        <v>2466.6565282570732</v>
      </c>
      <c r="AF303" s="408">
        <v>263.22288729708538</v>
      </c>
      <c r="AG303" s="408">
        <v>0</v>
      </c>
      <c r="AH303" s="408">
        <v>0</v>
      </c>
      <c r="AI303" s="408">
        <v>0</v>
      </c>
      <c r="AJ303" s="408">
        <v>0</v>
      </c>
      <c r="AK303" s="408">
        <v>0</v>
      </c>
      <c r="AL303" s="408">
        <v>9.7513746130629926</v>
      </c>
      <c r="AM303" s="408"/>
      <c r="AN303" s="408">
        <v>1.3841304246799129</v>
      </c>
      <c r="AO303" s="408">
        <v>0</v>
      </c>
      <c r="AP303" s="408">
        <v>0</v>
      </c>
      <c r="AQ303" s="408">
        <v>0</v>
      </c>
      <c r="AR303" s="408">
        <v>0</v>
      </c>
      <c r="AS303" s="408">
        <v>0</v>
      </c>
      <c r="AT303" s="408">
        <v>0</v>
      </c>
      <c r="AU303" s="408">
        <v>0</v>
      </c>
      <c r="AV303" s="408">
        <v>0</v>
      </c>
      <c r="AW303" s="408">
        <v>0</v>
      </c>
      <c r="AX303" s="408">
        <v>0</v>
      </c>
      <c r="AY303" s="408">
        <v>0</v>
      </c>
      <c r="AZ303" s="408">
        <v>0</v>
      </c>
      <c r="BA303" s="408"/>
      <c r="BB303" s="408">
        <v>0</v>
      </c>
      <c r="BC303" s="408">
        <v>0</v>
      </c>
      <c r="BD303" s="408">
        <v>1.2640578728536023</v>
      </c>
      <c r="BE303" s="408">
        <v>0</v>
      </c>
      <c r="BF303" s="408">
        <v>0</v>
      </c>
      <c r="BG303" s="408">
        <v>17.123209690732779</v>
      </c>
      <c r="BH303" s="408">
        <v>0</v>
      </c>
      <c r="BI303" s="408">
        <v>0</v>
      </c>
      <c r="BJ303" s="408">
        <v>0</v>
      </c>
      <c r="BK303" s="408">
        <v>0</v>
      </c>
      <c r="BL303" s="408">
        <v>0</v>
      </c>
      <c r="BM303" s="408"/>
      <c r="BN303" s="408"/>
      <c r="BO303" s="408"/>
      <c r="BP303" s="408"/>
      <c r="BQ303" s="408"/>
      <c r="BR303" s="408"/>
      <c r="BS303" s="408"/>
      <c r="BT303" s="408"/>
      <c r="BU303" s="408"/>
      <c r="BV303" s="408">
        <v>281.61015486067174</v>
      </c>
      <c r="BW303" s="408"/>
      <c r="BX303" s="408"/>
      <c r="BY303" s="408"/>
      <c r="BZ303" s="408"/>
      <c r="CA303" s="408"/>
      <c r="CB303" s="408"/>
      <c r="CC303" s="408"/>
      <c r="CD303" s="408"/>
      <c r="CE303" s="408"/>
      <c r="CF303" s="408"/>
      <c r="CG303" s="408"/>
      <c r="CH303" s="408"/>
      <c r="CI303" s="408">
        <v>1836.1088999999999</v>
      </c>
      <c r="CJ303" s="408">
        <v>-1639.1575200000004</v>
      </c>
      <c r="CK303" s="408"/>
      <c r="CL303" s="408"/>
      <c r="CM303" s="408"/>
      <c r="CN303" s="408"/>
      <c r="CO303" s="408">
        <v>-1662.6637800000001</v>
      </c>
      <c r="CP303" s="408">
        <v>16.405740000000009</v>
      </c>
      <c r="CQ303" s="408">
        <v>31</v>
      </c>
      <c r="CR303" s="408">
        <v>10.520502618845285</v>
      </c>
      <c r="CS303" s="408">
        <v>0</v>
      </c>
      <c r="CT303" s="408">
        <v>0</v>
      </c>
      <c r="CU303" s="408">
        <v>0</v>
      </c>
      <c r="CV303" s="408">
        <v>0</v>
      </c>
      <c r="CW303" s="408">
        <v>0</v>
      </c>
      <c r="CX303" s="408">
        <v>0</v>
      </c>
      <c r="CY303" s="408">
        <v>0</v>
      </c>
      <c r="CZ303" s="408">
        <v>-2.9875959869655162</v>
      </c>
      <c r="DA303" s="408">
        <v>0</v>
      </c>
      <c r="DB303" s="408">
        <v>0</v>
      </c>
      <c r="DC303" s="408">
        <v>16.398382928485887</v>
      </c>
      <c r="DD303" s="408">
        <v>0</v>
      </c>
      <c r="DE303" s="408">
        <v>0</v>
      </c>
      <c r="DF303" s="408">
        <v>7.8748870418043904E-2</v>
      </c>
      <c r="DG303" s="408">
        <v>1.0667497509685866</v>
      </c>
      <c r="DH303" s="408">
        <v>0</v>
      </c>
      <c r="DI303" s="408">
        <v>-3.4122475586297014</v>
      </c>
      <c r="DJ303" s="408"/>
      <c r="DK303" s="408">
        <v>0</v>
      </c>
      <c r="DL303" s="408">
        <v>0</v>
      </c>
      <c r="DM303" s="408">
        <v>0</v>
      </c>
      <c r="DN303" s="408">
        <v>0</v>
      </c>
      <c r="DO303" s="408">
        <v>-0.5350841641072801</v>
      </c>
      <c r="DP303" s="408">
        <v>-8.845122132469796E-2</v>
      </c>
      <c r="DQ303" s="408">
        <v>0</v>
      </c>
      <c r="DR303" s="408">
        <v>0</v>
      </c>
      <c r="DS303" s="408"/>
      <c r="DT303" s="408"/>
      <c r="DU303" s="408"/>
      <c r="DV303" s="408">
        <v>2466.6565282570732</v>
      </c>
      <c r="DW303" s="408">
        <v>0</v>
      </c>
      <c r="DX303" s="408">
        <v>0</v>
      </c>
      <c r="DY303" s="408">
        <v>-1662.6637799999999</v>
      </c>
      <c r="DZ303" s="408">
        <v>16.405740000000037</v>
      </c>
      <c r="EA303" s="408">
        <v>0</v>
      </c>
      <c r="EB303" s="408">
        <v>0</v>
      </c>
      <c r="EC303" s="408">
        <v>-1656.7907059359984</v>
      </c>
      <c r="ED303" s="408">
        <v>0</v>
      </c>
      <c r="EE303" s="408">
        <v>0</v>
      </c>
      <c r="EF303" s="408">
        <v>0</v>
      </c>
      <c r="EG303" s="408">
        <v>0</v>
      </c>
      <c r="EH303" s="408">
        <v>0</v>
      </c>
      <c r="EI303" s="408">
        <v>0</v>
      </c>
      <c r="EJ303" s="408">
        <v>0</v>
      </c>
      <c r="EK303" s="408">
        <v>0</v>
      </c>
      <c r="EL303" s="408">
        <v>0</v>
      </c>
      <c r="EM303" s="408">
        <v>0</v>
      </c>
      <c r="EN303" s="408">
        <v>0</v>
      </c>
      <c r="EO303" s="408">
        <v>0</v>
      </c>
      <c r="EP303" s="408">
        <v>0</v>
      </c>
      <c r="EQ303" s="408">
        <v>0</v>
      </c>
      <c r="ER303" s="408">
        <v>0</v>
      </c>
      <c r="ES303" s="408">
        <v>0</v>
      </c>
      <c r="ET303" s="408">
        <v>0</v>
      </c>
      <c r="EU303" s="408">
        <v>0</v>
      </c>
      <c r="EV303" s="408">
        <v>257</v>
      </c>
      <c r="EW303" s="408">
        <v>0</v>
      </c>
      <c r="EX303" s="408">
        <v>0</v>
      </c>
      <c r="EY303" s="408">
        <v>0</v>
      </c>
      <c r="EZ303" s="408"/>
      <c r="FA303" s="408">
        <v>0</v>
      </c>
      <c r="FB303" s="408"/>
      <c r="FC303" s="408"/>
      <c r="FD303" s="408"/>
      <c r="FE303" s="408"/>
      <c r="FF303" s="408">
        <v>0</v>
      </c>
      <c r="FG303" s="408">
        <v>0</v>
      </c>
      <c r="FH303" s="408">
        <v>0</v>
      </c>
      <c r="FI303" s="408">
        <v>0</v>
      </c>
    </row>
    <row r="304" spans="1:165">
      <c r="A304" s="408">
        <v>302</v>
      </c>
      <c r="B304" s="408" t="s">
        <v>1035</v>
      </c>
      <c r="C304" s="408" t="s">
        <v>2241</v>
      </c>
      <c r="D304" s="408" t="s">
        <v>596</v>
      </c>
      <c r="E304" s="408" t="s">
        <v>969</v>
      </c>
      <c r="F304" s="408" t="s">
        <v>1321</v>
      </c>
      <c r="G304" s="408" t="s">
        <v>1321</v>
      </c>
      <c r="H304" s="408" t="s">
        <v>1321</v>
      </c>
      <c r="I304" s="408" t="s">
        <v>2242</v>
      </c>
      <c r="J304" s="408" t="s">
        <v>2234</v>
      </c>
      <c r="K304" s="828">
        <v>44621</v>
      </c>
      <c r="L304" s="408">
        <v>0</v>
      </c>
      <c r="M304" s="408">
        <v>0</v>
      </c>
      <c r="N304" s="408">
        <v>238.214</v>
      </c>
      <c r="O304" s="408">
        <v>238.214</v>
      </c>
      <c r="P304" s="408">
        <v>238.214</v>
      </c>
      <c r="Q304" s="408">
        <v>238.214</v>
      </c>
      <c r="R304" s="408"/>
      <c r="S304" s="408">
        <v>82.26</v>
      </c>
      <c r="T304" s="408">
        <v>256.55</v>
      </c>
      <c r="U304" s="408"/>
      <c r="V304" s="408">
        <v>80709.285340000002</v>
      </c>
      <c r="W304" s="408">
        <v>80709.285340000002</v>
      </c>
      <c r="X304" s="408">
        <v>83846.563720000006</v>
      </c>
      <c r="Y304" s="408">
        <v>0</v>
      </c>
      <c r="Z304" s="408">
        <v>12740.392886445223</v>
      </c>
      <c r="AA304" s="408">
        <v>0</v>
      </c>
      <c r="AB304" s="408">
        <v>0</v>
      </c>
      <c r="AC304" s="408">
        <v>0</v>
      </c>
      <c r="AD304" s="408">
        <v>0</v>
      </c>
      <c r="AE304" s="408">
        <v>0</v>
      </c>
      <c r="AF304" s="408">
        <v>61114.40241187904</v>
      </c>
      <c r="AG304" s="408">
        <v>0</v>
      </c>
      <c r="AH304" s="408">
        <v>0</v>
      </c>
      <c r="AI304" s="408">
        <v>0</v>
      </c>
      <c r="AJ304" s="408">
        <v>0</v>
      </c>
      <c r="AK304" s="408">
        <v>0</v>
      </c>
      <c r="AL304" s="408">
        <v>2264.0486862341008</v>
      </c>
      <c r="AM304" s="408"/>
      <c r="AN304" s="408">
        <v>321.36378653479608</v>
      </c>
      <c r="AO304" s="408">
        <v>0</v>
      </c>
      <c r="AP304" s="408">
        <v>0</v>
      </c>
      <c r="AQ304" s="408">
        <v>0</v>
      </c>
      <c r="AR304" s="408">
        <v>0</v>
      </c>
      <c r="AS304" s="408">
        <v>0</v>
      </c>
      <c r="AT304" s="408">
        <v>0</v>
      </c>
      <c r="AU304" s="408">
        <v>0</v>
      </c>
      <c r="AV304" s="408">
        <v>0</v>
      </c>
      <c r="AW304" s="408">
        <v>0</v>
      </c>
      <c r="AX304" s="408">
        <v>0</v>
      </c>
      <c r="AY304" s="408">
        <v>0</v>
      </c>
      <c r="AZ304" s="408">
        <v>0</v>
      </c>
      <c r="BA304" s="408"/>
      <c r="BB304" s="408">
        <v>0</v>
      </c>
      <c r="BC304" s="408">
        <v>0</v>
      </c>
      <c r="BD304" s="408">
        <v>293.48565509156725</v>
      </c>
      <c r="BE304" s="408">
        <v>0</v>
      </c>
      <c r="BF304" s="408">
        <v>0</v>
      </c>
      <c r="BG304" s="408">
        <v>3975.6220987019665</v>
      </c>
      <c r="BH304" s="408">
        <v>0</v>
      </c>
      <c r="BI304" s="408">
        <v>0</v>
      </c>
      <c r="BJ304" s="408">
        <v>0</v>
      </c>
      <c r="BK304" s="408">
        <v>0</v>
      </c>
      <c r="BL304" s="408">
        <v>0</v>
      </c>
      <c r="BM304" s="408"/>
      <c r="BN304" s="408"/>
      <c r="BO304" s="408"/>
      <c r="BP304" s="408"/>
      <c r="BQ304" s="408"/>
      <c r="BR304" s="408"/>
      <c r="BS304" s="408"/>
      <c r="BT304" s="408"/>
      <c r="BU304" s="408"/>
      <c r="BV304" s="408">
        <v>65383.510165672575</v>
      </c>
      <c r="BW304" s="408"/>
      <c r="BX304" s="408"/>
      <c r="BY304" s="408"/>
      <c r="BZ304" s="408"/>
      <c r="CA304" s="408"/>
      <c r="CB304" s="408"/>
      <c r="CC304" s="408"/>
      <c r="CD304" s="408"/>
      <c r="CE304" s="408"/>
      <c r="CF304" s="408"/>
      <c r="CG304" s="408"/>
      <c r="CH304" s="408"/>
      <c r="CI304" s="408">
        <v>83845.155800000008</v>
      </c>
      <c r="CJ304" s="408">
        <v>3135.8404600000067</v>
      </c>
      <c r="CK304" s="408"/>
      <c r="CL304" s="408"/>
      <c r="CM304" s="408"/>
      <c r="CN304" s="408"/>
      <c r="CO304" s="408">
        <v>-671.76348000000178</v>
      </c>
      <c r="CP304" s="408">
        <v>3809.0418600000021</v>
      </c>
      <c r="CQ304" s="408">
        <v>31</v>
      </c>
      <c r="CR304" s="408">
        <v>3136.2750499850081</v>
      </c>
      <c r="CS304" s="408">
        <v>0</v>
      </c>
      <c r="CT304" s="408">
        <v>0</v>
      </c>
      <c r="CU304" s="408">
        <v>0</v>
      </c>
      <c r="CV304" s="408">
        <v>0</v>
      </c>
      <c r="CW304" s="408">
        <v>0</v>
      </c>
      <c r="CX304" s="408">
        <v>0</v>
      </c>
      <c r="CY304" s="408">
        <v>0</v>
      </c>
      <c r="CZ304" s="408">
        <v>0</v>
      </c>
      <c r="DA304" s="408">
        <v>0</v>
      </c>
      <c r="DB304" s="408">
        <v>0</v>
      </c>
      <c r="DC304" s="408">
        <v>3807.3337143531535</v>
      </c>
      <c r="DD304" s="408">
        <v>0</v>
      </c>
      <c r="DE304" s="408">
        <v>0</v>
      </c>
      <c r="DF304" s="408">
        <v>18.283707034857628</v>
      </c>
      <c r="DG304" s="408">
        <v>247.6751707380422</v>
      </c>
      <c r="DH304" s="408">
        <v>0</v>
      </c>
      <c r="DI304" s="408">
        <v>-792.24672507935247</v>
      </c>
      <c r="DJ304" s="408"/>
      <c r="DK304" s="408">
        <v>0</v>
      </c>
      <c r="DL304" s="408">
        <v>0</v>
      </c>
      <c r="DM304" s="408">
        <v>0</v>
      </c>
      <c r="DN304" s="408">
        <v>0</v>
      </c>
      <c r="DO304" s="408">
        <v>-124.2344435366972</v>
      </c>
      <c r="DP304" s="408">
        <v>-20.536373524991859</v>
      </c>
      <c r="DQ304" s="408">
        <v>0</v>
      </c>
      <c r="DR304" s="408">
        <v>0</v>
      </c>
      <c r="DS304" s="408"/>
      <c r="DT304" s="408"/>
      <c r="DU304" s="408"/>
      <c r="DV304" s="408">
        <v>0</v>
      </c>
      <c r="DW304" s="408">
        <v>0</v>
      </c>
      <c r="DX304" s="408">
        <v>0</v>
      </c>
      <c r="DY304" s="408">
        <v>-671.76348000000144</v>
      </c>
      <c r="DZ304" s="408">
        <v>3809.0418599999975</v>
      </c>
      <c r="EA304" s="408">
        <v>0</v>
      </c>
      <c r="EB304" s="408">
        <v>0</v>
      </c>
      <c r="EC304" s="408">
        <v>0</v>
      </c>
      <c r="ED304" s="408">
        <v>0</v>
      </c>
      <c r="EE304" s="408">
        <v>0</v>
      </c>
      <c r="EF304" s="408">
        <v>0</v>
      </c>
      <c r="EG304" s="408">
        <v>0</v>
      </c>
      <c r="EH304" s="408">
        <v>0</v>
      </c>
      <c r="EI304" s="408">
        <v>0</v>
      </c>
      <c r="EJ304" s="408">
        <v>0</v>
      </c>
      <c r="EK304" s="408">
        <v>0</v>
      </c>
      <c r="EL304" s="408">
        <v>0</v>
      </c>
      <c r="EM304" s="408">
        <v>0</v>
      </c>
      <c r="EN304" s="408">
        <v>0</v>
      </c>
      <c r="EO304" s="408">
        <v>0</v>
      </c>
      <c r="EP304" s="408">
        <v>0</v>
      </c>
      <c r="EQ304" s="408">
        <v>0</v>
      </c>
      <c r="ER304" s="408">
        <v>0</v>
      </c>
      <c r="ES304" s="408">
        <v>0</v>
      </c>
      <c r="ET304" s="408">
        <v>0</v>
      </c>
      <c r="EU304" s="408">
        <v>0</v>
      </c>
      <c r="EV304" s="408">
        <v>257</v>
      </c>
      <c r="EW304" s="408">
        <v>0</v>
      </c>
      <c r="EX304" s="408">
        <v>0</v>
      </c>
      <c r="EY304" s="408">
        <v>0</v>
      </c>
      <c r="EZ304" s="408"/>
      <c r="FA304" s="408">
        <v>0</v>
      </c>
      <c r="FB304" s="408"/>
      <c r="FC304" s="408"/>
      <c r="FD304" s="408"/>
      <c r="FE304" s="408"/>
      <c r="FF304" s="408">
        <v>0</v>
      </c>
      <c r="FG304" s="408">
        <v>0</v>
      </c>
      <c r="FH304" s="408">
        <v>0</v>
      </c>
      <c r="FI304" s="408">
        <v>0</v>
      </c>
    </row>
    <row r="305" spans="1:165">
      <c r="A305" s="408">
        <v>303</v>
      </c>
      <c r="B305" s="408" t="s">
        <v>2236</v>
      </c>
      <c r="C305" s="408" t="s">
        <v>2241</v>
      </c>
      <c r="D305" s="408" t="s">
        <v>596</v>
      </c>
      <c r="E305" s="408" t="s">
        <v>969</v>
      </c>
      <c r="F305" s="408" t="s">
        <v>1321</v>
      </c>
      <c r="G305" s="408" t="s">
        <v>1321</v>
      </c>
      <c r="H305" s="408" t="s">
        <v>1321</v>
      </c>
      <c r="I305" s="408" t="s">
        <v>2242</v>
      </c>
      <c r="J305" s="408" t="s">
        <v>2234</v>
      </c>
      <c r="K305" s="828">
        <v>44621</v>
      </c>
      <c r="L305" s="408">
        <v>0</v>
      </c>
      <c r="M305" s="408">
        <v>0</v>
      </c>
      <c r="N305" s="408">
        <v>10.927</v>
      </c>
      <c r="O305" s="408">
        <v>10.927</v>
      </c>
      <c r="P305" s="408">
        <v>10.927</v>
      </c>
      <c r="Q305" s="408">
        <v>10.927</v>
      </c>
      <c r="R305" s="408"/>
      <c r="S305" s="408">
        <v>82.26</v>
      </c>
      <c r="T305" s="408">
        <v>256.55</v>
      </c>
      <c r="U305" s="408"/>
      <c r="V305" s="408">
        <v>3702.1768699999998</v>
      </c>
      <c r="W305" s="408">
        <v>3702.1768699999998</v>
      </c>
      <c r="X305" s="408">
        <v>3846.0854600000002</v>
      </c>
      <c r="Y305" s="408">
        <v>0</v>
      </c>
      <c r="Z305" s="408">
        <v>584.40844396293642</v>
      </c>
      <c r="AA305" s="408">
        <v>0</v>
      </c>
      <c r="AB305" s="408">
        <v>0</v>
      </c>
      <c r="AC305" s="408">
        <v>0</v>
      </c>
      <c r="AD305" s="408">
        <v>0</v>
      </c>
      <c r="AE305" s="408">
        <v>0</v>
      </c>
      <c r="AF305" s="408">
        <v>2803.3494049661322</v>
      </c>
      <c r="AG305" s="408">
        <v>0</v>
      </c>
      <c r="AH305" s="408">
        <v>0</v>
      </c>
      <c r="AI305" s="408">
        <v>0</v>
      </c>
      <c r="AJ305" s="408">
        <v>0</v>
      </c>
      <c r="AK305" s="408">
        <v>0</v>
      </c>
      <c r="AL305" s="408">
        <v>103.85309005549641</v>
      </c>
      <c r="AM305" s="408"/>
      <c r="AN305" s="408">
        <v>14.741123928340553</v>
      </c>
      <c r="AO305" s="408">
        <v>0</v>
      </c>
      <c r="AP305" s="408">
        <v>0</v>
      </c>
      <c r="AQ305" s="408">
        <v>0</v>
      </c>
      <c r="AR305" s="408">
        <v>0</v>
      </c>
      <c r="AS305" s="408">
        <v>0</v>
      </c>
      <c r="AT305" s="408">
        <v>0</v>
      </c>
      <c r="AU305" s="408">
        <v>0</v>
      </c>
      <c r="AV305" s="408">
        <v>0</v>
      </c>
      <c r="AW305" s="408">
        <v>0</v>
      </c>
      <c r="AX305" s="408">
        <v>0</v>
      </c>
      <c r="AY305" s="408">
        <v>0</v>
      </c>
      <c r="AZ305" s="408">
        <v>0</v>
      </c>
      <c r="BA305" s="408"/>
      <c r="BB305" s="408">
        <v>0</v>
      </c>
      <c r="BC305" s="408">
        <v>0</v>
      </c>
      <c r="BD305" s="408">
        <v>13.462339548412585</v>
      </c>
      <c r="BE305" s="408">
        <v>0</v>
      </c>
      <c r="BF305" s="408">
        <v>0</v>
      </c>
      <c r="BG305" s="408">
        <v>182.36385213512384</v>
      </c>
      <c r="BH305" s="408">
        <v>0</v>
      </c>
      <c r="BI305" s="408">
        <v>0</v>
      </c>
      <c r="BJ305" s="408">
        <v>0</v>
      </c>
      <c r="BK305" s="408">
        <v>0</v>
      </c>
      <c r="BL305" s="408">
        <v>0</v>
      </c>
      <c r="BM305" s="408"/>
      <c r="BN305" s="408"/>
      <c r="BO305" s="408"/>
      <c r="BP305" s="408"/>
      <c r="BQ305" s="408"/>
      <c r="BR305" s="408"/>
      <c r="BS305" s="408"/>
      <c r="BT305" s="408"/>
      <c r="BU305" s="408"/>
      <c r="BV305" s="408">
        <v>2999.1755966496689</v>
      </c>
      <c r="BW305" s="408"/>
      <c r="BX305" s="408"/>
      <c r="BY305" s="408"/>
      <c r="BZ305" s="408"/>
      <c r="CA305" s="408"/>
      <c r="CB305" s="408"/>
      <c r="CC305" s="408"/>
      <c r="CD305" s="408"/>
      <c r="CE305" s="408"/>
      <c r="CF305" s="408"/>
      <c r="CG305" s="408"/>
      <c r="CH305" s="408"/>
      <c r="CI305" s="408">
        <v>3847.1414</v>
      </c>
      <c r="CJ305" s="408">
        <v>144.93453</v>
      </c>
      <c r="CK305" s="408"/>
      <c r="CL305" s="408"/>
      <c r="CM305" s="408"/>
      <c r="CN305" s="408"/>
      <c r="CO305" s="408">
        <v>-30.81414000000008</v>
      </c>
      <c r="CP305" s="408">
        <v>174.7227300000001</v>
      </c>
      <c r="CQ305" s="408">
        <v>31</v>
      </c>
      <c r="CR305" s="408">
        <v>143.86256673069647</v>
      </c>
      <c r="CS305" s="408">
        <v>0</v>
      </c>
      <c r="CT305" s="408">
        <v>0</v>
      </c>
      <c r="CU305" s="408">
        <v>0</v>
      </c>
      <c r="CV305" s="408">
        <v>0</v>
      </c>
      <c r="CW305" s="408">
        <v>0</v>
      </c>
      <c r="CX305" s="408">
        <v>0</v>
      </c>
      <c r="CY305" s="408">
        <v>0</v>
      </c>
      <c r="CZ305" s="408">
        <v>0</v>
      </c>
      <c r="DA305" s="408">
        <v>0</v>
      </c>
      <c r="DB305" s="408">
        <v>0</v>
      </c>
      <c r="DC305" s="408">
        <v>174.64437647131126</v>
      </c>
      <c r="DD305" s="408">
        <v>0</v>
      </c>
      <c r="DE305" s="408">
        <v>0</v>
      </c>
      <c r="DF305" s="408">
        <v>0.83868314528066712</v>
      </c>
      <c r="DG305" s="408">
        <v>11.360988819526057</v>
      </c>
      <c r="DH305" s="408">
        <v>0</v>
      </c>
      <c r="DI305" s="408">
        <v>-36.34076907714109</v>
      </c>
      <c r="DJ305" s="408"/>
      <c r="DK305" s="408">
        <v>0</v>
      </c>
      <c r="DL305" s="408">
        <v>0</v>
      </c>
      <c r="DM305" s="408">
        <v>0</v>
      </c>
      <c r="DN305" s="408">
        <v>0</v>
      </c>
      <c r="DO305" s="408">
        <v>-5.6986985001951638</v>
      </c>
      <c r="DP305" s="408">
        <v>-0.94201412808477158</v>
      </c>
      <c r="DQ305" s="408">
        <v>0</v>
      </c>
      <c r="DR305" s="408">
        <v>0</v>
      </c>
      <c r="DS305" s="408"/>
      <c r="DT305" s="408"/>
      <c r="DU305" s="408"/>
      <c r="DV305" s="408">
        <v>0</v>
      </c>
      <c r="DW305" s="408">
        <v>0</v>
      </c>
      <c r="DX305" s="408">
        <v>0</v>
      </c>
      <c r="DY305" s="408">
        <v>-30.814140000000066</v>
      </c>
      <c r="DZ305" s="408">
        <v>174.72273000000041</v>
      </c>
      <c r="EA305" s="408">
        <v>0</v>
      </c>
      <c r="EB305" s="408">
        <v>0</v>
      </c>
      <c r="EC305" s="408">
        <v>0</v>
      </c>
      <c r="ED305" s="408">
        <v>0</v>
      </c>
      <c r="EE305" s="408">
        <v>0</v>
      </c>
      <c r="EF305" s="408">
        <v>0</v>
      </c>
      <c r="EG305" s="408">
        <v>0</v>
      </c>
      <c r="EH305" s="408">
        <v>0</v>
      </c>
      <c r="EI305" s="408">
        <v>0</v>
      </c>
      <c r="EJ305" s="408">
        <v>0</v>
      </c>
      <c r="EK305" s="408">
        <v>0</v>
      </c>
      <c r="EL305" s="408">
        <v>0</v>
      </c>
      <c r="EM305" s="408">
        <v>0</v>
      </c>
      <c r="EN305" s="408">
        <v>0</v>
      </c>
      <c r="EO305" s="408">
        <v>0</v>
      </c>
      <c r="EP305" s="408">
        <v>0</v>
      </c>
      <c r="EQ305" s="408">
        <v>0</v>
      </c>
      <c r="ER305" s="408">
        <v>0</v>
      </c>
      <c r="ES305" s="408">
        <v>0</v>
      </c>
      <c r="ET305" s="408">
        <v>0</v>
      </c>
      <c r="EU305" s="408">
        <v>0</v>
      </c>
      <c r="EV305" s="408">
        <v>257</v>
      </c>
      <c r="EW305" s="408">
        <v>0</v>
      </c>
      <c r="EX305" s="408">
        <v>0</v>
      </c>
      <c r="EY305" s="408">
        <v>0</v>
      </c>
      <c r="EZ305" s="408"/>
      <c r="FA305" s="408">
        <v>0</v>
      </c>
      <c r="FB305" s="408"/>
      <c r="FC305" s="408"/>
      <c r="FD305" s="408"/>
      <c r="FE305" s="408"/>
      <c r="FF305" s="408">
        <v>0</v>
      </c>
      <c r="FG305" s="408">
        <v>0</v>
      </c>
      <c r="FH305" s="408">
        <v>0</v>
      </c>
      <c r="FI305" s="408">
        <v>0</v>
      </c>
    </row>
    <row r="306" spans="1:165">
      <c r="A306" s="408">
        <v>304</v>
      </c>
      <c r="B306" s="408" t="s">
        <v>1035</v>
      </c>
      <c r="C306" s="408" t="s">
        <v>2241</v>
      </c>
      <c r="D306" s="408" t="s">
        <v>596</v>
      </c>
      <c r="E306" s="408" t="s">
        <v>969</v>
      </c>
      <c r="F306" s="408" t="s">
        <v>1321</v>
      </c>
      <c r="G306" s="408" t="s">
        <v>1321</v>
      </c>
      <c r="H306" s="408" t="s">
        <v>1321</v>
      </c>
      <c r="I306" s="408" t="s">
        <v>1321</v>
      </c>
      <c r="J306" s="408" t="s">
        <v>2234</v>
      </c>
      <c r="K306" s="828">
        <v>44621</v>
      </c>
      <c r="L306" s="408">
        <v>1530</v>
      </c>
      <c r="M306" s="408">
        <v>1530</v>
      </c>
      <c r="N306" s="408">
        <v>0</v>
      </c>
      <c r="O306" s="408">
        <v>0</v>
      </c>
      <c r="P306" s="408">
        <v>0</v>
      </c>
      <c r="Q306" s="408">
        <v>0</v>
      </c>
      <c r="R306" s="408">
        <v>47.39</v>
      </c>
      <c r="S306" s="408"/>
      <c r="T306" s="408"/>
      <c r="U306" s="408">
        <v>72506.7</v>
      </c>
      <c r="V306" s="408"/>
      <c r="W306" s="408">
        <v>72506.7</v>
      </c>
      <c r="X306" s="408">
        <v>49296.6</v>
      </c>
      <c r="Y306" s="408">
        <v>0</v>
      </c>
      <c r="Z306" s="408">
        <v>0</v>
      </c>
      <c r="AA306" s="408">
        <v>0</v>
      </c>
      <c r="AB306" s="408">
        <v>0</v>
      </c>
      <c r="AC306" s="408">
        <v>0</v>
      </c>
      <c r="AD306" s="408">
        <v>38204.253274582523</v>
      </c>
      <c r="AE306" s="408">
        <v>34302.396885966133</v>
      </c>
      <c r="AF306" s="408"/>
      <c r="AG306" s="408"/>
      <c r="AH306" s="408"/>
      <c r="AI306" s="408">
        <v>0</v>
      </c>
      <c r="AJ306" s="408">
        <v>0</v>
      </c>
      <c r="AK306" s="408">
        <v>0</v>
      </c>
      <c r="AL306" s="408">
        <v>0</v>
      </c>
      <c r="AM306" s="408"/>
      <c r="AN306" s="408">
        <v>0</v>
      </c>
      <c r="AO306" s="408">
        <v>0</v>
      </c>
      <c r="AP306" s="408">
        <v>0</v>
      </c>
      <c r="AQ306" s="408">
        <v>0</v>
      </c>
      <c r="AR306" s="408">
        <v>0</v>
      </c>
      <c r="AS306" s="408"/>
      <c r="AT306" s="408"/>
      <c r="AU306" s="408">
        <v>0</v>
      </c>
      <c r="AV306" s="408">
        <v>0</v>
      </c>
      <c r="AW306" s="408">
        <v>0</v>
      </c>
      <c r="AX306" s="408"/>
      <c r="AY306" s="408"/>
      <c r="AZ306" s="408">
        <v>0</v>
      </c>
      <c r="BA306" s="408"/>
      <c r="BB306" s="408">
        <v>0</v>
      </c>
      <c r="BC306" s="408">
        <v>0</v>
      </c>
      <c r="BD306" s="408">
        <v>0</v>
      </c>
      <c r="BE306" s="408">
        <v>0</v>
      </c>
      <c r="BF306" s="408"/>
      <c r="BG306" s="408">
        <v>0</v>
      </c>
      <c r="BH306" s="408">
        <v>0</v>
      </c>
      <c r="BI306" s="408">
        <v>0</v>
      </c>
      <c r="BJ306" s="408">
        <v>0</v>
      </c>
      <c r="BK306" s="408">
        <v>35725.17</v>
      </c>
      <c r="BL306" s="408">
        <v>10</v>
      </c>
      <c r="BM306" s="408"/>
      <c r="BN306" s="408"/>
      <c r="BO306" s="408"/>
      <c r="BP306" s="408"/>
      <c r="BQ306" s="408"/>
      <c r="BR306" s="408"/>
      <c r="BS306" s="408"/>
      <c r="BT306" s="408"/>
      <c r="BU306" s="408"/>
      <c r="BV306" s="408">
        <v>0</v>
      </c>
      <c r="BW306" s="408"/>
      <c r="BX306" s="408"/>
      <c r="BY306" s="408"/>
      <c r="BZ306" s="408"/>
      <c r="CA306" s="408"/>
      <c r="CB306" s="408"/>
      <c r="CC306" s="408"/>
      <c r="CD306" s="408"/>
      <c r="CE306" s="408"/>
      <c r="CF306" s="408"/>
      <c r="CG306" s="408"/>
      <c r="CH306" s="408"/>
      <c r="CI306" s="408">
        <v>49296.6</v>
      </c>
      <c r="CJ306" s="408">
        <v>-23210.129999999983</v>
      </c>
      <c r="CK306" s="408"/>
      <c r="CL306" s="408"/>
      <c r="CM306" s="408"/>
      <c r="CN306" s="408"/>
      <c r="CO306" s="408">
        <v>-23210.100000000002</v>
      </c>
      <c r="CP306" s="408">
        <v>0</v>
      </c>
      <c r="CQ306" s="408">
        <v>31</v>
      </c>
      <c r="CR306" s="408">
        <v>-172.68562766750983</v>
      </c>
      <c r="CS306" s="408">
        <v>0</v>
      </c>
      <c r="CT306" s="408">
        <v>0</v>
      </c>
      <c r="CU306" s="408">
        <v>0</v>
      </c>
      <c r="CV306" s="408">
        <v>0</v>
      </c>
      <c r="CW306" s="408"/>
      <c r="CX306" s="408"/>
      <c r="CY306" s="408"/>
      <c r="CZ306" s="408">
        <v>-172.68562766750983</v>
      </c>
      <c r="DA306" s="408">
        <v>0</v>
      </c>
      <c r="DB306" s="408">
        <v>0</v>
      </c>
      <c r="DC306" s="408"/>
      <c r="DD306" s="408"/>
      <c r="DE306" s="408">
        <v>0</v>
      </c>
      <c r="DF306" s="408">
        <v>0</v>
      </c>
      <c r="DG306" s="408">
        <v>0</v>
      </c>
      <c r="DH306" s="408">
        <v>0</v>
      </c>
      <c r="DI306" s="408">
        <v>0</v>
      </c>
      <c r="DJ306" s="408"/>
      <c r="DK306" s="408">
        <v>0</v>
      </c>
      <c r="DL306" s="408">
        <v>0</v>
      </c>
      <c r="DM306" s="408"/>
      <c r="DN306" s="408">
        <v>0</v>
      </c>
      <c r="DO306" s="408">
        <v>0</v>
      </c>
      <c r="DP306" s="408">
        <v>0</v>
      </c>
      <c r="DQ306" s="408">
        <v>0</v>
      </c>
      <c r="DR306" s="408">
        <v>0</v>
      </c>
      <c r="DS306" s="408"/>
      <c r="DT306" s="408"/>
      <c r="DU306" s="408">
        <v>34302.396885966133</v>
      </c>
      <c r="DV306" s="408"/>
      <c r="DW306" s="408">
        <v>0</v>
      </c>
      <c r="DX306" s="408">
        <v>0</v>
      </c>
      <c r="DY306" s="408">
        <v>-23210.1</v>
      </c>
      <c r="DZ306" s="408"/>
      <c r="EA306" s="408">
        <v>0</v>
      </c>
      <c r="EB306" s="408"/>
      <c r="EC306" s="408">
        <v>-23040.051057353245</v>
      </c>
      <c r="ED306" s="408"/>
      <c r="EE306" s="408">
        <v>0</v>
      </c>
      <c r="EF306" s="408">
        <v>0</v>
      </c>
      <c r="EG306" s="408"/>
      <c r="EH306" s="408">
        <v>0</v>
      </c>
      <c r="EI306" s="408">
        <v>0</v>
      </c>
      <c r="EJ306" s="408">
        <v>0</v>
      </c>
      <c r="EK306" s="408">
        <v>0</v>
      </c>
      <c r="EL306" s="408">
        <v>0</v>
      </c>
      <c r="EM306" s="408"/>
      <c r="EN306" s="408"/>
      <c r="EO306" s="408">
        <v>0</v>
      </c>
      <c r="EP306" s="408">
        <v>0</v>
      </c>
      <c r="EQ306" s="408"/>
      <c r="ER306" s="408">
        <v>0</v>
      </c>
      <c r="ES306" s="408"/>
      <c r="ET306" s="408">
        <v>0</v>
      </c>
      <c r="EU306" s="408"/>
      <c r="EV306" s="408">
        <v>257</v>
      </c>
      <c r="EW306" s="408"/>
      <c r="EX306" s="408"/>
      <c r="EY306" s="408"/>
      <c r="EZ306" s="408"/>
      <c r="FA306" s="408">
        <v>0</v>
      </c>
      <c r="FB306" s="408"/>
      <c r="FC306" s="408"/>
      <c r="FD306" s="408"/>
      <c r="FE306" s="408"/>
      <c r="FF306" s="408">
        <v>0</v>
      </c>
      <c r="FG306" s="408">
        <v>0</v>
      </c>
      <c r="FH306" s="408">
        <v>0</v>
      </c>
      <c r="FI306" s="408">
        <v>0</v>
      </c>
    </row>
    <row r="307" spans="1:165">
      <c r="A307" s="408">
        <v>305</v>
      </c>
      <c r="B307" s="408" t="s">
        <v>2236</v>
      </c>
      <c r="C307" s="408" t="s">
        <v>2241</v>
      </c>
      <c r="D307" s="408" t="s">
        <v>596</v>
      </c>
      <c r="E307" s="408" t="s">
        <v>969</v>
      </c>
      <c r="F307" s="408" t="s">
        <v>1321</v>
      </c>
      <c r="G307" s="408" t="s">
        <v>1321</v>
      </c>
      <c r="H307" s="408" t="s">
        <v>1321</v>
      </c>
      <c r="I307" s="408" t="s">
        <v>1321</v>
      </c>
      <c r="J307" s="408" t="s">
        <v>2234</v>
      </c>
      <c r="K307" s="828">
        <v>44621</v>
      </c>
      <c r="L307" s="408">
        <v>726</v>
      </c>
      <c r="M307" s="408">
        <v>726</v>
      </c>
      <c r="N307" s="408">
        <v>0</v>
      </c>
      <c r="O307" s="408">
        <v>0</v>
      </c>
      <c r="P307" s="408">
        <v>0</v>
      </c>
      <c r="Q307" s="408">
        <v>0</v>
      </c>
      <c r="R307" s="408">
        <v>47.39</v>
      </c>
      <c r="S307" s="408"/>
      <c r="T307" s="408"/>
      <c r="U307" s="408">
        <v>34405.14</v>
      </c>
      <c r="V307" s="408"/>
      <c r="W307" s="408">
        <v>34405.14</v>
      </c>
      <c r="X307" s="408">
        <v>23391.719999999998</v>
      </c>
      <c r="Y307" s="408">
        <v>0</v>
      </c>
      <c r="Z307" s="408">
        <v>0</v>
      </c>
      <c r="AA307" s="408">
        <v>0</v>
      </c>
      <c r="AB307" s="408">
        <v>0</v>
      </c>
      <c r="AC307" s="408">
        <v>0</v>
      </c>
      <c r="AD307" s="408">
        <v>18128.292730292098</v>
      </c>
      <c r="AE307" s="408">
        <v>16276.823620399617</v>
      </c>
      <c r="AF307" s="408"/>
      <c r="AG307" s="408"/>
      <c r="AH307" s="408"/>
      <c r="AI307" s="408">
        <v>0</v>
      </c>
      <c r="AJ307" s="408">
        <v>0</v>
      </c>
      <c r="AK307" s="408">
        <v>0</v>
      </c>
      <c r="AL307" s="408">
        <v>0</v>
      </c>
      <c r="AM307" s="408"/>
      <c r="AN307" s="408">
        <v>0</v>
      </c>
      <c r="AO307" s="408">
        <v>0</v>
      </c>
      <c r="AP307" s="408">
        <v>0</v>
      </c>
      <c r="AQ307" s="408">
        <v>0</v>
      </c>
      <c r="AR307" s="408">
        <v>0</v>
      </c>
      <c r="AS307" s="408"/>
      <c r="AT307" s="408"/>
      <c r="AU307" s="408">
        <v>0</v>
      </c>
      <c r="AV307" s="408">
        <v>0</v>
      </c>
      <c r="AW307" s="408">
        <v>0</v>
      </c>
      <c r="AX307" s="408"/>
      <c r="AY307" s="408"/>
      <c r="AZ307" s="408">
        <v>0</v>
      </c>
      <c r="BA307" s="408"/>
      <c r="BB307" s="408">
        <v>0</v>
      </c>
      <c r="BC307" s="408">
        <v>0</v>
      </c>
      <c r="BD307" s="408">
        <v>0</v>
      </c>
      <c r="BE307" s="408">
        <v>0</v>
      </c>
      <c r="BF307" s="408"/>
      <c r="BG307" s="408">
        <v>0</v>
      </c>
      <c r="BH307" s="408">
        <v>0</v>
      </c>
      <c r="BI307" s="408">
        <v>0</v>
      </c>
      <c r="BJ307" s="408">
        <v>0</v>
      </c>
      <c r="BK307" s="408">
        <v>7362.05</v>
      </c>
      <c r="BL307" s="408">
        <v>5</v>
      </c>
      <c r="BM307" s="408"/>
      <c r="BN307" s="408"/>
      <c r="BO307" s="408"/>
      <c r="BP307" s="408"/>
      <c r="BQ307" s="408"/>
      <c r="BR307" s="408"/>
      <c r="BS307" s="408"/>
      <c r="BT307" s="408"/>
      <c r="BU307" s="408"/>
      <c r="BV307" s="408">
        <v>0</v>
      </c>
      <c r="BW307" s="408"/>
      <c r="BX307" s="408"/>
      <c r="BY307" s="408"/>
      <c r="BZ307" s="408"/>
      <c r="CA307" s="408"/>
      <c r="CB307" s="408"/>
      <c r="CC307" s="408"/>
      <c r="CD307" s="408"/>
      <c r="CE307" s="408"/>
      <c r="CF307" s="408"/>
      <c r="CG307" s="408"/>
      <c r="CH307" s="408"/>
      <c r="CI307" s="408">
        <v>23391.719999999998</v>
      </c>
      <c r="CJ307" s="408">
        <v>-11013.450000000008</v>
      </c>
      <c r="CK307" s="408"/>
      <c r="CL307" s="408"/>
      <c r="CM307" s="408"/>
      <c r="CN307" s="408"/>
      <c r="CO307" s="408">
        <v>-11013.420000000002</v>
      </c>
      <c r="CP307" s="408">
        <v>0</v>
      </c>
      <c r="CQ307" s="408">
        <v>31</v>
      </c>
      <c r="CR307" s="408">
        <v>-81.941023324583512</v>
      </c>
      <c r="CS307" s="408">
        <v>0</v>
      </c>
      <c r="CT307" s="408">
        <v>0</v>
      </c>
      <c r="CU307" s="408">
        <v>0</v>
      </c>
      <c r="CV307" s="408">
        <v>0</v>
      </c>
      <c r="CW307" s="408"/>
      <c r="CX307" s="408"/>
      <c r="CY307" s="408"/>
      <c r="CZ307" s="408">
        <v>-81.941023324583512</v>
      </c>
      <c r="DA307" s="408">
        <v>0</v>
      </c>
      <c r="DB307" s="408">
        <v>0</v>
      </c>
      <c r="DC307" s="408"/>
      <c r="DD307" s="408"/>
      <c r="DE307" s="408">
        <v>0</v>
      </c>
      <c r="DF307" s="408">
        <v>0</v>
      </c>
      <c r="DG307" s="408">
        <v>0</v>
      </c>
      <c r="DH307" s="408">
        <v>0</v>
      </c>
      <c r="DI307" s="408">
        <v>0</v>
      </c>
      <c r="DJ307" s="408"/>
      <c r="DK307" s="408">
        <v>0</v>
      </c>
      <c r="DL307" s="408">
        <v>0</v>
      </c>
      <c r="DM307" s="408"/>
      <c r="DN307" s="408">
        <v>0</v>
      </c>
      <c r="DO307" s="408">
        <v>0</v>
      </c>
      <c r="DP307" s="408">
        <v>0</v>
      </c>
      <c r="DQ307" s="408">
        <v>0</v>
      </c>
      <c r="DR307" s="408">
        <v>0</v>
      </c>
      <c r="DS307" s="408"/>
      <c r="DT307" s="408"/>
      <c r="DU307" s="408">
        <v>16276.823620399617</v>
      </c>
      <c r="DV307" s="408"/>
      <c r="DW307" s="408">
        <v>0</v>
      </c>
      <c r="DX307" s="408">
        <v>0</v>
      </c>
      <c r="DY307" s="408">
        <v>-11013.420000000002</v>
      </c>
      <c r="DZ307" s="408"/>
      <c r="EA307" s="408">
        <v>0</v>
      </c>
      <c r="EB307" s="408"/>
      <c r="EC307" s="408">
        <v>-10932.730109567619</v>
      </c>
      <c r="ED307" s="408"/>
      <c r="EE307" s="408">
        <v>0</v>
      </c>
      <c r="EF307" s="408">
        <v>0</v>
      </c>
      <c r="EG307" s="408"/>
      <c r="EH307" s="408">
        <v>0</v>
      </c>
      <c r="EI307" s="408">
        <v>0</v>
      </c>
      <c r="EJ307" s="408">
        <v>0</v>
      </c>
      <c r="EK307" s="408">
        <v>0</v>
      </c>
      <c r="EL307" s="408">
        <v>0</v>
      </c>
      <c r="EM307" s="408"/>
      <c r="EN307" s="408"/>
      <c r="EO307" s="408">
        <v>0</v>
      </c>
      <c r="EP307" s="408">
        <v>0</v>
      </c>
      <c r="EQ307" s="408"/>
      <c r="ER307" s="408">
        <v>0</v>
      </c>
      <c r="ES307" s="408"/>
      <c r="ET307" s="408">
        <v>0</v>
      </c>
      <c r="EU307" s="408"/>
      <c r="EV307" s="408">
        <v>257</v>
      </c>
      <c r="EW307" s="408"/>
      <c r="EX307" s="408"/>
      <c r="EY307" s="408"/>
      <c r="EZ307" s="408"/>
      <c r="FA307" s="408">
        <v>0</v>
      </c>
      <c r="FB307" s="408"/>
      <c r="FC307" s="408"/>
      <c r="FD307" s="408"/>
      <c r="FE307" s="408"/>
      <c r="FF307" s="408">
        <v>0</v>
      </c>
      <c r="FG307" s="408">
        <v>0</v>
      </c>
      <c r="FH307" s="408">
        <v>0</v>
      </c>
      <c r="FI307" s="408">
        <v>0</v>
      </c>
    </row>
    <row r="308" spans="1:165">
      <c r="A308" s="408">
        <v>306</v>
      </c>
      <c r="B308" s="408" t="s">
        <v>1035</v>
      </c>
      <c r="C308" s="408" t="s">
        <v>2233</v>
      </c>
      <c r="D308" s="408" t="s">
        <v>1958</v>
      </c>
      <c r="E308" s="408" t="s">
        <v>997</v>
      </c>
      <c r="F308" s="408" t="s">
        <v>1321</v>
      </c>
      <c r="G308" s="408" t="s">
        <v>1321</v>
      </c>
      <c r="H308" s="408" t="s">
        <v>1321</v>
      </c>
      <c r="I308" s="408" t="s">
        <v>1321</v>
      </c>
      <c r="J308" s="408" t="s">
        <v>2234</v>
      </c>
      <c r="K308" s="828">
        <v>44621</v>
      </c>
      <c r="L308" s="408">
        <v>0</v>
      </c>
      <c r="M308" s="408">
        <v>0</v>
      </c>
      <c r="N308" s="408">
        <v>400.20699999999999</v>
      </c>
      <c r="O308" s="408">
        <v>400.20699999999999</v>
      </c>
      <c r="P308" s="408">
        <v>400.20699999999999</v>
      </c>
      <c r="Q308" s="408">
        <v>400.20699999999999</v>
      </c>
      <c r="R308" s="408"/>
      <c r="S308" s="408">
        <v>710.91</v>
      </c>
      <c r="T308" s="408">
        <v>256.55</v>
      </c>
      <c r="U308" s="408"/>
      <c r="V308" s="408">
        <v>387184.26421999995</v>
      </c>
      <c r="W308" s="408">
        <v>387184.26421999995</v>
      </c>
      <c r="X308" s="408">
        <v>264308.70900999999</v>
      </c>
      <c r="Y308" s="408">
        <v>0</v>
      </c>
      <c r="Z308" s="408">
        <v>24602.597818235219</v>
      </c>
      <c r="AA308" s="408">
        <v>0</v>
      </c>
      <c r="AB308" s="408">
        <v>0</v>
      </c>
      <c r="AC308" s="408">
        <v>0</v>
      </c>
      <c r="AD308" s="408">
        <v>49258.594058838098</v>
      </c>
      <c r="AE308" s="408">
        <v>190862.74505688847</v>
      </c>
      <c r="AF308" s="408">
        <v>102674.11506481934</v>
      </c>
      <c r="AG308" s="408">
        <v>0</v>
      </c>
      <c r="AH308" s="408">
        <v>0</v>
      </c>
      <c r="AI308" s="408">
        <v>0</v>
      </c>
      <c r="AJ308" s="408">
        <v>0</v>
      </c>
      <c r="AK308" s="408">
        <v>0</v>
      </c>
      <c r="AL308" s="408">
        <v>3803.6728847661802</v>
      </c>
      <c r="AM308" s="408"/>
      <c r="AN308" s="408">
        <v>878.77639008904782</v>
      </c>
      <c r="AO308" s="408">
        <v>0</v>
      </c>
      <c r="AP308" s="408">
        <v>0</v>
      </c>
      <c r="AQ308" s="408">
        <v>0</v>
      </c>
      <c r="AR308" s="408">
        <v>0</v>
      </c>
      <c r="AS308" s="408">
        <v>0</v>
      </c>
      <c r="AT308" s="408">
        <v>0</v>
      </c>
      <c r="AU308" s="408">
        <v>0</v>
      </c>
      <c r="AV308" s="408">
        <v>0</v>
      </c>
      <c r="AW308" s="408">
        <v>0</v>
      </c>
      <c r="AX308" s="408">
        <v>0</v>
      </c>
      <c r="AY308" s="408">
        <v>0</v>
      </c>
      <c r="AZ308" s="408">
        <v>0</v>
      </c>
      <c r="BA308" s="408"/>
      <c r="BB308" s="408">
        <v>0</v>
      </c>
      <c r="BC308" s="408">
        <v>0</v>
      </c>
      <c r="BD308" s="408">
        <v>596.4366283545379</v>
      </c>
      <c r="BE308" s="408">
        <v>0</v>
      </c>
      <c r="BF308" s="408">
        <v>0</v>
      </c>
      <c r="BG308" s="408">
        <v>14508.865364208972</v>
      </c>
      <c r="BH308" s="408">
        <v>0</v>
      </c>
      <c r="BI308" s="408">
        <v>0</v>
      </c>
      <c r="BJ308" s="408">
        <v>0</v>
      </c>
      <c r="BK308" s="408">
        <v>107039.01</v>
      </c>
      <c r="BL308" s="408">
        <v>964</v>
      </c>
      <c r="BM308" s="408"/>
      <c r="BN308" s="408"/>
      <c r="BO308" s="408"/>
      <c r="BP308" s="408"/>
      <c r="BQ308" s="408"/>
      <c r="BR308" s="408"/>
      <c r="BS308" s="408"/>
      <c r="BT308" s="408"/>
      <c r="BU308" s="408"/>
      <c r="BV308" s="408">
        <v>117779.41705738286</v>
      </c>
      <c r="BW308" s="408"/>
      <c r="BX308" s="408"/>
      <c r="BY308" s="408"/>
      <c r="BZ308" s="408"/>
      <c r="CA308" s="408"/>
      <c r="CB308" s="408"/>
      <c r="CC308" s="408"/>
      <c r="CD308" s="408"/>
      <c r="CE308" s="408"/>
      <c r="CF308" s="408"/>
      <c r="CG308" s="408"/>
      <c r="CH308" s="408"/>
      <c r="CI308" s="408">
        <v>264310.69030000002</v>
      </c>
      <c r="CJ308" s="408">
        <v>-122873.60391999997</v>
      </c>
      <c r="CK308" s="408"/>
      <c r="CL308" s="408"/>
      <c r="CM308" s="408"/>
      <c r="CN308" s="408"/>
      <c r="CO308" s="408">
        <v>-129274.86513999999</v>
      </c>
      <c r="CP308" s="408">
        <v>6399.309930000004</v>
      </c>
      <c r="CQ308" s="408">
        <v>31</v>
      </c>
      <c r="CR308" s="408">
        <v>5320.0661655530275</v>
      </c>
      <c r="CS308" s="408">
        <v>0</v>
      </c>
      <c r="CT308" s="408">
        <v>0</v>
      </c>
      <c r="CU308" s="408">
        <v>0</v>
      </c>
      <c r="CV308" s="408">
        <v>0</v>
      </c>
      <c r="CW308" s="408">
        <v>0</v>
      </c>
      <c r="CX308" s="408">
        <v>0</v>
      </c>
      <c r="CY308" s="408">
        <v>0</v>
      </c>
      <c r="CZ308" s="408">
        <v>-222.6519432779096</v>
      </c>
      <c r="DA308" s="408">
        <v>0</v>
      </c>
      <c r="DB308" s="408">
        <v>0</v>
      </c>
      <c r="DC308" s="408">
        <v>6396.4401916769566</v>
      </c>
      <c r="DD308" s="408">
        <v>0</v>
      </c>
      <c r="DE308" s="408">
        <v>0</v>
      </c>
      <c r="DF308" s="408">
        <v>37.15708890197709</v>
      </c>
      <c r="DG308" s="408">
        <v>903.88010154913536</v>
      </c>
      <c r="DH308" s="408">
        <v>0</v>
      </c>
      <c r="DI308" s="408">
        <v>-1529.8843390205329</v>
      </c>
      <c r="DJ308" s="408"/>
      <c r="DK308" s="408">
        <v>0</v>
      </c>
      <c r="DL308" s="408">
        <v>0</v>
      </c>
      <c r="DM308" s="408">
        <v>0</v>
      </c>
      <c r="DN308" s="408">
        <v>0</v>
      </c>
      <c r="DO308" s="408">
        <v>-208.71776614510918</v>
      </c>
      <c r="DP308" s="408">
        <v>-56.157168131506296</v>
      </c>
      <c r="DQ308" s="408">
        <v>0</v>
      </c>
      <c r="DR308" s="408">
        <v>0</v>
      </c>
      <c r="DS308" s="408"/>
      <c r="DT308" s="408"/>
      <c r="DU308" s="408"/>
      <c r="DV308" s="408">
        <v>190862.74505688847</v>
      </c>
      <c r="DW308" s="408">
        <v>0</v>
      </c>
      <c r="DX308" s="408">
        <v>0</v>
      </c>
      <c r="DY308" s="408">
        <v>-129274.86513999998</v>
      </c>
      <c r="DZ308" s="408">
        <v>6399.3099300000031</v>
      </c>
      <c r="EA308" s="408">
        <v>0</v>
      </c>
      <c r="EB308" s="408">
        <v>0</v>
      </c>
      <c r="EC308" s="408">
        <v>-128197.6710162903</v>
      </c>
      <c r="ED308" s="408">
        <v>0</v>
      </c>
      <c r="EE308" s="408">
        <v>0</v>
      </c>
      <c r="EF308" s="408">
        <v>0</v>
      </c>
      <c r="EG308" s="408">
        <v>0</v>
      </c>
      <c r="EH308" s="408">
        <v>0</v>
      </c>
      <c r="EI308" s="408">
        <v>0</v>
      </c>
      <c r="EJ308" s="408">
        <v>0</v>
      </c>
      <c r="EK308" s="408">
        <v>0</v>
      </c>
      <c r="EL308" s="408">
        <v>0</v>
      </c>
      <c r="EM308" s="408">
        <v>0</v>
      </c>
      <c r="EN308" s="408">
        <v>0</v>
      </c>
      <c r="EO308" s="408">
        <v>0</v>
      </c>
      <c r="EP308" s="408">
        <v>0</v>
      </c>
      <c r="EQ308" s="408">
        <v>0</v>
      </c>
      <c r="ER308" s="408">
        <v>0</v>
      </c>
      <c r="ES308" s="408">
        <v>0</v>
      </c>
      <c r="ET308" s="408">
        <v>0</v>
      </c>
      <c r="EU308" s="408">
        <v>0</v>
      </c>
      <c r="EV308" s="408">
        <v>257</v>
      </c>
      <c r="EW308" s="408">
        <v>0</v>
      </c>
      <c r="EX308" s="408">
        <v>0</v>
      </c>
      <c r="EY308" s="408">
        <v>0</v>
      </c>
      <c r="EZ308" s="408"/>
      <c r="FA308" s="408">
        <v>0</v>
      </c>
      <c r="FB308" s="408"/>
      <c r="FC308" s="408"/>
      <c r="FD308" s="408"/>
      <c r="FE308" s="408"/>
      <c r="FF308" s="408">
        <v>0</v>
      </c>
      <c r="FG308" s="408">
        <v>0</v>
      </c>
      <c r="FH308" s="408">
        <v>0</v>
      </c>
      <c r="FI308" s="408">
        <v>0</v>
      </c>
    </row>
    <row r="309" spans="1:165">
      <c r="A309" s="408">
        <v>307</v>
      </c>
      <c r="B309" s="408" t="s">
        <v>2236</v>
      </c>
      <c r="C309" s="408" t="s">
        <v>2233</v>
      </c>
      <c r="D309" s="408" t="s">
        <v>1958</v>
      </c>
      <c r="E309" s="408" t="s">
        <v>997</v>
      </c>
      <c r="F309" s="408" t="s">
        <v>1321</v>
      </c>
      <c r="G309" s="408" t="s">
        <v>1321</v>
      </c>
      <c r="H309" s="408" t="s">
        <v>1321</v>
      </c>
      <c r="I309" s="408" t="s">
        <v>1321</v>
      </c>
      <c r="J309" s="408" t="s">
        <v>2234</v>
      </c>
      <c r="K309" s="828">
        <v>44621</v>
      </c>
      <c r="L309" s="408">
        <v>0</v>
      </c>
      <c r="M309" s="408">
        <v>0</v>
      </c>
      <c r="N309" s="408">
        <v>16.405999999999999</v>
      </c>
      <c r="O309" s="408">
        <v>16.405999999999999</v>
      </c>
      <c r="P309" s="408">
        <v>16.405999999999999</v>
      </c>
      <c r="Q309" s="408">
        <v>16.405999999999999</v>
      </c>
      <c r="R309" s="408"/>
      <c r="S309" s="408">
        <v>710.91</v>
      </c>
      <c r="T309" s="408">
        <v>256.55</v>
      </c>
      <c r="U309" s="408"/>
      <c r="V309" s="408">
        <v>15872.148759999996</v>
      </c>
      <c r="W309" s="408">
        <v>15872.148759999996</v>
      </c>
      <c r="X309" s="408">
        <v>10835.014579999999</v>
      </c>
      <c r="Y309" s="408">
        <v>0</v>
      </c>
      <c r="Z309" s="408">
        <v>1008.5536230150071</v>
      </c>
      <c r="AA309" s="408">
        <v>0</v>
      </c>
      <c r="AB309" s="408">
        <v>0</v>
      </c>
      <c r="AC309" s="408">
        <v>0</v>
      </c>
      <c r="AD309" s="408">
        <v>2019.2962495141207</v>
      </c>
      <c r="AE309" s="408">
        <v>7824.1864720090152</v>
      </c>
      <c r="AF309" s="408">
        <v>4209.000671536045</v>
      </c>
      <c r="AG309" s="408">
        <v>0</v>
      </c>
      <c r="AH309" s="408">
        <v>0</v>
      </c>
      <c r="AI309" s="408">
        <v>0</v>
      </c>
      <c r="AJ309" s="408">
        <v>0</v>
      </c>
      <c r="AK309" s="408">
        <v>0</v>
      </c>
      <c r="AL309" s="408">
        <v>155.92695117145365</v>
      </c>
      <c r="AM309" s="408"/>
      <c r="AN309" s="408">
        <v>36.024371027495569</v>
      </c>
      <c r="AO309" s="408">
        <v>0</v>
      </c>
      <c r="AP309" s="408">
        <v>0</v>
      </c>
      <c r="AQ309" s="408">
        <v>0</v>
      </c>
      <c r="AR309" s="408">
        <v>0</v>
      </c>
      <c r="AS309" s="408">
        <v>0</v>
      </c>
      <c r="AT309" s="408">
        <v>0</v>
      </c>
      <c r="AU309" s="408">
        <v>0</v>
      </c>
      <c r="AV309" s="408">
        <v>0</v>
      </c>
      <c r="AW309" s="408">
        <v>0</v>
      </c>
      <c r="AX309" s="408">
        <v>0</v>
      </c>
      <c r="AY309" s="408">
        <v>0</v>
      </c>
      <c r="AZ309" s="408">
        <v>0</v>
      </c>
      <c r="BA309" s="408"/>
      <c r="BB309" s="408">
        <v>0</v>
      </c>
      <c r="BC309" s="408">
        <v>0</v>
      </c>
      <c r="BD309" s="408">
        <v>24.450195335875055</v>
      </c>
      <c r="BE309" s="408">
        <v>0</v>
      </c>
      <c r="BF309" s="408">
        <v>0</v>
      </c>
      <c r="BG309" s="408">
        <v>594.77331772111029</v>
      </c>
      <c r="BH309" s="408">
        <v>0</v>
      </c>
      <c r="BI309" s="408">
        <v>0</v>
      </c>
      <c r="BJ309" s="408">
        <v>0</v>
      </c>
      <c r="BK309" s="408">
        <v>10502.61</v>
      </c>
      <c r="BL309" s="408">
        <v>46</v>
      </c>
      <c r="BM309" s="408"/>
      <c r="BN309" s="408"/>
      <c r="BO309" s="408"/>
      <c r="BP309" s="408"/>
      <c r="BQ309" s="408"/>
      <c r="BR309" s="408"/>
      <c r="BS309" s="408"/>
      <c r="BT309" s="408"/>
      <c r="BU309" s="408"/>
      <c r="BV309" s="408">
        <v>4828.2241845930303</v>
      </c>
      <c r="BW309" s="408"/>
      <c r="BX309" s="408"/>
      <c r="BY309" s="408"/>
      <c r="BZ309" s="408"/>
      <c r="CA309" s="408"/>
      <c r="CB309" s="408"/>
      <c r="CC309" s="408"/>
      <c r="CD309" s="408"/>
      <c r="CE309" s="408"/>
      <c r="CF309" s="408"/>
      <c r="CG309" s="408"/>
      <c r="CH309" s="408"/>
      <c r="CI309" s="408">
        <v>10837.656299999999</v>
      </c>
      <c r="CJ309" s="408">
        <v>-5034.5224599999983</v>
      </c>
      <c r="CK309" s="408"/>
      <c r="CL309" s="408"/>
      <c r="CM309" s="408"/>
      <c r="CN309" s="408"/>
      <c r="CO309" s="408">
        <v>-5299.4661199999991</v>
      </c>
      <c r="CP309" s="408">
        <v>262.33194000000015</v>
      </c>
      <c r="CQ309" s="408">
        <v>31</v>
      </c>
      <c r="CR309" s="408">
        <v>218.08965238504697</v>
      </c>
      <c r="CS309" s="408">
        <v>0</v>
      </c>
      <c r="CT309" s="408">
        <v>0</v>
      </c>
      <c r="CU309" s="408">
        <v>0</v>
      </c>
      <c r="CV309" s="408">
        <v>0</v>
      </c>
      <c r="CW309" s="408">
        <v>0</v>
      </c>
      <c r="CX309" s="408">
        <v>0</v>
      </c>
      <c r="CY309" s="408">
        <v>0</v>
      </c>
      <c r="CZ309" s="408">
        <v>-9.1273460519612399</v>
      </c>
      <c r="DA309" s="408">
        <v>0</v>
      </c>
      <c r="DB309" s="408">
        <v>0</v>
      </c>
      <c r="DC309" s="408">
        <v>262.2142985621249</v>
      </c>
      <c r="DD309" s="408">
        <v>0</v>
      </c>
      <c r="DE309" s="408">
        <v>0</v>
      </c>
      <c r="DF309" s="408">
        <v>1.5232097402739981</v>
      </c>
      <c r="DG309" s="408">
        <v>37.053467195763915</v>
      </c>
      <c r="DH309" s="408">
        <v>0</v>
      </c>
      <c r="DI309" s="408">
        <v>-62.71575076390684</v>
      </c>
      <c r="DJ309" s="408"/>
      <c r="DK309" s="408">
        <v>0</v>
      </c>
      <c r="DL309" s="408">
        <v>0</v>
      </c>
      <c r="DM309" s="408">
        <v>0</v>
      </c>
      <c r="DN309" s="408">
        <v>0</v>
      </c>
      <c r="DO309" s="408">
        <v>-8.556131380452257</v>
      </c>
      <c r="DP309" s="408">
        <v>-2.3020949167942888</v>
      </c>
      <c r="DQ309" s="408">
        <v>0</v>
      </c>
      <c r="DR309" s="408">
        <v>0</v>
      </c>
      <c r="DS309" s="408"/>
      <c r="DT309" s="408"/>
      <c r="DU309" s="408"/>
      <c r="DV309" s="408">
        <v>7824.1864720090152</v>
      </c>
      <c r="DW309" s="408">
        <v>0</v>
      </c>
      <c r="DX309" s="408">
        <v>0</v>
      </c>
      <c r="DY309" s="408">
        <v>-5299.4661199999982</v>
      </c>
      <c r="DZ309" s="408">
        <v>262.33194000000003</v>
      </c>
      <c r="EA309" s="408">
        <v>0</v>
      </c>
      <c r="EB309" s="408">
        <v>0</v>
      </c>
      <c r="EC309" s="408">
        <v>-5255.3078549182264</v>
      </c>
      <c r="ED309" s="408">
        <v>0</v>
      </c>
      <c r="EE309" s="408">
        <v>0</v>
      </c>
      <c r="EF309" s="408">
        <v>0</v>
      </c>
      <c r="EG309" s="408">
        <v>0</v>
      </c>
      <c r="EH309" s="408">
        <v>0</v>
      </c>
      <c r="EI309" s="408">
        <v>0</v>
      </c>
      <c r="EJ309" s="408">
        <v>0</v>
      </c>
      <c r="EK309" s="408">
        <v>0</v>
      </c>
      <c r="EL309" s="408">
        <v>0</v>
      </c>
      <c r="EM309" s="408">
        <v>0</v>
      </c>
      <c r="EN309" s="408">
        <v>0</v>
      </c>
      <c r="EO309" s="408">
        <v>0</v>
      </c>
      <c r="EP309" s="408">
        <v>0</v>
      </c>
      <c r="EQ309" s="408">
        <v>0</v>
      </c>
      <c r="ER309" s="408">
        <v>0</v>
      </c>
      <c r="ES309" s="408">
        <v>0</v>
      </c>
      <c r="ET309" s="408">
        <v>0</v>
      </c>
      <c r="EU309" s="408">
        <v>0</v>
      </c>
      <c r="EV309" s="408">
        <v>257</v>
      </c>
      <c r="EW309" s="408">
        <v>0</v>
      </c>
      <c r="EX309" s="408">
        <v>0</v>
      </c>
      <c r="EY309" s="408">
        <v>0</v>
      </c>
      <c r="EZ309" s="408"/>
      <c r="FA309" s="408">
        <v>0</v>
      </c>
      <c r="FB309" s="408"/>
      <c r="FC309" s="408"/>
      <c r="FD309" s="408"/>
      <c r="FE309" s="408"/>
      <c r="FF309" s="408">
        <v>0</v>
      </c>
      <c r="FG309" s="408">
        <v>0</v>
      </c>
      <c r="FH309" s="408">
        <v>0</v>
      </c>
      <c r="FI309" s="408">
        <v>0</v>
      </c>
    </row>
    <row r="310" spans="1:165">
      <c r="A310" s="408">
        <v>308</v>
      </c>
      <c r="B310" s="408" t="s">
        <v>1035</v>
      </c>
      <c r="C310" s="408" t="s">
        <v>2241</v>
      </c>
      <c r="D310" s="408" t="s">
        <v>596</v>
      </c>
      <c r="E310" s="408" t="s">
        <v>997</v>
      </c>
      <c r="F310" s="408" t="s">
        <v>1321</v>
      </c>
      <c r="G310" s="408" t="s">
        <v>1321</v>
      </c>
      <c r="H310" s="408" t="s">
        <v>1321</v>
      </c>
      <c r="I310" s="408" t="s">
        <v>972</v>
      </c>
      <c r="J310" s="408" t="s">
        <v>2234</v>
      </c>
      <c r="K310" s="828">
        <v>44621</v>
      </c>
      <c r="L310" s="408">
        <v>0</v>
      </c>
      <c r="M310" s="408">
        <v>0</v>
      </c>
      <c r="N310" s="408">
        <v>15.238</v>
      </c>
      <c r="O310" s="408">
        <v>15.238</v>
      </c>
      <c r="P310" s="408">
        <v>15.238</v>
      </c>
      <c r="Q310" s="408">
        <v>15.238</v>
      </c>
      <c r="R310" s="408"/>
      <c r="S310" s="408">
        <v>3130.62</v>
      </c>
      <c r="T310" s="408">
        <v>256.55</v>
      </c>
      <c r="U310" s="408"/>
      <c r="V310" s="408">
        <v>51613.696459999992</v>
      </c>
      <c r="W310" s="408">
        <v>51613.696459999992</v>
      </c>
      <c r="X310" s="408">
        <v>27163.715939999998</v>
      </c>
      <c r="Y310" s="408">
        <v>0</v>
      </c>
      <c r="Z310" s="408">
        <v>814.97353977370051</v>
      </c>
      <c r="AA310" s="408">
        <v>0</v>
      </c>
      <c r="AB310" s="408">
        <v>0</v>
      </c>
      <c r="AC310" s="408">
        <v>0</v>
      </c>
      <c r="AD310" s="408">
        <v>9816.5299952235964</v>
      </c>
      <c r="AE310" s="408">
        <v>36634.417327077274</v>
      </c>
      <c r="AF310" s="408">
        <v>3909.3473261530085</v>
      </c>
      <c r="AG310" s="408">
        <v>0</v>
      </c>
      <c r="AH310" s="408">
        <v>0</v>
      </c>
      <c r="AI310" s="408">
        <v>0</v>
      </c>
      <c r="AJ310" s="408">
        <v>0</v>
      </c>
      <c r="AK310" s="408">
        <v>0</v>
      </c>
      <c r="AL310" s="408">
        <v>144.82597110512074</v>
      </c>
      <c r="AM310" s="408"/>
      <c r="AN310" s="408">
        <v>20.556900010986855</v>
      </c>
      <c r="AO310" s="408">
        <v>0</v>
      </c>
      <c r="AP310" s="408">
        <v>0</v>
      </c>
      <c r="AQ310" s="408">
        <v>0</v>
      </c>
      <c r="AR310" s="408">
        <v>0</v>
      </c>
      <c r="AS310" s="408">
        <v>0</v>
      </c>
      <c r="AT310" s="408">
        <v>0</v>
      </c>
      <c r="AU310" s="408">
        <v>0</v>
      </c>
      <c r="AV310" s="408">
        <v>0</v>
      </c>
      <c r="AW310" s="408">
        <v>0</v>
      </c>
      <c r="AX310" s="408">
        <v>0</v>
      </c>
      <c r="AY310" s="408">
        <v>0</v>
      </c>
      <c r="AZ310" s="408">
        <v>0</v>
      </c>
      <c r="BA310" s="408"/>
      <c r="BB310" s="408">
        <v>0</v>
      </c>
      <c r="BC310" s="408">
        <v>0</v>
      </c>
      <c r="BD310" s="408">
        <v>18.773600259788687</v>
      </c>
      <c r="BE310" s="408">
        <v>0</v>
      </c>
      <c r="BF310" s="408">
        <v>0</v>
      </c>
      <c r="BG310" s="408">
        <v>254.31137355495716</v>
      </c>
      <c r="BH310" s="408">
        <v>0</v>
      </c>
      <c r="BI310" s="408">
        <v>0</v>
      </c>
      <c r="BJ310" s="408">
        <v>0</v>
      </c>
      <c r="BK310" s="408">
        <v>0</v>
      </c>
      <c r="BL310" s="408">
        <v>0</v>
      </c>
      <c r="BM310" s="408"/>
      <c r="BN310" s="408"/>
      <c r="BO310" s="408"/>
      <c r="BP310" s="408"/>
      <c r="BQ310" s="408"/>
      <c r="BR310" s="408"/>
      <c r="BS310" s="408"/>
      <c r="BT310" s="408"/>
      <c r="BU310" s="408"/>
      <c r="BV310" s="408">
        <v>4182.4322999677543</v>
      </c>
      <c r="BW310" s="408"/>
      <c r="BX310" s="408"/>
      <c r="BY310" s="408"/>
      <c r="BZ310" s="408"/>
      <c r="CA310" s="408"/>
      <c r="CB310" s="408"/>
      <c r="CC310" s="408"/>
      <c r="CD310" s="408"/>
      <c r="CE310" s="408"/>
      <c r="CF310" s="408"/>
      <c r="CG310" s="408"/>
      <c r="CH310" s="408"/>
      <c r="CI310" s="408">
        <v>27167.281200000001</v>
      </c>
      <c r="CJ310" s="408">
        <v>-24446.445259999997</v>
      </c>
      <c r="CK310" s="408"/>
      <c r="CL310" s="408"/>
      <c r="CM310" s="408"/>
      <c r="CN310" s="408"/>
      <c r="CO310" s="408">
        <v>-24693.636139999999</v>
      </c>
      <c r="CP310" s="408">
        <v>243.65562000000014</v>
      </c>
      <c r="CQ310" s="408">
        <v>31</v>
      </c>
      <c r="CR310" s="408">
        <v>156.24894630211202</v>
      </c>
      <c r="CS310" s="408">
        <v>0</v>
      </c>
      <c r="CT310" s="408">
        <v>0</v>
      </c>
      <c r="CU310" s="408">
        <v>0</v>
      </c>
      <c r="CV310" s="408">
        <v>0</v>
      </c>
      <c r="CW310" s="408">
        <v>0</v>
      </c>
      <c r="CX310" s="408">
        <v>0</v>
      </c>
      <c r="CY310" s="408">
        <v>0</v>
      </c>
      <c r="CZ310" s="408">
        <v>-44.371332991599047</v>
      </c>
      <c r="DA310" s="408">
        <v>0</v>
      </c>
      <c r="DB310" s="408">
        <v>0</v>
      </c>
      <c r="DC310" s="408">
        <v>243.54635386380914</v>
      </c>
      <c r="DD310" s="408">
        <v>0</v>
      </c>
      <c r="DE310" s="408">
        <v>0</v>
      </c>
      <c r="DF310" s="408">
        <v>1.1695665569494658</v>
      </c>
      <c r="DG310" s="408">
        <v>15.843209264385308</v>
      </c>
      <c r="DH310" s="408">
        <v>0</v>
      </c>
      <c r="DI310" s="408">
        <v>-50.678195222611407</v>
      </c>
      <c r="DJ310" s="408"/>
      <c r="DK310" s="408">
        <v>0</v>
      </c>
      <c r="DL310" s="408">
        <v>0</v>
      </c>
      <c r="DM310" s="408">
        <v>0</v>
      </c>
      <c r="DN310" s="408">
        <v>0</v>
      </c>
      <c r="DO310" s="408">
        <v>-7.9469907335933101</v>
      </c>
      <c r="DP310" s="408">
        <v>-1.3136644352297751</v>
      </c>
      <c r="DQ310" s="408">
        <v>0</v>
      </c>
      <c r="DR310" s="408">
        <v>0</v>
      </c>
      <c r="DS310" s="408"/>
      <c r="DT310" s="408"/>
      <c r="DU310" s="408"/>
      <c r="DV310" s="408">
        <v>36634.417327077274</v>
      </c>
      <c r="DW310" s="408">
        <v>0</v>
      </c>
      <c r="DX310" s="408">
        <v>0</v>
      </c>
      <c r="DY310" s="408">
        <v>-24693.636139999999</v>
      </c>
      <c r="DZ310" s="408">
        <v>243.65562000000045</v>
      </c>
      <c r="EA310" s="408">
        <v>0</v>
      </c>
      <c r="EB310" s="408">
        <v>0</v>
      </c>
      <c r="EC310" s="408">
        <v>-24606.410114086495</v>
      </c>
      <c r="ED310" s="408">
        <v>0</v>
      </c>
      <c r="EE310" s="408">
        <v>0</v>
      </c>
      <c r="EF310" s="408">
        <v>0</v>
      </c>
      <c r="EG310" s="408">
        <v>0</v>
      </c>
      <c r="EH310" s="408">
        <v>0</v>
      </c>
      <c r="EI310" s="408">
        <v>0</v>
      </c>
      <c r="EJ310" s="408">
        <v>0</v>
      </c>
      <c r="EK310" s="408">
        <v>0</v>
      </c>
      <c r="EL310" s="408">
        <v>0</v>
      </c>
      <c r="EM310" s="408">
        <v>0</v>
      </c>
      <c r="EN310" s="408">
        <v>0</v>
      </c>
      <c r="EO310" s="408">
        <v>0</v>
      </c>
      <c r="EP310" s="408">
        <v>0</v>
      </c>
      <c r="EQ310" s="408">
        <v>0</v>
      </c>
      <c r="ER310" s="408">
        <v>0</v>
      </c>
      <c r="ES310" s="408">
        <v>0</v>
      </c>
      <c r="ET310" s="408">
        <v>0</v>
      </c>
      <c r="EU310" s="408">
        <v>0</v>
      </c>
      <c r="EV310" s="408">
        <v>257</v>
      </c>
      <c r="EW310" s="408">
        <v>0</v>
      </c>
      <c r="EX310" s="408">
        <v>0</v>
      </c>
      <c r="EY310" s="408">
        <v>0</v>
      </c>
      <c r="EZ310" s="408"/>
      <c r="FA310" s="408">
        <v>0</v>
      </c>
      <c r="FB310" s="408"/>
      <c r="FC310" s="408"/>
      <c r="FD310" s="408"/>
      <c r="FE310" s="408"/>
      <c r="FF310" s="408">
        <v>0</v>
      </c>
      <c r="FG310" s="408">
        <v>0</v>
      </c>
      <c r="FH310" s="408">
        <v>0</v>
      </c>
      <c r="FI310" s="408">
        <v>0</v>
      </c>
    </row>
    <row r="311" spans="1:165">
      <c r="A311" s="408">
        <v>309</v>
      </c>
      <c r="B311" s="408" t="s">
        <v>2236</v>
      </c>
      <c r="C311" s="408" t="s">
        <v>2241</v>
      </c>
      <c r="D311" s="408" t="s">
        <v>596</v>
      </c>
      <c r="E311" s="408" t="s">
        <v>997</v>
      </c>
      <c r="F311" s="408" t="s">
        <v>1321</v>
      </c>
      <c r="G311" s="408" t="s">
        <v>1321</v>
      </c>
      <c r="H311" s="408" t="s">
        <v>1321</v>
      </c>
      <c r="I311" s="408" t="s">
        <v>972</v>
      </c>
      <c r="J311" s="408" t="s">
        <v>2234</v>
      </c>
      <c r="K311" s="828">
        <v>44621</v>
      </c>
      <c r="L311" s="408">
        <v>0</v>
      </c>
      <c r="M311" s="408">
        <v>0</v>
      </c>
      <c r="N311" s="408">
        <v>1.0860000000000001</v>
      </c>
      <c r="O311" s="408">
        <v>1.0860000000000001</v>
      </c>
      <c r="P311" s="408">
        <v>1.0860000000000001</v>
      </c>
      <c r="Q311" s="408">
        <v>1.0860000000000001</v>
      </c>
      <c r="R311" s="408"/>
      <c r="S311" s="408">
        <v>3130.62</v>
      </c>
      <c r="T311" s="408">
        <v>256.55</v>
      </c>
      <c r="U311" s="408"/>
      <c r="V311" s="408">
        <v>3678.4666200000001</v>
      </c>
      <c r="W311" s="408">
        <v>3678.4666200000001</v>
      </c>
      <c r="X311" s="408">
        <v>1935.9361800000001</v>
      </c>
      <c r="Y311" s="408">
        <v>0</v>
      </c>
      <c r="Z311" s="408">
        <v>58.082508478424913</v>
      </c>
      <c r="AA311" s="408">
        <v>0</v>
      </c>
      <c r="AB311" s="408">
        <v>0</v>
      </c>
      <c r="AC311" s="408">
        <v>0</v>
      </c>
      <c r="AD311" s="408">
        <v>699.61619469830862</v>
      </c>
      <c r="AE311" s="408">
        <v>2610.9054480381888</v>
      </c>
      <c r="AF311" s="408">
        <v>278.61603860100848</v>
      </c>
      <c r="AG311" s="408">
        <v>0</v>
      </c>
      <c r="AH311" s="408">
        <v>0</v>
      </c>
      <c r="AI311" s="408">
        <v>0</v>
      </c>
      <c r="AJ311" s="408">
        <v>0</v>
      </c>
      <c r="AK311" s="408">
        <v>0</v>
      </c>
      <c r="AL311" s="408">
        <v>10.321630438388315</v>
      </c>
      <c r="AM311" s="408"/>
      <c r="AN311" s="408">
        <v>1.4650737243687968</v>
      </c>
      <c r="AO311" s="408">
        <v>0</v>
      </c>
      <c r="AP311" s="408">
        <v>0</v>
      </c>
      <c r="AQ311" s="408">
        <v>0</v>
      </c>
      <c r="AR311" s="408">
        <v>0</v>
      </c>
      <c r="AS311" s="408">
        <v>0</v>
      </c>
      <c r="AT311" s="408">
        <v>0</v>
      </c>
      <c r="AU311" s="408">
        <v>0</v>
      </c>
      <c r="AV311" s="408">
        <v>0</v>
      </c>
      <c r="AW311" s="408">
        <v>0</v>
      </c>
      <c r="AX311" s="408">
        <v>0</v>
      </c>
      <c r="AY311" s="408">
        <v>0</v>
      </c>
      <c r="AZ311" s="408">
        <v>0</v>
      </c>
      <c r="BA311" s="408"/>
      <c r="BB311" s="408">
        <v>0</v>
      </c>
      <c r="BC311" s="408">
        <v>0</v>
      </c>
      <c r="BD311" s="408">
        <v>1.3379793858859768</v>
      </c>
      <c r="BE311" s="408">
        <v>0</v>
      </c>
      <c r="BF311" s="408">
        <v>0</v>
      </c>
      <c r="BG311" s="408">
        <v>18.124566982588497</v>
      </c>
      <c r="BH311" s="408">
        <v>0</v>
      </c>
      <c r="BI311" s="408">
        <v>0</v>
      </c>
      <c r="BJ311" s="408">
        <v>0</v>
      </c>
      <c r="BK311" s="408">
        <v>0</v>
      </c>
      <c r="BL311" s="408">
        <v>0</v>
      </c>
      <c r="BM311" s="408"/>
      <c r="BN311" s="408"/>
      <c r="BO311" s="408"/>
      <c r="BP311" s="408"/>
      <c r="BQ311" s="408"/>
      <c r="BR311" s="408"/>
      <c r="BS311" s="408"/>
      <c r="BT311" s="408"/>
      <c r="BU311" s="408"/>
      <c r="BV311" s="408">
        <v>298.07858496948296</v>
      </c>
      <c r="BW311" s="408"/>
      <c r="BX311" s="408"/>
      <c r="BY311" s="408"/>
      <c r="BZ311" s="408"/>
      <c r="CA311" s="408"/>
      <c r="CB311" s="408"/>
      <c r="CC311" s="408"/>
      <c r="CD311" s="408"/>
      <c r="CE311" s="408"/>
      <c r="CF311" s="408"/>
      <c r="CG311" s="408"/>
      <c r="CH311" s="408"/>
      <c r="CI311" s="408">
        <v>1943.0667000000001</v>
      </c>
      <c r="CJ311" s="408">
        <v>-1735.4299200000007</v>
      </c>
      <c r="CK311" s="408"/>
      <c r="CL311" s="408"/>
      <c r="CM311" s="408"/>
      <c r="CN311" s="408"/>
      <c r="CO311" s="408">
        <v>-1759.8955800000001</v>
      </c>
      <c r="CP311" s="408">
        <v>17.365140000000011</v>
      </c>
      <c r="CQ311" s="408">
        <v>31</v>
      </c>
      <c r="CR311" s="408">
        <v>11.13573669012294</v>
      </c>
      <c r="CS311" s="408">
        <v>0</v>
      </c>
      <c r="CT311" s="408">
        <v>0</v>
      </c>
      <c r="CU311" s="408">
        <v>0</v>
      </c>
      <c r="CV311" s="408">
        <v>0</v>
      </c>
      <c r="CW311" s="408">
        <v>0</v>
      </c>
      <c r="CX311" s="408">
        <v>0</v>
      </c>
      <c r="CY311" s="408">
        <v>0</v>
      </c>
      <c r="CZ311" s="408">
        <v>-3.1623092025774895</v>
      </c>
      <c r="DA311" s="408">
        <v>0</v>
      </c>
      <c r="DB311" s="408">
        <v>0</v>
      </c>
      <c r="DC311" s="408">
        <v>17.35735269038571</v>
      </c>
      <c r="DD311" s="408">
        <v>0</v>
      </c>
      <c r="DE311" s="408">
        <v>0</v>
      </c>
      <c r="DF311" s="408">
        <v>8.3354067518514263E-2</v>
      </c>
      <c r="DG311" s="408">
        <v>1.1291327773410167</v>
      </c>
      <c r="DH311" s="408">
        <v>0</v>
      </c>
      <c r="DI311" s="408">
        <v>-3.6117941994852387</v>
      </c>
      <c r="DJ311" s="408"/>
      <c r="DK311" s="408">
        <v>0</v>
      </c>
      <c r="DL311" s="408">
        <v>0</v>
      </c>
      <c r="DM311" s="408">
        <v>0</v>
      </c>
      <c r="DN311" s="408">
        <v>0</v>
      </c>
      <c r="DO311" s="408">
        <v>-0.56637563569250027</v>
      </c>
      <c r="DP311" s="408">
        <v>-9.3623807367078093E-2</v>
      </c>
      <c r="DQ311" s="408">
        <v>0</v>
      </c>
      <c r="DR311" s="408">
        <v>0</v>
      </c>
      <c r="DS311" s="408"/>
      <c r="DT311" s="408"/>
      <c r="DU311" s="408"/>
      <c r="DV311" s="408">
        <v>2610.9054480381888</v>
      </c>
      <c r="DW311" s="408">
        <v>0</v>
      </c>
      <c r="DX311" s="408">
        <v>0</v>
      </c>
      <c r="DY311" s="408">
        <v>-1759.8955800000001</v>
      </c>
      <c r="DZ311" s="408">
        <v>17.365139999999997</v>
      </c>
      <c r="EA311" s="408">
        <v>0</v>
      </c>
      <c r="EB311" s="408">
        <v>0</v>
      </c>
      <c r="EC311" s="408">
        <v>-1753.6790513123726</v>
      </c>
      <c r="ED311" s="408">
        <v>0</v>
      </c>
      <c r="EE311" s="408">
        <v>0</v>
      </c>
      <c r="EF311" s="408">
        <v>0</v>
      </c>
      <c r="EG311" s="408">
        <v>0</v>
      </c>
      <c r="EH311" s="408">
        <v>0</v>
      </c>
      <c r="EI311" s="408">
        <v>0</v>
      </c>
      <c r="EJ311" s="408">
        <v>0</v>
      </c>
      <c r="EK311" s="408">
        <v>0</v>
      </c>
      <c r="EL311" s="408">
        <v>0</v>
      </c>
      <c r="EM311" s="408">
        <v>0</v>
      </c>
      <c r="EN311" s="408">
        <v>0</v>
      </c>
      <c r="EO311" s="408">
        <v>0</v>
      </c>
      <c r="EP311" s="408">
        <v>0</v>
      </c>
      <c r="EQ311" s="408">
        <v>0</v>
      </c>
      <c r="ER311" s="408">
        <v>0</v>
      </c>
      <c r="ES311" s="408">
        <v>0</v>
      </c>
      <c r="ET311" s="408">
        <v>0</v>
      </c>
      <c r="EU311" s="408">
        <v>0</v>
      </c>
      <c r="EV311" s="408">
        <v>257</v>
      </c>
      <c r="EW311" s="408">
        <v>0</v>
      </c>
      <c r="EX311" s="408">
        <v>0</v>
      </c>
      <c r="EY311" s="408">
        <v>0</v>
      </c>
      <c r="EZ311" s="408"/>
      <c r="FA311" s="408">
        <v>0</v>
      </c>
      <c r="FB311" s="408"/>
      <c r="FC311" s="408"/>
      <c r="FD311" s="408"/>
      <c r="FE311" s="408"/>
      <c r="FF311" s="408">
        <v>0</v>
      </c>
      <c r="FG311" s="408">
        <v>0</v>
      </c>
      <c r="FH311" s="408">
        <v>0</v>
      </c>
      <c r="FI311" s="408">
        <v>0</v>
      </c>
    </row>
    <row r="312" spans="1:165">
      <c r="A312" s="408">
        <v>310</v>
      </c>
      <c r="B312" s="408" t="s">
        <v>1035</v>
      </c>
      <c r="C312" s="408" t="s">
        <v>2241</v>
      </c>
      <c r="D312" s="408" t="s">
        <v>596</v>
      </c>
      <c r="E312" s="408" t="s">
        <v>997</v>
      </c>
      <c r="F312" s="408" t="s">
        <v>1321</v>
      </c>
      <c r="G312" s="408" t="s">
        <v>1321</v>
      </c>
      <c r="H312" s="408" t="s">
        <v>1321</v>
      </c>
      <c r="I312" s="408" t="s">
        <v>2242</v>
      </c>
      <c r="J312" s="408" t="s">
        <v>2234</v>
      </c>
      <c r="K312" s="828">
        <v>44621</v>
      </c>
      <c r="L312" s="408">
        <v>0</v>
      </c>
      <c r="M312" s="408">
        <v>0</v>
      </c>
      <c r="N312" s="408">
        <v>118.729</v>
      </c>
      <c r="O312" s="408">
        <v>118.729</v>
      </c>
      <c r="P312" s="408">
        <v>118.729</v>
      </c>
      <c r="Q312" s="408">
        <v>118.729</v>
      </c>
      <c r="R312" s="408"/>
      <c r="S312" s="408">
        <v>82.26</v>
      </c>
      <c r="T312" s="408">
        <v>256.55</v>
      </c>
      <c r="U312" s="408"/>
      <c r="V312" s="408">
        <v>40226.572489999999</v>
      </c>
      <c r="W312" s="408">
        <v>40226.572489999999</v>
      </c>
      <c r="X312" s="408">
        <v>41790.233420000004</v>
      </c>
      <c r="Y312" s="408">
        <v>0</v>
      </c>
      <c r="Z312" s="408">
        <v>6349.979879498077</v>
      </c>
      <c r="AA312" s="408">
        <v>0</v>
      </c>
      <c r="AB312" s="408">
        <v>0</v>
      </c>
      <c r="AC312" s="408">
        <v>0</v>
      </c>
      <c r="AD312" s="408">
        <v>0</v>
      </c>
      <c r="AE312" s="408">
        <v>0</v>
      </c>
      <c r="AF312" s="408">
        <v>30460.224352724803</v>
      </c>
      <c r="AG312" s="408">
        <v>0</v>
      </c>
      <c r="AH312" s="408">
        <v>0</v>
      </c>
      <c r="AI312" s="408">
        <v>0</v>
      </c>
      <c r="AJ312" s="408">
        <v>0</v>
      </c>
      <c r="AK312" s="408">
        <v>0</v>
      </c>
      <c r="AL312" s="408">
        <v>1128.4317314175009</v>
      </c>
      <c r="AM312" s="408"/>
      <c r="AN312" s="408">
        <v>160.17195047935806</v>
      </c>
      <c r="AO312" s="408">
        <v>0</v>
      </c>
      <c r="AP312" s="408">
        <v>0</v>
      </c>
      <c r="AQ312" s="408">
        <v>0</v>
      </c>
      <c r="AR312" s="408">
        <v>0</v>
      </c>
      <c r="AS312" s="408">
        <v>0</v>
      </c>
      <c r="AT312" s="408">
        <v>0</v>
      </c>
      <c r="AU312" s="408">
        <v>0</v>
      </c>
      <c r="AV312" s="408">
        <v>0</v>
      </c>
      <c r="AW312" s="408">
        <v>0</v>
      </c>
      <c r="AX312" s="408">
        <v>0</v>
      </c>
      <c r="AY312" s="408">
        <v>0</v>
      </c>
      <c r="AZ312" s="408">
        <v>0</v>
      </c>
      <c r="BA312" s="408"/>
      <c r="BB312" s="408">
        <v>0</v>
      </c>
      <c r="BC312" s="408">
        <v>0</v>
      </c>
      <c r="BD312" s="408">
        <v>146.27712201367967</v>
      </c>
      <c r="BE312" s="408">
        <v>0</v>
      </c>
      <c r="BF312" s="408">
        <v>0</v>
      </c>
      <c r="BG312" s="408">
        <v>1981.5024984122922</v>
      </c>
      <c r="BH312" s="408">
        <v>0</v>
      </c>
      <c r="BI312" s="408">
        <v>0</v>
      </c>
      <c r="BJ312" s="408">
        <v>0</v>
      </c>
      <c r="BK312" s="408">
        <v>0</v>
      </c>
      <c r="BL312" s="408">
        <v>0</v>
      </c>
      <c r="BM312" s="408"/>
      <c r="BN312" s="408"/>
      <c r="BO312" s="408"/>
      <c r="BP312" s="408"/>
      <c r="BQ312" s="408"/>
      <c r="BR312" s="408"/>
      <c r="BS312" s="408"/>
      <c r="BT312" s="408"/>
      <c r="BU312" s="408"/>
      <c r="BV312" s="408">
        <v>32588.003973150775</v>
      </c>
      <c r="BW312" s="408"/>
      <c r="BX312" s="408"/>
      <c r="BY312" s="408"/>
      <c r="BZ312" s="408"/>
      <c r="CA312" s="408"/>
      <c r="CB312" s="408"/>
      <c r="CC312" s="408"/>
      <c r="CD312" s="408"/>
      <c r="CE312" s="408"/>
      <c r="CF312" s="408"/>
      <c r="CG312" s="408"/>
      <c r="CH312" s="408"/>
      <c r="CI312" s="408">
        <v>41790.585400000004</v>
      </c>
      <c r="CJ312" s="408">
        <v>1563.9829099999988</v>
      </c>
      <c r="CK312" s="408"/>
      <c r="CL312" s="408"/>
      <c r="CM312" s="408"/>
      <c r="CN312" s="408"/>
      <c r="CO312" s="408">
        <v>-334.81578000000087</v>
      </c>
      <c r="CP312" s="408">
        <v>1898.476710000001</v>
      </c>
      <c r="CQ312" s="408">
        <v>31</v>
      </c>
      <c r="CR312" s="408">
        <v>1563.1608570851022</v>
      </c>
      <c r="CS312" s="408">
        <v>0</v>
      </c>
      <c r="CT312" s="408">
        <v>0</v>
      </c>
      <c r="CU312" s="408">
        <v>0</v>
      </c>
      <c r="CV312" s="408">
        <v>0</v>
      </c>
      <c r="CW312" s="408">
        <v>0</v>
      </c>
      <c r="CX312" s="408">
        <v>0</v>
      </c>
      <c r="CY312" s="408">
        <v>0</v>
      </c>
      <c r="CZ312" s="408">
        <v>0</v>
      </c>
      <c r="DA312" s="408">
        <v>0</v>
      </c>
      <c r="DB312" s="408">
        <v>0</v>
      </c>
      <c r="DC312" s="408">
        <v>1897.6253476766105</v>
      </c>
      <c r="DD312" s="408">
        <v>0</v>
      </c>
      <c r="DE312" s="408">
        <v>0</v>
      </c>
      <c r="DF312" s="408">
        <v>9.1128407756958438</v>
      </c>
      <c r="DG312" s="408">
        <v>123.44457230287458</v>
      </c>
      <c r="DH312" s="408">
        <v>0</v>
      </c>
      <c r="DI312" s="408">
        <v>-394.86621870228646</v>
      </c>
      <c r="DJ312" s="408"/>
      <c r="DK312" s="408">
        <v>0</v>
      </c>
      <c r="DL312" s="408">
        <v>0</v>
      </c>
      <c r="DM312" s="408">
        <v>0</v>
      </c>
      <c r="DN312" s="408">
        <v>0</v>
      </c>
      <c r="DO312" s="408">
        <v>-61.920085497361697</v>
      </c>
      <c r="DP312" s="408">
        <v>-10.235599470428923</v>
      </c>
      <c r="DQ312" s="408">
        <v>0</v>
      </c>
      <c r="DR312" s="408">
        <v>0</v>
      </c>
      <c r="DS312" s="408"/>
      <c r="DT312" s="408"/>
      <c r="DU312" s="408"/>
      <c r="DV312" s="408">
        <v>0</v>
      </c>
      <c r="DW312" s="408">
        <v>0</v>
      </c>
      <c r="DX312" s="408">
        <v>0</v>
      </c>
      <c r="DY312" s="408">
        <v>-334.81578000000081</v>
      </c>
      <c r="DZ312" s="408">
        <v>1898.4767100000026</v>
      </c>
      <c r="EA312" s="408">
        <v>0</v>
      </c>
      <c r="EB312" s="408">
        <v>0</v>
      </c>
      <c r="EC312" s="408">
        <v>0</v>
      </c>
      <c r="ED312" s="408">
        <v>0</v>
      </c>
      <c r="EE312" s="408">
        <v>0</v>
      </c>
      <c r="EF312" s="408">
        <v>0</v>
      </c>
      <c r="EG312" s="408">
        <v>0</v>
      </c>
      <c r="EH312" s="408">
        <v>0</v>
      </c>
      <c r="EI312" s="408">
        <v>0</v>
      </c>
      <c r="EJ312" s="408">
        <v>0</v>
      </c>
      <c r="EK312" s="408">
        <v>0</v>
      </c>
      <c r="EL312" s="408">
        <v>0</v>
      </c>
      <c r="EM312" s="408">
        <v>0</v>
      </c>
      <c r="EN312" s="408">
        <v>0</v>
      </c>
      <c r="EO312" s="408">
        <v>0</v>
      </c>
      <c r="EP312" s="408">
        <v>0</v>
      </c>
      <c r="EQ312" s="408">
        <v>0</v>
      </c>
      <c r="ER312" s="408">
        <v>0</v>
      </c>
      <c r="ES312" s="408">
        <v>0</v>
      </c>
      <c r="ET312" s="408">
        <v>0</v>
      </c>
      <c r="EU312" s="408">
        <v>0</v>
      </c>
      <c r="EV312" s="408">
        <v>257</v>
      </c>
      <c r="EW312" s="408">
        <v>0</v>
      </c>
      <c r="EX312" s="408">
        <v>0</v>
      </c>
      <c r="EY312" s="408">
        <v>0</v>
      </c>
      <c r="EZ312" s="408"/>
      <c r="FA312" s="408">
        <v>0</v>
      </c>
      <c r="FB312" s="408"/>
      <c r="FC312" s="408"/>
      <c r="FD312" s="408"/>
      <c r="FE312" s="408"/>
      <c r="FF312" s="408">
        <v>0</v>
      </c>
      <c r="FG312" s="408">
        <v>0</v>
      </c>
      <c r="FH312" s="408">
        <v>0</v>
      </c>
      <c r="FI312" s="408">
        <v>0</v>
      </c>
    </row>
    <row r="313" spans="1:165">
      <c r="A313" s="408">
        <v>311</v>
      </c>
      <c r="B313" s="408" t="s">
        <v>2236</v>
      </c>
      <c r="C313" s="408" t="s">
        <v>2241</v>
      </c>
      <c r="D313" s="408" t="s">
        <v>596</v>
      </c>
      <c r="E313" s="408" t="s">
        <v>997</v>
      </c>
      <c r="F313" s="408" t="s">
        <v>1321</v>
      </c>
      <c r="G313" s="408" t="s">
        <v>1321</v>
      </c>
      <c r="H313" s="408" t="s">
        <v>1321</v>
      </c>
      <c r="I313" s="408" t="s">
        <v>2242</v>
      </c>
      <c r="J313" s="408" t="s">
        <v>2234</v>
      </c>
      <c r="K313" s="828">
        <v>44621</v>
      </c>
      <c r="L313" s="408">
        <v>0</v>
      </c>
      <c r="M313" s="408">
        <v>0</v>
      </c>
      <c r="N313" s="408">
        <v>1</v>
      </c>
      <c r="O313" s="408">
        <v>1</v>
      </c>
      <c r="P313" s="408">
        <v>1</v>
      </c>
      <c r="Q313" s="408">
        <v>1</v>
      </c>
      <c r="R313" s="408"/>
      <c r="S313" s="408">
        <v>82.26</v>
      </c>
      <c r="T313" s="408">
        <v>256.55</v>
      </c>
      <c r="U313" s="408"/>
      <c r="V313" s="408">
        <v>338.81</v>
      </c>
      <c r="W313" s="408">
        <v>338.81</v>
      </c>
      <c r="X313" s="408">
        <v>351.98</v>
      </c>
      <c r="Y313" s="408">
        <v>0</v>
      </c>
      <c r="Z313" s="408">
        <v>53.4829728162292</v>
      </c>
      <c r="AA313" s="408">
        <v>0</v>
      </c>
      <c r="AB313" s="408">
        <v>0</v>
      </c>
      <c r="AC313" s="408">
        <v>0</v>
      </c>
      <c r="AD313" s="408">
        <v>0</v>
      </c>
      <c r="AE313" s="408">
        <v>0</v>
      </c>
      <c r="AF313" s="408">
        <v>256.55252173205201</v>
      </c>
      <c r="AG313" s="408">
        <v>0</v>
      </c>
      <c r="AH313" s="408">
        <v>0</v>
      </c>
      <c r="AI313" s="408">
        <v>0</v>
      </c>
      <c r="AJ313" s="408">
        <v>0</v>
      </c>
      <c r="AK313" s="408">
        <v>0</v>
      </c>
      <c r="AL313" s="408">
        <v>9.50426375542202</v>
      </c>
      <c r="AM313" s="408"/>
      <c r="AN313" s="408">
        <v>1.3490549948147299</v>
      </c>
      <c r="AO313" s="408">
        <v>0</v>
      </c>
      <c r="AP313" s="408">
        <v>0</v>
      </c>
      <c r="AQ313" s="408">
        <v>0</v>
      </c>
      <c r="AR313" s="408">
        <v>0</v>
      </c>
      <c r="AS313" s="408">
        <v>0</v>
      </c>
      <c r="AT313" s="408">
        <v>0</v>
      </c>
      <c r="AU313" s="408">
        <v>0</v>
      </c>
      <c r="AV313" s="408">
        <v>0</v>
      </c>
      <c r="AW313" s="408">
        <v>0</v>
      </c>
      <c r="AX313" s="408">
        <v>0</v>
      </c>
      <c r="AY313" s="408">
        <v>0</v>
      </c>
      <c r="AZ313" s="408">
        <v>0</v>
      </c>
      <c r="BA313" s="408"/>
      <c r="BB313" s="408">
        <v>0</v>
      </c>
      <c r="BC313" s="408">
        <v>0</v>
      </c>
      <c r="BD313" s="408">
        <v>1.23202521720624</v>
      </c>
      <c r="BE313" s="408">
        <v>0</v>
      </c>
      <c r="BF313" s="408">
        <v>0</v>
      </c>
      <c r="BG313" s="408">
        <v>16.6892881975953</v>
      </c>
      <c r="BH313" s="408">
        <v>0</v>
      </c>
      <c r="BI313" s="408">
        <v>0</v>
      </c>
      <c r="BJ313" s="408">
        <v>0</v>
      </c>
      <c r="BK313" s="408">
        <v>0</v>
      </c>
      <c r="BL313" s="408">
        <v>0</v>
      </c>
      <c r="BM313" s="408"/>
      <c r="BN313" s="408"/>
      <c r="BO313" s="408"/>
      <c r="BP313" s="408"/>
      <c r="BQ313" s="408"/>
      <c r="BR313" s="408"/>
      <c r="BS313" s="408"/>
      <c r="BT313" s="408"/>
      <c r="BU313" s="408"/>
      <c r="BV313" s="408">
        <v>274.47383514685356</v>
      </c>
      <c r="BW313" s="408"/>
      <c r="BX313" s="408"/>
      <c r="BY313" s="408"/>
      <c r="BZ313" s="408"/>
      <c r="CA313" s="408"/>
      <c r="CB313" s="408"/>
      <c r="CC313" s="408"/>
      <c r="CD313" s="408"/>
      <c r="CE313" s="408"/>
      <c r="CF313" s="408"/>
      <c r="CG313" s="408"/>
      <c r="CH313" s="408"/>
      <c r="CI313" s="408">
        <v>351.98</v>
      </c>
      <c r="CJ313" s="408">
        <v>13.139999999999986</v>
      </c>
      <c r="CK313" s="408"/>
      <c r="CL313" s="408"/>
      <c r="CM313" s="408"/>
      <c r="CN313" s="408"/>
      <c r="CO313" s="408">
        <v>-2.8200000000000074</v>
      </c>
      <c r="CP313" s="408">
        <v>15.990000000000009</v>
      </c>
      <c r="CQ313" s="408">
        <v>31</v>
      </c>
      <c r="CR313" s="408">
        <v>13.165788114825375</v>
      </c>
      <c r="CS313" s="408">
        <v>0</v>
      </c>
      <c r="CT313" s="408">
        <v>0</v>
      </c>
      <c r="CU313" s="408">
        <v>0</v>
      </c>
      <c r="CV313" s="408">
        <v>0</v>
      </c>
      <c r="CW313" s="408">
        <v>0</v>
      </c>
      <c r="CX313" s="408">
        <v>0</v>
      </c>
      <c r="CY313" s="408">
        <v>0</v>
      </c>
      <c r="CZ313" s="408">
        <v>0</v>
      </c>
      <c r="DA313" s="408">
        <v>0</v>
      </c>
      <c r="DB313" s="408">
        <v>0</v>
      </c>
      <c r="DC313" s="408">
        <v>15.982829364996007</v>
      </c>
      <c r="DD313" s="408">
        <v>0</v>
      </c>
      <c r="DE313" s="408">
        <v>0</v>
      </c>
      <c r="DF313" s="408">
        <v>7.6753285007840066E-2</v>
      </c>
      <c r="DG313" s="408">
        <v>1.039717106207199</v>
      </c>
      <c r="DH313" s="408">
        <v>0</v>
      </c>
      <c r="DI313" s="408">
        <v>-3.3257773475923003</v>
      </c>
      <c r="DJ313" s="408"/>
      <c r="DK313" s="408">
        <v>0</v>
      </c>
      <c r="DL313" s="408">
        <v>0</v>
      </c>
      <c r="DM313" s="408">
        <v>0</v>
      </c>
      <c r="DN313" s="408">
        <v>0</v>
      </c>
      <c r="DO313" s="408">
        <v>-0.5215245264203503</v>
      </c>
      <c r="DP313" s="408">
        <v>-8.6209767373000012E-2</v>
      </c>
      <c r="DQ313" s="408">
        <v>0</v>
      </c>
      <c r="DR313" s="408">
        <v>0</v>
      </c>
      <c r="DS313" s="408"/>
      <c r="DT313" s="408"/>
      <c r="DU313" s="408"/>
      <c r="DV313" s="408">
        <v>0</v>
      </c>
      <c r="DW313" s="408">
        <v>0</v>
      </c>
      <c r="DX313" s="408">
        <v>0</v>
      </c>
      <c r="DY313" s="408">
        <v>-2.8200000000000074</v>
      </c>
      <c r="DZ313" s="408">
        <v>15.990000000000009</v>
      </c>
      <c r="EA313" s="408">
        <v>0</v>
      </c>
      <c r="EB313" s="408">
        <v>0</v>
      </c>
      <c r="EC313" s="408">
        <v>0</v>
      </c>
      <c r="ED313" s="408">
        <v>0</v>
      </c>
      <c r="EE313" s="408">
        <v>0</v>
      </c>
      <c r="EF313" s="408">
        <v>0</v>
      </c>
      <c r="EG313" s="408">
        <v>0</v>
      </c>
      <c r="EH313" s="408">
        <v>0</v>
      </c>
      <c r="EI313" s="408">
        <v>0</v>
      </c>
      <c r="EJ313" s="408">
        <v>0</v>
      </c>
      <c r="EK313" s="408">
        <v>0</v>
      </c>
      <c r="EL313" s="408">
        <v>0</v>
      </c>
      <c r="EM313" s="408">
        <v>0</v>
      </c>
      <c r="EN313" s="408">
        <v>0</v>
      </c>
      <c r="EO313" s="408">
        <v>0</v>
      </c>
      <c r="EP313" s="408">
        <v>0</v>
      </c>
      <c r="EQ313" s="408">
        <v>0</v>
      </c>
      <c r="ER313" s="408">
        <v>0</v>
      </c>
      <c r="ES313" s="408">
        <v>0</v>
      </c>
      <c r="ET313" s="408">
        <v>0</v>
      </c>
      <c r="EU313" s="408">
        <v>0</v>
      </c>
      <c r="EV313" s="408">
        <v>257</v>
      </c>
      <c r="EW313" s="408">
        <v>0</v>
      </c>
      <c r="EX313" s="408">
        <v>0</v>
      </c>
      <c r="EY313" s="408">
        <v>0</v>
      </c>
      <c r="EZ313" s="408"/>
      <c r="FA313" s="408">
        <v>0</v>
      </c>
      <c r="FB313" s="408"/>
      <c r="FC313" s="408"/>
      <c r="FD313" s="408"/>
      <c r="FE313" s="408"/>
      <c r="FF313" s="408">
        <v>0</v>
      </c>
      <c r="FG313" s="408">
        <v>0</v>
      </c>
      <c r="FH313" s="408">
        <v>0</v>
      </c>
      <c r="FI313" s="408">
        <v>0</v>
      </c>
    </row>
    <row r="314" spans="1:165">
      <c r="A314" s="408">
        <v>312</v>
      </c>
      <c r="B314" s="408" t="s">
        <v>1035</v>
      </c>
      <c r="C314" s="408" t="s">
        <v>2241</v>
      </c>
      <c r="D314" s="408" t="s">
        <v>596</v>
      </c>
      <c r="E314" s="408" t="s">
        <v>997</v>
      </c>
      <c r="F314" s="408" t="s">
        <v>1321</v>
      </c>
      <c r="G314" s="408" t="s">
        <v>1321</v>
      </c>
      <c r="H314" s="408" t="s">
        <v>1321</v>
      </c>
      <c r="I314" s="408" t="s">
        <v>1321</v>
      </c>
      <c r="J314" s="408" t="s">
        <v>2234</v>
      </c>
      <c r="K314" s="828">
        <v>44621</v>
      </c>
      <c r="L314" s="408">
        <v>790</v>
      </c>
      <c r="M314" s="408">
        <v>790</v>
      </c>
      <c r="N314" s="408">
        <v>0</v>
      </c>
      <c r="O314" s="408">
        <v>0</v>
      </c>
      <c r="P314" s="408">
        <v>0</v>
      </c>
      <c r="Q314" s="408">
        <v>0</v>
      </c>
      <c r="R314" s="408">
        <v>47.39</v>
      </c>
      <c r="S314" s="408"/>
      <c r="T314" s="408"/>
      <c r="U314" s="408">
        <v>37438.1</v>
      </c>
      <c r="V314" s="408"/>
      <c r="W314" s="408">
        <v>37438.1</v>
      </c>
      <c r="X314" s="408">
        <v>25453.8</v>
      </c>
      <c r="Y314" s="408">
        <v>0</v>
      </c>
      <c r="Z314" s="408">
        <v>0</v>
      </c>
      <c r="AA314" s="408">
        <v>0</v>
      </c>
      <c r="AB314" s="408">
        <v>0</v>
      </c>
      <c r="AC314" s="408">
        <v>0</v>
      </c>
      <c r="AD314" s="408">
        <v>19726.379141777903</v>
      </c>
      <c r="AE314" s="408">
        <v>17711.695124126305</v>
      </c>
      <c r="AF314" s="408"/>
      <c r="AG314" s="408"/>
      <c r="AH314" s="408"/>
      <c r="AI314" s="408">
        <v>0</v>
      </c>
      <c r="AJ314" s="408">
        <v>0</v>
      </c>
      <c r="AK314" s="408">
        <v>0</v>
      </c>
      <c r="AL314" s="408">
        <v>0</v>
      </c>
      <c r="AM314" s="408"/>
      <c r="AN314" s="408">
        <v>0</v>
      </c>
      <c r="AO314" s="408">
        <v>0</v>
      </c>
      <c r="AP314" s="408">
        <v>0</v>
      </c>
      <c r="AQ314" s="408">
        <v>0</v>
      </c>
      <c r="AR314" s="408">
        <v>0</v>
      </c>
      <c r="AS314" s="408"/>
      <c r="AT314" s="408"/>
      <c r="AU314" s="408">
        <v>0</v>
      </c>
      <c r="AV314" s="408">
        <v>0</v>
      </c>
      <c r="AW314" s="408">
        <v>0</v>
      </c>
      <c r="AX314" s="408"/>
      <c r="AY314" s="408"/>
      <c r="AZ314" s="408">
        <v>0</v>
      </c>
      <c r="BA314" s="408"/>
      <c r="BB314" s="408">
        <v>0</v>
      </c>
      <c r="BC314" s="408">
        <v>0</v>
      </c>
      <c r="BD314" s="408">
        <v>0</v>
      </c>
      <c r="BE314" s="408">
        <v>0</v>
      </c>
      <c r="BF314" s="408"/>
      <c r="BG314" s="408">
        <v>0</v>
      </c>
      <c r="BH314" s="408">
        <v>0</v>
      </c>
      <c r="BI314" s="408">
        <v>0</v>
      </c>
      <c r="BJ314" s="408">
        <v>0</v>
      </c>
      <c r="BK314" s="408">
        <v>37326.92</v>
      </c>
      <c r="BL314" s="408">
        <v>10</v>
      </c>
      <c r="BM314" s="408"/>
      <c r="BN314" s="408"/>
      <c r="BO314" s="408"/>
      <c r="BP314" s="408"/>
      <c r="BQ314" s="408"/>
      <c r="BR314" s="408"/>
      <c r="BS314" s="408"/>
      <c r="BT314" s="408"/>
      <c r="BU314" s="408"/>
      <c r="BV314" s="408">
        <v>0</v>
      </c>
      <c r="BW314" s="408"/>
      <c r="BX314" s="408"/>
      <c r="BY314" s="408"/>
      <c r="BZ314" s="408"/>
      <c r="CA314" s="408"/>
      <c r="CB314" s="408"/>
      <c r="CC314" s="408"/>
      <c r="CD314" s="408"/>
      <c r="CE314" s="408"/>
      <c r="CF314" s="408"/>
      <c r="CG314" s="408"/>
      <c r="CH314" s="408"/>
      <c r="CI314" s="408">
        <v>25453.8</v>
      </c>
      <c r="CJ314" s="408">
        <v>-11984.330000000005</v>
      </c>
      <c r="CK314" s="408"/>
      <c r="CL314" s="408"/>
      <c r="CM314" s="408"/>
      <c r="CN314" s="408"/>
      <c r="CO314" s="408">
        <v>-11984.300000000001</v>
      </c>
      <c r="CP314" s="408">
        <v>0</v>
      </c>
      <c r="CQ314" s="408">
        <v>31</v>
      </c>
      <c r="CR314" s="408">
        <v>-89.164474416556914</v>
      </c>
      <c r="CS314" s="408">
        <v>0</v>
      </c>
      <c r="CT314" s="408">
        <v>0</v>
      </c>
      <c r="CU314" s="408">
        <v>0</v>
      </c>
      <c r="CV314" s="408">
        <v>0</v>
      </c>
      <c r="CW314" s="408"/>
      <c r="CX314" s="408"/>
      <c r="CY314" s="408"/>
      <c r="CZ314" s="408">
        <v>-89.164474416556914</v>
      </c>
      <c r="DA314" s="408">
        <v>0</v>
      </c>
      <c r="DB314" s="408">
        <v>0</v>
      </c>
      <c r="DC314" s="408"/>
      <c r="DD314" s="408"/>
      <c r="DE314" s="408">
        <v>0</v>
      </c>
      <c r="DF314" s="408">
        <v>0</v>
      </c>
      <c r="DG314" s="408">
        <v>0</v>
      </c>
      <c r="DH314" s="408">
        <v>0</v>
      </c>
      <c r="DI314" s="408">
        <v>0</v>
      </c>
      <c r="DJ314" s="408"/>
      <c r="DK314" s="408">
        <v>0</v>
      </c>
      <c r="DL314" s="408">
        <v>0</v>
      </c>
      <c r="DM314" s="408"/>
      <c r="DN314" s="408">
        <v>0</v>
      </c>
      <c r="DO314" s="408">
        <v>0</v>
      </c>
      <c r="DP314" s="408">
        <v>0</v>
      </c>
      <c r="DQ314" s="408">
        <v>0</v>
      </c>
      <c r="DR314" s="408">
        <v>0</v>
      </c>
      <c r="DS314" s="408"/>
      <c r="DT314" s="408"/>
      <c r="DU314" s="408">
        <v>17711.695124126305</v>
      </c>
      <c r="DV314" s="408"/>
      <c r="DW314" s="408">
        <v>0</v>
      </c>
      <c r="DX314" s="408">
        <v>0</v>
      </c>
      <c r="DY314" s="408">
        <v>-11984.3</v>
      </c>
      <c r="DZ314" s="408"/>
      <c r="EA314" s="408">
        <v>0</v>
      </c>
      <c r="EB314" s="408"/>
      <c r="EC314" s="408">
        <v>-11896.496951182395</v>
      </c>
      <c r="ED314" s="408"/>
      <c r="EE314" s="408">
        <v>0</v>
      </c>
      <c r="EF314" s="408">
        <v>0</v>
      </c>
      <c r="EG314" s="408"/>
      <c r="EH314" s="408">
        <v>0</v>
      </c>
      <c r="EI314" s="408">
        <v>0</v>
      </c>
      <c r="EJ314" s="408">
        <v>0</v>
      </c>
      <c r="EK314" s="408">
        <v>0</v>
      </c>
      <c r="EL314" s="408">
        <v>0</v>
      </c>
      <c r="EM314" s="408"/>
      <c r="EN314" s="408"/>
      <c r="EO314" s="408">
        <v>0</v>
      </c>
      <c r="EP314" s="408">
        <v>0</v>
      </c>
      <c r="EQ314" s="408"/>
      <c r="ER314" s="408">
        <v>0</v>
      </c>
      <c r="ES314" s="408"/>
      <c r="ET314" s="408">
        <v>0</v>
      </c>
      <c r="EU314" s="408"/>
      <c r="EV314" s="408">
        <v>257</v>
      </c>
      <c r="EW314" s="408"/>
      <c r="EX314" s="408"/>
      <c r="EY314" s="408"/>
      <c r="EZ314" s="408"/>
      <c r="FA314" s="408">
        <v>0</v>
      </c>
      <c r="FB314" s="408"/>
      <c r="FC314" s="408"/>
      <c r="FD314" s="408"/>
      <c r="FE314" s="408"/>
      <c r="FF314" s="408">
        <v>0</v>
      </c>
      <c r="FG314" s="408">
        <v>0</v>
      </c>
      <c r="FH314" s="408">
        <v>0</v>
      </c>
      <c r="FI314" s="408">
        <v>0</v>
      </c>
    </row>
    <row r="315" spans="1:165">
      <c r="A315" s="408">
        <v>313</v>
      </c>
      <c r="B315" s="408" t="s">
        <v>2236</v>
      </c>
      <c r="C315" s="408" t="s">
        <v>2241</v>
      </c>
      <c r="D315" s="408" t="s">
        <v>596</v>
      </c>
      <c r="E315" s="408" t="s">
        <v>997</v>
      </c>
      <c r="F315" s="408" t="s">
        <v>1321</v>
      </c>
      <c r="G315" s="408" t="s">
        <v>1321</v>
      </c>
      <c r="H315" s="408" t="s">
        <v>1321</v>
      </c>
      <c r="I315" s="408" t="s">
        <v>1321</v>
      </c>
      <c r="J315" s="408" t="s">
        <v>2234</v>
      </c>
      <c r="K315" s="828">
        <v>44621</v>
      </c>
      <c r="L315" s="408">
        <v>45</v>
      </c>
      <c r="M315" s="408">
        <v>45</v>
      </c>
      <c r="N315" s="408">
        <v>0</v>
      </c>
      <c r="O315" s="408">
        <v>0</v>
      </c>
      <c r="P315" s="408">
        <v>0</v>
      </c>
      <c r="Q315" s="408">
        <v>0</v>
      </c>
      <c r="R315" s="408">
        <v>47.39</v>
      </c>
      <c r="S315" s="408"/>
      <c r="T315" s="408"/>
      <c r="U315" s="408">
        <v>2132.5500000000002</v>
      </c>
      <c r="V315" s="408"/>
      <c r="W315" s="408">
        <v>2132.5500000000002</v>
      </c>
      <c r="X315" s="408">
        <v>1449.8999999999999</v>
      </c>
      <c r="Y315" s="408">
        <v>0</v>
      </c>
      <c r="Z315" s="408">
        <v>0</v>
      </c>
      <c r="AA315" s="408">
        <v>0</v>
      </c>
      <c r="AB315" s="408">
        <v>0</v>
      </c>
      <c r="AC315" s="408">
        <v>0</v>
      </c>
      <c r="AD315" s="408">
        <v>1123.6545080759565</v>
      </c>
      <c r="AE315" s="408">
        <v>1008.8940260578274</v>
      </c>
      <c r="AF315" s="408"/>
      <c r="AG315" s="408"/>
      <c r="AH315" s="408"/>
      <c r="AI315" s="408">
        <v>0</v>
      </c>
      <c r="AJ315" s="408">
        <v>0</v>
      </c>
      <c r="AK315" s="408">
        <v>0</v>
      </c>
      <c r="AL315" s="408">
        <v>0</v>
      </c>
      <c r="AM315" s="408"/>
      <c r="AN315" s="408">
        <v>0</v>
      </c>
      <c r="AO315" s="408">
        <v>0</v>
      </c>
      <c r="AP315" s="408">
        <v>0</v>
      </c>
      <c r="AQ315" s="408">
        <v>0</v>
      </c>
      <c r="AR315" s="408">
        <v>0</v>
      </c>
      <c r="AS315" s="408"/>
      <c r="AT315" s="408"/>
      <c r="AU315" s="408">
        <v>0</v>
      </c>
      <c r="AV315" s="408">
        <v>0</v>
      </c>
      <c r="AW315" s="408">
        <v>0</v>
      </c>
      <c r="AX315" s="408"/>
      <c r="AY315" s="408"/>
      <c r="AZ315" s="408">
        <v>0</v>
      </c>
      <c r="BA315" s="408"/>
      <c r="BB315" s="408">
        <v>0</v>
      </c>
      <c r="BC315" s="408">
        <v>0</v>
      </c>
      <c r="BD315" s="408">
        <v>0</v>
      </c>
      <c r="BE315" s="408">
        <v>0</v>
      </c>
      <c r="BF315" s="408"/>
      <c r="BG315" s="408">
        <v>0</v>
      </c>
      <c r="BH315" s="408">
        <v>0</v>
      </c>
      <c r="BI315" s="408">
        <v>0</v>
      </c>
      <c r="BJ315" s="408">
        <v>0</v>
      </c>
      <c r="BK315" s="408">
        <v>1323.53</v>
      </c>
      <c r="BL315" s="408">
        <v>1</v>
      </c>
      <c r="BM315" s="408"/>
      <c r="BN315" s="408"/>
      <c r="BO315" s="408"/>
      <c r="BP315" s="408"/>
      <c r="BQ315" s="408"/>
      <c r="BR315" s="408"/>
      <c r="BS315" s="408"/>
      <c r="BT315" s="408"/>
      <c r="BU315" s="408"/>
      <c r="BV315" s="408">
        <v>0</v>
      </c>
      <c r="BW315" s="408"/>
      <c r="BX315" s="408"/>
      <c r="BY315" s="408"/>
      <c r="BZ315" s="408"/>
      <c r="CA315" s="408"/>
      <c r="CB315" s="408"/>
      <c r="CC315" s="408"/>
      <c r="CD315" s="408"/>
      <c r="CE315" s="408"/>
      <c r="CF315" s="408"/>
      <c r="CG315" s="408"/>
      <c r="CH315" s="408"/>
      <c r="CI315" s="408">
        <v>1449.8999999999999</v>
      </c>
      <c r="CJ315" s="408">
        <v>-682.68000000000097</v>
      </c>
      <c r="CK315" s="408"/>
      <c r="CL315" s="408"/>
      <c r="CM315" s="408"/>
      <c r="CN315" s="408"/>
      <c r="CO315" s="408">
        <v>-682.65000000000009</v>
      </c>
      <c r="CP315" s="408">
        <v>0</v>
      </c>
      <c r="CQ315" s="408">
        <v>31</v>
      </c>
      <c r="CR315" s="408">
        <v>-5.0789890490445941</v>
      </c>
      <c r="CS315" s="408">
        <v>0</v>
      </c>
      <c r="CT315" s="408">
        <v>0</v>
      </c>
      <c r="CU315" s="408">
        <v>0</v>
      </c>
      <c r="CV315" s="408">
        <v>0</v>
      </c>
      <c r="CW315" s="408"/>
      <c r="CX315" s="408"/>
      <c r="CY315" s="408"/>
      <c r="CZ315" s="408">
        <v>-5.0789890490445941</v>
      </c>
      <c r="DA315" s="408">
        <v>0</v>
      </c>
      <c r="DB315" s="408">
        <v>0</v>
      </c>
      <c r="DC315" s="408"/>
      <c r="DD315" s="408"/>
      <c r="DE315" s="408">
        <v>0</v>
      </c>
      <c r="DF315" s="408">
        <v>0</v>
      </c>
      <c r="DG315" s="408">
        <v>0</v>
      </c>
      <c r="DH315" s="408">
        <v>0</v>
      </c>
      <c r="DI315" s="408">
        <v>0</v>
      </c>
      <c r="DJ315" s="408"/>
      <c r="DK315" s="408">
        <v>0</v>
      </c>
      <c r="DL315" s="408">
        <v>0</v>
      </c>
      <c r="DM315" s="408"/>
      <c r="DN315" s="408">
        <v>0</v>
      </c>
      <c r="DO315" s="408">
        <v>0</v>
      </c>
      <c r="DP315" s="408">
        <v>0</v>
      </c>
      <c r="DQ315" s="408">
        <v>0</v>
      </c>
      <c r="DR315" s="408">
        <v>0</v>
      </c>
      <c r="DS315" s="408"/>
      <c r="DT315" s="408"/>
      <c r="DU315" s="408">
        <v>1008.8940260578274</v>
      </c>
      <c r="DV315" s="408"/>
      <c r="DW315" s="408">
        <v>0</v>
      </c>
      <c r="DX315" s="408">
        <v>0</v>
      </c>
      <c r="DY315" s="408">
        <v>-682.65000000000032</v>
      </c>
      <c r="DZ315" s="408"/>
      <c r="EA315" s="408">
        <v>0</v>
      </c>
      <c r="EB315" s="408"/>
      <c r="EC315" s="408">
        <v>-677.64856051038953</v>
      </c>
      <c r="ED315" s="408"/>
      <c r="EE315" s="408">
        <v>0</v>
      </c>
      <c r="EF315" s="408">
        <v>0</v>
      </c>
      <c r="EG315" s="408"/>
      <c r="EH315" s="408">
        <v>0</v>
      </c>
      <c r="EI315" s="408">
        <v>0</v>
      </c>
      <c r="EJ315" s="408">
        <v>0</v>
      </c>
      <c r="EK315" s="408">
        <v>0</v>
      </c>
      <c r="EL315" s="408">
        <v>0</v>
      </c>
      <c r="EM315" s="408"/>
      <c r="EN315" s="408"/>
      <c r="EO315" s="408">
        <v>0</v>
      </c>
      <c r="EP315" s="408">
        <v>0</v>
      </c>
      <c r="EQ315" s="408"/>
      <c r="ER315" s="408">
        <v>0</v>
      </c>
      <c r="ES315" s="408"/>
      <c r="ET315" s="408">
        <v>0</v>
      </c>
      <c r="EU315" s="408"/>
      <c r="EV315" s="408">
        <v>257</v>
      </c>
      <c r="EW315" s="408"/>
      <c r="EX315" s="408"/>
      <c r="EY315" s="408"/>
      <c r="EZ315" s="408"/>
      <c r="FA315" s="408">
        <v>0</v>
      </c>
      <c r="FB315" s="408"/>
      <c r="FC315" s="408"/>
      <c r="FD315" s="408"/>
      <c r="FE315" s="408"/>
      <c r="FF315" s="408">
        <v>0</v>
      </c>
      <c r="FG315" s="408">
        <v>0</v>
      </c>
      <c r="FH315" s="408">
        <v>0</v>
      </c>
      <c r="FI315" s="408">
        <v>0</v>
      </c>
    </row>
    <row r="316" spans="1:165">
      <c r="A316" s="408">
        <v>314</v>
      </c>
      <c r="B316" s="408" t="s">
        <v>1035</v>
      </c>
      <c r="C316" s="408" t="s">
        <v>2233</v>
      </c>
      <c r="D316" s="408" t="s">
        <v>2243</v>
      </c>
      <c r="E316" s="408" t="s">
        <v>973</v>
      </c>
      <c r="F316" s="408" t="s">
        <v>1321</v>
      </c>
      <c r="G316" s="408" t="s">
        <v>1321</v>
      </c>
      <c r="H316" s="408" t="s">
        <v>1321</v>
      </c>
      <c r="I316" s="408" t="s">
        <v>1321</v>
      </c>
      <c r="J316" s="408" t="s">
        <v>2234</v>
      </c>
      <c r="K316" s="828">
        <v>44621</v>
      </c>
      <c r="L316" s="408">
        <v>0</v>
      </c>
      <c r="M316" s="408">
        <v>0</v>
      </c>
      <c r="N316" s="408">
        <v>3274.9630000000002</v>
      </c>
      <c r="O316" s="408">
        <v>3274.9630000000002</v>
      </c>
      <c r="P316" s="408">
        <v>3274.9630000000002</v>
      </c>
      <c r="Q316" s="408">
        <v>3274.9630000000002</v>
      </c>
      <c r="R316" s="408"/>
      <c r="S316" s="408">
        <v>710.91</v>
      </c>
      <c r="T316" s="408">
        <v>256.55</v>
      </c>
      <c r="U316" s="408"/>
      <c r="V316" s="408">
        <v>3168395.7039800002</v>
      </c>
      <c r="W316" s="408">
        <v>3168395.7039800002</v>
      </c>
      <c r="X316" s="408">
        <v>2162883.8140900005</v>
      </c>
      <c r="Y316" s="408">
        <v>0</v>
      </c>
      <c r="Z316" s="408">
        <v>201327.30701512235</v>
      </c>
      <c r="AA316" s="408">
        <v>0</v>
      </c>
      <c r="AB316" s="408">
        <v>0</v>
      </c>
      <c r="AC316" s="408">
        <v>0</v>
      </c>
      <c r="AD316" s="408">
        <v>403091.5825428206</v>
      </c>
      <c r="AE316" s="408">
        <v>1561862.8063470719</v>
      </c>
      <c r="AF316" s="408">
        <v>840200.0162291663</v>
      </c>
      <c r="AG316" s="408">
        <v>0</v>
      </c>
      <c r="AH316" s="408">
        <v>0</v>
      </c>
      <c r="AI316" s="408">
        <v>0</v>
      </c>
      <c r="AJ316" s="408">
        <v>0</v>
      </c>
      <c r="AK316" s="408">
        <v>0</v>
      </c>
      <c r="AL316" s="408">
        <v>31126.112141248166</v>
      </c>
      <c r="AM316" s="408"/>
      <c r="AN316" s="408">
        <v>7191.1789719200278</v>
      </c>
      <c r="AO316" s="408">
        <v>0</v>
      </c>
      <c r="AP316" s="408">
        <v>0</v>
      </c>
      <c r="AQ316" s="408">
        <v>0</v>
      </c>
      <c r="AR316" s="408">
        <v>0</v>
      </c>
      <c r="AS316" s="408">
        <v>0</v>
      </c>
      <c r="AT316" s="408">
        <v>0</v>
      </c>
      <c r="AU316" s="408">
        <v>0</v>
      </c>
      <c r="AV316" s="408">
        <v>0</v>
      </c>
      <c r="AW316" s="408">
        <v>0</v>
      </c>
      <c r="AX316" s="408">
        <v>0</v>
      </c>
      <c r="AY316" s="408">
        <v>0</v>
      </c>
      <c r="AZ316" s="408">
        <v>0</v>
      </c>
      <c r="BA316" s="408"/>
      <c r="BB316" s="408">
        <v>0</v>
      </c>
      <c r="BC316" s="408">
        <v>0</v>
      </c>
      <c r="BD316" s="408">
        <v>4880.7439392760807</v>
      </c>
      <c r="BE316" s="408">
        <v>0</v>
      </c>
      <c r="BF316" s="408">
        <v>0</v>
      </c>
      <c r="BG316" s="408">
        <v>118728.55107423387</v>
      </c>
      <c r="BH316" s="408">
        <v>0</v>
      </c>
      <c r="BI316" s="408">
        <v>0</v>
      </c>
      <c r="BJ316" s="408">
        <v>0</v>
      </c>
      <c r="BK316" s="408">
        <v>138843.5</v>
      </c>
      <c r="BL316" s="408">
        <v>8874</v>
      </c>
      <c r="BM316" s="408"/>
      <c r="BN316" s="408"/>
      <c r="BO316" s="408"/>
      <c r="BP316" s="408"/>
      <c r="BQ316" s="408"/>
      <c r="BR316" s="408">
        <v>259540.81774999993</v>
      </c>
      <c r="BS316" s="408"/>
      <c r="BT316" s="408"/>
      <c r="BU316" s="408"/>
      <c r="BV316" s="408">
        <v>963809.31124267622</v>
      </c>
      <c r="BW316" s="408"/>
      <c r="BX316" s="408"/>
      <c r="BY316" s="408"/>
      <c r="BZ316" s="408"/>
      <c r="CA316" s="408"/>
      <c r="CB316" s="408"/>
      <c r="CC316" s="408"/>
      <c r="CD316" s="408"/>
      <c r="CE316" s="408"/>
      <c r="CF316" s="408"/>
      <c r="CG316" s="408"/>
      <c r="CH316" s="408"/>
      <c r="CI316" s="408">
        <v>1903341.2528000001</v>
      </c>
      <c r="CJ316" s="408">
        <v>-884864.02651</v>
      </c>
      <c r="CK316" s="408"/>
      <c r="CL316" s="408"/>
      <c r="CM316" s="408"/>
      <c r="CN316" s="408"/>
      <c r="CO316" s="408">
        <v>-1057878.5482600001</v>
      </c>
      <c r="CP316" s="408">
        <v>52366.658370000034</v>
      </c>
      <c r="CQ316" s="408">
        <v>31</v>
      </c>
      <c r="CR316" s="408">
        <v>43535.020251364913</v>
      </c>
      <c r="CS316" s="408">
        <v>0</v>
      </c>
      <c r="CT316" s="408">
        <v>0</v>
      </c>
      <c r="CU316" s="408">
        <v>0</v>
      </c>
      <c r="CV316" s="408">
        <v>0</v>
      </c>
      <c r="CW316" s="408">
        <v>0</v>
      </c>
      <c r="CX316" s="408">
        <v>0</v>
      </c>
      <c r="CY316" s="408">
        <v>0</v>
      </c>
      <c r="CZ316" s="408">
        <v>-1821.9993056424428</v>
      </c>
      <c r="DA316" s="408">
        <v>0</v>
      </c>
      <c r="DB316" s="408">
        <v>0</v>
      </c>
      <c r="DC316" s="408">
        <v>52343.1748056754</v>
      </c>
      <c r="DD316" s="408">
        <v>0</v>
      </c>
      <c r="DE316" s="408">
        <v>0</v>
      </c>
      <c r="DF316" s="408">
        <v>304.06287581597917</v>
      </c>
      <c r="DG316" s="408">
        <v>7396.6069784128194</v>
      </c>
      <c r="DH316" s="408">
        <v>0</v>
      </c>
      <c r="DI316" s="408">
        <v>-12519.307769658451</v>
      </c>
      <c r="DJ316" s="408"/>
      <c r="DK316" s="408">
        <v>0</v>
      </c>
      <c r="DL316" s="408">
        <v>0</v>
      </c>
      <c r="DM316" s="408">
        <v>0</v>
      </c>
      <c r="DN316" s="408">
        <v>0</v>
      </c>
      <c r="DO316" s="408">
        <v>-1707.9735276191677</v>
      </c>
      <c r="DP316" s="408">
        <v>-459.543805619247</v>
      </c>
      <c r="DQ316" s="408">
        <v>0</v>
      </c>
      <c r="DR316" s="408">
        <v>0</v>
      </c>
      <c r="DS316" s="408"/>
      <c r="DT316" s="408"/>
      <c r="DU316" s="408"/>
      <c r="DV316" s="408">
        <v>1561862.8063470719</v>
      </c>
      <c r="DW316" s="408">
        <v>0</v>
      </c>
      <c r="DX316" s="408">
        <v>0</v>
      </c>
      <c r="DY316" s="408">
        <v>-1057878.5482600001</v>
      </c>
      <c r="DZ316" s="408">
        <v>52366.658370000077</v>
      </c>
      <c r="EA316" s="408">
        <v>0</v>
      </c>
      <c r="EB316" s="408">
        <v>0</v>
      </c>
      <c r="EC316" s="408">
        <v>-1049063.6827055076</v>
      </c>
      <c r="ED316" s="408">
        <v>0</v>
      </c>
      <c r="EE316" s="408">
        <v>0</v>
      </c>
      <c r="EF316" s="408">
        <v>0</v>
      </c>
      <c r="EG316" s="408">
        <v>0</v>
      </c>
      <c r="EH316" s="408">
        <v>0</v>
      </c>
      <c r="EI316" s="408">
        <v>0</v>
      </c>
      <c r="EJ316" s="408">
        <v>0</v>
      </c>
      <c r="EK316" s="408">
        <v>0</v>
      </c>
      <c r="EL316" s="408">
        <v>0</v>
      </c>
      <c r="EM316" s="408">
        <v>0</v>
      </c>
      <c r="EN316" s="408">
        <v>0</v>
      </c>
      <c r="EO316" s="408">
        <v>0</v>
      </c>
      <c r="EP316" s="408">
        <v>0</v>
      </c>
      <c r="EQ316" s="408">
        <v>0</v>
      </c>
      <c r="ER316" s="408">
        <v>0</v>
      </c>
      <c r="ES316" s="408">
        <v>0</v>
      </c>
      <c r="ET316" s="408">
        <v>0</v>
      </c>
      <c r="EU316" s="408">
        <v>0</v>
      </c>
      <c r="EV316" s="408">
        <v>257</v>
      </c>
      <c r="EW316" s="408">
        <v>0</v>
      </c>
      <c r="EX316" s="408">
        <v>0</v>
      </c>
      <c r="EY316" s="408">
        <v>0</v>
      </c>
      <c r="EZ316" s="408"/>
      <c r="FA316" s="408">
        <v>0</v>
      </c>
      <c r="FB316" s="408"/>
      <c r="FC316" s="408"/>
      <c r="FD316" s="408"/>
      <c r="FE316" s="408"/>
      <c r="FF316" s="408">
        <v>0</v>
      </c>
      <c r="FG316" s="408">
        <v>0</v>
      </c>
      <c r="FH316" s="408">
        <v>0</v>
      </c>
      <c r="FI316" s="408">
        <v>0</v>
      </c>
    </row>
    <row r="317" spans="1:165">
      <c r="A317" s="408">
        <v>315</v>
      </c>
      <c r="B317" s="408" t="s">
        <v>2236</v>
      </c>
      <c r="C317" s="408" t="s">
        <v>2233</v>
      </c>
      <c r="D317" s="408" t="s">
        <v>2243</v>
      </c>
      <c r="E317" s="408" t="s">
        <v>973</v>
      </c>
      <c r="F317" s="408" t="s">
        <v>1321</v>
      </c>
      <c r="G317" s="408" t="s">
        <v>1321</v>
      </c>
      <c r="H317" s="408" t="s">
        <v>1321</v>
      </c>
      <c r="I317" s="408" t="s">
        <v>1321</v>
      </c>
      <c r="J317" s="408" t="s">
        <v>2234</v>
      </c>
      <c r="K317" s="828">
        <v>44621</v>
      </c>
      <c r="L317" s="408">
        <v>0</v>
      </c>
      <c r="M317" s="408">
        <v>0</v>
      </c>
      <c r="N317" s="408">
        <v>105.14</v>
      </c>
      <c r="O317" s="408">
        <v>105.14</v>
      </c>
      <c r="P317" s="408">
        <v>105.14</v>
      </c>
      <c r="Q317" s="408">
        <v>105.14</v>
      </c>
      <c r="R317" s="408"/>
      <c r="S317" s="408">
        <v>710.91</v>
      </c>
      <c r="T317" s="408">
        <v>256.55</v>
      </c>
      <c r="U317" s="408"/>
      <c r="V317" s="408">
        <v>101718.7444</v>
      </c>
      <c r="W317" s="408">
        <v>101718.7444</v>
      </c>
      <c r="X317" s="408">
        <v>69437.610199999996</v>
      </c>
      <c r="Y317" s="408">
        <v>0</v>
      </c>
      <c r="Z317" s="408">
        <v>6463.4480021819982</v>
      </c>
      <c r="AA317" s="408">
        <v>0</v>
      </c>
      <c r="AB317" s="408">
        <v>0</v>
      </c>
      <c r="AC317" s="408">
        <v>0</v>
      </c>
      <c r="AD317" s="408">
        <v>12940.924519926532</v>
      </c>
      <c r="AE317" s="408">
        <v>50142.323885592341</v>
      </c>
      <c r="AF317" s="408">
        <v>26973.932134907947</v>
      </c>
      <c r="AG317" s="408">
        <v>0</v>
      </c>
      <c r="AH317" s="408">
        <v>0</v>
      </c>
      <c r="AI317" s="408">
        <v>0</v>
      </c>
      <c r="AJ317" s="408">
        <v>0</v>
      </c>
      <c r="AK317" s="408">
        <v>0</v>
      </c>
      <c r="AL317" s="408">
        <v>999.27829124507116</v>
      </c>
      <c r="AM317" s="408"/>
      <c r="AN317" s="408">
        <v>230.8669005138903</v>
      </c>
      <c r="AO317" s="408">
        <v>0</v>
      </c>
      <c r="AP317" s="408">
        <v>0</v>
      </c>
      <c r="AQ317" s="408">
        <v>0</v>
      </c>
      <c r="AR317" s="408">
        <v>0</v>
      </c>
      <c r="AS317" s="408">
        <v>0</v>
      </c>
      <c r="AT317" s="408">
        <v>0</v>
      </c>
      <c r="AU317" s="408">
        <v>0</v>
      </c>
      <c r="AV317" s="408">
        <v>0</v>
      </c>
      <c r="AW317" s="408">
        <v>0</v>
      </c>
      <c r="AX317" s="408">
        <v>0</v>
      </c>
      <c r="AY317" s="408">
        <v>0</v>
      </c>
      <c r="AZ317" s="408">
        <v>0</v>
      </c>
      <c r="BA317" s="408"/>
      <c r="BB317" s="408">
        <v>0</v>
      </c>
      <c r="BC317" s="408">
        <v>0</v>
      </c>
      <c r="BD317" s="408">
        <v>156.69227950834471</v>
      </c>
      <c r="BE317" s="408">
        <v>0</v>
      </c>
      <c r="BF317" s="408">
        <v>0</v>
      </c>
      <c r="BG317" s="408">
        <v>3811.6827151772245</v>
      </c>
      <c r="BH317" s="408">
        <v>0</v>
      </c>
      <c r="BI317" s="408">
        <v>0</v>
      </c>
      <c r="BJ317" s="408">
        <v>0</v>
      </c>
      <c r="BK317" s="408">
        <v>2841.13</v>
      </c>
      <c r="BL317" s="408">
        <v>194</v>
      </c>
      <c r="BM317" s="408"/>
      <c r="BN317" s="408"/>
      <c r="BO317" s="408"/>
      <c r="BP317" s="408"/>
      <c r="BQ317" s="408"/>
      <c r="BR317" s="408">
        <v>8332.3449999999975</v>
      </c>
      <c r="BS317" s="408"/>
      <c r="BT317" s="408"/>
      <c r="BU317" s="408"/>
      <c r="BV317" s="408">
        <v>30942.307129593515</v>
      </c>
      <c r="BW317" s="408"/>
      <c r="BX317" s="408"/>
      <c r="BY317" s="408"/>
      <c r="BZ317" s="408"/>
      <c r="CA317" s="408"/>
      <c r="CB317" s="408"/>
      <c r="CC317" s="408"/>
      <c r="CD317" s="408"/>
      <c r="CE317" s="408"/>
      <c r="CF317" s="408"/>
      <c r="CG317" s="408"/>
      <c r="CH317" s="408"/>
      <c r="CI317" s="408">
        <v>61105.265200000009</v>
      </c>
      <c r="CJ317" s="408">
        <v>-28407.806599999982</v>
      </c>
      <c r="CK317" s="408"/>
      <c r="CL317" s="408"/>
      <c r="CM317" s="408"/>
      <c r="CN317" s="408"/>
      <c r="CO317" s="408">
        <v>-33962.322800000002</v>
      </c>
      <c r="CP317" s="408">
        <v>1681.1886000000009</v>
      </c>
      <c r="CQ317" s="408">
        <v>31</v>
      </c>
      <c r="CR317" s="408">
        <v>1397.656104581496</v>
      </c>
      <c r="CS317" s="408">
        <v>0</v>
      </c>
      <c r="CT317" s="408">
        <v>0</v>
      </c>
      <c r="CU317" s="408">
        <v>0</v>
      </c>
      <c r="CV317" s="408">
        <v>0</v>
      </c>
      <c r="CW317" s="408">
        <v>0</v>
      </c>
      <c r="CX317" s="408">
        <v>0</v>
      </c>
      <c r="CY317" s="408">
        <v>0</v>
      </c>
      <c r="CZ317" s="408">
        <v>-58.493792752848094</v>
      </c>
      <c r="DA317" s="408">
        <v>0</v>
      </c>
      <c r="DB317" s="408">
        <v>0</v>
      </c>
      <c r="DC317" s="408">
        <v>1680.4346794356825</v>
      </c>
      <c r="DD317" s="408">
        <v>0</v>
      </c>
      <c r="DE317" s="408">
        <v>0</v>
      </c>
      <c r="DF317" s="408">
        <v>9.7616891437527897</v>
      </c>
      <c r="DG317" s="408">
        <v>237.4619981081687</v>
      </c>
      <c r="DH317" s="408">
        <v>0</v>
      </c>
      <c r="DI317" s="408">
        <v>-401.92210382281883</v>
      </c>
      <c r="DJ317" s="408"/>
      <c r="DK317" s="408">
        <v>0</v>
      </c>
      <c r="DL317" s="408">
        <v>0</v>
      </c>
      <c r="DM317" s="408">
        <v>0</v>
      </c>
      <c r="DN317" s="408">
        <v>0</v>
      </c>
      <c r="DO317" s="408">
        <v>-54.8330887078356</v>
      </c>
      <c r="DP317" s="408">
        <v>-14.753276822610729</v>
      </c>
      <c r="DQ317" s="408">
        <v>0</v>
      </c>
      <c r="DR317" s="408">
        <v>0</v>
      </c>
      <c r="DS317" s="408"/>
      <c r="DT317" s="408"/>
      <c r="DU317" s="408"/>
      <c r="DV317" s="408">
        <v>50142.323885592341</v>
      </c>
      <c r="DW317" s="408">
        <v>0</v>
      </c>
      <c r="DX317" s="408">
        <v>0</v>
      </c>
      <c r="DY317" s="408">
        <v>-33962.322799999994</v>
      </c>
      <c r="DZ317" s="408">
        <v>1681.1886000000013</v>
      </c>
      <c r="EA317" s="408">
        <v>0</v>
      </c>
      <c r="EB317" s="408">
        <v>0</v>
      </c>
      <c r="EC317" s="408">
        <v>-33679.328773991365</v>
      </c>
      <c r="ED317" s="408">
        <v>0</v>
      </c>
      <c r="EE317" s="408">
        <v>0</v>
      </c>
      <c r="EF317" s="408">
        <v>0</v>
      </c>
      <c r="EG317" s="408">
        <v>0</v>
      </c>
      <c r="EH317" s="408">
        <v>0</v>
      </c>
      <c r="EI317" s="408">
        <v>0</v>
      </c>
      <c r="EJ317" s="408">
        <v>0</v>
      </c>
      <c r="EK317" s="408">
        <v>0</v>
      </c>
      <c r="EL317" s="408">
        <v>0</v>
      </c>
      <c r="EM317" s="408">
        <v>0</v>
      </c>
      <c r="EN317" s="408">
        <v>0</v>
      </c>
      <c r="EO317" s="408">
        <v>0</v>
      </c>
      <c r="EP317" s="408">
        <v>0</v>
      </c>
      <c r="EQ317" s="408">
        <v>0</v>
      </c>
      <c r="ER317" s="408">
        <v>0</v>
      </c>
      <c r="ES317" s="408">
        <v>0</v>
      </c>
      <c r="ET317" s="408">
        <v>0</v>
      </c>
      <c r="EU317" s="408">
        <v>0</v>
      </c>
      <c r="EV317" s="408">
        <v>257</v>
      </c>
      <c r="EW317" s="408">
        <v>0</v>
      </c>
      <c r="EX317" s="408">
        <v>0</v>
      </c>
      <c r="EY317" s="408">
        <v>0</v>
      </c>
      <c r="EZ317" s="408"/>
      <c r="FA317" s="408">
        <v>0</v>
      </c>
      <c r="FB317" s="408"/>
      <c r="FC317" s="408"/>
      <c r="FD317" s="408"/>
      <c r="FE317" s="408"/>
      <c r="FF317" s="408">
        <v>0</v>
      </c>
      <c r="FG317" s="408">
        <v>0</v>
      </c>
      <c r="FH317" s="408">
        <v>0</v>
      </c>
      <c r="FI317" s="408">
        <v>0</v>
      </c>
    </row>
    <row r="318" spans="1:165">
      <c r="A318" s="408">
        <v>316</v>
      </c>
      <c r="B318" s="408" t="s">
        <v>2236</v>
      </c>
      <c r="C318" s="408" t="s">
        <v>2233</v>
      </c>
      <c r="D318" s="408" t="s">
        <v>2243</v>
      </c>
      <c r="E318" s="408" t="s">
        <v>973</v>
      </c>
      <c r="F318" s="408" t="s">
        <v>1321</v>
      </c>
      <c r="G318" s="408" t="s">
        <v>1321</v>
      </c>
      <c r="H318" s="408" t="s">
        <v>1321</v>
      </c>
      <c r="I318" s="408" t="s">
        <v>1321</v>
      </c>
      <c r="J318" s="408" t="s">
        <v>2234</v>
      </c>
      <c r="K318" s="828">
        <v>44621</v>
      </c>
      <c r="L318" s="408">
        <v>0</v>
      </c>
      <c r="M318" s="408">
        <v>0</v>
      </c>
      <c r="N318" s="408">
        <v>0.34300000000000003</v>
      </c>
      <c r="O318" s="408">
        <v>0.34300000000000003</v>
      </c>
      <c r="P318" s="408">
        <v>0.34300000000000003</v>
      </c>
      <c r="Q318" s="408">
        <v>0.34300000000000003</v>
      </c>
      <c r="R318" s="408"/>
      <c r="S318" s="408">
        <v>710.91</v>
      </c>
      <c r="T318" s="408">
        <v>256.55</v>
      </c>
      <c r="U318" s="408"/>
      <c r="V318" s="408">
        <v>331.83878000000004</v>
      </c>
      <c r="W318" s="408">
        <v>331.83878000000004</v>
      </c>
      <c r="X318" s="408">
        <v>226.52749</v>
      </c>
      <c r="Y318" s="408">
        <v>0</v>
      </c>
      <c r="Z318" s="408">
        <v>21.085815719501859</v>
      </c>
      <c r="AA318" s="408">
        <v>0</v>
      </c>
      <c r="AB318" s="408">
        <v>0</v>
      </c>
      <c r="AC318" s="408">
        <v>0</v>
      </c>
      <c r="AD318" s="408">
        <v>42.217396902556601</v>
      </c>
      <c r="AE318" s="408">
        <v>163.58015115805756</v>
      </c>
      <c r="AF318" s="408">
        <v>87.997514954093845</v>
      </c>
      <c r="AG318" s="408">
        <v>0</v>
      </c>
      <c r="AH318" s="408">
        <v>0</v>
      </c>
      <c r="AI318" s="408">
        <v>0</v>
      </c>
      <c r="AJ318" s="408">
        <v>0</v>
      </c>
      <c r="AK318" s="408">
        <v>0</v>
      </c>
      <c r="AL318" s="408">
        <v>3.259962468109753</v>
      </c>
      <c r="AM318" s="408"/>
      <c r="AN318" s="408">
        <v>0.75316099368712552</v>
      </c>
      <c r="AO318" s="408">
        <v>0</v>
      </c>
      <c r="AP318" s="408">
        <v>0</v>
      </c>
      <c r="AQ318" s="408">
        <v>0</v>
      </c>
      <c r="AR318" s="408">
        <v>0</v>
      </c>
      <c r="AS318" s="408">
        <v>0</v>
      </c>
      <c r="AT318" s="408">
        <v>0</v>
      </c>
      <c r="AU318" s="408">
        <v>0</v>
      </c>
      <c r="AV318" s="408">
        <v>0</v>
      </c>
      <c r="AW318" s="408">
        <v>0</v>
      </c>
      <c r="AX318" s="408">
        <v>0</v>
      </c>
      <c r="AY318" s="408">
        <v>0</v>
      </c>
      <c r="AZ318" s="408">
        <v>0</v>
      </c>
      <c r="BA318" s="408"/>
      <c r="BB318" s="408">
        <v>0</v>
      </c>
      <c r="BC318" s="408">
        <v>0</v>
      </c>
      <c r="BD318" s="408">
        <v>0.51117987322961989</v>
      </c>
      <c r="BE318" s="408">
        <v>0</v>
      </c>
      <c r="BF318" s="408">
        <v>0</v>
      </c>
      <c r="BG318" s="408">
        <v>12.434916980271904</v>
      </c>
      <c r="BH318" s="408">
        <v>0</v>
      </c>
      <c r="BI318" s="408">
        <v>0.34</v>
      </c>
      <c r="BJ318" s="408">
        <v>1.58</v>
      </c>
      <c r="BK318" s="408">
        <v>11.02</v>
      </c>
      <c r="BL318" s="408">
        <v>1</v>
      </c>
      <c r="BM318" s="408"/>
      <c r="BN318" s="408"/>
      <c r="BO318" s="408"/>
      <c r="BP318" s="408"/>
      <c r="BQ318" s="408"/>
      <c r="BR318" s="408">
        <v>27.182749999999992</v>
      </c>
      <c r="BS318" s="408"/>
      <c r="BT318" s="408"/>
      <c r="BU318" s="408"/>
      <c r="BV318" s="408">
        <v>100.94361180759537</v>
      </c>
      <c r="BW318" s="408"/>
      <c r="BX318" s="408"/>
      <c r="BY318" s="408"/>
      <c r="BZ318" s="408"/>
      <c r="CA318" s="408"/>
      <c r="CB318" s="408"/>
      <c r="CC318" s="408"/>
      <c r="CD318" s="408"/>
      <c r="CE318" s="408"/>
      <c r="CF318" s="408"/>
      <c r="CG318" s="408"/>
      <c r="CH318" s="408"/>
      <c r="CI318" s="408">
        <v>197.60120000000001</v>
      </c>
      <c r="CJ318" s="408">
        <v>-94.448710000000005</v>
      </c>
      <c r="CK318" s="408"/>
      <c r="CL318" s="408"/>
      <c r="CM318" s="408"/>
      <c r="CN318" s="408"/>
      <c r="CO318" s="408">
        <v>-110.79586</v>
      </c>
      <c r="CP318" s="408">
        <v>5.4845700000000033</v>
      </c>
      <c r="CQ318" s="408">
        <v>31</v>
      </c>
      <c r="CR318" s="408">
        <v>4.5595971454389428</v>
      </c>
      <c r="CS318" s="408">
        <v>0</v>
      </c>
      <c r="CT318" s="408">
        <v>0</v>
      </c>
      <c r="CU318" s="408">
        <v>0</v>
      </c>
      <c r="CV318" s="408">
        <v>0</v>
      </c>
      <c r="CW318" s="408">
        <v>0</v>
      </c>
      <c r="CX318" s="408">
        <v>0</v>
      </c>
      <c r="CY318" s="408">
        <v>0</v>
      </c>
      <c r="CZ318" s="408">
        <v>-0.19082528927360443</v>
      </c>
      <c r="DA318" s="408">
        <v>0</v>
      </c>
      <c r="DB318" s="408">
        <v>0</v>
      </c>
      <c r="DC318" s="408">
        <v>5.4821104721936393</v>
      </c>
      <c r="DD318" s="408">
        <v>0</v>
      </c>
      <c r="DE318" s="408">
        <v>0</v>
      </c>
      <c r="DF318" s="408">
        <v>3.1845723571497175E-2</v>
      </c>
      <c r="DG318" s="408">
        <v>0.77467629209722411</v>
      </c>
      <c r="DH318" s="408">
        <v>0</v>
      </c>
      <c r="DI318" s="408">
        <v>-1.3111972761197137</v>
      </c>
      <c r="DJ318" s="408"/>
      <c r="DK318" s="408">
        <v>0</v>
      </c>
      <c r="DL318" s="408">
        <v>0</v>
      </c>
      <c r="DM318" s="408">
        <v>0</v>
      </c>
      <c r="DN318" s="408">
        <v>0</v>
      </c>
      <c r="DO318" s="408">
        <v>-0.17888291256218025</v>
      </c>
      <c r="DP318" s="408">
        <v>-4.812986446790446E-2</v>
      </c>
      <c r="DQ318" s="408">
        <v>0</v>
      </c>
      <c r="DR318" s="408">
        <v>0</v>
      </c>
      <c r="DS318" s="408"/>
      <c r="DT318" s="408"/>
      <c r="DU318" s="408"/>
      <c r="DV318" s="408">
        <v>163.58015115805756</v>
      </c>
      <c r="DW318" s="408">
        <v>0</v>
      </c>
      <c r="DX318" s="408">
        <v>0</v>
      </c>
      <c r="DY318" s="408">
        <v>-110.79586</v>
      </c>
      <c r="DZ318" s="408">
        <v>5.4845699999999908</v>
      </c>
      <c r="EA318" s="408">
        <v>0</v>
      </c>
      <c r="EB318" s="408">
        <v>0</v>
      </c>
      <c r="EC318" s="408">
        <v>-109.87264380330072</v>
      </c>
      <c r="ED318" s="408">
        <v>0</v>
      </c>
      <c r="EE318" s="408">
        <v>0</v>
      </c>
      <c r="EF318" s="408">
        <v>0</v>
      </c>
      <c r="EG318" s="408">
        <v>0</v>
      </c>
      <c r="EH318" s="408">
        <v>0</v>
      </c>
      <c r="EI318" s="408">
        <v>0</v>
      </c>
      <c r="EJ318" s="408">
        <v>0</v>
      </c>
      <c r="EK318" s="408">
        <v>0</v>
      </c>
      <c r="EL318" s="408">
        <v>0</v>
      </c>
      <c r="EM318" s="408">
        <v>0</v>
      </c>
      <c r="EN318" s="408">
        <v>0</v>
      </c>
      <c r="EO318" s="408">
        <v>0</v>
      </c>
      <c r="EP318" s="408">
        <v>0</v>
      </c>
      <c r="EQ318" s="408">
        <v>0</v>
      </c>
      <c r="ER318" s="408">
        <v>0</v>
      </c>
      <c r="ES318" s="408">
        <v>0</v>
      </c>
      <c r="ET318" s="408">
        <v>0</v>
      </c>
      <c r="EU318" s="408">
        <v>0</v>
      </c>
      <c r="EV318" s="408">
        <v>257</v>
      </c>
      <c r="EW318" s="408">
        <v>0</v>
      </c>
      <c r="EX318" s="408">
        <v>0</v>
      </c>
      <c r="EY318" s="408">
        <v>0</v>
      </c>
      <c r="EZ318" s="408"/>
      <c r="FA318" s="408">
        <v>0</v>
      </c>
      <c r="FB318" s="408"/>
      <c r="FC318" s="408"/>
      <c r="FD318" s="408"/>
      <c r="FE318" s="408"/>
      <c r="FF318" s="408">
        <v>0</v>
      </c>
      <c r="FG318" s="408">
        <v>0</v>
      </c>
      <c r="FH318" s="408">
        <v>0</v>
      </c>
      <c r="FI318" s="408">
        <v>0</v>
      </c>
    </row>
    <row r="319" spans="1:165">
      <c r="A319" s="408">
        <v>317</v>
      </c>
      <c r="B319" s="408" t="s">
        <v>1035</v>
      </c>
      <c r="C319" s="408" t="s">
        <v>2241</v>
      </c>
      <c r="D319" s="408" t="s">
        <v>596</v>
      </c>
      <c r="E319" s="408" t="s">
        <v>973</v>
      </c>
      <c r="F319" s="408" t="s">
        <v>1321</v>
      </c>
      <c r="G319" s="408" t="s">
        <v>1321</v>
      </c>
      <c r="H319" s="408" t="s">
        <v>1321</v>
      </c>
      <c r="I319" s="408" t="s">
        <v>972</v>
      </c>
      <c r="J319" s="408" t="s">
        <v>2234</v>
      </c>
      <c r="K319" s="828">
        <v>44621</v>
      </c>
      <c r="L319" s="408">
        <v>0</v>
      </c>
      <c r="M319" s="408">
        <v>0</v>
      </c>
      <c r="N319" s="408">
        <v>18.434999999999999</v>
      </c>
      <c r="O319" s="408">
        <v>17.697600000000001</v>
      </c>
      <c r="P319" s="408">
        <v>18.434999999999999</v>
      </c>
      <c r="Q319" s="408">
        <v>17.697600000000001</v>
      </c>
      <c r="R319" s="408"/>
      <c r="S319" s="408">
        <v>3130.62</v>
      </c>
      <c r="T319" s="408">
        <v>256.55</v>
      </c>
      <c r="U319" s="408"/>
      <c r="V319" s="408">
        <v>62442.478949999997</v>
      </c>
      <c r="W319" s="408">
        <v>62442.478949999997</v>
      </c>
      <c r="X319" s="408">
        <v>32862.784050000002</v>
      </c>
      <c r="Y319" s="408">
        <v>0</v>
      </c>
      <c r="Z319" s="408">
        <v>985.95860386718527</v>
      </c>
      <c r="AA319" s="408">
        <v>0</v>
      </c>
      <c r="AB319" s="408">
        <v>0</v>
      </c>
      <c r="AC319" s="408">
        <v>0</v>
      </c>
      <c r="AD319" s="408">
        <v>11876.081537074877</v>
      </c>
      <c r="AE319" s="408">
        <v>44320.480602747703</v>
      </c>
      <c r="AF319" s="408">
        <v>4729.5457381303786</v>
      </c>
      <c r="AG319" s="408">
        <v>0</v>
      </c>
      <c r="AH319" s="408">
        <v>0</v>
      </c>
      <c r="AI319" s="408">
        <v>0</v>
      </c>
      <c r="AJ319" s="408">
        <v>0</v>
      </c>
      <c r="AK319" s="408">
        <v>0</v>
      </c>
      <c r="AL319" s="408">
        <v>175.21110233120493</v>
      </c>
      <c r="AM319" s="408"/>
      <c r="AN319" s="408">
        <v>24.869828829409546</v>
      </c>
      <c r="AO319" s="408">
        <v>0</v>
      </c>
      <c r="AP319" s="408">
        <v>0</v>
      </c>
      <c r="AQ319" s="408">
        <v>0</v>
      </c>
      <c r="AR319" s="408">
        <v>0</v>
      </c>
      <c r="AS319" s="408">
        <v>0</v>
      </c>
      <c r="AT319" s="408">
        <v>0</v>
      </c>
      <c r="AU319" s="408">
        <v>0</v>
      </c>
      <c r="AV319" s="408">
        <v>0</v>
      </c>
      <c r="AW319" s="408">
        <v>0</v>
      </c>
      <c r="AX319" s="408">
        <v>0</v>
      </c>
      <c r="AY319" s="408">
        <v>0</v>
      </c>
      <c r="AZ319" s="408">
        <v>0</v>
      </c>
      <c r="BA319" s="408"/>
      <c r="BB319" s="408">
        <v>0</v>
      </c>
      <c r="BC319" s="408">
        <v>0</v>
      </c>
      <c r="BD319" s="408">
        <v>22.712384879197032</v>
      </c>
      <c r="BE319" s="408">
        <v>0</v>
      </c>
      <c r="BF319" s="408">
        <v>0</v>
      </c>
      <c r="BG319" s="408">
        <v>307.66702792266932</v>
      </c>
      <c r="BH319" s="408">
        <v>0</v>
      </c>
      <c r="BI319" s="408">
        <v>0</v>
      </c>
      <c r="BJ319" s="408">
        <v>0</v>
      </c>
      <c r="BK319" s="408">
        <v>0</v>
      </c>
      <c r="BL319" s="408">
        <v>0</v>
      </c>
      <c r="BM319" s="408"/>
      <c r="BN319" s="408"/>
      <c r="BO319" s="408"/>
      <c r="BP319" s="408"/>
      <c r="BQ319" s="408"/>
      <c r="BR319" s="408">
        <v>1314.5113619999954</v>
      </c>
      <c r="BS319" s="408"/>
      <c r="BT319" s="408"/>
      <c r="BU319" s="408"/>
      <c r="BV319" s="408">
        <v>5059.9251509322448</v>
      </c>
      <c r="BW319" s="408"/>
      <c r="BX319" s="408"/>
      <c r="BY319" s="408"/>
      <c r="BZ319" s="408"/>
      <c r="CA319" s="408"/>
      <c r="CB319" s="408"/>
      <c r="CC319" s="408"/>
      <c r="CD319" s="408"/>
      <c r="CE319" s="408"/>
      <c r="CF319" s="408"/>
      <c r="CG319" s="408"/>
      <c r="CH319" s="408"/>
      <c r="CI319" s="408">
        <v>31552.550999999999</v>
      </c>
      <c r="CJ319" s="408">
        <v>-28392.258792000015</v>
      </c>
      <c r="CK319" s="408"/>
      <c r="CL319" s="408"/>
      <c r="CM319" s="408"/>
      <c r="CN319" s="408"/>
      <c r="CO319" s="408">
        <v>-29874.470549999998</v>
      </c>
      <c r="CP319" s="408">
        <v>294.77565000000016</v>
      </c>
      <c r="CQ319" s="408">
        <v>31</v>
      </c>
      <c r="CR319" s="408">
        <v>189.03066840000974</v>
      </c>
      <c r="CS319" s="408">
        <v>0</v>
      </c>
      <c r="CT319" s="408">
        <v>0</v>
      </c>
      <c r="CU319" s="408">
        <v>0</v>
      </c>
      <c r="CV319" s="408">
        <v>0</v>
      </c>
      <c r="CW319" s="408">
        <v>0</v>
      </c>
      <c r="CX319" s="408">
        <v>0</v>
      </c>
      <c r="CY319" s="408">
        <v>0</v>
      </c>
      <c r="CZ319" s="408">
        <v>-53.680635496792092</v>
      </c>
      <c r="DA319" s="408">
        <v>0</v>
      </c>
      <c r="DB319" s="408">
        <v>0</v>
      </c>
      <c r="DC319" s="408">
        <v>294.64345934370158</v>
      </c>
      <c r="DD319" s="408">
        <v>0</v>
      </c>
      <c r="DE319" s="408">
        <v>0</v>
      </c>
      <c r="DF319" s="408">
        <v>1.4149468091195345</v>
      </c>
      <c r="DG319" s="408">
        <v>19.167184852929722</v>
      </c>
      <c r="DH319" s="408">
        <v>0</v>
      </c>
      <c r="DI319" s="408">
        <v>-61.310705402864073</v>
      </c>
      <c r="DJ319" s="408"/>
      <c r="DK319" s="408">
        <v>0</v>
      </c>
      <c r="DL319" s="408">
        <v>0</v>
      </c>
      <c r="DM319" s="408">
        <v>0</v>
      </c>
      <c r="DN319" s="408">
        <v>0</v>
      </c>
      <c r="DO319" s="408">
        <v>-9.6143046445591551</v>
      </c>
      <c r="DP319" s="408">
        <v>-1.5892770615212584</v>
      </c>
      <c r="DQ319" s="408">
        <v>0</v>
      </c>
      <c r="DR319" s="408">
        <v>0</v>
      </c>
      <c r="DS319" s="408"/>
      <c r="DT319" s="408"/>
      <c r="DU319" s="408"/>
      <c r="DV319" s="408">
        <v>44320.480602747703</v>
      </c>
      <c r="DW319" s="408">
        <v>0</v>
      </c>
      <c r="DX319" s="408">
        <v>0</v>
      </c>
      <c r="DY319" s="408">
        <v>-29874.470549999998</v>
      </c>
      <c r="DZ319" s="408">
        <v>294.7756500000005</v>
      </c>
      <c r="EA319" s="408">
        <v>0</v>
      </c>
      <c r="EB319" s="408">
        <v>0</v>
      </c>
      <c r="EC319" s="408">
        <v>-29768.944116890965</v>
      </c>
      <c r="ED319" s="408">
        <v>0</v>
      </c>
      <c r="EE319" s="408">
        <v>0</v>
      </c>
      <c r="EF319" s="408">
        <v>0</v>
      </c>
      <c r="EG319" s="408">
        <v>0</v>
      </c>
      <c r="EH319" s="408">
        <v>0</v>
      </c>
      <c r="EI319" s="408">
        <v>0</v>
      </c>
      <c r="EJ319" s="408">
        <v>0</v>
      </c>
      <c r="EK319" s="408">
        <v>0</v>
      </c>
      <c r="EL319" s="408">
        <v>0</v>
      </c>
      <c r="EM319" s="408">
        <v>0</v>
      </c>
      <c r="EN319" s="408">
        <v>0</v>
      </c>
      <c r="EO319" s="408">
        <v>0</v>
      </c>
      <c r="EP319" s="408">
        <v>0</v>
      </c>
      <c r="EQ319" s="408">
        <v>0</v>
      </c>
      <c r="ER319" s="408">
        <v>0</v>
      </c>
      <c r="ES319" s="408">
        <v>0</v>
      </c>
      <c r="ET319" s="408">
        <v>0</v>
      </c>
      <c r="EU319" s="408">
        <v>0</v>
      </c>
      <c r="EV319" s="408">
        <v>257</v>
      </c>
      <c r="EW319" s="408">
        <v>0</v>
      </c>
      <c r="EX319" s="408">
        <v>0</v>
      </c>
      <c r="EY319" s="408">
        <v>0</v>
      </c>
      <c r="EZ319" s="408"/>
      <c r="FA319" s="408">
        <v>0</v>
      </c>
      <c r="FB319" s="408"/>
      <c r="FC319" s="408"/>
      <c r="FD319" s="408"/>
      <c r="FE319" s="408"/>
      <c r="FF319" s="408">
        <v>0</v>
      </c>
      <c r="FG319" s="408">
        <v>0</v>
      </c>
      <c r="FH319" s="408">
        <v>0</v>
      </c>
      <c r="FI319" s="408">
        <v>0</v>
      </c>
    </row>
    <row r="320" spans="1:165">
      <c r="A320" s="408">
        <v>318</v>
      </c>
      <c r="B320" s="408" t="s">
        <v>2236</v>
      </c>
      <c r="C320" s="408" t="s">
        <v>2241</v>
      </c>
      <c r="D320" s="408" t="s">
        <v>596</v>
      </c>
      <c r="E320" s="408" t="s">
        <v>973</v>
      </c>
      <c r="F320" s="408" t="s">
        <v>1321</v>
      </c>
      <c r="G320" s="408" t="s">
        <v>1321</v>
      </c>
      <c r="H320" s="408" t="s">
        <v>1321</v>
      </c>
      <c r="I320" s="408" t="s">
        <v>972</v>
      </c>
      <c r="J320" s="408" t="s">
        <v>2234</v>
      </c>
      <c r="K320" s="828">
        <v>44621</v>
      </c>
      <c r="L320" s="408">
        <v>0</v>
      </c>
      <c r="M320" s="408">
        <v>0</v>
      </c>
      <c r="N320" s="408">
        <v>2.8</v>
      </c>
      <c r="O320" s="408">
        <v>2.6879999999999997</v>
      </c>
      <c r="P320" s="408">
        <v>2.8</v>
      </c>
      <c r="Q320" s="408">
        <v>2.6879999999999997</v>
      </c>
      <c r="R320" s="408"/>
      <c r="S320" s="408">
        <v>3130.62</v>
      </c>
      <c r="T320" s="408">
        <v>256.55</v>
      </c>
      <c r="U320" s="408"/>
      <c r="V320" s="408">
        <v>9484.0759999999991</v>
      </c>
      <c r="W320" s="408">
        <v>9484.0759999999991</v>
      </c>
      <c r="X320" s="408">
        <v>4991.3639999999996</v>
      </c>
      <c r="Y320" s="408">
        <v>0</v>
      </c>
      <c r="Z320" s="408">
        <v>149.75232388544174</v>
      </c>
      <c r="AA320" s="408">
        <v>0</v>
      </c>
      <c r="AB320" s="408">
        <v>0</v>
      </c>
      <c r="AC320" s="408">
        <v>0</v>
      </c>
      <c r="AD320" s="408">
        <v>1803.7986603639629</v>
      </c>
      <c r="AE320" s="408">
        <v>6731.6162564520519</v>
      </c>
      <c r="AF320" s="408">
        <v>718.34706084974562</v>
      </c>
      <c r="AG320" s="408">
        <v>0</v>
      </c>
      <c r="AH320" s="408">
        <v>0</v>
      </c>
      <c r="AI320" s="408">
        <v>0</v>
      </c>
      <c r="AJ320" s="408">
        <v>0</v>
      </c>
      <c r="AK320" s="408">
        <v>0</v>
      </c>
      <c r="AL320" s="408">
        <v>26.611938515181656</v>
      </c>
      <c r="AM320" s="408"/>
      <c r="AN320" s="408">
        <v>3.7773539854812435</v>
      </c>
      <c r="AO320" s="408">
        <v>0</v>
      </c>
      <c r="AP320" s="408">
        <v>0</v>
      </c>
      <c r="AQ320" s="408">
        <v>0</v>
      </c>
      <c r="AR320" s="408">
        <v>0</v>
      </c>
      <c r="AS320" s="408">
        <v>0</v>
      </c>
      <c r="AT320" s="408">
        <v>0</v>
      </c>
      <c r="AU320" s="408">
        <v>0</v>
      </c>
      <c r="AV320" s="408">
        <v>0</v>
      </c>
      <c r="AW320" s="408">
        <v>0</v>
      </c>
      <c r="AX320" s="408">
        <v>0</v>
      </c>
      <c r="AY320" s="408">
        <v>0</v>
      </c>
      <c r="AZ320" s="408">
        <v>0</v>
      </c>
      <c r="BA320" s="408"/>
      <c r="BB320" s="408">
        <v>0</v>
      </c>
      <c r="BC320" s="408">
        <v>0</v>
      </c>
      <c r="BD320" s="408">
        <v>3.4496706081774717</v>
      </c>
      <c r="BE320" s="408">
        <v>0</v>
      </c>
      <c r="BF320" s="408">
        <v>0</v>
      </c>
      <c r="BG320" s="408">
        <v>46.730006953266837</v>
      </c>
      <c r="BH320" s="408">
        <v>0</v>
      </c>
      <c r="BI320" s="408">
        <v>0</v>
      </c>
      <c r="BJ320" s="408">
        <v>0</v>
      </c>
      <c r="BK320" s="408">
        <v>0</v>
      </c>
      <c r="BL320" s="408">
        <v>0</v>
      </c>
      <c r="BM320" s="408"/>
      <c r="BN320" s="408"/>
      <c r="BO320" s="408"/>
      <c r="BP320" s="408"/>
      <c r="BQ320" s="408"/>
      <c r="BR320" s="408">
        <v>199.65456000000017</v>
      </c>
      <c r="BS320" s="408"/>
      <c r="BT320" s="408"/>
      <c r="BU320" s="408"/>
      <c r="BV320" s="408">
        <v>768.52673841118997</v>
      </c>
      <c r="BW320" s="408"/>
      <c r="BX320" s="408"/>
      <c r="BY320" s="408"/>
      <c r="BZ320" s="408"/>
      <c r="CA320" s="408"/>
      <c r="CB320" s="408"/>
      <c r="CC320" s="408"/>
      <c r="CD320" s="408"/>
      <c r="CE320" s="408"/>
      <c r="CF320" s="408"/>
      <c r="CG320" s="408"/>
      <c r="CH320" s="408"/>
      <c r="CI320" s="408">
        <v>4795.2746999999999</v>
      </c>
      <c r="CJ320" s="408">
        <v>-4309.4682599999996</v>
      </c>
      <c r="CK320" s="408"/>
      <c r="CL320" s="408"/>
      <c r="CM320" s="408"/>
      <c r="CN320" s="408"/>
      <c r="CO320" s="408">
        <v>-4537.4839999999995</v>
      </c>
      <c r="CP320" s="408">
        <v>44.77200000000002</v>
      </c>
      <c r="CQ320" s="408">
        <v>31</v>
      </c>
      <c r="CR320" s="408">
        <v>28.710923326284046</v>
      </c>
      <c r="CS320" s="408">
        <v>0</v>
      </c>
      <c r="CT320" s="408">
        <v>0</v>
      </c>
      <c r="CU320" s="408">
        <v>0</v>
      </c>
      <c r="CV320" s="408">
        <v>0</v>
      </c>
      <c r="CW320" s="408">
        <v>0</v>
      </c>
      <c r="CX320" s="408">
        <v>0</v>
      </c>
      <c r="CY320" s="408">
        <v>0</v>
      </c>
      <c r="CZ320" s="408">
        <v>-8.1532833952273904</v>
      </c>
      <c r="DA320" s="408">
        <v>0</v>
      </c>
      <c r="DB320" s="408">
        <v>0</v>
      </c>
      <c r="DC320" s="408">
        <v>44.751922221988821</v>
      </c>
      <c r="DD320" s="408">
        <v>0</v>
      </c>
      <c r="DE320" s="408">
        <v>0</v>
      </c>
      <c r="DF320" s="408">
        <v>0.21490919802195219</v>
      </c>
      <c r="DG320" s="408">
        <v>2.9112078973801587</v>
      </c>
      <c r="DH320" s="408">
        <v>0</v>
      </c>
      <c r="DI320" s="408">
        <v>-9.3121765732584265</v>
      </c>
      <c r="DJ320" s="408"/>
      <c r="DK320" s="408">
        <v>0</v>
      </c>
      <c r="DL320" s="408">
        <v>0</v>
      </c>
      <c r="DM320" s="408">
        <v>0</v>
      </c>
      <c r="DN320" s="408">
        <v>0</v>
      </c>
      <c r="DO320" s="408">
        <v>-1.4602686739769837</v>
      </c>
      <c r="DP320" s="408">
        <v>-0.24138734864440003</v>
      </c>
      <c r="DQ320" s="408">
        <v>0</v>
      </c>
      <c r="DR320" s="408">
        <v>0</v>
      </c>
      <c r="DS320" s="408"/>
      <c r="DT320" s="408"/>
      <c r="DU320" s="408"/>
      <c r="DV320" s="408">
        <v>6731.6162564520519</v>
      </c>
      <c r="DW320" s="408">
        <v>0</v>
      </c>
      <c r="DX320" s="408">
        <v>0</v>
      </c>
      <c r="DY320" s="408">
        <v>-4537.4839999999995</v>
      </c>
      <c r="DZ320" s="408">
        <v>44.771999999999935</v>
      </c>
      <c r="EA320" s="408">
        <v>0</v>
      </c>
      <c r="EB320" s="408">
        <v>0</v>
      </c>
      <c r="EC320" s="408">
        <v>-4521.4561175641284</v>
      </c>
      <c r="ED320" s="408">
        <v>0</v>
      </c>
      <c r="EE320" s="408">
        <v>0</v>
      </c>
      <c r="EF320" s="408">
        <v>0</v>
      </c>
      <c r="EG320" s="408">
        <v>0</v>
      </c>
      <c r="EH320" s="408">
        <v>0</v>
      </c>
      <c r="EI320" s="408">
        <v>0</v>
      </c>
      <c r="EJ320" s="408">
        <v>0</v>
      </c>
      <c r="EK320" s="408">
        <v>0</v>
      </c>
      <c r="EL320" s="408">
        <v>0</v>
      </c>
      <c r="EM320" s="408">
        <v>0</v>
      </c>
      <c r="EN320" s="408">
        <v>0</v>
      </c>
      <c r="EO320" s="408">
        <v>0</v>
      </c>
      <c r="EP320" s="408">
        <v>0</v>
      </c>
      <c r="EQ320" s="408">
        <v>0</v>
      </c>
      <c r="ER320" s="408">
        <v>0</v>
      </c>
      <c r="ES320" s="408">
        <v>0</v>
      </c>
      <c r="ET320" s="408">
        <v>0</v>
      </c>
      <c r="EU320" s="408">
        <v>0</v>
      </c>
      <c r="EV320" s="408">
        <v>257</v>
      </c>
      <c r="EW320" s="408">
        <v>0</v>
      </c>
      <c r="EX320" s="408">
        <v>0</v>
      </c>
      <c r="EY320" s="408">
        <v>0</v>
      </c>
      <c r="EZ320" s="408"/>
      <c r="FA320" s="408">
        <v>0</v>
      </c>
      <c r="FB320" s="408"/>
      <c r="FC320" s="408"/>
      <c r="FD320" s="408"/>
      <c r="FE320" s="408"/>
      <c r="FF320" s="408">
        <v>0</v>
      </c>
      <c r="FG320" s="408">
        <v>0</v>
      </c>
      <c r="FH320" s="408">
        <v>0</v>
      </c>
      <c r="FI320" s="408">
        <v>0</v>
      </c>
    </row>
    <row r="321" spans="1:165">
      <c r="A321" s="408">
        <v>319</v>
      </c>
      <c r="B321" s="408" t="s">
        <v>1035</v>
      </c>
      <c r="C321" s="408" t="s">
        <v>2241</v>
      </c>
      <c r="D321" s="408" t="s">
        <v>596</v>
      </c>
      <c r="E321" s="408" t="s">
        <v>973</v>
      </c>
      <c r="F321" s="408" t="s">
        <v>1321</v>
      </c>
      <c r="G321" s="408" t="s">
        <v>1321</v>
      </c>
      <c r="H321" s="408" t="s">
        <v>1321</v>
      </c>
      <c r="I321" s="408" t="s">
        <v>2242</v>
      </c>
      <c r="J321" s="408" t="s">
        <v>2234</v>
      </c>
      <c r="K321" s="828">
        <v>44621</v>
      </c>
      <c r="L321" s="408">
        <v>0</v>
      </c>
      <c r="M321" s="408">
        <v>0</v>
      </c>
      <c r="N321" s="408">
        <v>175.08699999999999</v>
      </c>
      <c r="O321" s="408">
        <v>168.08351999999999</v>
      </c>
      <c r="P321" s="408">
        <v>175.08699999999999</v>
      </c>
      <c r="Q321" s="408">
        <v>168.08351999999999</v>
      </c>
      <c r="R321" s="408"/>
      <c r="S321" s="408">
        <v>82.26</v>
      </c>
      <c r="T321" s="408">
        <v>256.55</v>
      </c>
      <c r="U321" s="408"/>
      <c r="V321" s="408">
        <v>59321.226470000001</v>
      </c>
      <c r="W321" s="408">
        <v>59321.226470000001</v>
      </c>
      <c r="X321" s="408">
        <v>61627.122260000004</v>
      </c>
      <c r="Y321" s="408">
        <v>0</v>
      </c>
      <c r="Z321" s="408">
        <v>9364.1732614751218</v>
      </c>
      <c r="AA321" s="408">
        <v>0</v>
      </c>
      <c r="AB321" s="408">
        <v>0</v>
      </c>
      <c r="AC321" s="408">
        <v>0</v>
      </c>
      <c r="AD321" s="408">
        <v>0</v>
      </c>
      <c r="AE321" s="408">
        <v>0</v>
      </c>
      <c r="AF321" s="408">
        <v>44919.011372499786</v>
      </c>
      <c r="AG321" s="408">
        <v>0</v>
      </c>
      <c r="AH321" s="408">
        <v>0</v>
      </c>
      <c r="AI321" s="408">
        <v>0</v>
      </c>
      <c r="AJ321" s="408">
        <v>0</v>
      </c>
      <c r="AK321" s="408">
        <v>0</v>
      </c>
      <c r="AL321" s="408">
        <v>1664.0730281455751</v>
      </c>
      <c r="AM321" s="408"/>
      <c r="AN321" s="408">
        <v>236.2019918771266</v>
      </c>
      <c r="AO321" s="408">
        <v>0</v>
      </c>
      <c r="AP321" s="408">
        <v>0</v>
      </c>
      <c r="AQ321" s="408">
        <v>0</v>
      </c>
      <c r="AR321" s="408">
        <v>0</v>
      </c>
      <c r="AS321" s="408">
        <v>0</v>
      </c>
      <c r="AT321" s="408">
        <v>0</v>
      </c>
      <c r="AU321" s="408">
        <v>0</v>
      </c>
      <c r="AV321" s="408">
        <v>0</v>
      </c>
      <c r="AW321" s="408">
        <v>0</v>
      </c>
      <c r="AX321" s="408">
        <v>0</v>
      </c>
      <c r="AY321" s="408">
        <v>0</v>
      </c>
      <c r="AZ321" s="408">
        <v>0</v>
      </c>
      <c r="BA321" s="408"/>
      <c r="BB321" s="408">
        <v>0</v>
      </c>
      <c r="BC321" s="408">
        <v>0</v>
      </c>
      <c r="BD321" s="408">
        <v>215.71159920498894</v>
      </c>
      <c r="BE321" s="408">
        <v>0</v>
      </c>
      <c r="BF321" s="408">
        <v>0</v>
      </c>
      <c r="BG321" s="408">
        <v>2922.0774026523682</v>
      </c>
      <c r="BH321" s="408">
        <v>0</v>
      </c>
      <c r="BI321" s="408">
        <v>0</v>
      </c>
      <c r="BJ321" s="408">
        <v>0</v>
      </c>
      <c r="BK321" s="408">
        <v>0</v>
      </c>
      <c r="BL321" s="408">
        <v>0</v>
      </c>
      <c r="BM321" s="408"/>
      <c r="BN321" s="408"/>
      <c r="BO321" s="408"/>
      <c r="BP321" s="408"/>
      <c r="BQ321" s="408"/>
      <c r="BR321" s="408">
        <v>2465.0848903999986</v>
      </c>
      <c r="BS321" s="408"/>
      <c r="BT321" s="408"/>
      <c r="BU321" s="408"/>
      <c r="BV321" s="408">
        <v>48056.800374357139</v>
      </c>
      <c r="BW321" s="408"/>
      <c r="BX321" s="408"/>
      <c r="BY321" s="408"/>
      <c r="BZ321" s="408"/>
      <c r="CA321" s="408"/>
      <c r="CB321" s="408"/>
      <c r="CC321" s="408"/>
      <c r="CD321" s="408"/>
      <c r="CE321" s="408"/>
      <c r="CF321" s="408"/>
      <c r="CG321" s="408"/>
      <c r="CH321" s="408"/>
      <c r="CI321" s="408">
        <v>59160.7984</v>
      </c>
      <c r="CJ321" s="408">
        <v>2212.390988799998</v>
      </c>
      <c r="CK321" s="408"/>
      <c r="CL321" s="408"/>
      <c r="CM321" s="408"/>
      <c r="CN321" s="408"/>
      <c r="CO321" s="408">
        <v>-493.74534000000125</v>
      </c>
      <c r="CP321" s="408">
        <v>2799.6411300000013</v>
      </c>
      <c r="CQ321" s="408">
        <v>31</v>
      </c>
      <c r="CR321" s="408">
        <v>2305.1583436604196</v>
      </c>
      <c r="CS321" s="408">
        <v>0</v>
      </c>
      <c r="CT321" s="408">
        <v>0</v>
      </c>
      <c r="CU321" s="408">
        <v>0</v>
      </c>
      <c r="CV321" s="408">
        <v>0</v>
      </c>
      <c r="CW321" s="408">
        <v>0</v>
      </c>
      <c r="CX321" s="408">
        <v>0</v>
      </c>
      <c r="CY321" s="408">
        <v>0</v>
      </c>
      <c r="CZ321" s="408">
        <v>0</v>
      </c>
      <c r="DA321" s="408">
        <v>0</v>
      </c>
      <c r="DB321" s="408">
        <v>0</v>
      </c>
      <c r="DC321" s="408">
        <v>2798.385645029055</v>
      </c>
      <c r="DD321" s="408">
        <v>0</v>
      </c>
      <c r="DE321" s="408">
        <v>0</v>
      </c>
      <c r="DF321" s="408">
        <v>13.438502412167679</v>
      </c>
      <c r="DG321" s="408">
        <v>182.04094897449977</v>
      </c>
      <c r="DH321" s="408">
        <v>0</v>
      </c>
      <c r="DI321" s="408">
        <v>-582.30037845789411</v>
      </c>
      <c r="DJ321" s="408"/>
      <c r="DK321" s="408">
        <v>0</v>
      </c>
      <c r="DL321" s="408">
        <v>0</v>
      </c>
      <c r="DM321" s="408">
        <v>0</v>
      </c>
      <c r="DN321" s="408">
        <v>0</v>
      </c>
      <c r="DO321" s="408">
        <v>-91.312164757359824</v>
      </c>
      <c r="DP321" s="408">
        <v>-15.094209540036445</v>
      </c>
      <c r="DQ321" s="408">
        <v>0</v>
      </c>
      <c r="DR321" s="408">
        <v>0</v>
      </c>
      <c r="DS321" s="408"/>
      <c r="DT321" s="408"/>
      <c r="DU321" s="408"/>
      <c r="DV321" s="408">
        <v>0</v>
      </c>
      <c r="DW321" s="408">
        <v>0</v>
      </c>
      <c r="DX321" s="408">
        <v>0</v>
      </c>
      <c r="DY321" s="408">
        <v>-493.74534000000131</v>
      </c>
      <c r="DZ321" s="408">
        <v>2799.6411300000036</v>
      </c>
      <c r="EA321" s="408">
        <v>0</v>
      </c>
      <c r="EB321" s="408">
        <v>0</v>
      </c>
      <c r="EC321" s="408">
        <v>0</v>
      </c>
      <c r="ED321" s="408">
        <v>0</v>
      </c>
      <c r="EE321" s="408">
        <v>0</v>
      </c>
      <c r="EF321" s="408">
        <v>0</v>
      </c>
      <c r="EG321" s="408">
        <v>0</v>
      </c>
      <c r="EH321" s="408">
        <v>0</v>
      </c>
      <c r="EI321" s="408">
        <v>0</v>
      </c>
      <c r="EJ321" s="408">
        <v>0</v>
      </c>
      <c r="EK321" s="408">
        <v>0</v>
      </c>
      <c r="EL321" s="408">
        <v>0</v>
      </c>
      <c r="EM321" s="408">
        <v>0</v>
      </c>
      <c r="EN321" s="408">
        <v>0</v>
      </c>
      <c r="EO321" s="408">
        <v>0</v>
      </c>
      <c r="EP321" s="408">
        <v>0</v>
      </c>
      <c r="EQ321" s="408">
        <v>0</v>
      </c>
      <c r="ER321" s="408">
        <v>0</v>
      </c>
      <c r="ES321" s="408">
        <v>0</v>
      </c>
      <c r="ET321" s="408">
        <v>0</v>
      </c>
      <c r="EU321" s="408">
        <v>0</v>
      </c>
      <c r="EV321" s="408">
        <v>257</v>
      </c>
      <c r="EW321" s="408">
        <v>0</v>
      </c>
      <c r="EX321" s="408">
        <v>0</v>
      </c>
      <c r="EY321" s="408">
        <v>0</v>
      </c>
      <c r="EZ321" s="408"/>
      <c r="FA321" s="408">
        <v>0</v>
      </c>
      <c r="FB321" s="408"/>
      <c r="FC321" s="408"/>
      <c r="FD321" s="408"/>
      <c r="FE321" s="408"/>
      <c r="FF321" s="408">
        <v>0</v>
      </c>
      <c r="FG321" s="408">
        <v>0</v>
      </c>
      <c r="FH321" s="408">
        <v>0</v>
      </c>
      <c r="FI321" s="408">
        <v>0</v>
      </c>
    </row>
    <row r="322" spans="1:165">
      <c r="A322" s="408">
        <v>320</v>
      </c>
      <c r="B322" s="408" t="s">
        <v>2236</v>
      </c>
      <c r="C322" s="408" t="s">
        <v>2241</v>
      </c>
      <c r="D322" s="408" t="s">
        <v>596</v>
      </c>
      <c r="E322" s="408" t="s">
        <v>973</v>
      </c>
      <c r="F322" s="408" t="s">
        <v>1321</v>
      </c>
      <c r="G322" s="408" t="s">
        <v>1321</v>
      </c>
      <c r="H322" s="408" t="s">
        <v>1321</v>
      </c>
      <c r="I322" s="408" t="s">
        <v>2242</v>
      </c>
      <c r="J322" s="408" t="s">
        <v>2234</v>
      </c>
      <c r="K322" s="828">
        <v>44621</v>
      </c>
      <c r="L322" s="408">
        <v>0</v>
      </c>
      <c r="M322" s="408">
        <v>0</v>
      </c>
      <c r="N322" s="408">
        <v>18.282</v>
      </c>
      <c r="O322" s="408">
        <v>17.550719999999998</v>
      </c>
      <c r="P322" s="408">
        <v>18.282</v>
      </c>
      <c r="Q322" s="408">
        <v>17.550719999999998</v>
      </c>
      <c r="R322" s="408"/>
      <c r="S322" s="408">
        <v>82.26</v>
      </c>
      <c r="T322" s="408">
        <v>256.55</v>
      </c>
      <c r="U322" s="408"/>
      <c r="V322" s="408">
        <v>6194.1244200000001</v>
      </c>
      <c r="W322" s="408">
        <v>6194.1244200000001</v>
      </c>
      <c r="X322" s="408">
        <v>6434.8983600000001</v>
      </c>
      <c r="Y322" s="408">
        <v>0</v>
      </c>
      <c r="Z322" s="408">
        <v>977.77570902630225</v>
      </c>
      <c r="AA322" s="408">
        <v>0</v>
      </c>
      <c r="AB322" s="408">
        <v>0</v>
      </c>
      <c r="AC322" s="408">
        <v>0</v>
      </c>
      <c r="AD322" s="408">
        <v>0</v>
      </c>
      <c r="AE322" s="408">
        <v>0</v>
      </c>
      <c r="AF322" s="408">
        <v>4690.2932023053745</v>
      </c>
      <c r="AG322" s="408">
        <v>0</v>
      </c>
      <c r="AH322" s="408">
        <v>0</v>
      </c>
      <c r="AI322" s="408">
        <v>0</v>
      </c>
      <c r="AJ322" s="408">
        <v>0</v>
      </c>
      <c r="AK322" s="408">
        <v>0</v>
      </c>
      <c r="AL322" s="408">
        <v>173.75694997662538</v>
      </c>
      <c r="AM322" s="408"/>
      <c r="AN322" s="408">
        <v>24.663423415202892</v>
      </c>
      <c r="AO322" s="408">
        <v>0</v>
      </c>
      <c r="AP322" s="408">
        <v>0</v>
      </c>
      <c r="AQ322" s="408">
        <v>0</v>
      </c>
      <c r="AR322" s="408">
        <v>0</v>
      </c>
      <c r="AS322" s="408">
        <v>0</v>
      </c>
      <c r="AT322" s="408">
        <v>0</v>
      </c>
      <c r="AU322" s="408">
        <v>0</v>
      </c>
      <c r="AV322" s="408">
        <v>0</v>
      </c>
      <c r="AW322" s="408">
        <v>0</v>
      </c>
      <c r="AX322" s="408">
        <v>0</v>
      </c>
      <c r="AY322" s="408">
        <v>0</v>
      </c>
      <c r="AZ322" s="408">
        <v>0</v>
      </c>
      <c r="BA322" s="408"/>
      <c r="BB322" s="408">
        <v>0</v>
      </c>
      <c r="BC322" s="408">
        <v>0</v>
      </c>
      <c r="BD322" s="408">
        <v>22.523885020964482</v>
      </c>
      <c r="BE322" s="408">
        <v>0</v>
      </c>
      <c r="BF322" s="408">
        <v>0</v>
      </c>
      <c r="BG322" s="408">
        <v>305.11356682843729</v>
      </c>
      <c r="BH322" s="408">
        <v>0</v>
      </c>
      <c r="BI322" s="408">
        <v>0</v>
      </c>
      <c r="BJ322" s="408">
        <v>0</v>
      </c>
      <c r="BK322" s="408">
        <v>0</v>
      </c>
      <c r="BL322" s="408">
        <v>0</v>
      </c>
      <c r="BM322" s="408"/>
      <c r="BN322" s="408"/>
      <c r="BO322" s="408"/>
      <c r="BP322" s="408"/>
      <c r="BQ322" s="408"/>
      <c r="BR322" s="408">
        <v>257.39593440000061</v>
      </c>
      <c r="BS322" s="408"/>
      <c r="BT322" s="408"/>
      <c r="BU322" s="408"/>
      <c r="BV322" s="408">
        <v>5017.9306541547758</v>
      </c>
      <c r="BW322" s="408"/>
      <c r="BX322" s="408"/>
      <c r="BY322" s="408"/>
      <c r="BZ322" s="408"/>
      <c r="CA322" s="408"/>
      <c r="CB322" s="408"/>
      <c r="CC322" s="408"/>
      <c r="CD322" s="408"/>
      <c r="CE322" s="408"/>
      <c r="CF322" s="408"/>
      <c r="CG322" s="408"/>
      <c r="CH322" s="408"/>
      <c r="CI322" s="408">
        <v>6177.2489999999998</v>
      </c>
      <c r="CJ322" s="408">
        <v>230.85955680000006</v>
      </c>
      <c r="CK322" s="408"/>
      <c r="CL322" s="408"/>
      <c r="CM322" s="408"/>
      <c r="CN322" s="408"/>
      <c r="CO322" s="408">
        <v>-51.555240000000133</v>
      </c>
      <c r="CP322" s="408">
        <v>292.32918000000018</v>
      </c>
      <c r="CQ322" s="408">
        <v>31</v>
      </c>
      <c r="CR322" s="408">
        <v>240.69693831523909</v>
      </c>
      <c r="CS322" s="408">
        <v>0</v>
      </c>
      <c r="CT322" s="408">
        <v>0</v>
      </c>
      <c r="CU322" s="408">
        <v>0</v>
      </c>
      <c r="CV322" s="408">
        <v>0</v>
      </c>
      <c r="CW322" s="408">
        <v>0</v>
      </c>
      <c r="CX322" s="408">
        <v>0</v>
      </c>
      <c r="CY322" s="408">
        <v>0</v>
      </c>
      <c r="CZ322" s="408">
        <v>0</v>
      </c>
      <c r="DA322" s="408">
        <v>0</v>
      </c>
      <c r="DB322" s="408">
        <v>0</v>
      </c>
      <c r="DC322" s="408">
        <v>292.19808645085777</v>
      </c>
      <c r="DD322" s="408">
        <v>0</v>
      </c>
      <c r="DE322" s="408">
        <v>0</v>
      </c>
      <c r="DF322" s="408">
        <v>1.4032035565133292</v>
      </c>
      <c r="DG322" s="408">
        <v>19.008108135680004</v>
      </c>
      <c r="DH322" s="408">
        <v>0</v>
      </c>
      <c r="DI322" s="408">
        <v>-60.801861468682432</v>
      </c>
      <c r="DJ322" s="408"/>
      <c r="DK322" s="408">
        <v>0</v>
      </c>
      <c r="DL322" s="408">
        <v>0</v>
      </c>
      <c r="DM322" s="408">
        <v>0</v>
      </c>
      <c r="DN322" s="408">
        <v>0</v>
      </c>
      <c r="DO322" s="408">
        <v>-9.5345113920168671</v>
      </c>
      <c r="DP322" s="408">
        <v>-1.5760869671131879</v>
      </c>
      <c r="DQ322" s="408">
        <v>0</v>
      </c>
      <c r="DR322" s="408">
        <v>0</v>
      </c>
      <c r="DS322" s="408"/>
      <c r="DT322" s="408"/>
      <c r="DU322" s="408"/>
      <c r="DV322" s="408">
        <v>0</v>
      </c>
      <c r="DW322" s="408">
        <v>0</v>
      </c>
      <c r="DX322" s="408">
        <v>0</v>
      </c>
      <c r="DY322" s="408">
        <v>-51.55524000000014</v>
      </c>
      <c r="DZ322" s="408">
        <v>292.32917999999972</v>
      </c>
      <c r="EA322" s="408">
        <v>0</v>
      </c>
      <c r="EB322" s="408">
        <v>0</v>
      </c>
      <c r="EC322" s="408">
        <v>0</v>
      </c>
      <c r="ED322" s="408">
        <v>0</v>
      </c>
      <c r="EE322" s="408">
        <v>0</v>
      </c>
      <c r="EF322" s="408">
        <v>0</v>
      </c>
      <c r="EG322" s="408">
        <v>0</v>
      </c>
      <c r="EH322" s="408">
        <v>0</v>
      </c>
      <c r="EI322" s="408">
        <v>0</v>
      </c>
      <c r="EJ322" s="408">
        <v>0</v>
      </c>
      <c r="EK322" s="408">
        <v>0</v>
      </c>
      <c r="EL322" s="408">
        <v>0</v>
      </c>
      <c r="EM322" s="408">
        <v>0</v>
      </c>
      <c r="EN322" s="408">
        <v>0</v>
      </c>
      <c r="EO322" s="408">
        <v>0</v>
      </c>
      <c r="EP322" s="408">
        <v>0</v>
      </c>
      <c r="EQ322" s="408">
        <v>0</v>
      </c>
      <c r="ER322" s="408">
        <v>0</v>
      </c>
      <c r="ES322" s="408">
        <v>0</v>
      </c>
      <c r="ET322" s="408">
        <v>0</v>
      </c>
      <c r="EU322" s="408">
        <v>0</v>
      </c>
      <c r="EV322" s="408">
        <v>257</v>
      </c>
      <c r="EW322" s="408">
        <v>0</v>
      </c>
      <c r="EX322" s="408">
        <v>0</v>
      </c>
      <c r="EY322" s="408">
        <v>0</v>
      </c>
      <c r="EZ322" s="408"/>
      <c r="FA322" s="408">
        <v>0</v>
      </c>
      <c r="FB322" s="408"/>
      <c r="FC322" s="408"/>
      <c r="FD322" s="408"/>
      <c r="FE322" s="408"/>
      <c r="FF322" s="408">
        <v>0</v>
      </c>
      <c r="FG322" s="408">
        <v>0</v>
      </c>
      <c r="FH322" s="408">
        <v>0</v>
      </c>
      <c r="FI322" s="408">
        <v>0</v>
      </c>
    </row>
    <row r="323" spans="1:165">
      <c r="A323" s="408">
        <v>321</v>
      </c>
      <c r="B323" s="408" t="s">
        <v>1035</v>
      </c>
      <c r="C323" s="408" t="s">
        <v>2241</v>
      </c>
      <c r="D323" s="408" t="s">
        <v>596</v>
      </c>
      <c r="E323" s="408" t="s">
        <v>973</v>
      </c>
      <c r="F323" s="408" t="s">
        <v>1321</v>
      </c>
      <c r="G323" s="408" t="s">
        <v>1321</v>
      </c>
      <c r="H323" s="408" t="s">
        <v>1321</v>
      </c>
      <c r="I323" s="408" t="s">
        <v>1321</v>
      </c>
      <c r="J323" s="408" t="s">
        <v>2234</v>
      </c>
      <c r="K323" s="828">
        <v>44621</v>
      </c>
      <c r="L323" s="408">
        <v>740</v>
      </c>
      <c r="M323" s="408">
        <v>710.4</v>
      </c>
      <c r="N323" s="408">
        <v>0</v>
      </c>
      <c r="O323" s="408">
        <v>0</v>
      </c>
      <c r="P323" s="408">
        <v>0</v>
      </c>
      <c r="Q323" s="408">
        <v>0</v>
      </c>
      <c r="R323" s="408">
        <v>47.39</v>
      </c>
      <c r="S323" s="408"/>
      <c r="T323" s="408"/>
      <c r="U323" s="408">
        <v>35068.6</v>
      </c>
      <c r="V323" s="408"/>
      <c r="W323" s="408">
        <v>35068.6</v>
      </c>
      <c r="X323" s="408">
        <v>23842.799999999999</v>
      </c>
      <c r="Y323" s="408">
        <v>0</v>
      </c>
      <c r="Z323" s="408">
        <v>0</v>
      </c>
      <c r="AA323" s="408">
        <v>0</v>
      </c>
      <c r="AB323" s="408">
        <v>0</v>
      </c>
      <c r="AC323" s="408">
        <v>0</v>
      </c>
      <c r="AD323" s="408">
        <v>18477.874132804616</v>
      </c>
      <c r="AE323" s="408">
        <v>16590.701761839828</v>
      </c>
      <c r="AF323" s="408"/>
      <c r="AG323" s="408"/>
      <c r="AH323" s="408"/>
      <c r="AI323" s="408">
        <v>0</v>
      </c>
      <c r="AJ323" s="408">
        <v>0</v>
      </c>
      <c r="AK323" s="408">
        <v>0</v>
      </c>
      <c r="AL323" s="408">
        <v>0</v>
      </c>
      <c r="AM323" s="408"/>
      <c r="AN323" s="408">
        <v>0</v>
      </c>
      <c r="AO323" s="408">
        <v>0</v>
      </c>
      <c r="AP323" s="408">
        <v>0</v>
      </c>
      <c r="AQ323" s="408">
        <v>0</v>
      </c>
      <c r="AR323" s="408">
        <v>0</v>
      </c>
      <c r="AS323" s="408"/>
      <c r="AT323" s="408"/>
      <c r="AU323" s="408">
        <v>0</v>
      </c>
      <c r="AV323" s="408">
        <v>0</v>
      </c>
      <c r="AW323" s="408">
        <v>0</v>
      </c>
      <c r="AX323" s="408"/>
      <c r="AY323" s="408"/>
      <c r="AZ323" s="408">
        <v>0</v>
      </c>
      <c r="BA323" s="408"/>
      <c r="BB323" s="408">
        <v>0</v>
      </c>
      <c r="BC323" s="408">
        <v>0</v>
      </c>
      <c r="BD323" s="408">
        <v>0</v>
      </c>
      <c r="BE323" s="408">
        <v>0</v>
      </c>
      <c r="BF323" s="408"/>
      <c r="BG323" s="408">
        <v>0</v>
      </c>
      <c r="BH323" s="408">
        <v>0</v>
      </c>
      <c r="BI323" s="408">
        <v>0</v>
      </c>
      <c r="BJ323" s="408">
        <v>0</v>
      </c>
      <c r="BK323" s="408">
        <v>1476.02</v>
      </c>
      <c r="BL323" s="408">
        <v>6</v>
      </c>
      <c r="BM323" s="408"/>
      <c r="BN323" s="408"/>
      <c r="BO323" s="408"/>
      <c r="BP323" s="408"/>
      <c r="BQ323" s="408"/>
      <c r="BR323" s="408">
        <v>953.71200000000067</v>
      </c>
      <c r="BS323" s="408"/>
      <c r="BT323" s="408"/>
      <c r="BU323" s="408"/>
      <c r="BV323" s="408">
        <v>0</v>
      </c>
      <c r="BW323" s="408"/>
      <c r="BX323" s="408"/>
      <c r="BY323" s="408"/>
      <c r="BZ323" s="408"/>
      <c r="CA323" s="408"/>
      <c r="CB323" s="408"/>
      <c r="CC323" s="408"/>
      <c r="CD323" s="408"/>
      <c r="CE323" s="408"/>
      <c r="CF323" s="408"/>
      <c r="CG323" s="408"/>
      <c r="CH323" s="408"/>
      <c r="CI323" s="408">
        <v>22889.088</v>
      </c>
      <c r="CJ323" s="408">
        <v>-10776.798000000006</v>
      </c>
      <c r="CK323" s="408"/>
      <c r="CL323" s="408"/>
      <c r="CM323" s="408"/>
      <c r="CN323" s="408"/>
      <c r="CO323" s="408">
        <v>-11225.800000000001</v>
      </c>
      <c r="CP323" s="408">
        <v>0</v>
      </c>
      <c r="CQ323" s="408">
        <v>31</v>
      </c>
      <c r="CR323" s="408">
        <v>-83.521153250952921</v>
      </c>
      <c r="CS323" s="408">
        <v>0</v>
      </c>
      <c r="CT323" s="408">
        <v>0</v>
      </c>
      <c r="CU323" s="408">
        <v>0</v>
      </c>
      <c r="CV323" s="408">
        <v>0</v>
      </c>
      <c r="CW323" s="408"/>
      <c r="CX323" s="408"/>
      <c r="CY323" s="408"/>
      <c r="CZ323" s="408">
        <v>-83.521153250952921</v>
      </c>
      <c r="DA323" s="408">
        <v>0</v>
      </c>
      <c r="DB323" s="408">
        <v>0</v>
      </c>
      <c r="DC323" s="408"/>
      <c r="DD323" s="408"/>
      <c r="DE323" s="408">
        <v>0</v>
      </c>
      <c r="DF323" s="408">
        <v>0</v>
      </c>
      <c r="DG323" s="408">
        <v>0</v>
      </c>
      <c r="DH323" s="408">
        <v>0</v>
      </c>
      <c r="DI323" s="408">
        <v>0</v>
      </c>
      <c r="DJ323" s="408"/>
      <c r="DK323" s="408">
        <v>0</v>
      </c>
      <c r="DL323" s="408">
        <v>0</v>
      </c>
      <c r="DM323" s="408"/>
      <c r="DN323" s="408">
        <v>0</v>
      </c>
      <c r="DO323" s="408">
        <v>0</v>
      </c>
      <c r="DP323" s="408">
        <v>0</v>
      </c>
      <c r="DQ323" s="408">
        <v>0</v>
      </c>
      <c r="DR323" s="408">
        <v>0</v>
      </c>
      <c r="DS323" s="408"/>
      <c r="DT323" s="408"/>
      <c r="DU323" s="408">
        <v>16590.701761839828</v>
      </c>
      <c r="DV323" s="408"/>
      <c r="DW323" s="408">
        <v>0</v>
      </c>
      <c r="DX323" s="408">
        <v>0</v>
      </c>
      <c r="DY323" s="408">
        <v>-11225.8</v>
      </c>
      <c r="DZ323" s="408"/>
      <c r="EA323" s="408">
        <v>0</v>
      </c>
      <c r="EB323" s="408"/>
      <c r="EC323" s="408">
        <v>-11143.55410617085</v>
      </c>
      <c r="ED323" s="408"/>
      <c r="EE323" s="408">
        <v>0</v>
      </c>
      <c r="EF323" s="408">
        <v>0</v>
      </c>
      <c r="EG323" s="408"/>
      <c r="EH323" s="408">
        <v>0</v>
      </c>
      <c r="EI323" s="408">
        <v>0</v>
      </c>
      <c r="EJ323" s="408">
        <v>0</v>
      </c>
      <c r="EK323" s="408">
        <v>0</v>
      </c>
      <c r="EL323" s="408">
        <v>0</v>
      </c>
      <c r="EM323" s="408"/>
      <c r="EN323" s="408"/>
      <c r="EO323" s="408">
        <v>0</v>
      </c>
      <c r="EP323" s="408">
        <v>0</v>
      </c>
      <c r="EQ323" s="408"/>
      <c r="ER323" s="408">
        <v>0</v>
      </c>
      <c r="ES323" s="408"/>
      <c r="ET323" s="408">
        <v>0</v>
      </c>
      <c r="EU323" s="408"/>
      <c r="EV323" s="408">
        <v>257</v>
      </c>
      <c r="EW323" s="408"/>
      <c r="EX323" s="408"/>
      <c r="EY323" s="408"/>
      <c r="EZ323" s="408"/>
      <c r="FA323" s="408">
        <v>0</v>
      </c>
      <c r="FB323" s="408"/>
      <c r="FC323" s="408"/>
      <c r="FD323" s="408"/>
      <c r="FE323" s="408"/>
      <c r="FF323" s="408">
        <v>0</v>
      </c>
      <c r="FG323" s="408">
        <v>0</v>
      </c>
      <c r="FH323" s="408">
        <v>0</v>
      </c>
      <c r="FI323" s="408">
        <v>0</v>
      </c>
    </row>
    <row r="324" spans="1:165">
      <c r="A324" s="408">
        <v>322</v>
      </c>
      <c r="B324" s="408" t="s">
        <v>2236</v>
      </c>
      <c r="C324" s="408" t="s">
        <v>2241</v>
      </c>
      <c r="D324" s="408" t="s">
        <v>596</v>
      </c>
      <c r="E324" s="408" t="s">
        <v>973</v>
      </c>
      <c r="F324" s="408" t="s">
        <v>1321</v>
      </c>
      <c r="G324" s="408" t="s">
        <v>1321</v>
      </c>
      <c r="H324" s="408" t="s">
        <v>1321</v>
      </c>
      <c r="I324" s="408" t="s">
        <v>1321</v>
      </c>
      <c r="J324" s="408" t="s">
        <v>2234</v>
      </c>
      <c r="K324" s="828">
        <v>44621</v>
      </c>
      <c r="L324" s="408">
        <v>166</v>
      </c>
      <c r="M324" s="408">
        <v>159.35999999999999</v>
      </c>
      <c r="N324" s="408">
        <v>0</v>
      </c>
      <c r="O324" s="408">
        <v>0</v>
      </c>
      <c r="P324" s="408">
        <v>0</v>
      </c>
      <c r="Q324" s="408">
        <v>0</v>
      </c>
      <c r="R324" s="408">
        <v>47.39</v>
      </c>
      <c r="S324" s="408"/>
      <c r="T324" s="408"/>
      <c r="U324" s="408">
        <v>7866.74</v>
      </c>
      <c r="V324" s="408"/>
      <c r="W324" s="408">
        <v>7866.74</v>
      </c>
      <c r="X324" s="408">
        <v>5348.5199999999995</v>
      </c>
      <c r="Y324" s="408">
        <v>0</v>
      </c>
      <c r="Z324" s="408">
        <v>0</v>
      </c>
      <c r="AA324" s="408">
        <v>0</v>
      </c>
      <c r="AB324" s="408">
        <v>0</v>
      </c>
      <c r="AC324" s="408">
        <v>0</v>
      </c>
      <c r="AD324" s="408">
        <v>4145.036629791306</v>
      </c>
      <c r="AE324" s="408">
        <v>3721.6979627910969</v>
      </c>
      <c r="AF324" s="408"/>
      <c r="AG324" s="408"/>
      <c r="AH324" s="408"/>
      <c r="AI324" s="408">
        <v>0</v>
      </c>
      <c r="AJ324" s="408">
        <v>0</v>
      </c>
      <c r="AK324" s="408">
        <v>0</v>
      </c>
      <c r="AL324" s="408">
        <v>0</v>
      </c>
      <c r="AM324" s="408"/>
      <c r="AN324" s="408">
        <v>0</v>
      </c>
      <c r="AO324" s="408">
        <v>0</v>
      </c>
      <c r="AP324" s="408">
        <v>0</v>
      </c>
      <c r="AQ324" s="408">
        <v>0</v>
      </c>
      <c r="AR324" s="408">
        <v>0</v>
      </c>
      <c r="AS324" s="408"/>
      <c r="AT324" s="408"/>
      <c r="AU324" s="408">
        <v>0</v>
      </c>
      <c r="AV324" s="408">
        <v>0</v>
      </c>
      <c r="AW324" s="408">
        <v>0</v>
      </c>
      <c r="AX324" s="408"/>
      <c r="AY324" s="408"/>
      <c r="AZ324" s="408">
        <v>0</v>
      </c>
      <c r="BA324" s="408"/>
      <c r="BB324" s="408">
        <v>0</v>
      </c>
      <c r="BC324" s="408">
        <v>0</v>
      </c>
      <c r="BD324" s="408">
        <v>0</v>
      </c>
      <c r="BE324" s="408">
        <v>0</v>
      </c>
      <c r="BF324" s="408"/>
      <c r="BG324" s="408">
        <v>0</v>
      </c>
      <c r="BH324" s="408">
        <v>0</v>
      </c>
      <c r="BI324" s="408">
        <v>0</v>
      </c>
      <c r="BJ324" s="408">
        <v>0</v>
      </c>
      <c r="BK324" s="408">
        <v>9.26</v>
      </c>
      <c r="BL324" s="408">
        <v>1</v>
      </c>
      <c r="BM324" s="408"/>
      <c r="BN324" s="408"/>
      <c r="BO324" s="408"/>
      <c r="BP324" s="408"/>
      <c r="BQ324" s="408"/>
      <c r="BR324" s="408">
        <v>213.94080000000048</v>
      </c>
      <c r="BS324" s="408"/>
      <c r="BT324" s="408"/>
      <c r="BU324" s="408"/>
      <c r="BV324" s="408">
        <v>0</v>
      </c>
      <c r="BW324" s="408"/>
      <c r="BX324" s="408"/>
      <c r="BY324" s="408"/>
      <c r="BZ324" s="408"/>
      <c r="CA324" s="408"/>
      <c r="CB324" s="408"/>
      <c r="CC324" s="408"/>
      <c r="CD324" s="408"/>
      <c r="CE324" s="408"/>
      <c r="CF324" s="408"/>
      <c r="CG324" s="408"/>
      <c r="CH324" s="408"/>
      <c r="CI324" s="408">
        <v>5134.5792000000001</v>
      </c>
      <c r="CJ324" s="408">
        <v>-2417.5212000000001</v>
      </c>
      <c r="CK324" s="408"/>
      <c r="CL324" s="408"/>
      <c r="CM324" s="408"/>
      <c r="CN324" s="408"/>
      <c r="CO324" s="408">
        <v>-2518.2200000000003</v>
      </c>
      <c r="CP324" s="408">
        <v>0</v>
      </c>
      <c r="CQ324" s="408">
        <v>31</v>
      </c>
      <c r="CR324" s="408">
        <v>-18.735826269808058</v>
      </c>
      <c r="CS324" s="408">
        <v>0</v>
      </c>
      <c r="CT324" s="408">
        <v>0</v>
      </c>
      <c r="CU324" s="408">
        <v>0</v>
      </c>
      <c r="CV324" s="408">
        <v>0</v>
      </c>
      <c r="CW324" s="408"/>
      <c r="CX324" s="408"/>
      <c r="CY324" s="408"/>
      <c r="CZ324" s="408">
        <v>-18.735826269808058</v>
      </c>
      <c r="DA324" s="408">
        <v>0</v>
      </c>
      <c r="DB324" s="408">
        <v>0</v>
      </c>
      <c r="DC324" s="408"/>
      <c r="DD324" s="408"/>
      <c r="DE324" s="408">
        <v>0</v>
      </c>
      <c r="DF324" s="408">
        <v>0</v>
      </c>
      <c r="DG324" s="408">
        <v>0</v>
      </c>
      <c r="DH324" s="408">
        <v>0</v>
      </c>
      <c r="DI324" s="408">
        <v>0</v>
      </c>
      <c r="DJ324" s="408"/>
      <c r="DK324" s="408">
        <v>0</v>
      </c>
      <c r="DL324" s="408">
        <v>0</v>
      </c>
      <c r="DM324" s="408"/>
      <c r="DN324" s="408">
        <v>0</v>
      </c>
      <c r="DO324" s="408">
        <v>0</v>
      </c>
      <c r="DP324" s="408">
        <v>0</v>
      </c>
      <c r="DQ324" s="408">
        <v>0</v>
      </c>
      <c r="DR324" s="408">
        <v>0</v>
      </c>
      <c r="DS324" s="408"/>
      <c r="DT324" s="408"/>
      <c r="DU324" s="408">
        <v>3721.6979627910969</v>
      </c>
      <c r="DV324" s="408"/>
      <c r="DW324" s="408">
        <v>0</v>
      </c>
      <c r="DX324" s="408">
        <v>0</v>
      </c>
      <c r="DY324" s="408">
        <v>-2518.2200000000003</v>
      </c>
      <c r="DZ324" s="408"/>
      <c r="EA324" s="408">
        <v>0</v>
      </c>
      <c r="EB324" s="408"/>
      <c r="EC324" s="408">
        <v>-2499.7702454383261</v>
      </c>
      <c r="ED324" s="408"/>
      <c r="EE324" s="408">
        <v>0</v>
      </c>
      <c r="EF324" s="408">
        <v>0</v>
      </c>
      <c r="EG324" s="408"/>
      <c r="EH324" s="408">
        <v>0</v>
      </c>
      <c r="EI324" s="408">
        <v>0</v>
      </c>
      <c r="EJ324" s="408">
        <v>0</v>
      </c>
      <c r="EK324" s="408">
        <v>0</v>
      </c>
      <c r="EL324" s="408">
        <v>0</v>
      </c>
      <c r="EM324" s="408"/>
      <c r="EN324" s="408"/>
      <c r="EO324" s="408">
        <v>0</v>
      </c>
      <c r="EP324" s="408">
        <v>0</v>
      </c>
      <c r="EQ324" s="408"/>
      <c r="ER324" s="408">
        <v>0</v>
      </c>
      <c r="ES324" s="408"/>
      <c r="ET324" s="408">
        <v>0</v>
      </c>
      <c r="EU324" s="408"/>
      <c r="EV324" s="408">
        <v>257</v>
      </c>
      <c r="EW324" s="408"/>
      <c r="EX324" s="408"/>
      <c r="EY324" s="408"/>
      <c r="EZ324" s="408"/>
      <c r="FA324" s="408">
        <v>0</v>
      </c>
      <c r="FB324" s="408"/>
      <c r="FC324" s="408"/>
      <c r="FD324" s="408"/>
      <c r="FE324" s="408"/>
      <c r="FF324" s="408">
        <v>0</v>
      </c>
      <c r="FG324" s="408">
        <v>0</v>
      </c>
      <c r="FH324" s="408">
        <v>0</v>
      </c>
      <c r="FI324" s="408">
        <v>0</v>
      </c>
    </row>
    <row r="325" spans="1:165">
      <c r="A325" s="408">
        <v>323</v>
      </c>
      <c r="B325" s="408" t="s">
        <v>1035</v>
      </c>
      <c r="C325" s="408" t="s">
        <v>2233</v>
      </c>
      <c r="D325" s="408" t="s">
        <v>1958</v>
      </c>
      <c r="E325" s="408" t="s">
        <v>2244</v>
      </c>
      <c r="F325" s="408" t="s">
        <v>1321</v>
      </c>
      <c r="G325" s="408" t="s">
        <v>1321</v>
      </c>
      <c r="H325" s="408" t="s">
        <v>1321</v>
      </c>
      <c r="I325" s="408" t="s">
        <v>1321</v>
      </c>
      <c r="J325" s="408" t="s">
        <v>2234</v>
      </c>
      <c r="K325" s="828">
        <v>44621</v>
      </c>
      <c r="L325" s="408">
        <v>0</v>
      </c>
      <c r="M325" s="408">
        <v>0</v>
      </c>
      <c r="N325" s="408">
        <v>214.51</v>
      </c>
      <c r="O325" s="408">
        <v>214.51</v>
      </c>
      <c r="P325" s="408">
        <v>214.51</v>
      </c>
      <c r="Q325" s="408">
        <v>214.51</v>
      </c>
      <c r="R325" s="408"/>
      <c r="S325" s="408">
        <v>710.91</v>
      </c>
      <c r="T325" s="408">
        <v>256.55</v>
      </c>
      <c r="U325" s="408"/>
      <c r="V325" s="408">
        <v>207529.84459999998</v>
      </c>
      <c r="W325" s="408">
        <v>207529.84459999998</v>
      </c>
      <c r="X325" s="408">
        <v>141668.83929999999</v>
      </c>
      <c r="Y325" s="408">
        <v>0</v>
      </c>
      <c r="Z325" s="408">
        <v>13186.933906677386</v>
      </c>
      <c r="AA325" s="408">
        <v>0</v>
      </c>
      <c r="AB325" s="408">
        <v>0</v>
      </c>
      <c r="AC325" s="408">
        <v>0</v>
      </c>
      <c r="AD325" s="408">
        <v>26402.489240721326</v>
      </c>
      <c r="AE325" s="408">
        <v>102301.97733211349</v>
      </c>
      <c r="AF325" s="408">
        <v>55033.081436742475</v>
      </c>
      <c r="AG325" s="408">
        <v>0</v>
      </c>
      <c r="AH325" s="408">
        <v>0</v>
      </c>
      <c r="AI325" s="408">
        <v>0</v>
      </c>
      <c r="AJ325" s="408">
        <v>0</v>
      </c>
      <c r="AK325" s="408">
        <v>0</v>
      </c>
      <c r="AL325" s="408">
        <v>2038.7596181755773</v>
      </c>
      <c r="AM325" s="408"/>
      <c r="AN325" s="408">
        <v>471.02205468170632</v>
      </c>
      <c r="AO325" s="408">
        <v>0</v>
      </c>
      <c r="AP325" s="408">
        <v>0</v>
      </c>
      <c r="AQ325" s="408">
        <v>0</v>
      </c>
      <c r="AR325" s="408">
        <v>0</v>
      </c>
      <c r="AS325" s="408">
        <v>0</v>
      </c>
      <c r="AT325" s="408">
        <v>0</v>
      </c>
      <c r="AU325" s="408">
        <v>0</v>
      </c>
      <c r="AV325" s="408">
        <v>0</v>
      </c>
      <c r="AW325" s="408">
        <v>0</v>
      </c>
      <c r="AX325" s="408">
        <v>0</v>
      </c>
      <c r="AY325" s="408">
        <v>0</v>
      </c>
      <c r="AZ325" s="408">
        <v>0</v>
      </c>
      <c r="BA325" s="408"/>
      <c r="BB325" s="408">
        <v>0</v>
      </c>
      <c r="BC325" s="408">
        <v>0</v>
      </c>
      <c r="BD325" s="408">
        <v>319.68861401307799</v>
      </c>
      <c r="BE325" s="408">
        <v>0</v>
      </c>
      <c r="BF325" s="408">
        <v>0</v>
      </c>
      <c r="BG325" s="408">
        <v>7776.7173219770439</v>
      </c>
      <c r="BH325" s="408">
        <v>0</v>
      </c>
      <c r="BI325" s="408">
        <v>0</v>
      </c>
      <c r="BJ325" s="408">
        <v>0</v>
      </c>
      <c r="BK325" s="408">
        <v>54914.84</v>
      </c>
      <c r="BL325" s="408">
        <v>305</v>
      </c>
      <c r="BM325" s="408"/>
      <c r="BN325" s="408"/>
      <c r="BO325" s="408"/>
      <c r="BP325" s="408"/>
      <c r="BQ325" s="408"/>
      <c r="BR325" s="408"/>
      <c r="BS325" s="408"/>
      <c r="BT325" s="408"/>
      <c r="BU325" s="408"/>
      <c r="BV325" s="408">
        <v>63129.487372732598</v>
      </c>
      <c r="BW325" s="408"/>
      <c r="BX325" s="408"/>
      <c r="BY325" s="408"/>
      <c r="BZ325" s="408"/>
      <c r="CA325" s="408"/>
      <c r="CB325" s="408"/>
      <c r="CC325" s="408"/>
      <c r="CD325" s="408"/>
      <c r="CE325" s="408"/>
      <c r="CF325" s="408"/>
      <c r="CG325" s="408"/>
      <c r="CH325" s="408"/>
      <c r="CI325" s="408">
        <v>141668.83929999999</v>
      </c>
      <c r="CJ325" s="408">
        <v>-65861.035300000018</v>
      </c>
      <c r="CK325" s="408"/>
      <c r="CL325" s="408"/>
      <c r="CM325" s="408"/>
      <c r="CN325" s="408"/>
      <c r="CO325" s="408">
        <v>-69291.020199999999</v>
      </c>
      <c r="CP325" s="408">
        <v>3430.0149000000019</v>
      </c>
      <c r="CQ325" s="408">
        <v>31</v>
      </c>
      <c r="CR325" s="408">
        <v>2851.5428095280076</v>
      </c>
      <c r="CS325" s="408">
        <v>0</v>
      </c>
      <c r="CT325" s="408">
        <v>0</v>
      </c>
      <c r="CU325" s="408">
        <v>0</v>
      </c>
      <c r="CV325" s="408">
        <v>0</v>
      </c>
      <c r="CW325" s="408">
        <v>0</v>
      </c>
      <c r="CX325" s="408">
        <v>0</v>
      </c>
      <c r="CY325" s="408">
        <v>0</v>
      </c>
      <c r="CZ325" s="408">
        <v>-119.34091195942165</v>
      </c>
      <c r="DA325" s="408">
        <v>0</v>
      </c>
      <c r="DB325" s="408">
        <v>0</v>
      </c>
      <c r="DC325" s="408">
        <v>3428.4767270852899</v>
      </c>
      <c r="DD325" s="408">
        <v>0</v>
      </c>
      <c r="DE325" s="408">
        <v>0</v>
      </c>
      <c r="DF325" s="408">
        <v>19.916111263329014</v>
      </c>
      <c r="DG325" s="408">
        <v>484.47758430838167</v>
      </c>
      <c r="DH325" s="408">
        <v>0</v>
      </c>
      <c r="DI325" s="408">
        <v>-820.01436647358605</v>
      </c>
      <c r="DJ325" s="408"/>
      <c r="DK325" s="408">
        <v>0</v>
      </c>
      <c r="DL325" s="408">
        <v>0</v>
      </c>
      <c r="DM325" s="408">
        <v>0</v>
      </c>
      <c r="DN325" s="408">
        <v>0</v>
      </c>
      <c r="DO325" s="408">
        <v>-111.87222616242934</v>
      </c>
      <c r="DP325" s="408">
        <v>-30.100108533557375</v>
      </c>
      <c r="DQ325" s="408">
        <v>0</v>
      </c>
      <c r="DR325" s="408">
        <v>0</v>
      </c>
      <c r="DS325" s="408"/>
      <c r="DT325" s="408"/>
      <c r="DU325" s="408"/>
      <c r="DV325" s="408">
        <v>102301.97733211349</v>
      </c>
      <c r="DW325" s="408">
        <v>0</v>
      </c>
      <c r="DX325" s="408">
        <v>0</v>
      </c>
      <c r="DY325" s="408">
        <v>-69291.020199999984</v>
      </c>
      <c r="DZ325" s="408">
        <v>3430.0149000000019</v>
      </c>
      <c r="EA325" s="408">
        <v>0</v>
      </c>
      <c r="EB325" s="408">
        <v>0</v>
      </c>
      <c r="EC325" s="408">
        <v>-68713.64671208756</v>
      </c>
      <c r="ED325" s="408">
        <v>0</v>
      </c>
      <c r="EE325" s="408">
        <v>0</v>
      </c>
      <c r="EF325" s="408">
        <v>0</v>
      </c>
      <c r="EG325" s="408">
        <v>0</v>
      </c>
      <c r="EH325" s="408">
        <v>0</v>
      </c>
      <c r="EI325" s="408">
        <v>0</v>
      </c>
      <c r="EJ325" s="408">
        <v>0</v>
      </c>
      <c r="EK325" s="408">
        <v>0</v>
      </c>
      <c r="EL325" s="408">
        <v>0</v>
      </c>
      <c r="EM325" s="408">
        <v>0</v>
      </c>
      <c r="EN325" s="408">
        <v>0</v>
      </c>
      <c r="EO325" s="408">
        <v>0</v>
      </c>
      <c r="EP325" s="408">
        <v>0</v>
      </c>
      <c r="EQ325" s="408">
        <v>0</v>
      </c>
      <c r="ER325" s="408">
        <v>0</v>
      </c>
      <c r="ES325" s="408">
        <v>0</v>
      </c>
      <c r="ET325" s="408">
        <v>0</v>
      </c>
      <c r="EU325" s="408">
        <v>0</v>
      </c>
      <c r="EV325" s="408">
        <v>257</v>
      </c>
      <c r="EW325" s="408">
        <v>0</v>
      </c>
      <c r="EX325" s="408">
        <v>0</v>
      </c>
      <c r="EY325" s="408">
        <v>0</v>
      </c>
      <c r="EZ325" s="408"/>
      <c r="FA325" s="408">
        <v>0</v>
      </c>
      <c r="FB325" s="408"/>
      <c r="FC325" s="408"/>
      <c r="FD325" s="408"/>
      <c r="FE325" s="408"/>
      <c r="FF325" s="408">
        <v>0</v>
      </c>
      <c r="FG325" s="408">
        <v>0</v>
      </c>
      <c r="FH325" s="408">
        <v>0</v>
      </c>
      <c r="FI325" s="408">
        <v>0</v>
      </c>
    </row>
    <row r="326" spans="1:165">
      <c r="A326" s="408">
        <v>324</v>
      </c>
      <c r="B326" s="408" t="s">
        <v>1035</v>
      </c>
      <c r="C326" s="408" t="s">
        <v>2233</v>
      </c>
      <c r="D326" s="408" t="s">
        <v>2245</v>
      </c>
      <c r="E326" s="408" t="s">
        <v>2246</v>
      </c>
      <c r="F326" s="408" t="s">
        <v>2247</v>
      </c>
      <c r="G326" s="408" t="s">
        <v>1321</v>
      </c>
      <c r="H326" s="408" t="s">
        <v>1321</v>
      </c>
      <c r="I326" s="408" t="s">
        <v>1321</v>
      </c>
      <c r="J326" s="408" t="s">
        <v>2234</v>
      </c>
      <c r="K326" s="828">
        <v>44621</v>
      </c>
      <c r="L326" s="408">
        <v>0</v>
      </c>
      <c r="M326" s="408">
        <v>0</v>
      </c>
      <c r="N326" s="408">
        <v>221.02199999999999</v>
      </c>
      <c r="O326" s="408">
        <v>221.02199999999999</v>
      </c>
      <c r="P326" s="408">
        <v>221.02199999999999</v>
      </c>
      <c r="Q326" s="408">
        <v>221.02199999999999</v>
      </c>
      <c r="R326" s="408"/>
      <c r="S326" s="408">
        <v>391</v>
      </c>
      <c r="T326" s="408">
        <v>141.1</v>
      </c>
      <c r="U326" s="408"/>
      <c r="V326" s="408">
        <v>117605.80619999999</v>
      </c>
      <c r="W326" s="408">
        <v>117605.80619999999</v>
      </c>
      <c r="X326" s="408">
        <v>80281.821059999987</v>
      </c>
      <c r="Y326" s="408">
        <v>0</v>
      </c>
      <c r="Z326" s="408">
        <v>7472.991367567528</v>
      </c>
      <c r="AA326" s="408">
        <v>0</v>
      </c>
      <c r="AB326" s="408">
        <v>0</v>
      </c>
      <c r="AC326" s="408">
        <v>0</v>
      </c>
      <c r="AD326" s="408">
        <v>14962.202402356485</v>
      </c>
      <c r="AE326" s="408">
        <v>57974.188609594385</v>
      </c>
      <c r="AF326" s="408">
        <v>31187.063302043967</v>
      </c>
      <c r="AG326" s="408">
        <v>0</v>
      </c>
      <c r="AH326" s="408">
        <v>0</v>
      </c>
      <c r="AI326" s="408">
        <v>0</v>
      </c>
      <c r="AJ326" s="408">
        <v>0</v>
      </c>
      <c r="AK326" s="408">
        <v>0</v>
      </c>
      <c r="AL326" s="408">
        <v>1155.3582610629869</v>
      </c>
      <c r="AM326" s="408"/>
      <c r="AN326" s="408">
        <v>266.9266239961932</v>
      </c>
      <c r="AO326" s="408">
        <v>0</v>
      </c>
      <c r="AP326" s="408">
        <v>0</v>
      </c>
      <c r="AQ326" s="408">
        <v>0</v>
      </c>
      <c r="AR326" s="408">
        <v>0</v>
      </c>
      <c r="AS326" s="408">
        <v>0</v>
      </c>
      <c r="AT326" s="408">
        <v>0</v>
      </c>
      <c r="AU326" s="408">
        <v>0</v>
      </c>
      <c r="AV326" s="408">
        <v>0</v>
      </c>
      <c r="AW326" s="408">
        <v>0</v>
      </c>
      <c r="AX326" s="408">
        <v>0</v>
      </c>
      <c r="AY326" s="408">
        <v>0</v>
      </c>
      <c r="AZ326" s="408">
        <v>0</v>
      </c>
      <c r="BA326" s="408"/>
      <c r="BB326" s="408">
        <v>0</v>
      </c>
      <c r="BC326" s="408">
        <v>0</v>
      </c>
      <c r="BD326" s="408">
        <v>181.16646900153472</v>
      </c>
      <c r="BE326" s="408">
        <v>0</v>
      </c>
      <c r="BF326" s="408">
        <v>0</v>
      </c>
      <c r="BG326" s="408">
        <v>4407.0397126749685</v>
      </c>
      <c r="BH326" s="408">
        <v>0</v>
      </c>
      <c r="BI326" s="408">
        <v>0</v>
      </c>
      <c r="BJ326" s="408">
        <v>0</v>
      </c>
      <c r="BK326" s="408">
        <v>27916.52</v>
      </c>
      <c r="BL326" s="408">
        <v>28</v>
      </c>
      <c r="BM326" s="408"/>
      <c r="BN326" s="408"/>
      <c r="BO326" s="408"/>
      <c r="BP326" s="408"/>
      <c r="BQ326" s="408"/>
      <c r="BR326" s="408"/>
      <c r="BS326" s="408"/>
      <c r="BT326" s="408"/>
      <c r="BU326" s="408"/>
      <c r="BV326" s="408">
        <v>35775.269483720469</v>
      </c>
      <c r="BW326" s="408"/>
      <c r="BX326" s="408"/>
      <c r="BY326" s="408"/>
      <c r="BZ326" s="408"/>
      <c r="CA326" s="408"/>
      <c r="CB326" s="408"/>
      <c r="CC326" s="408"/>
      <c r="CD326" s="408"/>
      <c r="CE326" s="408"/>
      <c r="CF326" s="408"/>
      <c r="CG326" s="408"/>
      <c r="CH326" s="408"/>
      <c r="CI326" s="408">
        <v>80281.094600000011</v>
      </c>
      <c r="CJ326" s="408">
        <v>-37324.741599999965</v>
      </c>
      <c r="CK326" s="408"/>
      <c r="CL326" s="408"/>
      <c r="CM326" s="408"/>
      <c r="CN326" s="408"/>
      <c r="CO326" s="408">
        <v>-39266.768519999998</v>
      </c>
      <c r="CP326" s="408">
        <v>1942.7833799999983</v>
      </c>
      <c r="CQ326" s="408">
        <v>31</v>
      </c>
      <c r="CR326" s="408">
        <v>1615.9597788733663</v>
      </c>
      <c r="CS326" s="408">
        <v>0</v>
      </c>
      <c r="CT326" s="408">
        <v>0</v>
      </c>
      <c r="CU326" s="408">
        <v>0</v>
      </c>
      <c r="CV326" s="408">
        <v>0</v>
      </c>
      <c r="CW326" s="408">
        <v>0</v>
      </c>
      <c r="CX326" s="408">
        <v>0</v>
      </c>
      <c r="CY326" s="408">
        <v>0</v>
      </c>
      <c r="CZ326" s="408">
        <v>-67.630095910233649</v>
      </c>
      <c r="DA326" s="408">
        <v>0</v>
      </c>
      <c r="DB326" s="408">
        <v>0</v>
      </c>
      <c r="DC326" s="408">
        <v>1942.9063015506217</v>
      </c>
      <c r="DD326" s="408">
        <v>0</v>
      </c>
      <c r="DE326" s="408">
        <v>0</v>
      </c>
      <c r="DF326" s="408">
        <v>11.286393683296268</v>
      </c>
      <c r="DG326" s="408">
        <v>274.5518276604862</v>
      </c>
      <c r="DH326" s="408">
        <v>0</v>
      </c>
      <c r="DI326" s="408">
        <v>-464.69940058132579</v>
      </c>
      <c r="DJ326" s="408"/>
      <c r="DK326" s="408">
        <v>0</v>
      </c>
      <c r="DL326" s="408">
        <v>0</v>
      </c>
      <c r="DM326" s="408">
        <v>0</v>
      </c>
      <c r="DN326" s="408">
        <v>0</v>
      </c>
      <c r="DO326" s="408">
        <v>-63.39761663316267</v>
      </c>
      <c r="DP326" s="408">
        <v>-17.057630896310229</v>
      </c>
      <c r="DQ326" s="408">
        <v>0</v>
      </c>
      <c r="DR326" s="408">
        <v>0</v>
      </c>
      <c r="DS326" s="408"/>
      <c r="DT326" s="408"/>
      <c r="DU326" s="408"/>
      <c r="DV326" s="408">
        <v>57974.188609594385</v>
      </c>
      <c r="DW326" s="408">
        <v>0</v>
      </c>
      <c r="DX326" s="408">
        <v>0</v>
      </c>
      <c r="DY326" s="408">
        <v>-39266.768519999998</v>
      </c>
      <c r="DZ326" s="408">
        <v>1942.7833799999971</v>
      </c>
      <c r="EA326" s="408">
        <v>0</v>
      </c>
      <c r="EB326" s="408">
        <v>0</v>
      </c>
      <c r="EC326" s="408">
        <v>-38939.793916271694</v>
      </c>
      <c r="ED326" s="408">
        <v>0</v>
      </c>
      <c r="EE326" s="408">
        <v>0</v>
      </c>
      <c r="EF326" s="408">
        <v>0</v>
      </c>
      <c r="EG326" s="408">
        <v>0</v>
      </c>
      <c r="EH326" s="408">
        <v>0</v>
      </c>
      <c r="EI326" s="408">
        <v>0</v>
      </c>
      <c r="EJ326" s="408">
        <v>0</v>
      </c>
      <c r="EK326" s="408">
        <v>0</v>
      </c>
      <c r="EL326" s="408">
        <v>0</v>
      </c>
      <c r="EM326" s="408">
        <v>0</v>
      </c>
      <c r="EN326" s="408">
        <v>0</v>
      </c>
      <c r="EO326" s="408">
        <v>0</v>
      </c>
      <c r="EP326" s="408">
        <v>0</v>
      </c>
      <c r="EQ326" s="408">
        <v>0</v>
      </c>
      <c r="ER326" s="408">
        <v>0</v>
      </c>
      <c r="ES326" s="408">
        <v>0</v>
      </c>
      <c r="ET326" s="408">
        <v>0</v>
      </c>
      <c r="EU326" s="408">
        <v>0</v>
      </c>
      <c r="EV326" s="408">
        <v>257</v>
      </c>
      <c r="EW326" s="408">
        <v>0</v>
      </c>
      <c r="EX326" s="408">
        <v>0</v>
      </c>
      <c r="EY326" s="408">
        <v>0</v>
      </c>
      <c r="EZ326" s="408"/>
      <c r="FA326" s="408">
        <v>0</v>
      </c>
      <c r="FB326" s="408"/>
      <c r="FC326" s="408"/>
      <c r="FD326" s="408"/>
      <c r="FE326" s="408"/>
      <c r="FF326" s="408">
        <v>0</v>
      </c>
      <c r="FG326" s="408">
        <v>0</v>
      </c>
      <c r="FH326" s="408">
        <v>0</v>
      </c>
      <c r="FI326" s="408">
        <v>0</v>
      </c>
    </row>
    <row r="327" spans="1:165">
      <c r="A327" s="408">
        <v>325</v>
      </c>
      <c r="B327" s="408" t="s">
        <v>1035</v>
      </c>
      <c r="C327" s="408" t="s">
        <v>2233</v>
      </c>
      <c r="D327" s="408" t="s">
        <v>1958</v>
      </c>
      <c r="E327" s="408" t="s">
        <v>1000</v>
      </c>
      <c r="F327" s="408" t="s">
        <v>2248</v>
      </c>
      <c r="G327" s="408" t="s">
        <v>1321</v>
      </c>
      <c r="H327" s="408" t="s">
        <v>1321</v>
      </c>
      <c r="I327" s="408" t="s">
        <v>1321</v>
      </c>
      <c r="J327" s="408" t="s">
        <v>2234</v>
      </c>
      <c r="K327" s="828">
        <v>44621</v>
      </c>
      <c r="L327" s="408">
        <v>0</v>
      </c>
      <c r="M327" s="408">
        <v>0</v>
      </c>
      <c r="N327" s="408">
        <v>26.695</v>
      </c>
      <c r="O327" s="408">
        <v>25.093299999999999</v>
      </c>
      <c r="P327" s="408">
        <v>26.695</v>
      </c>
      <c r="Q327" s="408">
        <v>25.093299999999999</v>
      </c>
      <c r="R327" s="408"/>
      <c r="S327" s="408">
        <v>710.91</v>
      </c>
      <c r="T327" s="408">
        <v>256.55</v>
      </c>
      <c r="U327" s="408"/>
      <c r="V327" s="408">
        <v>25826.344699999998</v>
      </c>
      <c r="W327" s="408">
        <v>25826.344699999998</v>
      </c>
      <c r="X327" s="408">
        <v>17630.17885</v>
      </c>
      <c r="Y327" s="408">
        <v>0</v>
      </c>
      <c r="Z327" s="408">
        <v>1641.0666199186651</v>
      </c>
      <c r="AA327" s="408">
        <v>0</v>
      </c>
      <c r="AB327" s="408">
        <v>0</v>
      </c>
      <c r="AC327" s="408">
        <v>0</v>
      </c>
      <c r="AD327" s="408">
        <v>3285.6950738010155</v>
      </c>
      <c r="AE327" s="408">
        <v>12731.114096689058</v>
      </c>
      <c r="AF327" s="408">
        <v>6848.6695676371282</v>
      </c>
      <c r="AG327" s="408">
        <v>0</v>
      </c>
      <c r="AH327" s="408">
        <v>0</v>
      </c>
      <c r="AI327" s="408">
        <v>0</v>
      </c>
      <c r="AJ327" s="408">
        <v>0</v>
      </c>
      <c r="AK327" s="408">
        <v>0</v>
      </c>
      <c r="AL327" s="408">
        <v>253.71632095099082</v>
      </c>
      <c r="AM327" s="408"/>
      <c r="AN327" s="408">
        <v>58.617005033463016</v>
      </c>
      <c r="AO327" s="408">
        <v>0</v>
      </c>
      <c r="AP327" s="408">
        <v>0</v>
      </c>
      <c r="AQ327" s="408">
        <v>0</v>
      </c>
      <c r="AR327" s="408">
        <v>0</v>
      </c>
      <c r="AS327" s="408">
        <v>0</v>
      </c>
      <c r="AT327" s="408">
        <v>0</v>
      </c>
      <c r="AU327" s="408">
        <v>0</v>
      </c>
      <c r="AV327" s="408">
        <v>0</v>
      </c>
      <c r="AW327" s="408">
        <v>0</v>
      </c>
      <c r="AX327" s="408">
        <v>0</v>
      </c>
      <c r="AY327" s="408">
        <v>0</v>
      </c>
      <c r="AZ327" s="408">
        <v>0</v>
      </c>
      <c r="BA327" s="408"/>
      <c r="BB327" s="408">
        <v>0</v>
      </c>
      <c r="BC327" s="408">
        <v>0</v>
      </c>
      <c r="BD327" s="408">
        <v>39.784101212433541</v>
      </c>
      <c r="BE327" s="408">
        <v>0</v>
      </c>
      <c r="BF327" s="408">
        <v>0</v>
      </c>
      <c r="BG327" s="408">
        <v>967.78457372699268</v>
      </c>
      <c r="BH327" s="408">
        <v>0</v>
      </c>
      <c r="BI327" s="408">
        <v>0</v>
      </c>
      <c r="BJ327" s="408">
        <v>0</v>
      </c>
      <c r="BK327" s="408">
        <v>7140.19</v>
      </c>
      <c r="BL327" s="408">
        <v>10</v>
      </c>
      <c r="BM327" s="408"/>
      <c r="BN327" s="408"/>
      <c r="BO327" s="408"/>
      <c r="BP327" s="408"/>
      <c r="BQ327" s="408">
        <v>1057.8107310000007</v>
      </c>
      <c r="BR327" s="408"/>
      <c r="BS327" s="408"/>
      <c r="BT327" s="408"/>
      <c r="BU327" s="408"/>
      <c r="BV327" s="408">
        <v>7856.2382425765545</v>
      </c>
      <c r="BW327" s="408"/>
      <c r="BX327" s="408"/>
      <c r="BY327" s="408"/>
      <c r="BZ327" s="408"/>
      <c r="CA327" s="408"/>
      <c r="CB327" s="408"/>
      <c r="CC327" s="408"/>
      <c r="CD327" s="408"/>
      <c r="CE327" s="408"/>
      <c r="CF327" s="408"/>
      <c r="CG327" s="408"/>
      <c r="CH327" s="408"/>
      <c r="CI327" s="408">
        <v>16570.188699999999</v>
      </c>
      <c r="CJ327" s="408">
        <v>-7706.6053179999944</v>
      </c>
      <c r="CK327" s="408"/>
      <c r="CL327" s="408"/>
      <c r="CM327" s="408"/>
      <c r="CN327" s="408"/>
      <c r="CO327" s="408">
        <v>-8623.0188999999991</v>
      </c>
      <c r="CP327" s="408">
        <v>426.85305000000022</v>
      </c>
      <c r="CQ327" s="408">
        <v>31</v>
      </c>
      <c r="CR327" s="408">
        <v>354.86427346208256</v>
      </c>
      <c r="CS327" s="408">
        <v>0</v>
      </c>
      <c r="CT327" s="408">
        <v>0</v>
      </c>
      <c r="CU327" s="408">
        <v>0</v>
      </c>
      <c r="CV327" s="408">
        <v>0</v>
      </c>
      <c r="CW327" s="408">
        <v>0</v>
      </c>
      <c r="CX327" s="408">
        <v>0</v>
      </c>
      <c r="CY327" s="408">
        <v>0</v>
      </c>
      <c r="CZ327" s="408">
        <v>-14.851548388218362</v>
      </c>
      <c r="DA327" s="408">
        <v>0</v>
      </c>
      <c r="DB327" s="408">
        <v>0</v>
      </c>
      <c r="DC327" s="408">
        <v>426.66162989856912</v>
      </c>
      <c r="DD327" s="408">
        <v>0</v>
      </c>
      <c r="DE327" s="408">
        <v>0</v>
      </c>
      <c r="DF327" s="408">
        <v>2.4784886027437736</v>
      </c>
      <c r="DG327" s="408">
        <v>60.291497427216655</v>
      </c>
      <c r="DH327" s="408">
        <v>0</v>
      </c>
      <c r="DI327" s="408">
        <v>-102.04784631491498</v>
      </c>
      <c r="DJ327" s="408"/>
      <c r="DK327" s="408">
        <v>0</v>
      </c>
      <c r="DL327" s="408">
        <v>0</v>
      </c>
      <c r="DM327" s="408">
        <v>0</v>
      </c>
      <c r="DN327" s="408">
        <v>0</v>
      </c>
      <c r="DO327" s="408">
        <v>-13.922097232791259</v>
      </c>
      <c r="DP327" s="408">
        <v>-3.7458505305268517</v>
      </c>
      <c r="DQ327" s="408">
        <v>0</v>
      </c>
      <c r="DR327" s="408">
        <v>0</v>
      </c>
      <c r="DS327" s="408"/>
      <c r="DT327" s="408"/>
      <c r="DU327" s="408"/>
      <c r="DV327" s="408">
        <v>12731.114096689058</v>
      </c>
      <c r="DW327" s="408">
        <v>0</v>
      </c>
      <c r="DX327" s="408">
        <v>0</v>
      </c>
      <c r="DY327" s="408">
        <v>-8623.0188999999973</v>
      </c>
      <c r="DZ327" s="408">
        <v>426.85304999999971</v>
      </c>
      <c r="EA327" s="408">
        <v>0</v>
      </c>
      <c r="EB327" s="408">
        <v>0</v>
      </c>
      <c r="EC327" s="408">
        <v>-8551.1668406096578</v>
      </c>
      <c r="ED327" s="408">
        <v>0</v>
      </c>
      <c r="EE327" s="408">
        <v>0</v>
      </c>
      <c r="EF327" s="408">
        <v>0</v>
      </c>
      <c r="EG327" s="408">
        <v>0</v>
      </c>
      <c r="EH327" s="408">
        <v>0</v>
      </c>
      <c r="EI327" s="408">
        <v>0</v>
      </c>
      <c r="EJ327" s="408">
        <v>0</v>
      </c>
      <c r="EK327" s="408">
        <v>0</v>
      </c>
      <c r="EL327" s="408">
        <v>0</v>
      </c>
      <c r="EM327" s="408">
        <v>0</v>
      </c>
      <c r="EN327" s="408">
        <v>0</v>
      </c>
      <c r="EO327" s="408">
        <v>0</v>
      </c>
      <c r="EP327" s="408">
        <v>0</v>
      </c>
      <c r="EQ327" s="408">
        <v>0</v>
      </c>
      <c r="ER327" s="408">
        <v>0</v>
      </c>
      <c r="ES327" s="408">
        <v>0</v>
      </c>
      <c r="ET327" s="408">
        <v>0</v>
      </c>
      <c r="EU327" s="408">
        <v>0</v>
      </c>
      <c r="EV327" s="408">
        <v>257</v>
      </c>
      <c r="EW327" s="408">
        <v>0</v>
      </c>
      <c r="EX327" s="408">
        <v>0</v>
      </c>
      <c r="EY327" s="408">
        <v>0</v>
      </c>
      <c r="EZ327" s="408"/>
      <c r="FA327" s="408">
        <v>0</v>
      </c>
      <c r="FB327" s="408"/>
      <c r="FC327" s="408"/>
      <c r="FD327" s="408"/>
      <c r="FE327" s="408"/>
      <c r="FF327" s="408">
        <v>0</v>
      </c>
      <c r="FG327" s="408">
        <v>0</v>
      </c>
      <c r="FH327" s="408">
        <v>0</v>
      </c>
      <c r="FI327" s="408">
        <v>0</v>
      </c>
    </row>
    <row r="328" spans="1:165">
      <c r="A328" s="408">
        <v>326</v>
      </c>
      <c r="B328" s="408" t="s">
        <v>1035</v>
      </c>
      <c r="C328" s="408" t="s">
        <v>2241</v>
      </c>
      <c r="D328" s="408" t="s">
        <v>596</v>
      </c>
      <c r="E328" s="408" t="s">
        <v>1000</v>
      </c>
      <c r="F328" s="408" t="s">
        <v>2248</v>
      </c>
      <c r="G328" s="408" t="s">
        <v>1321</v>
      </c>
      <c r="H328" s="408" t="s">
        <v>1321</v>
      </c>
      <c r="I328" s="408" t="s">
        <v>972</v>
      </c>
      <c r="J328" s="408" t="s">
        <v>2234</v>
      </c>
      <c r="K328" s="828">
        <v>44621</v>
      </c>
      <c r="L328" s="408">
        <v>0</v>
      </c>
      <c r="M328" s="408">
        <v>0</v>
      </c>
      <c r="N328" s="408">
        <v>1.8380000000000001</v>
      </c>
      <c r="O328" s="408">
        <v>1.7277199999999999</v>
      </c>
      <c r="P328" s="408">
        <v>1.8380000000000001</v>
      </c>
      <c r="Q328" s="408">
        <v>1.7277199999999999</v>
      </c>
      <c r="R328" s="408"/>
      <c r="S328" s="408">
        <v>3130.62</v>
      </c>
      <c r="T328" s="408">
        <v>256.55</v>
      </c>
      <c r="U328" s="408"/>
      <c r="V328" s="408">
        <v>6225.6184600000006</v>
      </c>
      <c r="W328" s="408">
        <v>6225.6184600000006</v>
      </c>
      <c r="X328" s="408">
        <v>3276.4739399999999</v>
      </c>
      <c r="Y328" s="408">
        <v>0</v>
      </c>
      <c r="Z328" s="408">
        <v>98.301704036229268</v>
      </c>
      <c r="AA328" s="408">
        <v>0</v>
      </c>
      <c r="AB328" s="408">
        <v>0</v>
      </c>
      <c r="AC328" s="408">
        <v>0</v>
      </c>
      <c r="AD328" s="408">
        <v>1184.0649777674873</v>
      </c>
      <c r="AE328" s="408">
        <v>4418.8252426281688</v>
      </c>
      <c r="AF328" s="408">
        <v>471.54353494351164</v>
      </c>
      <c r="AG328" s="408">
        <v>0</v>
      </c>
      <c r="AH328" s="408">
        <v>0</v>
      </c>
      <c r="AI328" s="408">
        <v>0</v>
      </c>
      <c r="AJ328" s="408">
        <v>0</v>
      </c>
      <c r="AK328" s="408">
        <v>0</v>
      </c>
      <c r="AL328" s="408">
        <v>17.468836782465672</v>
      </c>
      <c r="AM328" s="408"/>
      <c r="AN328" s="408">
        <v>2.4795630804694735</v>
      </c>
      <c r="AO328" s="408">
        <v>0</v>
      </c>
      <c r="AP328" s="408">
        <v>0</v>
      </c>
      <c r="AQ328" s="408">
        <v>0</v>
      </c>
      <c r="AR328" s="408">
        <v>0</v>
      </c>
      <c r="AS328" s="408">
        <v>0</v>
      </c>
      <c r="AT328" s="408">
        <v>0</v>
      </c>
      <c r="AU328" s="408">
        <v>0</v>
      </c>
      <c r="AV328" s="408">
        <v>0</v>
      </c>
      <c r="AW328" s="408">
        <v>0</v>
      </c>
      <c r="AX328" s="408">
        <v>0</v>
      </c>
      <c r="AY328" s="408">
        <v>0</v>
      </c>
      <c r="AZ328" s="408">
        <v>0</v>
      </c>
      <c r="BA328" s="408"/>
      <c r="BB328" s="408">
        <v>0</v>
      </c>
      <c r="BC328" s="408">
        <v>0</v>
      </c>
      <c r="BD328" s="408">
        <v>2.2644623492250693</v>
      </c>
      <c r="BE328" s="408">
        <v>0</v>
      </c>
      <c r="BF328" s="408">
        <v>0</v>
      </c>
      <c r="BG328" s="408">
        <v>30.674911707180161</v>
      </c>
      <c r="BH328" s="408">
        <v>0</v>
      </c>
      <c r="BI328" s="408">
        <v>0</v>
      </c>
      <c r="BJ328" s="408">
        <v>0</v>
      </c>
      <c r="BK328" s="408">
        <v>0</v>
      </c>
      <c r="BL328" s="408">
        <v>0</v>
      </c>
      <c r="BM328" s="408"/>
      <c r="BN328" s="408"/>
      <c r="BO328" s="408"/>
      <c r="BP328" s="408"/>
      <c r="BQ328" s="408">
        <v>196.58843640000026</v>
      </c>
      <c r="BR328" s="408"/>
      <c r="BS328" s="408"/>
      <c r="BT328" s="408"/>
      <c r="BU328" s="408"/>
      <c r="BV328" s="408">
        <v>504.4829089999169</v>
      </c>
      <c r="BW328" s="408"/>
      <c r="BX328" s="408"/>
      <c r="BY328" s="408"/>
      <c r="BZ328" s="408"/>
      <c r="CA328" s="408"/>
      <c r="CB328" s="408"/>
      <c r="CC328" s="408"/>
      <c r="CD328" s="408"/>
      <c r="CE328" s="408"/>
      <c r="CF328" s="408"/>
      <c r="CG328" s="408"/>
      <c r="CH328" s="408"/>
      <c r="CI328" s="408">
        <v>3083.9499000000001</v>
      </c>
      <c r="CJ328" s="408">
        <v>-2768.1614524000001</v>
      </c>
      <c r="CK328" s="408"/>
      <c r="CL328" s="408"/>
      <c r="CM328" s="408"/>
      <c r="CN328" s="408"/>
      <c r="CO328" s="408">
        <v>-2978.5341400000002</v>
      </c>
      <c r="CP328" s="408">
        <v>29.389620000000019</v>
      </c>
      <c r="CQ328" s="408">
        <v>31</v>
      </c>
      <c r="CR328" s="408">
        <v>18.846670383467426</v>
      </c>
      <c r="CS328" s="408">
        <v>0</v>
      </c>
      <c r="CT328" s="408">
        <v>0</v>
      </c>
      <c r="CU328" s="408">
        <v>0</v>
      </c>
      <c r="CV328" s="408">
        <v>0</v>
      </c>
      <c r="CW328" s="408">
        <v>0</v>
      </c>
      <c r="CX328" s="408">
        <v>0</v>
      </c>
      <c r="CY328" s="408">
        <v>0</v>
      </c>
      <c r="CZ328" s="408">
        <v>-5.3520481715816004</v>
      </c>
      <c r="DA328" s="408">
        <v>0</v>
      </c>
      <c r="DB328" s="408">
        <v>0</v>
      </c>
      <c r="DC328" s="408">
        <v>29.376440372862646</v>
      </c>
      <c r="DD328" s="408">
        <v>0</v>
      </c>
      <c r="DE328" s="408">
        <v>0</v>
      </c>
      <c r="DF328" s="408">
        <v>0.14107253784441021</v>
      </c>
      <c r="DG328" s="408">
        <v>1.9110000412088333</v>
      </c>
      <c r="DH328" s="408">
        <v>0</v>
      </c>
      <c r="DI328" s="408">
        <v>-6.1127787648746477</v>
      </c>
      <c r="DJ328" s="408"/>
      <c r="DK328" s="408">
        <v>0</v>
      </c>
      <c r="DL328" s="408">
        <v>0</v>
      </c>
      <c r="DM328" s="408">
        <v>0</v>
      </c>
      <c r="DN328" s="408">
        <v>0</v>
      </c>
      <c r="DO328" s="408">
        <v>-0.95856207956060402</v>
      </c>
      <c r="DP328" s="408">
        <v>-0.158453552431574</v>
      </c>
      <c r="DQ328" s="408">
        <v>0</v>
      </c>
      <c r="DR328" s="408">
        <v>0</v>
      </c>
      <c r="DS328" s="408"/>
      <c r="DT328" s="408"/>
      <c r="DU328" s="408"/>
      <c r="DV328" s="408">
        <v>4418.8252426281688</v>
      </c>
      <c r="DW328" s="408">
        <v>0</v>
      </c>
      <c r="DX328" s="408">
        <v>0</v>
      </c>
      <c r="DY328" s="408">
        <v>-2978.5341400000002</v>
      </c>
      <c r="DZ328" s="408">
        <v>29.389619999999979</v>
      </c>
      <c r="EA328" s="408">
        <v>0</v>
      </c>
      <c r="EB328" s="408">
        <v>0</v>
      </c>
      <c r="EC328" s="408">
        <v>-2968.0129800295963</v>
      </c>
      <c r="ED328" s="408">
        <v>0</v>
      </c>
      <c r="EE328" s="408">
        <v>0</v>
      </c>
      <c r="EF328" s="408">
        <v>0</v>
      </c>
      <c r="EG328" s="408">
        <v>0</v>
      </c>
      <c r="EH328" s="408">
        <v>0</v>
      </c>
      <c r="EI328" s="408">
        <v>0</v>
      </c>
      <c r="EJ328" s="408">
        <v>0</v>
      </c>
      <c r="EK328" s="408">
        <v>0</v>
      </c>
      <c r="EL328" s="408">
        <v>0</v>
      </c>
      <c r="EM328" s="408">
        <v>0</v>
      </c>
      <c r="EN328" s="408">
        <v>0</v>
      </c>
      <c r="EO328" s="408">
        <v>0</v>
      </c>
      <c r="EP328" s="408">
        <v>0</v>
      </c>
      <c r="EQ328" s="408">
        <v>0</v>
      </c>
      <c r="ER328" s="408">
        <v>0</v>
      </c>
      <c r="ES328" s="408">
        <v>0</v>
      </c>
      <c r="ET328" s="408">
        <v>0</v>
      </c>
      <c r="EU328" s="408">
        <v>0</v>
      </c>
      <c r="EV328" s="408">
        <v>257</v>
      </c>
      <c r="EW328" s="408">
        <v>0</v>
      </c>
      <c r="EX328" s="408">
        <v>0</v>
      </c>
      <c r="EY328" s="408">
        <v>0</v>
      </c>
      <c r="EZ328" s="408"/>
      <c r="FA328" s="408">
        <v>0</v>
      </c>
      <c r="FB328" s="408"/>
      <c r="FC328" s="408"/>
      <c r="FD328" s="408"/>
      <c r="FE328" s="408"/>
      <c r="FF328" s="408">
        <v>0</v>
      </c>
      <c r="FG328" s="408">
        <v>0</v>
      </c>
      <c r="FH328" s="408">
        <v>0</v>
      </c>
      <c r="FI328" s="408">
        <v>0</v>
      </c>
    </row>
    <row r="329" spans="1:165">
      <c r="A329" s="408">
        <v>327</v>
      </c>
      <c r="B329" s="408" t="s">
        <v>1035</v>
      </c>
      <c r="C329" s="408" t="s">
        <v>2241</v>
      </c>
      <c r="D329" s="408" t="s">
        <v>596</v>
      </c>
      <c r="E329" s="408" t="s">
        <v>1000</v>
      </c>
      <c r="F329" s="408" t="s">
        <v>2248</v>
      </c>
      <c r="G329" s="408" t="s">
        <v>1321</v>
      </c>
      <c r="H329" s="408" t="s">
        <v>1321</v>
      </c>
      <c r="I329" s="408" t="s">
        <v>2242</v>
      </c>
      <c r="J329" s="408" t="s">
        <v>2234</v>
      </c>
      <c r="K329" s="828">
        <v>44621</v>
      </c>
      <c r="L329" s="408">
        <v>0</v>
      </c>
      <c r="M329" s="408">
        <v>0</v>
      </c>
      <c r="N329" s="408">
        <v>20.344999999999999</v>
      </c>
      <c r="O329" s="408">
        <v>19.124300000000002</v>
      </c>
      <c r="P329" s="408">
        <v>20.344999999999999</v>
      </c>
      <c r="Q329" s="408">
        <v>19.124300000000002</v>
      </c>
      <c r="R329" s="408"/>
      <c r="S329" s="408">
        <v>82.26</v>
      </c>
      <c r="T329" s="408">
        <v>256.55</v>
      </c>
      <c r="U329" s="408"/>
      <c r="V329" s="408">
        <v>6893.0894500000004</v>
      </c>
      <c r="W329" s="408">
        <v>6893.0894500000004</v>
      </c>
      <c r="X329" s="408">
        <v>7161.0330999999996</v>
      </c>
      <c r="Y329" s="408">
        <v>0</v>
      </c>
      <c r="Z329" s="408">
        <v>1088.111081946183</v>
      </c>
      <c r="AA329" s="408">
        <v>0</v>
      </c>
      <c r="AB329" s="408">
        <v>0</v>
      </c>
      <c r="AC329" s="408">
        <v>0</v>
      </c>
      <c r="AD329" s="408">
        <v>0</v>
      </c>
      <c r="AE329" s="408">
        <v>0</v>
      </c>
      <c r="AF329" s="408">
        <v>5219.5610546385979</v>
      </c>
      <c r="AG329" s="408">
        <v>0</v>
      </c>
      <c r="AH329" s="408">
        <v>0</v>
      </c>
      <c r="AI329" s="408">
        <v>0</v>
      </c>
      <c r="AJ329" s="408">
        <v>0</v>
      </c>
      <c r="AK329" s="408">
        <v>0</v>
      </c>
      <c r="AL329" s="408">
        <v>193.36424610406098</v>
      </c>
      <c r="AM329" s="408"/>
      <c r="AN329" s="408">
        <v>27.446523869505679</v>
      </c>
      <c r="AO329" s="408">
        <v>0</v>
      </c>
      <c r="AP329" s="408">
        <v>0</v>
      </c>
      <c r="AQ329" s="408">
        <v>0</v>
      </c>
      <c r="AR329" s="408">
        <v>0</v>
      </c>
      <c r="AS329" s="408">
        <v>0</v>
      </c>
      <c r="AT329" s="408">
        <v>0</v>
      </c>
      <c r="AU329" s="408">
        <v>0</v>
      </c>
      <c r="AV329" s="408">
        <v>0</v>
      </c>
      <c r="AW329" s="408">
        <v>0</v>
      </c>
      <c r="AX329" s="408">
        <v>0</v>
      </c>
      <c r="AY329" s="408">
        <v>0</v>
      </c>
      <c r="AZ329" s="408">
        <v>0</v>
      </c>
      <c r="BA329" s="408"/>
      <c r="BB329" s="408">
        <v>0</v>
      </c>
      <c r="BC329" s="408">
        <v>0</v>
      </c>
      <c r="BD329" s="408">
        <v>25.065553044060952</v>
      </c>
      <c r="BE329" s="408">
        <v>0</v>
      </c>
      <c r="BF329" s="408">
        <v>0</v>
      </c>
      <c r="BG329" s="408">
        <v>339.54356838007635</v>
      </c>
      <c r="BH329" s="408">
        <v>0</v>
      </c>
      <c r="BI329" s="408">
        <v>0</v>
      </c>
      <c r="BJ329" s="408">
        <v>0</v>
      </c>
      <c r="BK329" s="408">
        <v>0</v>
      </c>
      <c r="BL329" s="408">
        <v>0</v>
      </c>
      <c r="BM329" s="408"/>
      <c r="BN329" s="408"/>
      <c r="BO329" s="408"/>
      <c r="BP329" s="408"/>
      <c r="BQ329" s="408">
        <v>429.66198599999905</v>
      </c>
      <c r="BR329" s="408"/>
      <c r="BS329" s="408"/>
      <c r="BT329" s="408"/>
      <c r="BU329" s="408"/>
      <c r="BV329" s="408">
        <v>5584.1701760627348</v>
      </c>
      <c r="BW329" s="408"/>
      <c r="BX329" s="408"/>
      <c r="BY329" s="408"/>
      <c r="BZ329" s="408"/>
      <c r="CA329" s="408"/>
      <c r="CB329" s="408"/>
      <c r="CC329" s="408"/>
      <c r="CD329" s="408"/>
      <c r="CE329" s="408"/>
      <c r="CF329" s="408"/>
      <c r="CG329" s="408"/>
      <c r="CH329" s="408"/>
      <c r="CI329" s="408">
        <v>6729.8576000000012</v>
      </c>
      <c r="CJ329" s="408">
        <v>250.32351700000072</v>
      </c>
      <c r="CK329" s="408"/>
      <c r="CL329" s="408"/>
      <c r="CM329" s="408"/>
      <c r="CN329" s="408"/>
      <c r="CO329" s="408">
        <v>-57.372900000000151</v>
      </c>
      <c r="CP329" s="408">
        <v>325.31655000000018</v>
      </c>
      <c r="CQ329" s="408">
        <v>31</v>
      </c>
      <c r="CR329" s="408">
        <v>267.85795919612428</v>
      </c>
      <c r="CS329" s="408">
        <v>0</v>
      </c>
      <c r="CT329" s="408">
        <v>0</v>
      </c>
      <c r="CU329" s="408">
        <v>0</v>
      </c>
      <c r="CV329" s="408">
        <v>0</v>
      </c>
      <c r="CW329" s="408">
        <v>0</v>
      </c>
      <c r="CX329" s="408">
        <v>0</v>
      </c>
      <c r="CY329" s="408">
        <v>0</v>
      </c>
      <c r="CZ329" s="408">
        <v>0</v>
      </c>
      <c r="DA329" s="408">
        <v>0</v>
      </c>
      <c r="DB329" s="408">
        <v>0</v>
      </c>
      <c r="DC329" s="408">
        <v>325.17066343084389</v>
      </c>
      <c r="DD329" s="408">
        <v>0</v>
      </c>
      <c r="DE329" s="408">
        <v>0</v>
      </c>
      <c r="DF329" s="408">
        <v>1.5615455834845058</v>
      </c>
      <c r="DG329" s="408">
        <v>21.153044525785447</v>
      </c>
      <c r="DH329" s="408">
        <v>0</v>
      </c>
      <c r="DI329" s="408">
        <v>-67.662940136765428</v>
      </c>
      <c r="DJ329" s="408"/>
      <c r="DK329" s="408">
        <v>0</v>
      </c>
      <c r="DL329" s="408">
        <v>0</v>
      </c>
      <c r="DM329" s="408">
        <v>0</v>
      </c>
      <c r="DN329" s="408">
        <v>0</v>
      </c>
      <c r="DO329" s="408">
        <v>-10.610416490022033</v>
      </c>
      <c r="DP329" s="408">
        <v>-1.7539377172036872</v>
      </c>
      <c r="DQ329" s="408">
        <v>0</v>
      </c>
      <c r="DR329" s="408">
        <v>0</v>
      </c>
      <c r="DS329" s="408"/>
      <c r="DT329" s="408"/>
      <c r="DU329" s="408"/>
      <c r="DV329" s="408">
        <v>0</v>
      </c>
      <c r="DW329" s="408">
        <v>0</v>
      </c>
      <c r="DX329" s="408">
        <v>0</v>
      </c>
      <c r="DY329" s="408">
        <v>-57.372900000000072</v>
      </c>
      <c r="DZ329" s="408">
        <v>325.31654999999955</v>
      </c>
      <c r="EA329" s="408">
        <v>0</v>
      </c>
      <c r="EB329" s="408">
        <v>0</v>
      </c>
      <c r="EC329" s="408">
        <v>0</v>
      </c>
      <c r="ED329" s="408">
        <v>0</v>
      </c>
      <c r="EE329" s="408">
        <v>0</v>
      </c>
      <c r="EF329" s="408">
        <v>0</v>
      </c>
      <c r="EG329" s="408">
        <v>0</v>
      </c>
      <c r="EH329" s="408">
        <v>0</v>
      </c>
      <c r="EI329" s="408">
        <v>0</v>
      </c>
      <c r="EJ329" s="408">
        <v>0</v>
      </c>
      <c r="EK329" s="408">
        <v>0</v>
      </c>
      <c r="EL329" s="408">
        <v>0</v>
      </c>
      <c r="EM329" s="408">
        <v>0</v>
      </c>
      <c r="EN329" s="408">
        <v>0</v>
      </c>
      <c r="EO329" s="408">
        <v>0</v>
      </c>
      <c r="EP329" s="408">
        <v>0</v>
      </c>
      <c r="EQ329" s="408">
        <v>0</v>
      </c>
      <c r="ER329" s="408">
        <v>0</v>
      </c>
      <c r="ES329" s="408">
        <v>0</v>
      </c>
      <c r="ET329" s="408">
        <v>0</v>
      </c>
      <c r="EU329" s="408">
        <v>0</v>
      </c>
      <c r="EV329" s="408">
        <v>257</v>
      </c>
      <c r="EW329" s="408">
        <v>0</v>
      </c>
      <c r="EX329" s="408">
        <v>0</v>
      </c>
      <c r="EY329" s="408">
        <v>0</v>
      </c>
      <c r="EZ329" s="408"/>
      <c r="FA329" s="408">
        <v>0</v>
      </c>
      <c r="FB329" s="408"/>
      <c r="FC329" s="408"/>
      <c r="FD329" s="408"/>
      <c r="FE329" s="408"/>
      <c r="FF329" s="408">
        <v>0</v>
      </c>
      <c r="FG329" s="408">
        <v>0</v>
      </c>
      <c r="FH329" s="408">
        <v>0</v>
      </c>
      <c r="FI329" s="408">
        <v>0</v>
      </c>
    </row>
    <row r="330" spans="1:165">
      <c r="A330" s="408">
        <v>328</v>
      </c>
      <c r="B330" s="408" t="s">
        <v>1035</v>
      </c>
      <c r="C330" s="408" t="s">
        <v>2241</v>
      </c>
      <c r="D330" s="408" t="s">
        <v>596</v>
      </c>
      <c r="E330" s="408" t="s">
        <v>1000</v>
      </c>
      <c r="F330" s="408" t="s">
        <v>2248</v>
      </c>
      <c r="G330" s="408" t="s">
        <v>1321</v>
      </c>
      <c r="H330" s="408" t="s">
        <v>1321</v>
      </c>
      <c r="I330" s="408" t="s">
        <v>1321</v>
      </c>
      <c r="J330" s="408" t="s">
        <v>2234</v>
      </c>
      <c r="K330" s="828">
        <v>44621</v>
      </c>
      <c r="L330" s="408">
        <v>79</v>
      </c>
      <c r="M330" s="408">
        <v>74.260000000000005</v>
      </c>
      <c r="N330" s="408">
        <v>0</v>
      </c>
      <c r="O330" s="408">
        <v>0</v>
      </c>
      <c r="P330" s="408">
        <v>0</v>
      </c>
      <c r="Q330" s="408">
        <v>0</v>
      </c>
      <c r="R330" s="408">
        <v>47.39</v>
      </c>
      <c r="S330" s="408"/>
      <c r="T330" s="408"/>
      <c r="U330" s="408">
        <v>3743.81</v>
      </c>
      <c r="V330" s="408"/>
      <c r="W330" s="408">
        <v>3743.81</v>
      </c>
      <c r="X330" s="408">
        <v>2545.38</v>
      </c>
      <c r="Y330" s="408">
        <v>0</v>
      </c>
      <c r="Z330" s="408">
        <v>0</v>
      </c>
      <c r="AA330" s="408">
        <v>0</v>
      </c>
      <c r="AB330" s="408">
        <v>0</v>
      </c>
      <c r="AC330" s="408">
        <v>0</v>
      </c>
      <c r="AD330" s="408">
        <v>1972.6379141777902</v>
      </c>
      <c r="AE330" s="408">
        <v>1771.1695124126304</v>
      </c>
      <c r="AF330" s="408"/>
      <c r="AG330" s="408"/>
      <c r="AH330" s="408"/>
      <c r="AI330" s="408">
        <v>0</v>
      </c>
      <c r="AJ330" s="408">
        <v>0</v>
      </c>
      <c r="AK330" s="408">
        <v>0</v>
      </c>
      <c r="AL330" s="408">
        <v>0</v>
      </c>
      <c r="AM330" s="408"/>
      <c r="AN330" s="408">
        <v>0</v>
      </c>
      <c r="AO330" s="408">
        <v>0</v>
      </c>
      <c r="AP330" s="408">
        <v>0</v>
      </c>
      <c r="AQ330" s="408">
        <v>0</v>
      </c>
      <c r="AR330" s="408">
        <v>0</v>
      </c>
      <c r="AS330" s="408"/>
      <c r="AT330" s="408"/>
      <c r="AU330" s="408">
        <v>0</v>
      </c>
      <c r="AV330" s="408">
        <v>0</v>
      </c>
      <c r="AW330" s="408">
        <v>0</v>
      </c>
      <c r="AX330" s="408"/>
      <c r="AY330" s="408"/>
      <c r="AZ330" s="408">
        <v>0</v>
      </c>
      <c r="BA330" s="408"/>
      <c r="BB330" s="408">
        <v>0</v>
      </c>
      <c r="BC330" s="408">
        <v>0</v>
      </c>
      <c r="BD330" s="408">
        <v>0</v>
      </c>
      <c r="BE330" s="408">
        <v>0</v>
      </c>
      <c r="BF330" s="408"/>
      <c r="BG330" s="408">
        <v>0</v>
      </c>
      <c r="BH330" s="408">
        <v>0</v>
      </c>
      <c r="BI330" s="408">
        <v>0</v>
      </c>
      <c r="BJ330" s="408">
        <v>0</v>
      </c>
      <c r="BK330" s="408">
        <v>5237.99</v>
      </c>
      <c r="BL330" s="408">
        <v>1</v>
      </c>
      <c r="BM330" s="408"/>
      <c r="BN330" s="408"/>
      <c r="BO330" s="408"/>
      <c r="BP330" s="408"/>
      <c r="BQ330" s="408">
        <v>152.72279999999984</v>
      </c>
      <c r="BR330" s="408"/>
      <c r="BS330" s="408"/>
      <c r="BT330" s="408"/>
      <c r="BU330" s="408"/>
      <c r="BV330" s="408">
        <v>0</v>
      </c>
      <c r="BW330" s="408"/>
      <c r="BX330" s="408"/>
      <c r="BY330" s="408"/>
      <c r="BZ330" s="408"/>
      <c r="CA330" s="408"/>
      <c r="CB330" s="408"/>
      <c r="CC330" s="408"/>
      <c r="CD330" s="408"/>
      <c r="CE330" s="408"/>
      <c r="CF330" s="408"/>
      <c r="CG330" s="408"/>
      <c r="CH330" s="408"/>
      <c r="CI330" s="408">
        <v>2392.6572000000001</v>
      </c>
      <c r="CJ330" s="408">
        <v>-1126.5542000000009</v>
      </c>
      <c r="CK330" s="408"/>
      <c r="CL330" s="408"/>
      <c r="CM330" s="408"/>
      <c r="CN330" s="408"/>
      <c r="CO330" s="408">
        <v>-1198.43</v>
      </c>
      <c r="CP330" s="408">
        <v>0</v>
      </c>
      <c r="CQ330" s="408">
        <v>31</v>
      </c>
      <c r="CR330" s="408">
        <v>-8.9164474416556914</v>
      </c>
      <c r="CS330" s="408">
        <v>0</v>
      </c>
      <c r="CT330" s="408">
        <v>0</v>
      </c>
      <c r="CU330" s="408">
        <v>0</v>
      </c>
      <c r="CV330" s="408">
        <v>0</v>
      </c>
      <c r="CW330" s="408"/>
      <c r="CX330" s="408"/>
      <c r="CY330" s="408"/>
      <c r="CZ330" s="408">
        <v>-8.9164474416556914</v>
      </c>
      <c r="DA330" s="408">
        <v>0</v>
      </c>
      <c r="DB330" s="408">
        <v>0</v>
      </c>
      <c r="DC330" s="408"/>
      <c r="DD330" s="408"/>
      <c r="DE330" s="408">
        <v>0</v>
      </c>
      <c r="DF330" s="408">
        <v>0</v>
      </c>
      <c r="DG330" s="408">
        <v>0</v>
      </c>
      <c r="DH330" s="408">
        <v>0</v>
      </c>
      <c r="DI330" s="408">
        <v>0</v>
      </c>
      <c r="DJ330" s="408"/>
      <c r="DK330" s="408">
        <v>0</v>
      </c>
      <c r="DL330" s="408">
        <v>0</v>
      </c>
      <c r="DM330" s="408"/>
      <c r="DN330" s="408">
        <v>0</v>
      </c>
      <c r="DO330" s="408">
        <v>0</v>
      </c>
      <c r="DP330" s="408">
        <v>0</v>
      </c>
      <c r="DQ330" s="408">
        <v>0</v>
      </c>
      <c r="DR330" s="408">
        <v>0</v>
      </c>
      <c r="DS330" s="408"/>
      <c r="DT330" s="408"/>
      <c r="DU330" s="408">
        <v>1771.1695124126304</v>
      </c>
      <c r="DV330" s="408"/>
      <c r="DW330" s="408">
        <v>0</v>
      </c>
      <c r="DX330" s="408">
        <v>0</v>
      </c>
      <c r="DY330" s="408">
        <v>-1198.4299999999998</v>
      </c>
      <c r="DZ330" s="408"/>
      <c r="EA330" s="408">
        <v>0</v>
      </c>
      <c r="EB330" s="408"/>
      <c r="EC330" s="408">
        <v>-1189.6496951182394</v>
      </c>
      <c r="ED330" s="408"/>
      <c r="EE330" s="408">
        <v>0</v>
      </c>
      <c r="EF330" s="408">
        <v>0</v>
      </c>
      <c r="EG330" s="408"/>
      <c r="EH330" s="408">
        <v>0</v>
      </c>
      <c r="EI330" s="408">
        <v>0</v>
      </c>
      <c r="EJ330" s="408">
        <v>0</v>
      </c>
      <c r="EK330" s="408">
        <v>0</v>
      </c>
      <c r="EL330" s="408">
        <v>0</v>
      </c>
      <c r="EM330" s="408"/>
      <c r="EN330" s="408"/>
      <c r="EO330" s="408">
        <v>0</v>
      </c>
      <c r="EP330" s="408">
        <v>0</v>
      </c>
      <c r="EQ330" s="408"/>
      <c r="ER330" s="408">
        <v>0</v>
      </c>
      <c r="ES330" s="408"/>
      <c r="ET330" s="408">
        <v>0</v>
      </c>
      <c r="EU330" s="408"/>
      <c r="EV330" s="408">
        <v>257</v>
      </c>
      <c r="EW330" s="408"/>
      <c r="EX330" s="408"/>
      <c r="EY330" s="408"/>
      <c r="EZ330" s="408"/>
      <c r="FA330" s="408">
        <v>0</v>
      </c>
      <c r="FB330" s="408"/>
      <c r="FC330" s="408"/>
      <c r="FD330" s="408"/>
      <c r="FE330" s="408"/>
      <c r="FF330" s="408">
        <v>0</v>
      </c>
      <c r="FG330" s="408">
        <v>0</v>
      </c>
      <c r="FH330" s="408">
        <v>0</v>
      </c>
      <c r="FI330" s="408">
        <v>0</v>
      </c>
    </row>
    <row r="331" spans="1:165">
      <c r="A331" s="408">
        <v>329</v>
      </c>
      <c r="B331" s="408" t="s">
        <v>1035</v>
      </c>
      <c r="C331" s="408" t="s">
        <v>2233</v>
      </c>
      <c r="D331" s="408" t="s">
        <v>1958</v>
      </c>
      <c r="E331" s="408" t="s">
        <v>2249</v>
      </c>
      <c r="F331" s="408" t="s">
        <v>1321</v>
      </c>
      <c r="G331" s="408" t="s">
        <v>1321</v>
      </c>
      <c r="H331" s="408" t="s">
        <v>1321</v>
      </c>
      <c r="I331" s="408" t="s">
        <v>1321</v>
      </c>
      <c r="J331" s="408" t="s">
        <v>2234</v>
      </c>
      <c r="K331" s="828">
        <v>44621</v>
      </c>
      <c r="L331" s="408">
        <v>0</v>
      </c>
      <c r="M331" s="408">
        <v>0</v>
      </c>
      <c r="N331" s="408">
        <v>0.94499999999999995</v>
      </c>
      <c r="O331" s="408">
        <v>0.94499999999999995</v>
      </c>
      <c r="P331" s="408">
        <v>0.94499999999999995</v>
      </c>
      <c r="Q331" s="408">
        <v>0.94499999999999995</v>
      </c>
      <c r="R331" s="408"/>
      <c r="S331" s="408">
        <v>710.91</v>
      </c>
      <c r="T331" s="408">
        <v>256.55</v>
      </c>
      <c r="U331" s="408"/>
      <c r="V331" s="408">
        <v>914.24969999999996</v>
      </c>
      <c r="W331" s="408">
        <v>914.24969999999996</v>
      </c>
      <c r="X331" s="408">
        <v>624.10635000000002</v>
      </c>
      <c r="Y331" s="408">
        <v>0</v>
      </c>
      <c r="Z331" s="408">
        <v>58.093573921076548</v>
      </c>
      <c r="AA331" s="408">
        <v>0</v>
      </c>
      <c r="AB331" s="408">
        <v>0</v>
      </c>
      <c r="AC331" s="408">
        <v>0</v>
      </c>
      <c r="AD331" s="408">
        <v>116.31323636418652</v>
      </c>
      <c r="AE331" s="408">
        <v>450.68000829260757</v>
      </c>
      <c r="AF331" s="408">
        <v>242.44213303678913</v>
      </c>
      <c r="AG331" s="408">
        <v>0</v>
      </c>
      <c r="AH331" s="408">
        <v>0</v>
      </c>
      <c r="AI331" s="408">
        <v>0</v>
      </c>
      <c r="AJ331" s="408">
        <v>0</v>
      </c>
      <c r="AK331" s="408">
        <v>0</v>
      </c>
      <c r="AL331" s="408">
        <v>8.9815292488738088</v>
      </c>
      <c r="AM331" s="408"/>
      <c r="AN331" s="408">
        <v>2.0750353907706516</v>
      </c>
      <c r="AO331" s="408">
        <v>0</v>
      </c>
      <c r="AP331" s="408">
        <v>0</v>
      </c>
      <c r="AQ331" s="408">
        <v>0</v>
      </c>
      <c r="AR331" s="408">
        <v>0</v>
      </c>
      <c r="AS331" s="408">
        <v>0</v>
      </c>
      <c r="AT331" s="408">
        <v>0</v>
      </c>
      <c r="AU331" s="408">
        <v>0</v>
      </c>
      <c r="AV331" s="408">
        <v>0</v>
      </c>
      <c r="AW331" s="408">
        <v>0</v>
      </c>
      <c r="AX331" s="408">
        <v>0</v>
      </c>
      <c r="AY331" s="408">
        <v>0</v>
      </c>
      <c r="AZ331" s="408">
        <v>0</v>
      </c>
      <c r="BA331" s="408"/>
      <c r="BB331" s="408">
        <v>0</v>
      </c>
      <c r="BC331" s="408">
        <v>0</v>
      </c>
      <c r="BD331" s="408">
        <v>1.4083527119591568</v>
      </c>
      <c r="BE331" s="408">
        <v>0</v>
      </c>
      <c r="BF331" s="408">
        <v>0</v>
      </c>
      <c r="BG331" s="408">
        <v>34.259465149728712</v>
      </c>
      <c r="BH331" s="408">
        <v>0</v>
      </c>
      <c r="BI331" s="408">
        <v>0</v>
      </c>
      <c r="BJ331" s="408">
        <v>0</v>
      </c>
      <c r="BK331" s="408">
        <v>252.73</v>
      </c>
      <c r="BL331" s="408">
        <v>5</v>
      </c>
      <c r="BM331" s="408"/>
      <c r="BN331" s="408"/>
      <c r="BO331" s="408"/>
      <c r="BP331" s="408"/>
      <c r="BQ331" s="408"/>
      <c r="BR331" s="408"/>
      <c r="BS331" s="408"/>
      <c r="BT331" s="408"/>
      <c r="BU331" s="408"/>
      <c r="BV331" s="408">
        <v>278.109950898477</v>
      </c>
      <c r="BW331" s="408"/>
      <c r="BX331" s="408"/>
      <c r="BY331" s="408"/>
      <c r="BZ331" s="408"/>
      <c r="CA331" s="408"/>
      <c r="CB331" s="408"/>
      <c r="CC331" s="408"/>
      <c r="CD331" s="408"/>
      <c r="CE331" s="408"/>
      <c r="CF331" s="408"/>
      <c r="CG331" s="408"/>
      <c r="CH331" s="408"/>
      <c r="CI331" s="408">
        <v>627.4085</v>
      </c>
      <c r="CJ331" s="408">
        <v>-286.87119999999993</v>
      </c>
      <c r="CK331" s="408"/>
      <c r="CL331" s="408"/>
      <c r="CM331" s="408"/>
      <c r="CN331" s="408"/>
      <c r="CO331" s="408">
        <v>-305.25389999999999</v>
      </c>
      <c r="CP331" s="408">
        <v>15.110550000000007</v>
      </c>
      <c r="CQ331" s="408">
        <v>31</v>
      </c>
      <c r="CR331" s="408">
        <v>12.562155400699055</v>
      </c>
      <c r="CS331" s="408">
        <v>0</v>
      </c>
      <c r="CT331" s="408">
        <v>0</v>
      </c>
      <c r="CU331" s="408">
        <v>0</v>
      </c>
      <c r="CV331" s="408">
        <v>0</v>
      </c>
      <c r="CW331" s="408">
        <v>0</v>
      </c>
      <c r="CX331" s="408">
        <v>0</v>
      </c>
      <c r="CY331" s="408">
        <v>0</v>
      </c>
      <c r="CZ331" s="408">
        <v>-0.52574314391706878</v>
      </c>
      <c r="DA331" s="408">
        <v>0</v>
      </c>
      <c r="DB331" s="408">
        <v>0</v>
      </c>
      <c r="DC331" s="408">
        <v>15.103773749921231</v>
      </c>
      <c r="DD331" s="408">
        <v>0</v>
      </c>
      <c r="DE331" s="408">
        <v>0</v>
      </c>
      <c r="DF331" s="408">
        <v>8.7738218003104329E-2</v>
      </c>
      <c r="DG331" s="408">
        <v>2.1343122333290836</v>
      </c>
      <c r="DH331" s="408">
        <v>0</v>
      </c>
      <c r="DI331" s="408">
        <v>-3.6124822913502399</v>
      </c>
      <c r="DJ331" s="408"/>
      <c r="DK331" s="408">
        <v>0</v>
      </c>
      <c r="DL331" s="408">
        <v>0</v>
      </c>
      <c r="DM331" s="408">
        <v>0</v>
      </c>
      <c r="DN331" s="408">
        <v>0</v>
      </c>
      <c r="DO331" s="408">
        <v>-0.49284067746723181</v>
      </c>
      <c r="DP331" s="408">
        <v>-0.13260268781973683</v>
      </c>
      <c r="DQ331" s="408">
        <v>0</v>
      </c>
      <c r="DR331" s="408">
        <v>0</v>
      </c>
      <c r="DS331" s="408"/>
      <c r="DT331" s="408"/>
      <c r="DU331" s="408"/>
      <c r="DV331" s="408">
        <v>450.68000829260757</v>
      </c>
      <c r="DW331" s="408">
        <v>0</v>
      </c>
      <c r="DX331" s="408">
        <v>0</v>
      </c>
      <c r="DY331" s="408">
        <v>-305.25389999999999</v>
      </c>
      <c r="DZ331" s="408">
        <v>15.110549999999989</v>
      </c>
      <c r="EA331" s="408">
        <v>0</v>
      </c>
      <c r="EB331" s="408">
        <v>0</v>
      </c>
      <c r="EC331" s="408">
        <v>-302.7103451723591</v>
      </c>
      <c r="ED331" s="408">
        <v>0</v>
      </c>
      <c r="EE331" s="408">
        <v>0</v>
      </c>
      <c r="EF331" s="408">
        <v>0</v>
      </c>
      <c r="EG331" s="408">
        <v>0</v>
      </c>
      <c r="EH331" s="408">
        <v>0</v>
      </c>
      <c r="EI331" s="408">
        <v>0</v>
      </c>
      <c r="EJ331" s="408">
        <v>0</v>
      </c>
      <c r="EK331" s="408">
        <v>0</v>
      </c>
      <c r="EL331" s="408">
        <v>0</v>
      </c>
      <c r="EM331" s="408">
        <v>0</v>
      </c>
      <c r="EN331" s="408">
        <v>0</v>
      </c>
      <c r="EO331" s="408">
        <v>0</v>
      </c>
      <c r="EP331" s="408">
        <v>0</v>
      </c>
      <c r="EQ331" s="408">
        <v>0</v>
      </c>
      <c r="ER331" s="408">
        <v>0</v>
      </c>
      <c r="ES331" s="408">
        <v>0</v>
      </c>
      <c r="ET331" s="408">
        <v>0</v>
      </c>
      <c r="EU331" s="408">
        <v>0</v>
      </c>
      <c r="EV331" s="408">
        <v>257</v>
      </c>
      <c r="EW331" s="408">
        <v>0</v>
      </c>
      <c r="EX331" s="408">
        <v>0</v>
      </c>
      <c r="EY331" s="408">
        <v>0</v>
      </c>
      <c r="EZ331" s="408"/>
      <c r="FA331" s="408">
        <v>0</v>
      </c>
      <c r="FB331" s="408"/>
      <c r="FC331" s="408"/>
      <c r="FD331" s="408"/>
      <c r="FE331" s="408"/>
      <c r="FF331" s="408">
        <v>0</v>
      </c>
      <c r="FG331" s="408">
        <v>0</v>
      </c>
      <c r="FH331" s="408">
        <v>0</v>
      </c>
      <c r="FI331" s="408">
        <v>0</v>
      </c>
    </row>
    <row r="332" spans="1:165">
      <c r="A332" s="408">
        <v>330</v>
      </c>
      <c r="B332" s="408" t="s">
        <v>1035</v>
      </c>
      <c r="C332" s="408" t="s">
        <v>2233</v>
      </c>
      <c r="D332" s="408" t="s">
        <v>1955</v>
      </c>
      <c r="E332" s="408" t="s">
        <v>968</v>
      </c>
      <c r="F332" s="408" t="s">
        <v>968</v>
      </c>
      <c r="G332" s="408" t="s">
        <v>1321</v>
      </c>
      <c r="H332" s="408" t="s">
        <v>1321</v>
      </c>
      <c r="I332" s="408" t="s">
        <v>1321</v>
      </c>
      <c r="J332" s="408" t="s">
        <v>2234</v>
      </c>
      <c r="K332" s="828">
        <v>44652</v>
      </c>
      <c r="L332" s="408">
        <v>0</v>
      </c>
      <c r="M332" s="408">
        <v>0</v>
      </c>
      <c r="N332" s="408">
        <v>722.41700000000003</v>
      </c>
      <c r="O332" s="408">
        <v>722.41700000000003</v>
      </c>
      <c r="P332" s="408">
        <v>722.41700000000003</v>
      </c>
      <c r="Q332" s="408">
        <v>722.41700000000003</v>
      </c>
      <c r="R332" s="408"/>
      <c r="S332" s="408">
        <v>710.91</v>
      </c>
      <c r="T332" s="408">
        <v>256.55</v>
      </c>
      <c r="U332" s="408"/>
      <c r="V332" s="408">
        <v>698909.55082</v>
      </c>
      <c r="W332" s="408">
        <v>698909.55082</v>
      </c>
      <c r="X332" s="408">
        <v>477105.85931000003</v>
      </c>
      <c r="Y332" s="408">
        <v>0</v>
      </c>
      <c r="Z332" s="408">
        <v>44410.354911473398</v>
      </c>
      <c r="AA332" s="408">
        <v>0</v>
      </c>
      <c r="AB332" s="408">
        <v>0</v>
      </c>
      <c r="AC332" s="408">
        <v>0</v>
      </c>
      <c r="AD332" s="408">
        <v>88917.099761382589</v>
      </c>
      <c r="AE332" s="408">
        <v>344527.93603250867</v>
      </c>
      <c r="AF332" s="408">
        <v>185337.90309210384</v>
      </c>
      <c r="AG332" s="408">
        <v>0</v>
      </c>
      <c r="AH332" s="408">
        <v>0</v>
      </c>
      <c r="AI332" s="408">
        <v>0</v>
      </c>
      <c r="AJ332" s="408">
        <v>0</v>
      </c>
      <c r="AK332" s="408">
        <v>0</v>
      </c>
      <c r="AL332" s="408">
        <v>6866.0417094007098</v>
      </c>
      <c r="AM332" s="408"/>
      <c r="AN332" s="408">
        <v>1586.2866051792191</v>
      </c>
      <c r="AO332" s="408">
        <v>0</v>
      </c>
      <c r="AP332" s="408">
        <v>0</v>
      </c>
      <c r="AQ332" s="408">
        <v>0</v>
      </c>
      <c r="AR332" s="408">
        <v>0</v>
      </c>
      <c r="AS332" s="408">
        <v>0</v>
      </c>
      <c r="AT332" s="408">
        <v>0</v>
      </c>
      <c r="AU332" s="408">
        <v>0</v>
      </c>
      <c r="AV332" s="408">
        <v>0</v>
      </c>
      <c r="AW332" s="408">
        <v>0</v>
      </c>
      <c r="AX332" s="408">
        <v>0</v>
      </c>
      <c r="AY332" s="408">
        <v>0</v>
      </c>
      <c r="AZ332" s="408">
        <v>0</v>
      </c>
      <c r="BA332" s="408"/>
      <c r="BB332" s="408">
        <v>0</v>
      </c>
      <c r="BC332" s="408">
        <v>0</v>
      </c>
      <c r="BD332" s="408">
        <v>1076.6327419210563</v>
      </c>
      <c r="BE332" s="408">
        <v>0</v>
      </c>
      <c r="BF332" s="408">
        <v>0</v>
      </c>
      <c r="BG332" s="408">
        <v>26190.074111186845</v>
      </c>
      <c r="BH332" s="408">
        <v>0</v>
      </c>
      <c r="BI332" s="408">
        <v>1452.05</v>
      </c>
      <c r="BJ332" s="408">
        <v>6828.78</v>
      </c>
      <c r="BK332" s="408">
        <v>189501.34</v>
      </c>
      <c r="BL332" s="408">
        <v>5243</v>
      </c>
      <c r="BM332" s="408"/>
      <c r="BN332" s="408"/>
      <c r="BO332" s="408"/>
      <c r="BP332" s="408"/>
      <c r="BQ332" s="408"/>
      <c r="BR332" s="408"/>
      <c r="BS332" s="408"/>
      <c r="BT332" s="408"/>
      <c r="BU332" s="408"/>
      <c r="BV332" s="408">
        <v>212604.60994521173</v>
      </c>
      <c r="BW332" s="408"/>
      <c r="BX332" s="408"/>
      <c r="BY332" s="408"/>
      <c r="BZ332" s="408"/>
      <c r="CA332" s="408"/>
      <c r="CB332" s="408"/>
      <c r="CC332" s="408"/>
      <c r="CD332" s="408"/>
      <c r="CE332" s="408"/>
      <c r="CF332" s="408"/>
      <c r="CG332" s="408"/>
      <c r="CH332" s="408"/>
      <c r="CI332" s="408">
        <v>477107.8406</v>
      </c>
      <c r="CJ332" s="408">
        <v>-221801.74022000004</v>
      </c>
      <c r="CK332" s="408"/>
      <c r="CL332" s="408"/>
      <c r="CM332" s="408"/>
      <c r="CN332" s="408"/>
      <c r="CO332" s="408">
        <v>-233355.13933999999</v>
      </c>
      <c r="CP332" s="408">
        <v>11551.447830000006</v>
      </c>
      <c r="CQ332" s="408">
        <v>30</v>
      </c>
      <c r="CR332" s="408">
        <v>9603.2958921765676</v>
      </c>
      <c r="CS332" s="408">
        <v>0</v>
      </c>
      <c r="CT332" s="408">
        <v>0</v>
      </c>
      <c r="CU332" s="408">
        <v>0</v>
      </c>
      <c r="CV332" s="408">
        <v>0</v>
      </c>
      <c r="CW332" s="408">
        <v>0</v>
      </c>
      <c r="CX332" s="408">
        <v>0</v>
      </c>
      <c r="CY332" s="408">
        <v>0</v>
      </c>
      <c r="CZ332" s="408">
        <v>-401.91088338533882</v>
      </c>
      <c r="DA332" s="408">
        <v>0</v>
      </c>
      <c r="DB332" s="408">
        <v>0</v>
      </c>
      <c r="DC332" s="408">
        <v>11546.267641372309</v>
      </c>
      <c r="DD332" s="408">
        <v>0</v>
      </c>
      <c r="DE332" s="408">
        <v>0</v>
      </c>
      <c r="DF332" s="408">
        <v>67.072571677405904</v>
      </c>
      <c r="DG332" s="408">
        <v>1631.6015245131202</v>
      </c>
      <c r="DH332" s="408">
        <v>0</v>
      </c>
      <c r="DI332" s="408">
        <v>-2761.6070047305475</v>
      </c>
      <c r="DJ332" s="408"/>
      <c r="DK332" s="408">
        <v>0</v>
      </c>
      <c r="DL332" s="408">
        <v>0</v>
      </c>
      <c r="DM332" s="408">
        <v>0</v>
      </c>
      <c r="DN332" s="408">
        <v>0</v>
      </c>
      <c r="DO332" s="408">
        <v>-376.75818380301007</v>
      </c>
      <c r="DP332" s="408">
        <v>-101.36977346737672</v>
      </c>
      <c r="DQ332" s="408">
        <v>0</v>
      </c>
      <c r="DR332" s="408">
        <v>0</v>
      </c>
      <c r="DS332" s="408"/>
      <c r="DT332" s="408"/>
      <c r="DU332" s="408"/>
      <c r="DV332" s="408">
        <v>344527.93603250867</v>
      </c>
      <c r="DW332" s="408">
        <v>0</v>
      </c>
      <c r="DX332" s="408">
        <v>0</v>
      </c>
      <c r="DY332" s="408">
        <v>-233355.13933999999</v>
      </c>
      <c r="DZ332" s="408">
        <v>11551.44782999999</v>
      </c>
      <c r="EA332" s="408">
        <v>0</v>
      </c>
      <c r="EB332" s="408">
        <v>0</v>
      </c>
      <c r="EC332" s="408">
        <v>-231410.68722579913</v>
      </c>
      <c r="ED332" s="408">
        <v>0</v>
      </c>
      <c r="EE332" s="408">
        <v>0</v>
      </c>
      <c r="EF332" s="408">
        <v>0</v>
      </c>
      <c r="EG332" s="408">
        <v>0</v>
      </c>
      <c r="EH332" s="408">
        <v>0</v>
      </c>
      <c r="EI332" s="408">
        <v>0</v>
      </c>
      <c r="EJ332" s="408">
        <v>0</v>
      </c>
      <c r="EK332" s="408">
        <v>0</v>
      </c>
      <c r="EL332" s="408">
        <v>0</v>
      </c>
      <c r="EM332" s="408">
        <v>0</v>
      </c>
      <c r="EN332" s="408">
        <v>0</v>
      </c>
      <c r="EO332" s="408">
        <v>0</v>
      </c>
      <c r="EP332" s="408">
        <v>0</v>
      </c>
      <c r="EQ332" s="408">
        <v>0</v>
      </c>
      <c r="ER332" s="408">
        <v>0</v>
      </c>
      <c r="ES332" s="408">
        <v>0</v>
      </c>
      <c r="ET332" s="408">
        <v>0</v>
      </c>
      <c r="EU332" s="408">
        <v>0</v>
      </c>
      <c r="EV332" s="408">
        <v>257</v>
      </c>
      <c r="EW332" s="408">
        <v>0</v>
      </c>
      <c r="EX332" s="408">
        <v>0</v>
      </c>
      <c r="EY332" s="408">
        <v>0</v>
      </c>
      <c r="EZ332" s="408"/>
      <c r="FA332" s="408">
        <v>0</v>
      </c>
      <c r="FB332" s="408"/>
      <c r="FC332" s="408"/>
      <c r="FD332" s="408"/>
      <c r="FE332" s="408"/>
      <c r="FF332" s="408">
        <v>0</v>
      </c>
      <c r="FG332" s="408">
        <v>0</v>
      </c>
      <c r="FH332" s="408">
        <v>0</v>
      </c>
      <c r="FI332" s="408">
        <v>0</v>
      </c>
    </row>
    <row r="333" spans="1:165">
      <c r="A333" s="408">
        <v>331</v>
      </c>
      <c r="B333" s="408" t="s">
        <v>2235</v>
      </c>
      <c r="C333" s="408" t="s">
        <v>2233</v>
      </c>
      <c r="D333" s="408" t="s">
        <v>1955</v>
      </c>
      <c r="E333" s="408" t="s">
        <v>968</v>
      </c>
      <c r="F333" s="408" t="s">
        <v>968</v>
      </c>
      <c r="G333" s="408" t="s">
        <v>1321</v>
      </c>
      <c r="H333" s="408" t="s">
        <v>1321</v>
      </c>
      <c r="I333" s="408" t="s">
        <v>1321</v>
      </c>
      <c r="J333" s="408" t="s">
        <v>2234</v>
      </c>
      <c r="K333" s="828">
        <v>44652</v>
      </c>
      <c r="L333" s="408">
        <v>0</v>
      </c>
      <c r="M333" s="408">
        <v>0</v>
      </c>
      <c r="N333" s="408">
        <v>-3.2639999999999998</v>
      </c>
      <c r="O333" s="408">
        <v>-3.2639999999999998</v>
      </c>
      <c r="P333" s="408">
        <v>-3.2639999999999998</v>
      </c>
      <c r="Q333" s="408">
        <v>-3.2639999999999998</v>
      </c>
      <c r="R333" s="408"/>
      <c r="S333" s="408">
        <v>710.91</v>
      </c>
      <c r="T333" s="408">
        <v>256.55</v>
      </c>
      <c r="U333" s="408"/>
      <c r="V333" s="408">
        <v>-3157.7894399999996</v>
      </c>
      <c r="W333" s="408">
        <v>-3157.7894399999996</v>
      </c>
      <c r="X333" s="408">
        <v>-2155.6435200000001</v>
      </c>
      <c r="Y333" s="408">
        <v>0</v>
      </c>
      <c r="Z333" s="408">
        <v>-200.65336008295645</v>
      </c>
      <c r="AA333" s="408">
        <v>0</v>
      </c>
      <c r="AB333" s="408">
        <v>0</v>
      </c>
      <c r="AC333" s="408">
        <v>0</v>
      </c>
      <c r="AD333" s="408">
        <v>-401.74222591820615</v>
      </c>
      <c r="AE333" s="408">
        <v>-1556.6344413408158</v>
      </c>
      <c r="AF333" s="408">
        <v>-837.3874309334177</v>
      </c>
      <c r="AG333" s="408">
        <v>0</v>
      </c>
      <c r="AH333" s="408">
        <v>0</v>
      </c>
      <c r="AI333" s="408">
        <v>0</v>
      </c>
      <c r="AJ333" s="408">
        <v>0</v>
      </c>
      <c r="AK333" s="408">
        <v>0</v>
      </c>
      <c r="AL333" s="408">
        <v>-31.021916897697473</v>
      </c>
      <c r="AM333" s="408"/>
      <c r="AN333" s="408">
        <v>-7.1671063655824412</v>
      </c>
      <c r="AO333" s="408">
        <v>0</v>
      </c>
      <c r="AP333" s="408">
        <v>0</v>
      </c>
      <c r="AQ333" s="408">
        <v>0</v>
      </c>
      <c r="AR333" s="408">
        <v>0</v>
      </c>
      <c r="AS333" s="408">
        <v>0</v>
      </c>
      <c r="AT333" s="408">
        <v>0</v>
      </c>
      <c r="AU333" s="408">
        <v>0</v>
      </c>
      <c r="AV333" s="408">
        <v>0</v>
      </c>
      <c r="AW333" s="408">
        <v>0</v>
      </c>
      <c r="AX333" s="408">
        <v>0</v>
      </c>
      <c r="AY333" s="408">
        <v>0</v>
      </c>
      <c r="AZ333" s="408">
        <v>0</v>
      </c>
      <c r="BA333" s="408"/>
      <c r="BB333" s="408">
        <v>0</v>
      </c>
      <c r="BC333" s="408">
        <v>0</v>
      </c>
      <c r="BD333" s="408">
        <v>-4.8644055574970242</v>
      </c>
      <c r="BE333" s="408">
        <v>0</v>
      </c>
      <c r="BF333" s="408">
        <v>0</v>
      </c>
      <c r="BG333" s="408">
        <v>-118.33110502509473</v>
      </c>
      <c r="BH333" s="408">
        <v>0</v>
      </c>
      <c r="BI333" s="408">
        <v>0</v>
      </c>
      <c r="BJ333" s="408">
        <v>0</v>
      </c>
      <c r="BK333" s="408">
        <v>-890.42</v>
      </c>
      <c r="BL333" s="408">
        <v>0</v>
      </c>
      <c r="BM333" s="408"/>
      <c r="BN333" s="408"/>
      <c r="BO333" s="408"/>
      <c r="BP333" s="408"/>
      <c r="BQ333" s="408"/>
      <c r="BR333" s="408"/>
      <c r="BS333" s="408"/>
      <c r="BT333" s="408"/>
      <c r="BU333" s="408"/>
      <c r="BV333" s="408">
        <v>-960.58294151600944</v>
      </c>
      <c r="BW333" s="408"/>
      <c r="BX333" s="408"/>
      <c r="BY333" s="408"/>
      <c r="BZ333" s="408"/>
      <c r="CA333" s="408"/>
      <c r="CB333" s="408"/>
      <c r="CC333" s="408"/>
      <c r="CD333" s="408"/>
      <c r="CE333" s="408"/>
      <c r="CF333" s="408"/>
      <c r="CG333" s="408"/>
      <c r="CH333" s="408"/>
      <c r="CI333" s="408">
        <v>-2153.0018</v>
      </c>
      <c r="CJ333" s="408">
        <v>1004.7576399999989</v>
      </c>
      <c r="CK333" s="408"/>
      <c r="CL333" s="408"/>
      <c r="CM333" s="408"/>
      <c r="CN333" s="408"/>
      <c r="CO333" s="408">
        <v>1054.33728</v>
      </c>
      <c r="CP333" s="408">
        <v>-52.191360000000024</v>
      </c>
      <c r="CQ333" s="408">
        <v>30</v>
      </c>
      <c r="CR333" s="408">
        <v>-43.389285955430523</v>
      </c>
      <c r="CS333" s="408">
        <v>0</v>
      </c>
      <c r="CT333" s="408">
        <v>0</v>
      </c>
      <c r="CU333" s="408">
        <v>0</v>
      </c>
      <c r="CV333" s="408">
        <v>0</v>
      </c>
      <c r="CW333" s="408">
        <v>0</v>
      </c>
      <c r="CX333" s="408">
        <v>0</v>
      </c>
      <c r="CY333" s="408">
        <v>0</v>
      </c>
      <c r="CZ333" s="408">
        <v>1.8159001288310037</v>
      </c>
      <c r="DA333" s="408">
        <v>0</v>
      </c>
      <c r="DB333" s="408">
        <v>0</v>
      </c>
      <c r="DC333" s="408">
        <v>-52.167955047346936</v>
      </c>
      <c r="DD333" s="408">
        <v>0</v>
      </c>
      <c r="DE333" s="408">
        <v>0</v>
      </c>
      <c r="DF333" s="408">
        <v>-0.30304501964246811</v>
      </c>
      <c r="DG333" s="408">
        <v>-7.3718466979747319</v>
      </c>
      <c r="DH333" s="408">
        <v>0</v>
      </c>
      <c r="DI333" s="408">
        <v>12.477399152346209</v>
      </c>
      <c r="DJ333" s="408"/>
      <c r="DK333" s="408">
        <v>0</v>
      </c>
      <c r="DL333" s="408">
        <v>0</v>
      </c>
      <c r="DM333" s="408">
        <v>0</v>
      </c>
      <c r="DN333" s="408">
        <v>0</v>
      </c>
      <c r="DO333" s="408">
        <v>1.7022560542360239</v>
      </c>
      <c r="DP333" s="408">
        <v>0.45800547412023374</v>
      </c>
      <c r="DQ333" s="408">
        <v>0</v>
      </c>
      <c r="DR333" s="408">
        <v>0</v>
      </c>
      <c r="DS333" s="408"/>
      <c r="DT333" s="408"/>
      <c r="DU333" s="408"/>
      <c r="DV333" s="408">
        <v>-1556.6344413408158</v>
      </c>
      <c r="DW333" s="408">
        <v>0</v>
      </c>
      <c r="DX333" s="408">
        <v>0</v>
      </c>
      <c r="DY333" s="408">
        <v>1054.3372799999997</v>
      </c>
      <c r="DZ333" s="408">
        <v>-52.191360000000032</v>
      </c>
      <c r="EA333" s="408">
        <v>0</v>
      </c>
      <c r="EB333" s="408">
        <v>0</v>
      </c>
      <c r="EC333" s="408">
        <v>1045.5519223731005</v>
      </c>
      <c r="ED333" s="408">
        <v>0</v>
      </c>
      <c r="EE333" s="408">
        <v>0</v>
      </c>
      <c r="EF333" s="408">
        <v>0</v>
      </c>
      <c r="EG333" s="408">
        <v>0</v>
      </c>
      <c r="EH333" s="408">
        <v>0</v>
      </c>
      <c r="EI333" s="408">
        <v>0</v>
      </c>
      <c r="EJ333" s="408">
        <v>0</v>
      </c>
      <c r="EK333" s="408">
        <v>0</v>
      </c>
      <c r="EL333" s="408">
        <v>0</v>
      </c>
      <c r="EM333" s="408">
        <v>0</v>
      </c>
      <c r="EN333" s="408">
        <v>0</v>
      </c>
      <c r="EO333" s="408">
        <v>0</v>
      </c>
      <c r="EP333" s="408">
        <v>0</v>
      </c>
      <c r="EQ333" s="408">
        <v>0</v>
      </c>
      <c r="ER333" s="408">
        <v>0</v>
      </c>
      <c r="ES333" s="408">
        <v>0</v>
      </c>
      <c r="ET333" s="408">
        <v>0</v>
      </c>
      <c r="EU333" s="408">
        <v>0</v>
      </c>
      <c r="EV333" s="408">
        <v>257</v>
      </c>
      <c r="EW333" s="408">
        <v>0</v>
      </c>
      <c r="EX333" s="408">
        <v>0</v>
      </c>
      <c r="EY333" s="408">
        <v>0</v>
      </c>
      <c r="EZ333" s="408"/>
      <c r="FA333" s="408">
        <v>0</v>
      </c>
      <c r="FB333" s="408"/>
      <c r="FC333" s="408"/>
      <c r="FD333" s="408"/>
      <c r="FE333" s="408"/>
      <c r="FF333" s="408">
        <v>0</v>
      </c>
      <c r="FG333" s="408">
        <v>0</v>
      </c>
      <c r="FH333" s="408">
        <v>0</v>
      </c>
      <c r="FI333" s="408">
        <v>0</v>
      </c>
    </row>
    <row r="334" spans="1:165">
      <c r="A334" s="408">
        <v>332</v>
      </c>
      <c r="B334" s="408" t="s">
        <v>2236</v>
      </c>
      <c r="C334" s="408" t="s">
        <v>2233</v>
      </c>
      <c r="D334" s="408" t="s">
        <v>1955</v>
      </c>
      <c r="E334" s="408" t="s">
        <v>968</v>
      </c>
      <c r="F334" s="408" t="s">
        <v>968</v>
      </c>
      <c r="G334" s="408" t="s">
        <v>1321</v>
      </c>
      <c r="H334" s="408" t="s">
        <v>1321</v>
      </c>
      <c r="I334" s="408" t="s">
        <v>1321</v>
      </c>
      <c r="J334" s="408" t="s">
        <v>2234</v>
      </c>
      <c r="K334" s="828">
        <v>44652</v>
      </c>
      <c r="L334" s="408">
        <v>0</v>
      </c>
      <c r="M334" s="408">
        <v>0</v>
      </c>
      <c r="N334" s="408">
        <v>9.9120000000000008</v>
      </c>
      <c r="O334" s="408">
        <v>9.9120000000000008</v>
      </c>
      <c r="P334" s="408">
        <v>9.9120000000000008</v>
      </c>
      <c r="Q334" s="408">
        <v>9.9120000000000008</v>
      </c>
      <c r="R334" s="408"/>
      <c r="S334" s="408">
        <v>710.91</v>
      </c>
      <c r="T334" s="408">
        <v>256.55</v>
      </c>
      <c r="U334" s="408"/>
      <c r="V334" s="408">
        <v>9589.4635200000012</v>
      </c>
      <c r="W334" s="408">
        <v>9589.4635200000012</v>
      </c>
      <c r="X334" s="408">
        <v>6546.1821600000003</v>
      </c>
      <c r="Y334" s="408">
        <v>0</v>
      </c>
      <c r="Z334" s="408">
        <v>609.33704201662522</v>
      </c>
      <c r="AA334" s="408">
        <v>0</v>
      </c>
      <c r="AB334" s="408">
        <v>0</v>
      </c>
      <c r="AC334" s="408">
        <v>0</v>
      </c>
      <c r="AD334" s="408">
        <v>1219.9966125310234</v>
      </c>
      <c r="AE334" s="408">
        <v>4727.1325314246842</v>
      </c>
      <c r="AF334" s="408">
        <v>2542.9485954080997</v>
      </c>
      <c r="AG334" s="408">
        <v>0</v>
      </c>
      <c r="AH334" s="408">
        <v>0</v>
      </c>
      <c r="AI334" s="408">
        <v>0</v>
      </c>
      <c r="AJ334" s="408">
        <v>0</v>
      </c>
      <c r="AK334" s="408">
        <v>0</v>
      </c>
      <c r="AL334" s="408">
        <v>94.206262343743063</v>
      </c>
      <c r="AM334" s="408"/>
      <c r="AN334" s="408">
        <v>21.764815654305504</v>
      </c>
      <c r="AO334" s="408">
        <v>0</v>
      </c>
      <c r="AP334" s="408">
        <v>0</v>
      </c>
      <c r="AQ334" s="408">
        <v>0</v>
      </c>
      <c r="AR334" s="408">
        <v>0</v>
      </c>
      <c r="AS334" s="408">
        <v>0</v>
      </c>
      <c r="AT334" s="408">
        <v>0</v>
      </c>
      <c r="AU334" s="408">
        <v>0</v>
      </c>
      <c r="AV334" s="408">
        <v>0</v>
      </c>
      <c r="AW334" s="408">
        <v>0</v>
      </c>
      <c r="AX334" s="408">
        <v>0</v>
      </c>
      <c r="AY334" s="408">
        <v>0</v>
      </c>
      <c r="AZ334" s="408">
        <v>0</v>
      </c>
      <c r="BA334" s="408"/>
      <c r="BB334" s="408">
        <v>0</v>
      </c>
      <c r="BC334" s="408">
        <v>0</v>
      </c>
      <c r="BD334" s="408">
        <v>14.772055112104935</v>
      </c>
      <c r="BE334" s="408">
        <v>0</v>
      </c>
      <c r="BF334" s="408">
        <v>0</v>
      </c>
      <c r="BG334" s="408">
        <v>359.34372334826566</v>
      </c>
      <c r="BH334" s="408">
        <v>0</v>
      </c>
      <c r="BI334" s="408">
        <v>19.97</v>
      </c>
      <c r="BJ334" s="408">
        <v>93.68</v>
      </c>
      <c r="BK334" s="408">
        <v>5730.51</v>
      </c>
      <c r="BL334" s="408">
        <v>116</v>
      </c>
      <c r="BM334" s="408"/>
      <c r="BN334" s="408"/>
      <c r="BO334" s="408"/>
      <c r="BP334" s="408"/>
      <c r="BQ334" s="408"/>
      <c r="BR334" s="408"/>
      <c r="BS334" s="408"/>
      <c r="BT334" s="408"/>
      <c r="BU334" s="408"/>
      <c r="BV334" s="408">
        <v>2917.0643738684703</v>
      </c>
      <c r="BW334" s="408"/>
      <c r="BX334" s="408"/>
      <c r="BY334" s="408"/>
      <c r="BZ334" s="408"/>
      <c r="CA334" s="408"/>
      <c r="CB334" s="408"/>
      <c r="CC334" s="408"/>
      <c r="CD334" s="408"/>
      <c r="CE334" s="408"/>
      <c r="CF334" s="408"/>
      <c r="CG334" s="408"/>
      <c r="CH334" s="408"/>
      <c r="CI334" s="408">
        <v>6544.8613000000005</v>
      </c>
      <c r="CJ334" s="408">
        <v>-3044.6322200000013</v>
      </c>
      <c r="CK334" s="408"/>
      <c r="CL334" s="408"/>
      <c r="CM334" s="408"/>
      <c r="CN334" s="408"/>
      <c r="CO334" s="408">
        <v>-3201.7742400000002</v>
      </c>
      <c r="CP334" s="408">
        <v>158.4928800000001</v>
      </c>
      <c r="CQ334" s="408">
        <v>30</v>
      </c>
      <c r="CR334" s="408">
        <v>131.76305220288941</v>
      </c>
      <c r="CS334" s="408">
        <v>0</v>
      </c>
      <c r="CT334" s="408">
        <v>0</v>
      </c>
      <c r="CU334" s="408">
        <v>0</v>
      </c>
      <c r="CV334" s="408">
        <v>0</v>
      </c>
      <c r="CW334" s="408">
        <v>0</v>
      </c>
      <c r="CX334" s="408">
        <v>0</v>
      </c>
      <c r="CY334" s="408">
        <v>0</v>
      </c>
      <c r="CZ334" s="408">
        <v>-5.5144614206412825</v>
      </c>
      <c r="DA334" s="408">
        <v>0</v>
      </c>
      <c r="DB334" s="408">
        <v>0</v>
      </c>
      <c r="DC334" s="408">
        <v>158.42180466584068</v>
      </c>
      <c r="DD334" s="408">
        <v>0</v>
      </c>
      <c r="DE334" s="408">
        <v>0</v>
      </c>
      <c r="DF334" s="408">
        <v>0.92027641994367215</v>
      </c>
      <c r="DG334" s="408">
        <v>22.386563869585018</v>
      </c>
      <c r="DH334" s="408">
        <v>0</v>
      </c>
      <c r="DI334" s="408">
        <v>-37.890925367051409</v>
      </c>
      <c r="DJ334" s="408"/>
      <c r="DK334" s="408">
        <v>0</v>
      </c>
      <c r="DL334" s="408">
        <v>0</v>
      </c>
      <c r="DM334" s="408">
        <v>0</v>
      </c>
      <c r="DN334" s="408">
        <v>0</v>
      </c>
      <c r="DO334" s="408">
        <v>-5.1693511058785049</v>
      </c>
      <c r="DP334" s="408">
        <v>-1.3908548589092398</v>
      </c>
      <c r="DQ334" s="408">
        <v>0</v>
      </c>
      <c r="DR334" s="408">
        <v>0</v>
      </c>
      <c r="DS334" s="408"/>
      <c r="DT334" s="408"/>
      <c r="DU334" s="408"/>
      <c r="DV334" s="408">
        <v>4727.1325314246842</v>
      </c>
      <c r="DW334" s="408">
        <v>0</v>
      </c>
      <c r="DX334" s="408">
        <v>0</v>
      </c>
      <c r="DY334" s="408">
        <v>-3201.7742400000002</v>
      </c>
      <c r="DZ334" s="408">
        <v>158.49287999999979</v>
      </c>
      <c r="EA334" s="408">
        <v>0</v>
      </c>
      <c r="EB334" s="408">
        <v>0</v>
      </c>
      <c r="EC334" s="408">
        <v>-3175.0951760300782</v>
      </c>
      <c r="ED334" s="408">
        <v>0</v>
      </c>
      <c r="EE334" s="408">
        <v>0</v>
      </c>
      <c r="EF334" s="408">
        <v>0</v>
      </c>
      <c r="EG334" s="408">
        <v>0</v>
      </c>
      <c r="EH334" s="408">
        <v>0</v>
      </c>
      <c r="EI334" s="408">
        <v>0</v>
      </c>
      <c r="EJ334" s="408">
        <v>0</v>
      </c>
      <c r="EK334" s="408">
        <v>0</v>
      </c>
      <c r="EL334" s="408">
        <v>0</v>
      </c>
      <c r="EM334" s="408">
        <v>0</v>
      </c>
      <c r="EN334" s="408">
        <v>0</v>
      </c>
      <c r="EO334" s="408">
        <v>0</v>
      </c>
      <c r="EP334" s="408">
        <v>0</v>
      </c>
      <c r="EQ334" s="408">
        <v>0</v>
      </c>
      <c r="ER334" s="408">
        <v>0</v>
      </c>
      <c r="ES334" s="408">
        <v>0</v>
      </c>
      <c r="ET334" s="408">
        <v>0</v>
      </c>
      <c r="EU334" s="408">
        <v>0</v>
      </c>
      <c r="EV334" s="408">
        <v>257</v>
      </c>
      <c r="EW334" s="408">
        <v>0</v>
      </c>
      <c r="EX334" s="408">
        <v>0</v>
      </c>
      <c r="EY334" s="408">
        <v>0</v>
      </c>
      <c r="EZ334" s="408"/>
      <c r="FA334" s="408">
        <v>0</v>
      </c>
      <c r="FB334" s="408"/>
      <c r="FC334" s="408"/>
      <c r="FD334" s="408"/>
      <c r="FE334" s="408"/>
      <c r="FF334" s="408">
        <v>0</v>
      </c>
      <c r="FG334" s="408">
        <v>0</v>
      </c>
      <c r="FH334" s="408">
        <v>0</v>
      </c>
      <c r="FI334" s="408">
        <v>0</v>
      </c>
    </row>
    <row r="335" spans="1:165">
      <c r="A335" s="408">
        <v>333</v>
      </c>
      <c r="B335" s="408" t="s">
        <v>1035</v>
      </c>
      <c r="C335" s="408" t="s">
        <v>2233</v>
      </c>
      <c r="D335" s="408" t="s">
        <v>1955</v>
      </c>
      <c r="E335" s="408" t="s">
        <v>968</v>
      </c>
      <c r="F335" s="408" t="s">
        <v>2237</v>
      </c>
      <c r="G335" s="408" t="s">
        <v>1321</v>
      </c>
      <c r="H335" s="408" t="s">
        <v>1321</v>
      </c>
      <c r="I335" s="408" t="s">
        <v>1321</v>
      </c>
      <c r="J335" s="408" t="s">
        <v>2234</v>
      </c>
      <c r="K335" s="828">
        <v>44652</v>
      </c>
      <c r="L335" s="408">
        <v>0</v>
      </c>
      <c r="M335" s="408">
        <v>0</v>
      </c>
      <c r="N335" s="408">
        <v>5.64</v>
      </c>
      <c r="O335" s="408">
        <v>5.64</v>
      </c>
      <c r="P335" s="408">
        <v>5.64</v>
      </c>
      <c r="Q335" s="408">
        <v>5.64</v>
      </c>
      <c r="R335" s="408"/>
      <c r="S335" s="408">
        <v>639.92999999999995</v>
      </c>
      <c r="T335" s="408">
        <v>256.55</v>
      </c>
      <c r="U335" s="408"/>
      <c r="V335" s="408">
        <v>5056.1471999999994</v>
      </c>
      <c r="W335" s="408">
        <v>5056.1471999999994</v>
      </c>
      <c r="X335" s="408">
        <v>3349.0320000000002</v>
      </c>
      <c r="Y335" s="408">
        <v>0</v>
      </c>
      <c r="Z335" s="408">
        <v>0</v>
      </c>
      <c r="AA335" s="408">
        <v>0</v>
      </c>
      <c r="AB335" s="408">
        <v>0</v>
      </c>
      <c r="AC335" s="408">
        <v>0</v>
      </c>
      <c r="AD335" s="408">
        <v>694.18693449101806</v>
      </c>
      <c r="AE335" s="408">
        <v>2689.7727479050864</v>
      </c>
      <c r="AF335" s="408">
        <v>1446.9562225687732</v>
      </c>
      <c r="AG335" s="408">
        <v>0</v>
      </c>
      <c r="AH335" s="408">
        <v>0</v>
      </c>
      <c r="AI335" s="408">
        <v>0</v>
      </c>
      <c r="AJ335" s="408">
        <v>0</v>
      </c>
      <c r="AK335" s="408">
        <v>0</v>
      </c>
      <c r="AL335" s="408">
        <v>0</v>
      </c>
      <c r="AM335" s="408"/>
      <c r="AN335" s="408">
        <v>12.384338205234366</v>
      </c>
      <c r="AO335" s="408">
        <v>0</v>
      </c>
      <c r="AP335" s="408">
        <v>0</v>
      </c>
      <c r="AQ335" s="408">
        <v>0</v>
      </c>
      <c r="AR335" s="408">
        <v>0</v>
      </c>
      <c r="AS335" s="408">
        <v>0</v>
      </c>
      <c r="AT335" s="408">
        <v>0</v>
      </c>
      <c r="AU335" s="408">
        <v>0</v>
      </c>
      <c r="AV335" s="408">
        <v>0</v>
      </c>
      <c r="AW335" s="408">
        <v>0</v>
      </c>
      <c r="AX335" s="408">
        <v>0</v>
      </c>
      <c r="AY335" s="408">
        <v>0</v>
      </c>
      <c r="AZ335" s="408">
        <v>0</v>
      </c>
      <c r="BA335" s="408"/>
      <c r="BB335" s="408">
        <v>0</v>
      </c>
      <c r="BC335" s="408">
        <v>0</v>
      </c>
      <c r="BD335" s="408">
        <v>8.405406661851476</v>
      </c>
      <c r="BE335" s="408">
        <v>0</v>
      </c>
      <c r="BF335" s="408">
        <v>0</v>
      </c>
      <c r="BG335" s="408">
        <v>204.46918883012691</v>
      </c>
      <c r="BH335" s="408">
        <v>0</v>
      </c>
      <c r="BI335" s="408">
        <v>1.88</v>
      </c>
      <c r="BJ335" s="408">
        <v>13.16</v>
      </c>
      <c r="BK335" s="408">
        <v>372.48</v>
      </c>
      <c r="BL335" s="408">
        <v>6</v>
      </c>
      <c r="BM335" s="408"/>
      <c r="BN335" s="408"/>
      <c r="BO335" s="408"/>
      <c r="BP335" s="408"/>
      <c r="BQ335" s="408"/>
      <c r="BR335" s="408"/>
      <c r="BS335" s="408"/>
      <c r="BT335" s="408">
        <v>2176.8708000000001</v>
      </c>
      <c r="BU335" s="408"/>
      <c r="BV335" s="408">
        <v>1659.8308180607517</v>
      </c>
      <c r="BW335" s="408"/>
      <c r="BX335" s="408"/>
      <c r="BY335" s="408"/>
      <c r="BZ335" s="408"/>
      <c r="CA335" s="408"/>
      <c r="CB335" s="408"/>
      <c r="CC335" s="408"/>
      <c r="CD335" s="408"/>
      <c r="CE335" s="408"/>
      <c r="CF335" s="408"/>
      <c r="CG335" s="408"/>
      <c r="CH335" s="408"/>
      <c r="CI335" s="408">
        <v>1172.1612</v>
      </c>
      <c r="CJ335" s="408">
        <v>-597.5315999999998</v>
      </c>
      <c r="CK335" s="408"/>
      <c r="CL335" s="408"/>
      <c r="CM335" s="408"/>
      <c r="CN335" s="408"/>
      <c r="CO335" s="408">
        <v>-1797.2987999999996</v>
      </c>
      <c r="CP335" s="408">
        <v>90.183600000000041</v>
      </c>
      <c r="CQ335" s="408">
        <v>30</v>
      </c>
      <c r="CR335" s="408">
        <v>99.475743919655088</v>
      </c>
      <c r="CS335" s="408">
        <v>0</v>
      </c>
      <c r="CT335" s="408">
        <v>0</v>
      </c>
      <c r="CU335" s="408">
        <v>0</v>
      </c>
      <c r="CV335" s="408">
        <v>0</v>
      </c>
      <c r="CW335" s="408">
        <v>0</v>
      </c>
      <c r="CX335" s="408">
        <v>0</v>
      </c>
      <c r="CY335" s="408">
        <v>0</v>
      </c>
      <c r="CZ335" s="408">
        <v>-3.1377686049654585</v>
      </c>
      <c r="DA335" s="408">
        <v>0</v>
      </c>
      <c r="DB335" s="408">
        <v>0</v>
      </c>
      <c r="DC335" s="408">
        <v>90.143157618577561</v>
      </c>
      <c r="DD335" s="408">
        <v>0</v>
      </c>
      <c r="DE335" s="408">
        <v>0</v>
      </c>
      <c r="DF335" s="408">
        <v>0.52364396776455813</v>
      </c>
      <c r="DG335" s="408">
        <v>12.738117456059285</v>
      </c>
      <c r="DH335" s="408">
        <v>0</v>
      </c>
      <c r="DI335" s="408">
        <v>0</v>
      </c>
      <c r="DJ335" s="408"/>
      <c r="DK335" s="408">
        <v>0</v>
      </c>
      <c r="DL335" s="408">
        <v>0</v>
      </c>
      <c r="DM335" s="408">
        <v>0</v>
      </c>
      <c r="DN335" s="408">
        <v>0</v>
      </c>
      <c r="DO335" s="408">
        <v>0</v>
      </c>
      <c r="DP335" s="408">
        <v>-0.79140651778128657</v>
      </c>
      <c r="DQ335" s="408">
        <v>0</v>
      </c>
      <c r="DR335" s="408">
        <v>0</v>
      </c>
      <c r="DS335" s="408"/>
      <c r="DT335" s="408"/>
      <c r="DU335" s="408"/>
      <c r="DV335" s="408">
        <v>2689.7727479050864</v>
      </c>
      <c r="DW335" s="408">
        <v>0</v>
      </c>
      <c r="DX335" s="408">
        <v>0</v>
      </c>
      <c r="DY335" s="408">
        <v>-1797.2987999999996</v>
      </c>
      <c r="DZ335" s="408">
        <v>90.183600000000069</v>
      </c>
      <c r="EA335" s="408">
        <v>0</v>
      </c>
      <c r="EB335" s="408">
        <v>0</v>
      </c>
      <c r="EC335" s="408">
        <v>-1806.652218806461</v>
      </c>
      <c r="ED335" s="408">
        <v>0</v>
      </c>
      <c r="EE335" s="408">
        <v>0</v>
      </c>
      <c r="EF335" s="408">
        <v>0</v>
      </c>
      <c r="EG335" s="408">
        <v>0</v>
      </c>
      <c r="EH335" s="408">
        <v>0</v>
      </c>
      <c r="EI335" s="408">
        <v>0</v>
      </c>
      <c r="EJ335" s="408">
        <v>0</v>
      </c>
      <c r="EK335" s="408">
        <v>0</v>
      </c>
      <c r="EL335" s="408">
        <v>0</v>
      </c>
      <c r="EM335" s="408">
        <v>0</v>
      </c>
      <c r="EN335" s="408">
        <v>0</v>
      </c>
      <c r="EO335" s="408">
        <v>0</v>
      </c>
      <c r="EP335" s="408">
        <v>0</v>
      </c>
      <c r="EQ335" s="408">
        <v>0</v>
      </c>
      <c r="ER335" s="408">
        <v>0</v>
      </c>
      <c r="ES335" s="408">
        <v>0</v>
      </c>
      <c r="ET335" s="408">
        <v>0</v>
      </c>
      <c r="EU335" s="408">
        <v>0</v>
      </c>
      <c r="EV335" s="408">
        <v>257</v>
      </c>
      <c r="EW335" s="408">
        <v>0</v>
      </c>
      <c r="EX335" s="408">
        <v>0</v>
      </c>
      <c r="EY335" s="408">
        <v>0</v>
      </c>
      <c r="EZ335" s="408"/>
      <c r="FA335" s="408">
        <v>0</v>
      </c>
      <c r="FB335" s="408"/>
      <c r="FC335" s="408"/>
      <c r="FD335" s="408"/>
      <c r="FE335" s="408"/>
      <c r="FF335" s="408">
        <v>0</v>
      </c>
      <c r="FG335" s="408">
        <v>0</v>
      </c>
      <c r="FH335" s="408">
        <v>0</v>
      </c>
      <c r="FI335" s="408">
        <v>0</v>
      </c>
    </row>
    <row r="336" spans="1:165">
      <c r="A336" s="408">
        <v>334</v>
      </c>
      <c r="B336" s="408" t="s">
        <v>1035</v>
      </c>
      <c r="C336" s="408" t="s">
        <v>2233</v>
      </c>
      <c r="D336" s="408" t="s">
        <v>1955</v>
      </c>
      <c r="E336" s="408" t="s">
        <v>968</v>
      </c>
      <c r="F336" s="408" t="s">
        <v>2238</v>
      </c>
      <c r="G336" s="408" t="s">
        <v>1321</v>
      </c>
      <c r="H336" s="408" t="s">
        <v>1321</v>
      </c>
      <c r="I336" s="408" t="s">
        <v>1321</v>
      </c>
      <c r="J336" s="408" t="s">
        <v>2234</v>
      </c>
      <c r="K336" s="828">
        <v>44652</v>
      </c>
      <c r="L336" s="408">
        <v>0</v>
      </c>
      <c r="M336" s="408">
        <v>0</v>
      </c>
      <c r="N336" s="408">
        <v>11.077999999999999</v>
      </c>
      <c r="O336" s="408">
        <v>11.077999999999999</v>
      </c>
      <c r="P336" s="408">
        <v>11.077999999999999</v>
      </c>
      <c r="Q336" s="408">
        <v>11.077999999999999</v>
      </c>
      <c r="R336" s="408"/>
      <c r="S336" s="408">
        <v>639.92999999999995</v>
      </c>
      <c r="T336" s="408">
        <v>256.55</v>
      </c>
      <c r="U336" s="408"/>
      <c r="V336" s="408">
        <v>9931.2054399999997</v>
      </c>
      <c r="W336" s="408">
        <v>9931.2054399999997</v>
      </c>
      <c r="X336" s="408">
        <v>6578.1163999999999</v>
      </c>
      <c r="Y336" s="408">
        <v>0</v>
      </c>
      <c r="Z336" s="408">
        <v>0</v>
      </c>
      <c r="AA336" s="408">
        <v>0</v>
      </c>
      <c r="AB336" s="408">
        <v>0</v>
      </c>
      <c r="AC336" s="408">
        <v>0</v>
      </c>
      <c r="AD336" s="408">
        <v>1363.5111454417549</v>
      </c>
      <c r="AE336" s="408">
        <v>5283.2096633497422</v>
      </c>
      <c r="AF336" s="408">
        <v>2842.088835747672</v>
      </c>
      <c r="AG336" s="408">
        <v>0</v>
      </c>
      <c r="AH336" s="408">
        <v>0</v>
      </c>
      <c r="AI336" s="408">
        <v>0</v>
      </c>
      <c r="AJ336" s="408">
        <v>0</v>
      </c>
      <c r="AK336" s="408">
        <v>0</v>
      </c>
      <c r="AL336" s="408">
        <v>0</v>
      </c>
      <c r="AM336" s="408"/>
      <c r="AN336" s="408">
        <v>24.325123871912464</v>
      </c>
      <c r="AO336" s="408">
        <v>0</v>
      </c>
      <c r="AP336" s="408">
        <v>0</v>
      </c>
      <c r="AQ336" s="408">
        <v>0</v>
      </c>
      <c r="AR336" s="408">
        <v>0</v>
      </c>
      <c r="AS336" s="408">
        <v>0</v>
      </c>
      <c r="AT336" s="408">
        <v>0</v>
      </c>
      <c r="AU336" s="408">
        <v>0</v>
      </c>
      <c r="AV336" s="408">
        <v>0</v>
      </c>
      <c r="AW336" s="408">
        <v>0</v>
      </c>
      <c r="AX336" s="408">
        <v>0</v>
      </c>
      <c r="AY336" s="408">
        <v>0</v>
      </c>
      <c r="AZ336" s="408">
        <v>0</v>
      </c>
      <c r="BA336" s="408"/>
      <c r="BB336" s="408">
        <v>0</v>
      </c>
      <c r="BC336" s="408">
        <v>0</v>
      </c>
      <c r="BD336" s="408">
        <v>16.509768617019617</v>
      </c>
      <c r="BE336" s="408">
        <v>0</v>
      </c>
      <c r="BF336" s="408">
        <v>0</v>
      </c>
      <c r="BG336" s="408">
        <v>401.61519040073512</v>
      </c>
      <c r="BH336" s="408">
        <v>0</v>
      </c>
      <c r="BI336" s="408">
        <v>9.68</v>
      </c>
      <c r="BJ336" s="408">
        <v>47.52</v>
      </c>
      <c r="BK336" s="408">
        <v>1326.77</v>
      </c>
      <c r="BL336" s="408">
        <v>61</v>
      </c>
      <c r="BM336" s="408"/>
      <c r="BN336" s="408"/>
      <c r="BO336" s="408"/>
      <c r="BP336" s="408"/>
      <c r="BQ336" s="408"/>
      <c r="BR336" s="408"/>
      <c r="BS336" s="408"/>
      <c r="BT336" s="408">
        <v>2631.24656</v>
      </c>
      <c r="BU336" s="408"/>
      <c r="BV336" s="408">
        <v>3260.2137947654269</v>
      </c>
      <c r="BW336" s="408"/>
      <c r="BX336" s="408"/>
      <c r="BY336" s="408"/>
      <c r="BZ336" s="408"/>
      <c r="CA336" s="408"/>
      <c r="CB336" s="408"/>
      <c r="CC336" s="408"/>
      <c r="CD336" s="408"/>
      <c r="CE336" s="408"/>
      <c r="CF336" s="408"/>
      <c r="CG336" s="408"/>
      <c r="CH336" s="408"/>
      <c r="CI336" s="408">
        <v>3947.5824000000002</v>
      </c>
      <c r="CJ336" s="408">
        <v>-2011.1930199999997</v>
      </c>
      <c r="CK336" s="408"/>
      <c r="CL336" s="408"/>
      <c r="CM336" s="408"/>
      <c r="CN336" s="408"/>
      <c r="CO336" s="408">
        <v>-3530.2262599999995</v>
      </c>
      <c r="CP336" s="408">
        <v>177.1372200000001</v>
      </c>
      <c r="CQ336" s="408">
        <v>30</v>
      </c>
      <c r="CR336" s="408">
        <v>195.38870410318032</v>
      </c>
      <c r="CS336" s="408">
        <v>0</v>
      </c>
      <c r="CT336" s="408">
        <v>0</v>
      </c>
      <c r="CU336" s="408">
        <v>0</v>
      </c>
      <c r="CV336" s="408">
        <v>0</v>
      </c>
      <c r="CW336" s="408">
        <v>0</v>
      </c>
      <c r="CX336" s="408">
        <v>0</v>
      </c>
      <c r="CY336" s="408">
        <v>0</v>
      </c>
      <c r="CZ336" s="408">
        <v>-6.1631561357812643</v>
      </c>
      <c r="DA336" s="408">
        <v>0</v>
      </c>
      <c r="DB336" s="408">
        <v>0</v>
      </c>
      <c r="DC336" s="408">
        <v>177.05778370542566</v>
      </c>
      <c r="DD336" s="408">
        <v>0</v>
      </c>
      <c r="DE336" s="408">
        <v>0</v>
      </c>
      <c r="DF336" s="408">
        <v>1.0285333111517367</v>
      </c>
      <c r="DG336" s="408">
        <v>25.020011556422844</v>
      </c>
      <c r="DH336" s="408">
        <v>0</v>
      </c>
      <c r="DI336" s="408">
        <v>0</v>
      </c>
      <c r="DJ336" s="408"/>
      <c r="DK336" s="408">
        <v>0</v>
      </c>
      <c r="DL336" s="408">
        <v>0</v>
      </c>
      <c r="DM336" s="408">
        <v>0</v>
      </c>
      <c r="DN336" s="408">
        <v>0</v>
      </c>
      <c r="DO336" s="408">
        <v>0</v>
      </c>
      <c r="DP336" s="408">
        <v>-1.5544683340391998</v>
      </c>
      <c r="DQ336" s="408">
        <v>0</v>
      </c>
      <c r="DR336" s="408">
        <v>0</v>
      </c>
      <c r="DS336" s="408"/>
      <c r="DT336" s="408"/>
      <c r="DU336" s="408"/>
      <c r="DV336" s="408">
        <v>5283.2096633497422</v>
      </c>
      <c r="DW336" s="408">
        <v>0</v>
      </c>
      <c r="DX336" s="408">
        <v>0</v>
      </c>
      <c r="DY336" s="408">
        <v>-3530.2262599999995</v>
      </c>
      <c r="DZ336" s="408">
        <v>177.13722000000007</v>
      </c>
      <c r="EA336" s="408">
        <v>0</v>
      </c>
      <c r="EB336" s="408">
        <v>0</v>
      </c>
      <c r="EC336" s="408">
        <v>-3548.5980992797822</v>
      </c>
      <c r="ED336" s="408">
        <v>0</v>
      </c>
      <c r="EE336" s="408">
        <v>0</v>
      </c>
      <c r="EF336" s="408">
        <v>0</v>
      </c>
      <c r="EG336" s="408">
        <v>0</v>
      </c>
      <c r="EH336" s="408">
        <v>0</v>
      </c>
      <c r="EI336" s="408">
        <v>0</v>
      </c>
      <c r="EJ336" s="408">
        <v>0</v>
      </c>
      <c r="EK336" s="408">
        <v>0</v>
      </c>
      <c r="EL336" s="408">
        <v>0</v>
      </c>
      <c r="EM336" s="408">
        <v>0</v>
      </c>
      <c r="EN336" s="408">
        <v>0</v>
      </c>
      <c r="EO336" s="408">
        <v>0</v>
      </c>
      <c r="EP336" s="408">
        <v>0</v>
      </c>
      <c r="EQ336" s="408">
        <v>0</v>
      </c>
      <c r="ER336" s="408">
        <v>0</v>
      </c>
      <c r="ES336" s="408">
        <v>0</v>
      </c>
      <c r="ET336" s="408">
        <v>0</v>
      </c>
      <c r="EU336" s="408">
        <v>0</v>
      </c>
      <c r="EV336" s="408">
        <v>257</v>
      </c>
      <c r="EW336" s="408">
        <v>0</v>
      </c>
      <c r="EX336" s="408">
        <v>0</v>
      </c>
      <c r="EY336" s="408">
        <v>0</v>
      </c>
      <c r="EZ336" s="408"/>
      <c r="FA336" s="408">
        <v>0</v>
      </c>
      <c r="FB336" s="408"/>
      <c r="FC336" s="408"/>
      <c r="FD336" s="408"/>
      <c r="FE336" s="408"/>
      <c r="FF336" s="408">
        <v>0</v>
      </c>
      <c r="FG336" s="408">
        <v>0</v>
      </c>
      <c r="FH336" s="408">
        <v>0</v>
      </c>
      <c r="FI336" s="408">
        <v>0</v>
      </c>
    </row>
    <row r="337" spans="1:165">
      <c r="A337" s="408">
        <v>335</v>
      </c>
      <c r="B337" s="408" t="s">
        <v>1035</v>
      </c>
      <c r="C337" s="408" t="s">
        <v>2233</v>
      </c>
      <c r="D337" s="408" t="s">
        <v>1955</v>
      </c>
      <c r="E337" s="408" t="s">
        <v>968</v>
      </c>
      <c r="F337" s="408" t="s">
        <v>2239</v>
      </c>
      <c r="G337" s="408" t="s">
        <v>1321</v>
      </c>
      <c r="H337" s="408" t="s">
        <v>1321</v>
      </c>
      <c r="I337" s="408" t="s">
        <v>1321</v>
      </c>
      <c r="J337" s="408" t="s">
        <v>2234</v>
      </c>
      <c r="K337" s="828">
        <v>44652</v>
      </c>
      <c r="L337" s="408">
        <v>0</v>
      </c>
      <c r="M337" s="408">
        <v>0</v>
      </c>
      <c r="N337" s="408">
        <v>7.3739999999999997</v>
      </c>
      <c r="O337" s="408">
        <v>7.3739999999999997</v>
      </c>
      <c r="P337" s="408">
        <v>7.3739999999999997</v>
      </c>
      <c r="Q337" s="408">
        <v>7.3739999999999997</v>
      </c>
      <c r="R337" s="408"/>
      <c r="S337" s="408">
        <v>639.92999999999995</v>
      </c>
      <c r="T337" s="408">
        <v>256.55</v>
      </c>
      <c r="U337" s="408"/>
      <c r="V337" s="408">
        <v>6610.6435199999996</v>
      </c>
      <c r="W337" s="408">
        <v>6610.6435199999996</v>
      </c>
      <c r="X337" s="408">
        <v>4378.6812</v>
      </c>
      <c r="Y337" s="408">
        <v>0</v>
      </c>
      <c r="Z337" s="408">
        <v>0</v>
      </c>
      <c r="AA337" s="408">
        <v>0</v>
      </c>
      <c r="AB337" s="408">
        <v>0</v>
      </c>
      <c r="AC337" s="408">
        <v>0</v>
      </c>
      <c r="AD337" s="408">
        <v>907.61249201006501</v>
      </c>
      <c r="AE337" s="408">
        <v>3516.7347948673946</v>
      </c>
      <c r="AF337" s="408">
        <v>1891.8182952521515</v>
      </c>
      <c r="AG337" s="408">
        <v>0</v>
      </c>
      <c r="AH337" s="408">
        <v>0</v>
      </c>
      <c r="AI337" s="408">
        <v>0</v>
      </c>
      <c r="AJ337" s="408">
        <v>0</v>
      </c>
      <c r="AK337" s="408">
        <v>0</v>
      </c>
      <c r="AL337" s="408">
        <v>0</v>
      </c>
      <c r="AM337" s="408"/>
      <c r="AN337" s="408">
        <v>16.191863461950039</v>
      </c>
      <c r="AO337" s="408">
        <v>0</v>
      </c>
      <c r="AP337" s="408">
        <v>0</v>
      </c>
      <c r="AQ337" s="408">
        <v>0</v>
      </c>
      <c r="AR337" s="408">
        <v>0</v>
      </c>
      <c r="AS337" s="408">
        <v>0</v>
      </c>
      <c r="AT337" s="408">
        <v>0</v>
      </c>
      <c r="AU337" s="408">
        <v>0</v>
      </c>
      <c r="AV337" s="408">
        <v>0</v>
      </c>
      <c r="AW337" s="408">
        <v>0</v>
      </c>
      <c r="AX337" s="408">
        <v>0</v>
      </c>
      <c r="AY337" s="408">
        <v>0</v>
      </c>
      <c r="AZ337" s="408">
        <v>0</v>
      </c>
      <c r="BA337" s="408"/>
      <c r="BB337" s="408">
        <v>0</v>
      </c>
      <c r="BC337" s="408">
        <v>0</v>
      </c>
      <c r="BD337" s="408">
        <v>10.98962211427177</v>
      </c>
      <c r="BE337" s="408">
        <v>0</v>
      </c>
      <c r="BF337" s="408">
        <v>0</v>
      </c>
      <c r="BG337" s="408">
        <v>267.33258837470851</v>
      </c>
      <c r="BH337" s="408">
        <v>0</v>
      </c>
      <c r="BI337" s="408">
        <v>10.35</v>
      </c>
      <c r="BJ337" s="408">
        <v>46.5</v>
      </c>
      <c r="BK337" s="408">
        <v>1331.98</v>
      </c>
      <c r="BL337" s="408">
        <v>97</v>
      </c>
      <c r="BM337" s="408"/>
      <c r="BN337" s="408"/>
      <c r="BO337" s="408"/>
      <c r="BP337" s="408"/>
      <c r="BQ337" s="408"/>
      <c r="BR337" s="408"/>
      <c r="BS337" s="408"/>
      <c r="BT337" s="408">
        <v>437.94186000000008</v>
      </c>
      <c r="BU337" s="408"/>
      <c r="BV337" s="408">
        <v>2170.1405057411316</v>
      </c>
      <c r="BW337" s="408"/>
      <c r="BX337" s="408"/>
      <c r="BY337" s="408"/>
      <c r="BZ337" s="408"/>
      <c r="CA337" s="408"/>
      <c r="CB337" s="408"/>
      <c r="CC337" s="408"/>
      <c r="CD337" s="408"/>
      <c r="CE337" s="408"/>
      <c r="CF337" s="408"/>
      <c r="CG337" s="408"/>
      <c r="CH337" s="408"/>
      <c r="CI337" s="408">
        <v>3938.6017000000002</v>
      </c>
      <c r="CJ337" s="408">
        <v>-2011.0664600000009</v>
      </c>
      <c r="CK337" s="408"/>
      <c r="CL337" s="408"/>
      <c r="CM337" s="408"/>
      <c r="CN337" s="408"/>
      <c r="CO337" s="408">
        <v>-2349.8725799999997</v>
      </c>
      <c r="CP337" s="408">
        <v>117.91026000000006</v>
      </c>
      <c r="CQ337" s="408">
        <v>30</v>
      </c>
      <c r="CR337" s="408">
        <v>130.05924391197368</v>
      </c>
      <c r="CS337" s="408">
        <v>0</v>
      </c>
      <c r="CT337" s="408">
        <v>0</v>
      </c>
      <c r="CU337" s="408">
        <v>0</v>
      </c>
      <c r="CV337" s="408">
        <v>0</v>
      </c>
      <c r="CW337" s="408">
        <v>0</v>
      </c>
      <c r="CX337" s="408">
        <v>0</v>
      </c>
      <c r="CY337" s="408">
        <v>0</v>
      </c>
      <c r="CZ337" s="408">
        <v>-4.1024655484068262</v>
      </c>
      <c r="DA337" s="408">
        <v>0</v>
      </c>
      <c r="DB337" s="408">
        <v>0</v>
      </c>
      <c r="DC337" s="408">
        <v>117.8573837374804</v>
      </c>
      <c r="DD337" s="408">
        <v>0</v>
      </c>
      <c r="DE337" s="408">
        <v>0</v>
      </c>
      <c r="DF337" s="408">
        <v>0.68463663444961931</v>
      </c>
      <c r="DG337" s="408">
        <v>16.654411014358345</v>
      </c>
      <c r="DH337" s="408">
        <v>0</v>
      </c>
      <c r="DI337" s="408">
        <v>0</v>
      </c>
      <c r="DJ337" s="408"/>
      <c r="DK337" s="408">
        <v>0</v>
      </c>
      <c r="DL337" s="408">
        <v>0</v>
      </c>
      <c r="DM337" s="408">
        <v>0</v>
      </c>
      <c r="DN337" s="408">
        <v>0</v>
      </c>
      <c r="DO337" s="408">
        <v>0</v>
      </c>
      <c r="DP337" s="408">
        <v>-1.0347219259076628</v>
      </c>
      <c r="DQ337" s="408">
        <v>0</v>
      </c>
      <c r="DR337" s="408">
        <v>0</v>
      </c>
      <c r="DS337" s="408"/>
      <c r="DT337" s="408"/>
      <c r="DU337" s="408"/>
      <c r="DV337" s="408">
        <v>3516.7347948673946</v>
      </c>
      <c r="DW337" s="408">
        <v>0</v>
      </c>
      <c r="DX337" s="408">
        <v>0</v>
      </c>
      <c r="DY337" s="408">
        <v>-2349.8725799999993</v>
      </c>
      <c r="DZ337" s="408">
        <v>117.91026000000011</v>
      </c>
      <c r="EA337" s="408">
        <v>0</v>
      </c>
      <c r="EB337" s="408">
        <v>0</v>
      </c>
      <c r="EC337" s="408">
        <v>-2362.1016775671706</v>
      </c>
      <c r="ED337" s="408">
        <v>0</v>
      </c>
      <c r="EE337" s="408">
        <v>0</v>
      </c>
      <c r="EF337" s="408">
        <v>0</v>
      </c>
      <c r="EG337" s="408">
        <v>0</v>
      </c>
      <c r="EH337" s="408">
        <v>0</v>
      </c>
      <c r="EI337" s="408">
        <v>0</v>
      </c>
      <c r="EJ337" s="408">
        <v>0</v>
      </c>
      <c r="EK337" s="408">
        <v>0</v>
      </c>
      <c r="EL337" s="408">
        <v>0</v>
      </c>
      <c r="EM337" s="408">
        <v>0</v>
      </c>
      <c r="EN337" s="408">
        <v>0</v>
      </c>
      <c r="EO337" s="408">
        <v>0</v>
      </c>
      <c r="EP337" s="408">
        <v>0</v>
      </c>
      <c r="EQ337" s="408">
        <v>0</v>
      </c>
      <c r="ER337" s="408">
        <v>0</v>
      </c>
      <c r="ES337" s="408">
        <v>0</v>
      </c>
      <c r="ET337" s="408">
        <v>0</v>
      </c>
      <c r="EU337" s="408">
        <v>0</v>
      </c>
      <c r="EV337" s="408">
        <v>257</v>
      </c>
      <c r="EW337" s="408">
        <v>0</v>
      </c>
      <c r="EX337" s="408">
        <v>0</v>
      </c>
      <c r="EY337" s="408">
        <v>0</v>
      </c>
      <c r="EZ337" s="408"/>
      <c r="FA337" s="408">
        <v>0</v>
      </c>
      <c r="FB337" s="408"/>
      <c r="FC337" s="408"/>
      <c r="FD337" s="408"/>
      <c r="FE337" s="408"/>
      <c r="FF337" s="408">
        <v>0</v>
      </c>
      <c r="FG337" s="408">
        <v>0</v>
      </c>
      <c r="FH337" s="408">
        <v>0</v>
      </c>
      <c r="FI337" s="408">
        <v>0</v>
      </c>
    </row>
    <row r="338" spans="1:165">
      <c r="A338" s="408">
        <v>336</v>
      </c>
      <c r="B338" s="408" t="s">
        <v>1035</v>
      </c>
      <c r="C338" s="408" t="s">
        <v>2233</v>
      </c>
      <c r="D338" s="408" t="s">
        <v>1955</v>
      </c>
      <c r="E338" s="408" t="s">
        <v>968</v>
      </c>
      <c r="F338" s="408" t="s">
        <v>2240</v>
      </c>
      <c r="G338" s="408" t="s">
        <v>1321</v>
      </c>
      <c r="H338" s="408" t="s">
        <v>1321</v>
      </c>
      <c r="I338" s="408" t="s">
        <v>1321</v>
      </c>
      <c r="J338" s="408" t="s">
        <v>2234</v>
      </c>
      <c r="K338" s="828">
        <v>44652</v>
      </c>
      <c r="L338" s="408">
        <v>0</v>
      </c>
      <c r="M338" s="408">
        <v>0</v>
      </c>
      <c r="N338" s="408">
        <v>1.337</v>
      </c>
      <c r="O338" s="408">
        <v>1.337</v>
      </c>
      <c r="P338" s="408">
        <v>1.337</v>
      </c>
      <c r="Q338" s="408">
        <v>1.337</v>
      </c>
      <c r="R338" s="408"/>
      <c r="S338" s="408">
        <v>639.92999999999995</v>
      </c>
      <c r="T338" s="408">
        <v>256.55</v>
      </c>
      <c r="U338" s="408"/>
      <c r="V338" s="408">
        <v>1198.59376</v>
      </c>
      <c r="W338" s="408">
        <v>1198.59376</v>
      </c>
      <c r="X338" s="408">
        <v>793.91059999999993</v>
      </c>
      <c r="Y338" s="408">
        <v>0</v>
      </c>
      <c r="Z338" s="408">
        <v>0</v>
      </c>
      <c r="AA338" s="408">
        <v>0</v>
      </c>
      <c r="AB338" s="408">
        <v>0</v>
      </c>
      <c r="AC338" s="408">
        <v>0</v>
      </c>
      <c r="AD338" s="408">
        <v>164.56168996710835</v>
      </c>
      <c r="AE338" s="408">
        <v>637.62875247324473</v>
      </c>
      <c r="AF338" s="408">
        <v>343.01072155575355</v>
      </c>
      <c r="AG338" s="408">
        <v>0</v>
      </c>
      <c r="AH338" s="408">
        <v>0</v>
      </c>
      <c r="AI338" s="408">
        <v>0</v>
      </c>
      <c r="AJ338" s="408">
        <v>0</v>
      </c>
      <c r="AK338" s="408">
        <v>0</v>
      </c>
      <c r="AL338" s="408">
        <v>0</v>
      </c>
      <c r="AM338" s="408"/>
      <c r="AN338" s="408">
        <v>2.9357908121273666</v>
      </c>
      <c r="AO338" s="408">
        <v>0</v>
      </c>
      <c r="AP338" s="408">
        <v>0</v>
      </c>
      <c r="AQ338" s="408">
        <v>0</v>
      </c>
      <c r="AR338" s="408">
        <v>0</v>
      </c>
      <c r="AS338" s="408">
        <v>0</v>
      </c>
      <c r="AT338" s="408">
        <v>0</v>
      </c>
      <c r="AU338" s="408">
        <v>0</v>
      </c>
      <c r="AV338" s="408">
        <v>0</v>
      </c>
      <c r="AW338" s="408">
        <v>0</v>
      </c>
      <c r="AX338" s="408">
        <v>0</v>
      </c>
      <c r="AY338" s="408">
        <v>0</v>
      </c>
      <c r="AZ338" s="408">
        <v>0</v>
      </c>
      <c r="BA338" s="408"/>
      <c r="BB338" s="408">
        <v>0</v>
      </c>
      <c r="BC338" s="408">
        <v>0</v>
      </c>
      <c r="BD338" s="408">
        <v>1.9925582813644367</v>
      </c>
      <c r="BE338" s="408">
        <v>0</v>
      </c>
      <c r="BF338" s="408">
        <v>0</v>
      </c>
      <c r="BG338" s="408">
        <v>48.470798841468032</v>
      </c>
      <c r="BH338" s="408">
        <v>0</v>
      </c>
      <c r="BI338" s="408">
        <v>2.1800000000000002</v>
      </c>
      <c r="BJ338" s="408">
        <v>9.2899999999999991</v>
      </c>
      <c r="BK338" s="408">
        <v>268.43</v>
      </c>
      <c r="BL338" s="408">
        <v>24</v>
      </c>
      <c r="BM338" s="408"/>
      <c r="BN338" s="408"/>
      <c r="BO338" s="408"/>
      <c r="BP338" s="408"/>
      <c r="BQ338" s="408"/>
      <c r="BR338" s="408"/>
      <c r="BS338" s="408"/>
      <c r="BT338" s="408"/>
      <c r="BU338" s="408"/>
      <c r="BV338" s="408">
        <v>393.47407867858601</v>
      </c>
      <c r="BW338" s="408"/>
      <c r="BX338" s="408"/>
      <c r="BY338" s="408"/>
      <c r="BZ338" s="408"/>
      <c r="CA338" s="408"/>
      <c r="CB338" s="408"/>
      <c r="CC338" s="408"/>
      <c r="CD338" s="408"/>
      <c r="CE338" s="408"/>
      <c r="CF338" s="408"/>
      <c r="CG338" s="408"/>
      <c r="CH338" s="408"/>
      <c r="CI338" s="408">
        <v>795.69200000000001</v>
      </c>
      <c r="CJ338" s="408">
        <v>-402.93175999999994</v>
      </c>
      <c r="CK338" s="408"/>
      <c r="CL338" s="408"/>
      <c r="CM338" s="408"/>
      <c r="CN338" s="408"/>
      <c r="CO338" s="408">
        <v>-426.06178999999992</v>
      </c>
      <c r="CP338" s="408">
        <v>21.378630000000012</v>
      </c>
      <c r="CQ338" s="408">
        <v>30</v>
      </c>
      <c r="CR338" s="408">
        <v>23.581395322797562</v>
      </c>
      <c r="CS338" s="408">
        <v>0</v>
      </c>
      <c r="CT338" s="408">
        <v>0</v>
      </c>
      <c r="CU338" s="408">
        <v>0</v>
      </c>
      <c r="CV338" s="408">
        <v>0</v>
      </c>
      <c r="CW338" s="408">
        <v>0</v>
      </c>
      <c r="CX338" s="408">
        <v>0</v>
      </c>
      <c r="CY338" s="408">
        <v>0</v>
      </c>
      <c r="CZ338" s="408">
        <v>-0.74382918880118609</v>
      </c>
      <c r="DA338" s="408">
        <v>0</v>
      </c>
      <c r="DB338" s="408">
        <v>0</v>
      </c>
      <c r="DC338" s="408">
        <v>21.369042860999627</v>
      </c>
      <c r="DD338" s="408">
        <v>0</v>
      </c>
      <c r="DE338" s="408">
        <v>0</v>
      </c>
      <c r="DF338" s="408">
        <v>0.12413333065624399</v>
      </c>
      <c r="DG338" s="408">
        <v>3.0196565671544775</v>
      </c>
      <c r="DH338" s="408">
        <v>0</v>
      </c>
      <c r="DI338" s="408">
        <v>0</v>
      </c>
      <c r="DJ338" s="408"/>
      <c r="DK338" s="408">
        <v>0</v>
      </c>
      <c r="DL338" s="408">
        <v>0</v>
      </c>
      <c r="DM338" s="408">
        <v>0</v>
      </c>
      <c r="DN338" s="408">
        <v>0</v>
      </c>
      <c r="DO338" s="408">
        <v>0</v>
      </c>
      <c r="DP338" s="408">
        <v>-0.18760824721162761</v>
      </c>
      <c r="DQ338" s="408">
        <v>0</v>
      </c>
      <c r="DR338" s="408">
        <v>0</v>
      </c>
      <c r="DS338" s="408"/>
      <c r="DT338" s="408"/>
      <c r="DU338" s="408"/>
      <c r="DV338" s="408">
        <v>637.62875247324473</v>
      </c>
      <c r="DW338" s="408">
        <v>0</v>
      </c>
      <c r="DX338" s="408">
        <v>0</v>
      </c>
      <c r="DY338" s="408">
        <v>-426.06178999999992</v>
      </c>
      <c r="DZ338" s="408">
        <v>21.378629999999987</v>
      </c>
      <c r="EA338" s="408">
        <v>0</v>
      </c>
      <c r="EB338" s="408">
        <v>0</v>
      </c>
      <c r="EC338" s="408">
        <v>-428.27908094755992</v>
      </c>
      <c r="ED338" s="408">
        <v>0</v>
      </c>
      <c r="EE338" s="408">
        <v>0</v>
      </c>
      <c r="EF338" s="408">
        <v>0</v>
      </c>
      <c r="EG338" s="408">
        <v>0</v>
      </c>
      <c r="EH338" s="408">
        <v>0</v>
      </c>
      <c r="EI338" s="408">
        <v>0</v>
      </c>
      <c r="EJ338" s="408">
        <v>0</v>
      </c>
      <c r="EK338" s="408">
        <v>0</v>
      </c>
      <c r="EL338" s="408">
        <v>0</v>
      </c>
      <c r="EM338" s="408">
        <v>0</v>
      </c>
      <c r="EN338" s="408">
        <v>0</v>
      </c>
      <c r="EO338" s="408">
        <v>0</v>
      </c>
      <c r="EP338" s="408">
        <v>0</v>
      </c>
      <c r="EQ338" s="408">
        <v>0</v>
      </c>
      <c r="ER338" s="408">
        <v>0</v>
      </c>
      <c r="ES338" s="408">
        <v>0</v>
      </c>
      <c r="ET338" s="408">
        <v>0</v>
      </c>
      <c r="EU338" s="408">
        <v>0</v>
      </c>
      <c r="EV338" s="408">
        <v>257</v>
      </c>
      <c r="EW338" s="408">
        <v>0</v>
      </c>
      <c r="EX338" s="408">
        <v>0</v>
      </c>
      <c r="EY338" s="408">
        <v>0</v>
      </c>
      <c r="EZ338" s="408"/>
      <c r="FA338" s="408">
        <v>0</v>
      </c>
      <c r="FB338" s="408"/>
      <c r="FC338" s="408"/>
      <c r="FD338" s="408"/>
      <c r="FE338" s="408"/>
      <c r="FF338" s="408">
        <v>0</v>
      </c>
      <c r="FG338" s="408">
        <v>0</v>
      </c>
      <c r="FH338" s="408">
        <v>0</v>
      </c>
      <c r="FI338" s="408">
        <v>0</v>
      </c>
    </row>
    <row r="339" spans="1:165">
      <c r="A339" s="408">
        <v>337</v>
      </c>
      <c r="B339" s="408" t="s">
        <v>1035</v>
      </c>
      <c r="C339" s="408" t="s">
        <v>2233</v>
      </c>
      <c r="D339" s="408" t="s">
        <v>1958</v>
      </c>
      <c r="E339" s="408" t="s">
        <v>969</v>
      </c>
      <c r="F339" s="408" t="s">
        <v>1321</v>
      </c>
      <c r="G339" s="408" t="s">
        <v>1321</v>
      </c>
      <c r="H339" s="408" t="s">
        <v>1321</v>
      </c>
      <c r="I339" s="408" t="s">
        <v>1321</v>
      </c>
      <c r="J339" s="408" t="s">
        <v>2234</v>
      </c>
      <c r="K339" s="828">
        <v>44652</v>
      </c>
      <c r="L339" s="408">
        <v>0</v>
      </c>
      <c r="M339" s="408">
        <v>0</v>
      </c>
      <c r="N339" s="408">
        <v>60.029000000000003</v>
      </c>
      <c r="O339" s="408">
        <v>60.029000000000003</v>
      </c>
      <c r="P339" s="408">
        <v>60.029000000000003</v>
      </c>
      <c r="Q339" s="408">
        <v>60.029000000000003</v>
      </c>
      <c r="R339" s="408"/>
      <c r="S339" s="408">
        <v>710.91</v>
      </c>
      <c r="T339" s="408">
        <v>256.55</v>
      </c>
      <c r="U339" s="408"/>
      <c r="V339" s="408">
        <v>58075.656340000001</v>
      </c>
      <c r="W339" s="408">
        <v>58075.656340000001</v>
      </c>
      <c r="X339" s="408">
        <v>39644.952470000004</v>
      </c>
      <c r="Y339" s="408">
        <v>0</v>
      </c>
      <c r="Z339" s="408">
        <v>3690.2636496384175</v>
      </c>
      <c r="AA339" s="408">
        <v>0</v>
      </c>
      <c r="AB339" s="408">
        <v>0</v>
      </c>
      <c r="AC339" s="408">
        <v>0</v>
      </c>
      <c r="AD339" s="408">
        <v>7388.536789106618</v>
      </c>
      <c r="AE339" s="408">
        <v>28628.434092906817</v>
      </c>
      <c r="AF339" s="408">
        <v>15400.591327053351</v>
      </c>
      <c r="AG339" s="408">
        <v>0</v>
      </c>
      <c r="AH339" s="408">
        <v>0</v>
      </c>
      <c r="AI339" s="408">
        <v>0</v>
      </c>
      <c r="AJ339" s="408">
        <v>0</v>
      </c>
      <c r="AK339" s="408">
        <v>0</v>
      </c>
      <c r="AL339" s="408">
        <v>570.53144897422851</v>
      </c>
      <c r="AM339" s="408"/>
      <c r="AN339" s="408">
        <v>131.81195711383222</v>
      </c>
      <c r="AO339" s="408">
        <v>0</v>
      </c>
      <c r="AP339" s="408">
        <v>0</v>
      </c>
      <c r="AQ339" s="408">
        <v>0</v>
      </c>
      <c r="AR339" s="408">
        <v>0</v>
      </c>
      <c r="AS339" s="408">
        <v>0</v>
      </c>
      <c r="AT339" s="408">
        <v>0</v>
      </c>
      <c r="AU339" s="408">
        <v>0</v>
      </c>
      <c r="AV339" s="408">
        <v>0</v>
      </c>
      <c r="AW339" s="408">
        <v>0</v>
      </c>
      <c r="AX339" s="408">
        <v>0</v>
      </c>
      <c r="AY339" s="408">
        <v>0</v>
      </c>
      <c r="AZ339" s="408">
        <v>0</v>
      </c>
      <c r="BA339" s="408"/>
      <c r="BB339" s="408">
        <v>0</v>
      </c>
      <c r="BC339" s="408">
        <v>0</v>
      </c>
      <c r="BD339" s="408">
        <v>89.462439096503942</v>
      </c>
      <c r="BE339" s="408">
        <v>0</v>
      </c>
      <c r="BF339" s="408">
        <v>0</v>
      </c>
      <c r="BG339" s="408">
        <v>2176.2554851566829</v>
      </c>
      <c r="BH339" s="408">
        <v>0</v>
      </c>
      <c r="BI339" s="408">
        <v>121.5</v>
      </c>
      <c r="BJ339" s="408">
        <v>564.17999999999995</v>
      </c>
      <c r="BK339" s="408">
        <v>10054.75</v>
      </c>
      <c r="BL339" s="408">
        <v>42</v>
      </c>
      <c r="BM339" s="408"/>
      <c r="BN339" s="408"/>
      <c r="BO339" s="408"/>
      <c r="BP339" s="408"/>
      <c r="BQ339" s="408"/>
      <c r="BR339" s="408"/>
      <c r="BS339" s="408"/>
      <c r="BT339" s="408"/>
      <c r="BU339" s="408"/>
      <c r="BV339" s="408">
        <v>17666.309251306538</v>
      </c>
      <c r="BW339" s="408"/>
      <c r="BX339" s="408"/>
      <c r="BY339" s="408"/>
      <c r="BZ339" s="408"/>
      <c r="CA339" s="408"/>
      <c r="CB339" s="408"/>
      <c r="CC339" s="408"/>
      <c r="CD339" s="408"/>
      <c r="CE339" s="408"/>
      <c r="CF339" s="408"/>
      <c r="CG339" s="408"/>
      <c r="CH339" s="408"/>
      <c r="CI339" s="408">
        <v>39645.6129</v>
      </c>
      <c r="CJ339" s="408">
        <v>-18430.073440000007</v>
      </c>
      <c r="CK339" s="408"/>
      <c r="CL339" s="408"/>
      <c r="CM339" s="408"/>
      <c r="CN339" s="408"/>
      <c r="CO339" s="408">
        <v>-19390.567579999999</v>
      </c>
      <c r="CP339" s="408">
        <v>959.86371000000065</v>
      </c>
      <c r="CQ339" s="408">
        <v>30</v>
      </c>
      <c r="CR339" s="408">
        <v>797.98267359637248</v>
      </c>
      <c r="CS339" s="408">
        <v>0</v>
      </c>
      <c r="CT339" s="408">
        <v>0</v>
      </c>
      <c r="CU339" s="408">
        <v>0</v>
      </c>
      <c r="CV339" s="408">
        <v>0</v>
      </c>
      <c r="CW339" s="408">
        <v>0</v>
      </c>
      <c r="CX339" s="408">
        <v>0</v>
      </c>
      <c r="CY339" s="408">
        <v>0</v>
      </c>
      <c r="CZ339" s="408">
        <v>-33.396650990685885</v>
      </c>
      <c r="DA339" s="408">
        <v>0</v>
      </c>
      <c r="DB339" s="408">
        <v>0</v>
      </c>
      <c r="DC339" s="408">
        <v>959.433263951345</v>
      </c>
      <c r="DD339" s="408">
        <v>0</v>
      </c>
      <c r="DE339" s="408">
        <v>0</v>
      </c>
      <c r="DF339" s="408">
        <v>5.5733730037125468</v>
      </c>
      <c r="DG339" s="408">
        <v>135.57738524286924</v>
      </c>
      <c r="DH339" s="408">
        <v>0</v>
      </c>
      <c r="DI339" s="408">
        <v>-229.47481425128399</v>
      </c>
      <c r="DJ339" s="408"/>
      <c r="DK339" s="408">
        <v>0</v>
      </c>
      <c r="DL339" s="408">
        <v>0</v>
      </c>
      <c r="DM339" s="408">
        <v>0</v>
      </c>
      <c r="DN339" s="408">
        <v>0</v>
      </c>
      <c r="DO339" s="408">
        <v>-31.306595796487272</v>
      </c>
      <c r="DP339" s="408">
        <v>-8.4232875631015531</v>
      </c>
      <c r="DQ339" s="408">
        <v>0</v>
      </c>
      <c r="DR339" s="408">
        <v>0</v>
      </c>
      <c r="DS339" s="408"/>
      <c r="DT339" s="408"/>
      <c r="DU339" s="408"/>
      <c r="DV339" s="408">
        <v>28628.434092906817</v>
      </c>
      <c r="DW339" s="408">
        <v>0</v>
      </c>
      <c r="DX339" s="408">
        <v>0</v>
      </c>
      <c r="DY339" s="408">
        <v>-19390.567580000003</v>
      </c>
      <c r="DZ339" s="408">
        <v>959.86370999999963</v>
      </c>
      <c r="EA339" s="408">
        <v>0</v>
      </c>
      <c r="EB339" s="408">
        <v>0</v>
      </c>
      <c r="EC339" s="408">
        <v>-19228.993979207989</v>
      </c>
      <c r="ED339" s="408">
        <v>0</v>
      </c>
      <c r="EE339" s="408">
        <v>0</v>
      </c>
      <c r="EF339" s="408">
        <v>0</v>
      </c>
      <c r="EG339" s="408">
        <v>0</v>
      </c>
      <c r="EH339" s="408">
        <v>0</v>
      </c>
      <c r="EI339" s="408">
        <v>0</v>
      </c>
      <c r="EJ339" s="408">
        <v>0</v>
      </c>
      <c r="EK339" s="408">
        <v>0</v>
      </c>
      <c r="EL339" s="408">
        <v>0</v>
      </c>
      <c r="EM339" s="408">
        <v>0</v>
      </c>
      <c r="EN339" s="408">
        <v>0</v>
      </c>
      <c r="EO339" s="408">
        <v>0</v>
      </c>
      <c r="EP339" s="408">
        <v>0</v>
      </c>
      <c r="EQ339" s="408">
        <v>0</v>
      </c>
      <c r="ER339" s="408">
        <v>0</v>
      </c>
      <c r="ES339" s="408">
        <v>0</v>
      </c>
      <c r="ET339" s="408">
        <v>0</v>
      </c>
      <c r="EU339" s="408">
        <v>0</v>
      </c>
      <c r="EV339" s="408">
        <v>257</v>
      </c>
      <c r="EW339" s="408">
        <v>0</v>
      </c>
      <c r="EX339" s="408">
        <v>0</v>
      </c>
      <c r="EY339" s="408">
        <v>0</v>
      </c>
      <c r="EZ339" s="408"/>
      <c r="FA339" s="408">
        <v>0</v>
      </c>
      <c r="FB339" s="408"/>
      <c r="FC339" s="408"/>
      <c r="FD339" s="408"/>
      <c r="FE339" s="408"/>
      <c r="FF339" s="408">
        <v>0</v>
      </c>
      <c r="FG339" s="408">
        <v>0</v>
      </c>
      <c r="FH339" s="408">
        <v>0</v>
      </c>
      <c r="FI339" s="408">
        <v>0</v>
      </c>
    </row>
    <row r="340" spans="1:165">
      <c r="A340" s="408">
        <v>338</v>
      </c>
      <c r="B340" s="408" t="s">
        <v>2236</v>
      </c>
      <c r="C340" s="408" t="s">
        <v>2233</v>
      </c>
      <c r="D340" s="408" t="s">
        <v>1958</v>
      </c>
      <c r="E340" s="408" t="s">
        <v>969</v>
      </c>
      <c r="F340" s="408" t="s">
        <v>1321</v>
      </c>
      <c r="G340" s="408" t="s">
        <v>1321</v>
      </c>
      <c r="H340" s="408" t="s">
        <v>1321</v>
      </c>
      <c r="I340" s="408" t="s">
        <v>1321</v>
      </c>
      <c r="J340" s="408" t="s">
        <v>2234</v>
      </c>
      <c r="K340" s="828">
        <v>44652</v>
      </c>
      <c r="L340" s="408">
        <v>0</v>
      </c>
      <c r="M340" s="408">
        <v>0</v>
      </c>
      <c r="N340" s="408">
        <v>5.6539999999999999</v>
      </c>
      <c r="O340" s="408">
        <v>5.6539999999999999</v>
      </c>
      <c r="P340" s="408">
        <v>5.6539999999999999</v>
      </c>
      <c r="Q340" s="408">
        <v>5.6539999999999999</v>
      </c>
      <c r="R340" s="408"/>
      <c r="S340" s="408">
        <v>710.91</v>
      </c>
      <c r="T340" s="408">
        <v>256.55</v>
      </c>
      <c r="U340" s="408"/>
      <c r="V340" s="408">
        <v>5470.0188399999997</v>
      </c>
      <c r="W340" s="408">
        <v>5470.0188399999997</v>
      </c>
      <c r="X340" s="408">
        <v>3734.0712199999998</v>
      </c>
      <c r="Y340" s="408">
        <v>0</v>
      </c>
      <c r="Z340" s="408">
        <v>347.57784862409187</v>
      </c>
      <c r="AA340" s="408">
        <v>0</v>
      </c>
      <c r="AB340" s="408">
        <v>0</v>
      </c>
      <c r="AC340" s="408">
        <v>0</v>
      </c>
      <c r="AD340" s="408">
        <v>695.91009354826519</v>
      </c>
      <c r="AE340" s="408">
        <v>2696.4494887686806</v>
      </c>
      <c r="AF340" s="408">
        <v>1450.5479578730221</v>
      </c>
      <c r="AG340" s="408">
        <v>0</v>
      </c>
      <c r="AH340" s="408">
        <v>0</v>
      </c>
      <c r="AI340" s="408">
        <v>0</v>
      </c>
      <c r="AJ340" s="408">
        <v>0</v>
      </c>
      <c r="AK340" s="408">
        <v>0</v>
      </c>
      <c r="AL340" s="408">
        <v>53.737107273156099</v>
      </c>
      <c r="AM340" s="408"/>
      <c r="AN340" s="408">
        <v>12.415079470282819</v>
      </c>
      <c r="AO340" s="408">
        <v>0</v>
      </c>
      <c r="AP340" s="408">
        <v>0</v>
      </c>
      <c r="AQ340" s="408">
        <v>0</v>
      </c>
      <c r="AR340" s="408">
        <v>0</v>
      </c>
      <c r="AS340" s="408">
        <v>0</v>
      </c>
      <c r="AT340" s="408">
        <v>0</v>
      </c>
      <c r="AU340" s="408">
        <v>0</v>
      </c>
      <c r="AV340" s="408">
        <v>0</v>
      </c>
      <c r="AW340" s="408">
        <v>0</v>
      </c>
      <c r="AX340" s="408">
        <v>0</v>
      </c>
      <c r="AY340" s="408">
        <v>0</v>
      </c>
      <c r="AZ340" s="408">
        <v>0</v>
      </c>
      <c r="BA340" s="408"/>
      <c r="BB340" s="408">
        <v>0</v>
      </c>
      <c r="BC340" s="408">
        <v>0</v>
      </c>
      <c r="BD340" s="408">
        <v>8.4262711464730931</v>
      </c>
      <c r="BE340" s="408">
        <v>0</v>
      </c>
      <c r="BF340" s="408">
        <v>0</v>
      </c>
      <c r="BG340" s="408">
        <v>204.97673646197475</v>
      </c>
      <c r="BH340" s="408">
        <v>0</v>
      </c>
      <c r="BI340" s="408">
        <v>12.79</v>
      </c>
      <c r="BJ340" s="408">
        <v>59.46</v>
      </c>
      <c r="BK340" s="408">
        <v>1783.17</v>
      </c>
      <c r="BL340" s="408">
        <v>6</v>
      </c>
      <c r="BM340" s="408"/>
      <c r="BN340" s="408"/>
      <c r="BO340" s="408"/>
      <c r="BP340" s="408"/>
      <c r="BQ340" s="408"/>
      <c r="BR340" s="408"/>
      <c r="BS340" s="408"/>
      <c r="BT340" s="408"/>
      <c r="BU340" s="408"/>
      <c r="BV340" s="408">
        <v>1663.9509654814699</v>
      </c>
      <c r="BW340" s="408"/>
      <c r="BX340" s="408"/>
      <c r="BY340" s="408"/>
      <c r="BZ340" s="408"/>
      <c r="CA340" s="408"/>
      <c r="CB340" s="408"/>
      <c r="CC340" s="408"/>
      <c r="CD340" s="408"/>
      <c r="CE340" s="408"/>
      <c r="CF340" s="408"/>
      <c r="CG340" s="408"/>
      <c r="CH340" s="408"/>
      <c r="CI340" s="408">
        <v>3731.4295000000002</v>
      </c>
      <c r="CJ340" s="408">
        <v>-1738.6193400000002</v>
      </c>
      <c r="CK340" s="408"/>
      <c r="CL340" s="408"/>
      <c r="CM340" s="408"/>
      <c r="CN340" s="408"/>
      <c r="CO340" s="408">
        <v>-1826.3550799999998</v>
      </c>
      <c r="CP340" s="408">
        <v>90.407460000000043</v>
      </c>
      <c r="CQ340" s="408">
        <v>30</v>
      </c>
      <c r="CR340" s="408">
        <v>75.160239825981989</v>
      </c>
      <c r="CS340" s="408">
        <v>0</v>
      </c>
      <c r="CT340" s="408">
        <v>0</v>
      </c>
      <c r="CU340" s="408">
        <v>0</v>
      </c>
      <c r="CV340" s="408">
        <v>0</v>
      </c>
      <c r="CW340" s="408">
        <v>0</v>
      </c>
      <c r="CX340" s="408">
        <v>0</v>
      </c>
      <c r="CY340" s="408">
        <v>0</v>
      </c>
      <c r="CZ340" s="408">
        <v>-3.1455573922826261</v>
      </c>
      <c r="DA340" s="408">
        <v>0</v>
      </c>
      <c r="DB340" s="408">
        <v>0</v>
      </c>
      <c r="DC340" s="408">
        <v>90.36691722968726</v>
      </c>
      <c r="DD340" s="408">
        <v>0</v>
      </c>
      <c r="DE340" s="408">
        <v>0</v>
      </c>
      <c r="DF340" s="408">
        <v>0.52494379321645646</v>
      </c>
      <c r="DG340" s="408">
        <v>12.76973689655307</v>
      </c>
      <c r="DH340" s="408">
        <v>0</v>
      </c>
      <c r="DI340" s="408">
        <v>-21.613730026766405</v>
      </c>
      <c r="DJ340" s="408"/>
      <c r="DK340" s="408">
        <v>0</v>
      </c>
      <c r="DL340" s="408">
        <v>0</v>
      </c>
      <c r="DM340" s="408">
        <v>0</v>
      </c>
      <c r="DN340" s="408">
        <v>0</v>
      </c>
      <c r="DO340" s="408">
        <v>-2.9486996723806627</v>
      </c>
      <c r="DP340" s="408">
        <v>-0.79337100204528177</v>
      </c>
      <c r="DQ340" s="408">
        <v>0</v>
      </c>
      <c r="DR340" s="408">
        <v>0</v>
      </c>
      <c r="DS340" s="408"/>
      <c r="DT340" s="408"/>
      <c r="DU340" s="408"/>
      <c r="DV340" s="408">
        <v>2696.4494887686806</v>
      </c>
      <c r="DW340" s="408">
        <v>0</v>
      </c>
      <c r="DX340" s="408">
        <v>0</v>
      </c>
      <c r="DY340" s="408">
        <v>-1826.3550799999998</v>
      </c>
      <c r="DZ340" s="408">
        <v>90.407460000000128</v>
      </c>
      <c r="EA340" s="408">
        <v>0</v>
      </c>
      <c r="EB340" s="408">
        <v>0</v>
      </c>
      <c r="EC340" s="408">
        <v>-1811.1368165127178</v>
      </c>
      <c r="ED340" s="408">
        <v>0</v>
      </c>
      <c r="EE340" s="408">
        <v>0</v>
      </c>
      <c r="EF340" s="408">
        <v>0</v>
      </c>
      <c r="EG340" s="408">
        <v>0</v>
      </c>
      <c r="EH340" s="408">
        <v>0</v>
      </c>
      <c r="EI340" s="408">
        <v>0</v>
      </c>
      <c r="EJ340" s="408">
        <v>0</v>
      </c>
      <c r="EK340" s="408">
        <v>0</v>
      </c>
      <c r="EL340" s="408">
        <v>0</v>
      </c>
      <c r="EM340" s="408">
        <v>0</v>
      </c>
      <c r="EN340" s="408">
        <v>0</v>
      </c>
      <c r="EO340" s="408">
        <v>0</v>
      </c>
      <c r="EP340" s="408">
        <v>0</v>
      </c>
      <c r="EQ340" s="408">
        <v>0</v>
      </c>
      <c r="ER340" s="408">
        <v>0</v>
      </c>
      <c r="ES340" s="408">
        <v>0</v>
      </c>
      <c r="ET340" s="408">
        <v>0</v>
      </c>
      <c r="EU340" s="408">
        <v>0</v>
      </c>
      <c r="EV340" s="408">
        <v>257</v>
      </c>
      <c r="EW340" s="408">
        <v>0</v>
      </c>
      <c r="EX340" s="408">
        <v>0</v>
      </c>
      <c r="EY340" s="408">
        <v>0</v>
      </c>
      <c r="EZ340" s="408"/>
      <c r="FA340" s="408">
        <v>0</v>
      </c>
      <c r="FB340" s="408"/>
      <c r="FC340" s="408"/>
      <c r="FD340" s="408"/>
      <c r="FE340" s="408"/>
      <c r="FF340" s="408">
        <v>0</v>
      </c>
      <c r="FG340" s="408">
        <v>0</v>
      </c>
      <c r="FH340" s="408">
        <v>0</v>
      </c>
      <c r="FI340" s="408">
        <v>0</v>
      </c>
    </row>
    <row r="341" spans="1:165">
      <c r="A341" s="408">
        <v>339</v>
      </c>
      <c r="B341" s="408" t="s">
        <v>1035</v>
      </c>
      <c r="C341" s="408" t="s">
        <v>2241</v>
      </c>
      <c r="D341" s="408" t="s">
        <v>596</v>
      </c>
      <c r="E341" s="408" t="s">
        <v>969</v>
      </c>
      <c r="F341" s="408" t="s">
        <v>1321</v>
      </c>
      <c r="G341" s="408" t="s">
        <v>1321</v>
      </c>
      <c r="H341" s="408" t="s">
        <v>1321</v>
      </c>
      <c r="I341" s="408" t="s">
        <v>972</v>
      </c>
      <c r="J341" s="408" t="s">
        <v>2234</v>
      </c>
      <c r="K341" s="828">
        <v>44652</v>
      </c>
      <c r="L341" s="408">
        <v>0</v>
      </c>
      <c r="M341" s="408">
        <v>0</v>
      </c>
      <c r="N341" s="408">
        <v>5.9379999999999997</v>
      </c>
      <c r="O341" s="408">
        <v>5.9379999999999997</v>
      </c>
      <c r="P341" s="408">
        <v>5.9379999999999997</v>
      </c>
      <c r="Q341" s="408">
        <v>5.9379999999999997</v>
      </c>
      <c r="R341" s="408"/>
      <c r="S341" s="408">
        <v>3130.62</v>
      </c>
      <c r="T341" s="408">
        <v>256.55</v>
      </c>
      <c r="U341" s="408"/>
      <c r="V341" s="408">
        <v>20113.015459999999</v>
      </c>
      <c r="W341" s="408">
        <v>20113.015459999999</v>
      </c>
      <c r="X341" s="408">
        <v>10585.256939999999</v>
      </c>
      <c r="Y341" s="408">
        <v>0</v>
      </c>
      <c r="Z341" s="408">
        <v>317.581892582769</v>
      </c>
      <c r="AA341" s="408">
        <v>0</v>
      </c>
      <c r="AB341" s="408">
        <v>0</v>
      </c>
      <c r="AC341" s="408">
        <v>0</v>
      </c>
      <c r="AD341" s="408">
        <v>3825.3415875861474</v>
      </c>
      <c r="AE341" s="408">
        <v>14275.834761004387</v>
      </c>
      <c r="AF341" s="408">
        <v>1523.4088740449247</v>
      </c>
      <c r="AG341" s="408">
        <v>0</v>
      </c>
      <c r="AH341" s="408">
        <v>0</v>
      </c>
      <c r="AI341" s="408">
        <v>0</v>
      </c>
      <c r="AJ341" s="408">
        <v>0</v>
      </c>
      <c r="AK341" s="408">
        <v>0</v>
      </c>
      <c r="AL341" s="408">
        <v>56.436318179695952</v>
      </c>
      <c r="AM341" s="408"/>
      <c r="AN341" s="408">
        <v>8.010688559209866</v>
      </c>
      <c r="AO341" s="408">
        <v>0</v>
      </c>
      <c r="AP341" s="408">
        <v>0</v>
      </c>
      <c r="AQ341" s="408">
        <v>0</v>
      </c>
      <c r="AR341" s="408">
        <v>0</v>
      </c>
      <c r="AS341" s="408">
        <v>0</v>
      </c>
      <c r="AT341" s="408">
        <v>0</v>
      </c>
      <c r="AU341" s="408">
        <v>0</v>
      </c>
      <c r="AV341" s="408">
        <v>0</v>
      </c>
      <c r="AW341" s="408">
        <v>0</v>
      </c>
      <c r="AX341" s="408">
        <v>0</v>
      </c>
      <c r="AY341" s="408">
        <v>0</v>
      </c>
      <c r="AZ341" s="408">
        <v>0</v>
      </c>
      <c r="BA341" s="408"/>
      <c r="BB341" s="408">
        <v>0</v>
      </c>
      <c r="BC341" s="408">
        <v>0</v>
      </c>
      <c r="BD341" s="408">
        <v>7.3157657397706526</v>
      </c>
      <c r="BE341" s="408">
        <v>0</v>
      </c>
      <c r="BF341" s="408">
        <v>0</v>
      </c>
      <c r="BG341" s="408">
        <v>99.100993317320885</v>
      </c>
      <c r="BH341" s="408">
        <v>0</v>
      </c>
      <c r="BI341" s="408">
        <v>0</v>
      </c>
      <c r="BJ341" s="408">
        <v>0</v>
      </c>
      <c r="BK341" s="408">
        <v>0</v>
      </c>
      <c r="BL341" s="408">
        <v>0</v>
      </c>
      <c r="BM341" s="408"/>
      <c r="BN341" s="408"/>
      <c r="BO341" s="408"/>
      <c r="BP341" s="408"/>
      <c r="BQ341" s="408"/>
      <c r="BR341" s="408"/>
      <c r="BS341" s="408"/>
      <c r="BT341" s="408"/>
      <c r="BU341" s="408"/>
      <c r="BV341" s="408">
        <v>1629.8256331020161</v>
      </c>
      <c r="BW341" s="408"/>
      <c r="BX341" s="408"/>
      <c r="BY341" s="408"/>
      <c r="BZ341" s="408"/>
      <c r="CA341" s="408"/>
      <c r="CB341" s="408"/>
      <c r="CC341" s="408"/>
      <c r="CD341" s="408"/>
      <c r="CE341" s="408"/>
      <c r="CF341" s="408"/>
      <c r="CG341" s="408"/>
      <c r="CH341" s="408"/>
      <c r="CI341" s="408">
        <v>10588.822200000001</v>
      </c>
      <c r="CJ341" s="408">
        <v>-9524.2232599999934</v>
      </c>
      <c r="CK341" s="408"/>
      <c r="CL341" s="408"/>
      <c r="CM341" s="408"/>
      <c r="CN341" s="408"/>
      <c r="CO341" s="408">
        <v>-9622.7071399999986</v>
      </c>
      <c r="CP341" s="408">
        <v>94.948620000000048</v>
      </c>
      <c r="CQ341" s="408">
        <v>30</v>
      </c>
      <c r="CR341" s="408">
        <v>60.887665254097556</v>
      </c>
      <c r="CS341" s="408">
        <v>0</v>
      </c>
      <c r="CT341" s="408">
        <v>0</v>
      </c>
      <c r="CU341" s="408">
        <v>0</v>
      </c>
      <c r="CV341" s="408">
        <v>0</v>
      </c>
      <c r="CW341" s="408">
        <v>0</v>
      </c>
      <c r="CX341" s="408">
        <v>0</v>
      </c>
      <c r="CY341" s="408">
        <v>0</v>
      </c>
      <c r="CZ341" s="408">
        <v>-17.290784571735912</v>
      </c>
      <c r="DA341" s="408">
        <v>0</v>
      </c>
      <c r="DB341" s="408">
        <v>0</v>
      </c>
      <c r="DC341" s="408">
        <v>94.906040769346419</v>
      </c>
      <c r="DD341" s="408">
        <v>0</v>
      </c>
      <c r="DE341" s="408">
        <v>0</v>
      </c>
      <c r="DF341" s="408">
        <v>0.45576100637655426</v>
      </c>
      <c r="DG341" s="408">
        <v>6.1738401766583451</v>
      </c>
      <c r="DH341" s="408">
        <v>0</v>
      </c>
      <c r="DI341" s="408">
        <v>-19.748465890003104</v>
      </c>
      <c r="DJ341" s="408"/>
      <c r="DK341" s="408">
        <v>0</v>
      </c>
      <c r="DL341" s="408">
        <v>0</v>
      </c>
      <c r="DM341" s="408">
        <v>0</v>
      </c>
      <c r="DN341" s="408">
        <v>0</v>
      </c>
      <c r="DO341" s="408">
        <v>-3.0968126378840424</v>
      </c>
      <c r="DP341" s="408">
        <v>-0.51191359866087449</v>
      </c>
      <c r="DQ341" s="408">
        <v>0</v>
      </c>
      <c r="DR341" s="408">
        <v>0</v>
      </c>
      <c r="DS341" s="408"/>
      <c r="DT341" s="408"/>
      <c r="DU341" s="408"/>
      <c r="DV341" s="408">
        <v>14275.834761004387</v>
      </c>
      <c r="DW341" s="408">
        <v>0</v>
      </c>
      <c r="DX341" s="408">
        <v>0</v>
      </c>
      <c r="DY341" s="408">
        <v>-9622.7071400000004</v>
      </c>
      <c r="DZ341" s="408">
        <v>94.948620000000119</v>
      </c>
      <c r="EA341" s="408">
        <v>0</v>
      </c>
      <c r="EB341" s="408">
        <v>0</v>
      </c>
      <c r="EC341" s="408">
        <v>-9588.7165807484998</v>
      </c>
      <c r="ED341" s="408">
        <v>0</v>
      </c>
      <c r="EE341" s="408">
        <v>0</v>
      </c>
      <c r="EF341" s="408">
        <v>0</v>
      </c>
      <c r="EG341" s="408">
        <v>0</v>
      </c>
      <c r="EH341" s="408">
        <v>0</v>
      </c>
      <c r="EI341" s="408">
        <v>0</v>
      </c>
      <c r="EJ341" s="408">
        <v>0</v>
      </c>
      <c r="EK341" s="408">
        <v>0</v>
      </c>
      <c r="EL341" s="408">
        <v>0</v>
      </c>
      <c r="EM341" s="408">
        <v>0</v>
      </c>
      <c r="EN341" s="408">
        <v>0</v>
      </c>
      <c r="EO341" s="408">
        <v>0</v>
      </c>
      <c r="EP341" s="408">
        <v>0</v>
      </c>
      <c r="EQ341" s="408">
        <v>0</v>
      </c>
      <c r="ER341" s="408">
        <v>0</v>
      </c>
      <c r="ES341" s="408">
        <v>0</v>
      </c>
      <c r="ET341" s="408">
        <v>0</v>
      </c>
      <c r="EU341" s="408">
        <v>0</v>
      </c>
      <c r="EV341" s="408">
        <v>257</v>
      </c>
      <c r="EW341" s="408">
        <v>0</v>
      </c>
      <c r="EX341" s="408">
        <v>0</v>
      </c>
      <c r="EY341" s="408">
        <v>0</v>
      </c>
      <c r="EZ341" s="408"/>
      <c r="FA341" s="408">
        <v>0</v>
      </c>
      <c r="FB341" s="408"/>
      <c r="FC341" s="408"/>
      <c r="FD341" s="408"/>
      <c r="FE341" s="408"/>
      <c r="FF341" s="408">
        <v>0</v>
      </c>
      <c r="FG341" s="408">
        <v>0</v>
      </c>
      <c r="FH341" s="408">
        <v>0</v>
      </c>
      <c r="FI341" s="408">
        <v>0</v>
      </c>
    </row>
    <row r="342" spans="1:165">
      <c r="A342" s="408">
        <v>340</v>
      </c>
      <c r="B342" s="408" t="s">
        <v>2236</v>
      </c>
      <c r="C342" s="408" t="s">
        <v>2241</v>
      </c>
      <c r="D342" s="408" t="s">
        <v>596</v>
      </c>
      <c r="E342" s="408" t="s">
        <v>969</v>
      </c>
      <c r="F342" s="408" t="s">
        <v>1321</v>
      </c>
      <c r="G342" s="408" t="s">
        <v>1321</v>
      </c>
      <c r="H342" s="408" t="s">
        <v>1321</v>
      </c>
      <c r="I342" s="408" t="s">
        <v>972</v>
      </c>
      <c r="J342" s="408" t="s">
        <v>2234</v>
      </c>
      <c r="K342" s="828">
        <v>44652</v>
      </c>
      <c r="L342" s="408">
        <v>0</v>
      </c>
      <c r="M342" s="408">
        <v>0</v>
      </c>
      <c r="N342" s="408">
        <v>1.147</v>
      </c>
      <c r="O342" s="408">
        <v>1.147</v>
      </c>
      <c r="P342" s="408">
        <v>1.147</v>
      </c>
      <c r="Q342" s="408">
        <v>1.147</v>
      </c>
      <c r="R342" s="408"/>
      <c r="S342" s="408">
        <v>3130.62</v>
      </c>
      <c r="T342" s="408">
        <v>256.55</v>
      </c>
      <c r="U342" s="408"/>
      <c r="V342" s="408">
        <v>3885.0839900000001</v>
      </c>
      <c r="W342" s="408">
        <v>3885.0839900000001</v>
      </c>
      <c r="X342" s="408">
        <v>2044.67661</v>
      </c>
      <c r="Y342" s="408">
        <v>0</v>
      </c>
      <c r="Z342" s="408">
        <v>61.344969820214892</v>
      </c>
      <c r="AA342" s="408">
        <v>0</v>
      </c>
      <c r="AB342" s="408">
        <v>0</v>
      </c>
      <c r="AC342" s="408">
        <v>0</v>
      </c>
      <c r="AD342" s="408">
        <v>738.91323694195205</v>
      </c>
      <c r="AE342" s="408">
        <v>2757.5585164823228</v>
      </c>
      <c r="AF342" s="408">
        <v>294.26574242666368</v>
      </c>
      <c r="AG342" s="408">
        <v>0</v>
      </c>
      <c r="AH342" s="408">
        <v>0</v>
      </c>
      <c r="AI342" s="408">
        <v>0</v>
      </c>
      <c r="AJ342" s="408">
        <v>0</v>
      </c>
      <c r="AK342" s="408">
        <v>0</v>
      </c>
      <c r="AL342" s="408">
        <v>10.901390527469058</v>
      </c>
      <c r="AM342" s="408"/>
      <c r="AN342" s="408">
        <v>1.5473660790524952</v>
      </c>
      <c r="AO342" s="408">
        <v>0</v>
      </c>
      <c r="AP342" s="408">
        <v>0</v>
      </c>
      <c r="AQ342" s="408">
        <v>0</v>
      </c>
      <c r="AR342" s="408">
        <v>0</v>
      </c>
      <c r="AS342" s="408">
        <v>0</v>
      </c>
      <c r="AT342" s="408">
        <v>0</v>
      </c>
      <c r="AU342" s="408">
        <v>0</v>
      </c>
      <c r="AV342" s="408">
        <v>0</v>
      </c>
      <c r="AW342" s="408">
        <v>0</v>
      </c>
      <c r="AX342" s="408">
        <v>0</v>
      </c>
      <c r="AY342" s="408">
        <v>0</v>
      </c>
      <c r="AZ342" s="408">
        <v>0</v>
      </c>
      <c r="BA342" s="408"/>
      <c r="BB342" s="408">
        <v>0</v>
      </c>
      <c r="BC342" s="408">
        <v>0</v>
      </c>
      <c r="BD342" s="408">
        <v>1.4131329241355572</v>
      </c>
      <c r="BE342" s="408">
        <v>0</v>
      </c>
      <c r="BF342" s="408">
        <v>0</v>
      </c>
      <c r="BG342" s="408">
        <v>19.142613562641809</v>
      </c>
      <c r="BH342" s="408">
        <v>0</v>
      </c>
      <c r="BI342" s="408">
        <v>0</v>
      </c>
      <c r="BJ342" s="408">
        <v>0</v>
      </c>
      <c r="BK342" s="408">
        <v>0</v>
      </c>
      <c r="BL342" s="408">
        <v>0</v>
      </c>
      <c r="BM342" s="408"/>
      <c r="BN342" s="408"/>
      <c r="BO342" s="408"/>
      <c r="BP342" s="408"/>
      <c r="BQ342" s="408"/>
      <c r="BR342" s="408"/>
      <c r="BS342" s="408"/>
      <c r="BT342" s="408"/>
      <c r="BU342" s="408"/>
      <c r="BV342" s="408">
        <v>314.82148891344104</v>
      </c>
      <c r="BW342" s="408"/>
      <c r="BX342" s="408"/>
      <c r="BY342" s="408"/>
      <c r="BZ342" s="408"/>
      <c r="CA342" s="408"/>
      <c r="CB342" s="408"/>
      <c r="CC342" s="408"/>
      <c r="CD342" s="408"/>
      <c r="CE342" s="408"/>
      <c r="CF342" s="408"/>
      <c r="CG342" s="408"/>
      <c r="CH342" s="408"/>
      <c r="CI342" s="408">
        <v>2050.0244999999995</v>
      </c>
      <c r="CJ342" s="408">
        <v>-1835.0894900000012</v>
      </c>
      <c r="CK342" s="408"/>
      <c r="CL342" s="408"/>
      <c r="CM342" s="408"/>
      <c r="CN342" s="408"/>
      <c r="CO342" s="408">
        <v>-1858.74791</v>
      </c>
      <c r="CP342" s="408">
        <v>18.340530000000012</v>
      </c>
      <c r="CQ342" s="408">
        <v>30</v>
      </c>
      <c r="CR342" s="408">
        <v>11.761224662588347</v>
      </c>
      <c r="CS342" s="408">
        <v>0</v>
      </c>
      <c r="CT342" s="408">
        <v>0</v>
      </c>
      <c r="CU342" s="408">
        <v>0</v>
      </c>
      <c r="CV342" s="408">
        <v>0</v>
      </c>
      <c r="CW342" s="408">
        <v>0</v>
      </c>
      <c r="CX342" s="408">
        <v>0</v>
      </c>
      <c r="CY342" s="408">
        <v>0</v>
      </c>
      <c r="CZ342" s="408">
        <v>-3.3399343051164578</v>
      </c>
      <c r="DA342" s="408">
        <v>0</v>
      </c>
      <c r="DB342" s="408">
        <v>0</v>
      </c>
      <c r="DC342" s="408">
        <v>18.332305281650406</v>
      </c>
      <c r="DD342" s="408">
        <v>0</v>
      </c>
      <c r="DE342" s="408">
        <v>0</v>
      </c>
      <c r="DF342" s="408">
        <v>8.8036017903992736E-2</v>
      </c>
      <c r="DG342" s="408">
        <v>1.1925555208196563</v>
      </c>
      <c r="DH342" s="408">
        <v>0</v>
      </c>
      <c r="DI342" s="408">
        <v>-3.814666617688367</v>
      </c>
      <c r="DJ342" s="408"/>
      <c r="DK342" s="408">
        <v>0</v>
      </c>
      <c r="DL342" s="408">
        <v>0</v>
      </c>
      <c r="DM342" s="408">
        <v>0</v>
      </c>
      <c r="DN342" s="408">
        <v>0</v>
      </c>
      <c r="DO342" s="408">
        <v>-0.59818863180414183</v>
      </c>
      <c r="DP342" s="408">
        <v>-9.8882603176831063E-2</v>
      </c>
      <c r="DQ342" s="408">
        <v>0</v>
      </c>
      <c r="DR342" s="408">
        <v>0</v>
      </c>
      <c r="DS342" s="408"/>
      <c r="DT342" s="408"/>
      <c r="DU342" s="408"/>
      <c r="DV342" s="408">
        <v>2757.5585164823228</v>
      </c>
      <c r="DW342" s="408">
        <v>0</v>
      </c>
      <c r="DX342" s="408">
        <v>0</v>
      </c>
      <c r="DY342" s="408">
        <v>-1858.74791</v>
      </c>
      <c r="DZ342" s="408">
        <v>18.340530000000001</v>
      </c>
      <c r="EA342" s="408">
        <v>0</v>
      </c>
      <c r="EB342" s="408">
        <v>0</v>
      </c>
      <c r="EC342" s="408">
        <v>-1852.1822024450198</v>
      </c>
      <c r="ED342" s="408">
        <v>0</v>
      </c>
      <c r="EE342" s="408">
        <v>0</v>
      </c>
      <c r="EF342" s="408">
        <v>0</v>
      </c>
      <c r="EG342" s="408">
        <v>0</v>
      </c>
      <c r="EH342" s="408">
        <v>0</v>
      </c>
      <c r="EI342" s="408">
        <v>0</v>
      </c>
      <c r="EJ342" s="408">
        <v>0</v>
      </c>
      <c r="EK342" s="408">
        <v>0</v>
      </c>
      <c r="EL342" s="408">
        <v>0</v>
      </c>
      <c r="EM342" s="408">
        <v>0</v>
      </c>
      <c r="EN342" s="408">
        <v>0</v>
      </c>
      <c r="EO342" s="408">
        <v>0</v>
      </c>
      <c r="EP342" s="408">
        <v>0</v>
      </c>
      <c r="EQ342" s="408">
        <v>0</v>
      </c>
      <c r="ER342" s="408">
        <v>0</v>
      </c>
      <c r="ES342" s="408">
        <v>0</v>
      </c>
      <c r="ET342" s="408">
        <v>0</v>
      </c>
      <c r="EU342" s="408">
        <v>0</v>
      </c>
      <c r="EV342" s="408">
        <v>257</v>
      </c>
      <c r="EW342" s="408">
        <v>0</v>
      </c>
      <c r="EX342" s="408">
        <v>0</v>
      </c>
      <c r="EY342" s="408">
        <v>0</v>
      </c>
      <c r="EZ342" s="408"/>
      <c r="FA342" s="408">
        <v>0</v>
      </c>
      <c r="FB342" s="408"/>
      <c r="FC342" s="408"/>
      <c r="FD342" s="408"/>
      <c r="FE342" s="408"/>
      <c r="FF342" s="408">
        <v>0</v>
      </c>
      <c r="FG342" s="408">
        <v>0</v>
      </c>
      <c r="FH342" s="408">
        <v>0</v>
      </c>
      <c r="FI342" s="408">
        <v>0</v>
      </c>
    </row>
    <row r="343" spans="1:165">
      <c r="A343" s="408">
        <v>341</v>
      </c>
      <c r="B343" s="408" t="s">
        <v>1035</v>
      </c>
      <c r="C343" s="408" t="s">
        <v>2241</v>
      </c>
      <c r="D343" s="408" t="s">
        <v>596</v>
      </c>
      <c r="E343" s="408" t="s">
        <v>969</v>
      </c>
      <c r="F343" s="408" t="s">
        <v>1321</v>
      </c>
      <c r="G343" s="408" t="s">
        <v>1321</v>
      </c>
      <c r="H343" s="408" t="s">
        <v>1321</v>
      </c>
      <c r="I343" s="408" t="s">
        <v>2242</v>
      </c>
      <c r="J343" s="408" t="s">
        <v>2234</v>
      </c>
      <c r="K343" s="828">
        <v>44652</v>
      </c>
      <c r="L343" s="408">
        <v>0</v>
      </c>
      <c r="M343" s="408">
        <v>0</v>
      </c>
      <c r="N343" s="408">
        <v>203.28899999999999</v>
      </c>
      <c r="O343" s="408">
        <v>203.28899999999999</v>
      </c>
      <c r="P343" s="408">
        <v>203.28899999999999</v>
      </c>
      <c r="Q343" s="408">
        <v>203.28899999999999</v>
      </c>
      <c r="R343" s="408"/>
      <c r="S343" s="408">
        <v>82.26</v>
      </c>
      <c r="T343" s="408">
        <v>256.55</v>
      </c>
      <c r="U343" s="408"/>
      <c r="V343" s="408">
        <v>68876.346089999992</v>
      </c>
      <c r="W343" s="408">
        <v>68876.346089999992</v>
      </c>
      <c r="X343" s="408">
        <v>71553.662219999998</v>
      </c>
      <c r="Y343" s="408">
        <v>0</v>
      </c>
      <c r="Z343" s="408">
        <v>10872.500060838418</v>
      </c>
      <c r="AA343" s="408">
        <v>0</v>
      </c>
      <c r="AB343" s="408">
        <v>0</v>
      </c>
      <c r="AC343" s="408">
        <v>0</v>
      </c>
      <c r="AD343" s="408">
        <v>0</v>
      </c>
      <c r="AE343" s="408">
        <v>0</v>
      </c>
      <c r="AF343" s="408">
        <v>52154.305590387121</v>
      </c>
      <c r="AG343" s="408">
        <v>0</v>
      </c>
      <c r="AH343" s="408">
        <v>0</v>
      </c>
      <c r="AI343" s="408">
        <v>0</v>
      </c>
      <c r="AJ343" s="408">
        <v>0</v>
      </c>
      <c r="AK343" s="408">
        <v>0</v>
      </c>
      <c r="AL343" s="408">
        <v>1932.1122745759869</v>
      </c>
      <c r="AM343" s="408"/>
      <c r="AN343" s="408">
        <v>274.24804084089163</v>
      </c>
      <c r="AO343" s="408">
        <v>0</v>
      </c>
      <c r="AP343" s="408">
        <v>0</v>
      </c>
      <c r="AQ343" s="408">
        <v>0</v>
      </c>
      <c r="AR343" s="408">
        <v>0</v>
      </c>
      <c r="AS343" s="408">
        <v>0</v>
      </c>
      <c r="AT343" s="408">
        <v>0</v>
      </c>
      <c r="AU343" s="408">
        <v>0</v>
      </c>
      <c r="AV343" s="408">
        <v>0</v>
      </c>
      <c r="AW343" s="408">
        <v>0</v>
      </c>
      <c r="AX343" s="408">
        <v>0</v>
      </c>
      <c r="AY343" s="408">
        <v>0</v>
      </c>
      <c r="AZ343" s="408">
        <v>0</v>
      </c>
      <c r="BA343" s="408"/>
      <c r="BB343" s="408">
        <v>0</v>
      </c>
      <c r="BC343" s="408">
        <v>0</v>
      </c>
      <c r="BD343" s="408">
        <v>250.45717438063932</v>
      </c>
      <c r="BE343" s="408">
        <v>0</v>
      </c>
      <c r="BF343" s="408">
        <v>0</v>
      </c>
      <c r="BG343" s="408">
        <v>3392.7487084009508</v>
      </c>
      <c r="BH343" s="408">
        <v>0</v>
      </c>
      <c r="BI343" s="408">
        <v>0</v>
      </c>
      <c r="BJ343" s="408">
        <v>0</v>
      </c>
      <c r="BK343" s="408">
        <v>0</v>
      </c>
      <c r="BL343" s="408">
        <v>0</v>
      </c>
      <c r="BM343" s="408"/>
      <c r="BN343" s="408"/>
      <c r="BO343" s="408"/>
      <c r="BP343" s="408"/>
      <c r="BQ343" s="408"/>
      <c r="BR343" s="408"/>
      <c r="BS343" s="408"/>
      <c r="BT343" s="408"/>
      <c r="BU343" s="408"/>
      <c r="BV343" s="408">
        <v>55797.511473168706</v>
      </c>
      <c r="BW343" s="408"/>
      <c r="BX343" s="408"/>
      <c r="BY343" s="408"/>
      <c r="BZ343" s="408"/>
      <c r="CA343" s="408"/>
      <c r="CB343" s="408"/>
      <c r="CC343" s="408"/>
      <c r="CD343" s="408"/>
      <c r="CE343" s="408"/>
      <c r="CF343" s="408"/>
      <c r="CG343" s="408"/>
      <c r="CH343" s="408"/>
      <c r="CI343" s="408">
        <v>71554.014200000005</v>
      </c>
      <c r="CJ343" s="408">
        <v>2677.6381100000144</v>
      </c>
      <c r="CK343" s="408"/>
      <c r="CL343" s="408"/>
      <c r="CM343" s="408"/>
      <c r="CN343" s="408"/>
      <c r="CO343" s="408">
        <v>-573.27498000000151</v>
      </c>
      <c r="CP343" s="408">
        <v>3250.5911100000017</v>
      </c>
      <c r="CQ343" s="408">
        <v>30</v>
      </c>
      <c r="CR343" s="408">
        <v>2676.4599000747112</v>
      </c>
      <c r="CS343" s="408">
        <v>0</v>
      </c>
      <c r="CT343" s="408">
        <v>0</v>
      </c>
      <c r="CU343" s="408">
        <v>0</v>
      </c>
      <c r="CV343" s="408">
        <v>0</v>
      </c>
      <c r="CW343" s="408">
        <v>0</v>
      </c>
      <c r="CX343" s="408">
        <v>0</v>
      </c>
      <c r="CY343" s="408">
        <v>0</v>
      </c>
      <c r="CZ343" s="408">
        <v>0</v>
      </c>
      <c r="DA343" s="408">
        <v>0</v>
      </c>
      <c r="DB343" s="408">
        <v>0</v>
      </c>
      <c r="DC343" s="408">
        <v>3249.133398780672</v>
      </c>
      <c r="DD343" s="408">
        <v>0</v>
      </c>
      <c r="DE343" s="408">
        <v>0</v>
      </c>
      <c r="DF343" s="408">
        <v>15.60309855595878</v>
      </c>
      <c r="DG343" s="408">
        <v>211.36305080375496</v>
      </c>
      <c r="DH343" s="408">
        <v>0</v>
      </c>
      <c r="DI343" s="408">
        <v>-676.09395121469242</v>
      </c>
      <c r="DJ343" s="408"/>
      <c r="DK343" s="408">
        <v>0</v>
      </c>
      <c r="DL343" s="408">
        <v>0</v>
      </c>
      <c r="DM343" s="408">
        <v>0</v>
      </c>
      <c r="DN343" s="408">
        <v>0</v>
      </c>
      <c r="DO343" s="408">
        <v>-106.02019945146662</v>
      </c>
      <c r="DP343" s="408">
        <v>-17.525497399489836</v>
      </c>
      <c r="DQ343" s="408">
        <v>0</v>
      </c>
      <c r="DR343" s="408">
        <v>0</v>
      </c>
      <c r="DS343" s="408"/>
      <c r="DT343" s="408"/>
      <c r="DU343" s="408"/>
      <c r="DV343" s="408">
        <v>0</v>
      </c>
      <c r="DW343" s="408">
        <v>0</v>
      </c>
      <c r="DX343" s="408">
        <v>0</v>
      </c>
      <c r="DY343" s="408">
        <v>-573.27498000000196</v>
      </c>
      <c r="DZ343" s="408">
        <v>3250.5911100000085</v>
      </c>
      <c r="EA343" s="408">
        <v>0</v>
      </c>
      <c r="EB343" s="408">
        <v>0</v>
      </c>
      <c r="EC343" s="408">
        <v>0</v>
      </c>
      <c r="ED343" s="408">
        <v>0</v>
      </c>
      <c r="EE343" s="408">
        <v>0</v>
      </c>
      <c r="EF343" s="408">
        <v>0</v>
      </c>
      <c r="EG343" s="408">
        <v>0</v>
      </c>
      <c r="EH343" s="408">
        <v>0</v>
      </c>
      <c r="EI343" s="408">
        <v>0</v>
      </c>
      <c r="EJ343" s="408">
        <v>0</v>
      </c>
      <c r="EK343" s="408">
        <v>0</v>
      </c>
      <c r="EL343" s="408">
        <v>0</v>
      </c>
      <c r="EM343" s="408">
        <v>0</v>
      </c>
      <c r="EN343" s="408">
        <v>0</v>
      </c>
      <c r="EO343" s="408">
        <v>0</v>
      </c>
      <c r="EP343" s="408">
        <v>0</v>
      </c>
      <c r="EQ343" s="408">
        <v>0</v>
      </c>
      <c r="ER343" s="408">
        <v>0</v>
      </c>
      <c r="ES343" s="408">
        <v>0</v>
      </c>
      <c r="ET343" s="408">
        <v>0</v>
      </c>
      <c r="EU343" s="408">
        <v>0</v>
      </c>
      <c r="EV343" s="408">
        <v>257</v>
      </c>
      <c r="EW343" s="408">
        <v>0</v>
      </c>
      <c r="EX343" s="408">
        <v>0</v>
      </c>
      <c r="EY343" s="408">
        <v>0</v>
      </c>
      <c r="EZ343" s="408"/>
      <c r="FA343" s="408">
        <v>0</v>
      </c>
      <c r="FB343" s="408"/>
      <c r="FC343" s="408"/>
      <c r="FD343" s="408"/>
      <c r="FE343" s="408"/>
      <c r="FF343" s="408">
        <v>0</v>
      </c>
      <c r="FG343" s="408">
        <v>0</v>
      </c>
      <c r="FH343" s="408">
        <v>0</v>
      </c>
      <c r="FI343" s="408">
        <v>0</v>
      </c>
    </row>
    <row r="344" spans="1:165">
      <c r="A344" s="408">
        <v>342</v>
      </c>
      <c r="B344" s="408" t="s">
        <v>2236</v>
      </c>
      <c r="C344" s="408" t="s">
        <v>2241</v>
      </c>
      <c r="D344" s="408" t="s">
        <v>596</v>
      </c>
      <c r="E344" s="408" t="s">
        <v>969</v>
      </c>
      <c r="F344" s="408" t="s">
        <v>1321</v>
      </c>
      <c r="G344" s="408" t="s">
        <v>1321</v>
      </c>
      <c r="H344" s="408" t="s">
        <v>1321</v>
      </c>
      <c r="I344" s="408" t="s">
        <v>2242</v>
      </c>
      <c r="J344" s="408" t="s">
        <v>2234</v>
      </c>
      <c r="K344" s="828">
        <v>44652</v>
      </c>
      <c r="L344" s="408">
        <v>0</v>
      </c>
      <c r="M344" s="408">
        <v>0</v>
      </c>
      <c r="N344" s="408">
        <v>13.073</v>
      </c>
      <c r="O344" s="408">
        <v>13.073</v>
      </c>
      <c r="P344" s="408">
        <v>13.073</v>
      </c>
      <c r="Q344" s="408">
        <v>13.073</v>
      </c>
      <c r="R344" s="408"/>
      <c r="S344" s="408">
        <v>82.26</v>
      </c>
      <c r="T344" s="408">
        <v>256.55</v>
      </c>
      <c r="U344" s="408"/>
      <c r="V344" s="408">
        <v>4429.2631300000003</v>
      </c>
      <c r="W344" s="408">
        <v>4429.2631300000003</v>
      </c>
      <c r="X344" s="408">
        <v>4601.4345400000002</v>
      </c>
      <c r="Y344" s="408">
        <v>0</v>
      </c>
      <c r="Z344" s="408">
        <v>699.18290362656433</v>
      </c>
      <c r="AA344" s="408">
        <v>0</v>
      </c>
      <c r="AB344" s="408">
        <v>0</v>
      </c>
      <c r="AC344" s="408">
        <v>0</v>
      </c>
      <c r="AD344" s="408">
        <v>0</v>
      </c>
      <c r="AE344" s="408">
        <v>0</v>
      </c>
      <c r="AF344" s="408">
        <v>3353.9111166031162</v>
      </c>
      <c r="AG344" s="408">
        <v>0</v>
      </c>
      <c r="AH344" s="408">
        <v>0</v>
      </c>
      <c r="AI344" s="408">
        <v>0</v>
      </c>
      <c r="AJ344" s="408">
        <v>0</v>
      </c>
      <c r="AK344" s="408">
        <v>0</v>
      </c>
      <c r="AL344" s="408">
        <v>124.24924007463207</v>
      </c>
      <c r="AM344" s="408"/>
      <c r="AN344" s="408">
        <v>17.636195947212965</v>
      </c>
      <c r="AO344" s="408">
        <v>0</v>
      </c>
      <c r="AP344" s="408">
        <v>0</v>
      </c>
      <c r="AQ344" s="408">
        <v>0</v>
      </c>
      <c r="AR344" s="408">
        <v>0</v>
      </c>
      <c r="AS344" s="408">
        <v>0</v>
      </c>
      <c r="AT344" s="408">
        <v>0</v>
      </c>
      <c r="AU344" s="408">
        <v>0</v>
      </c>
      <c r="AV344" s="408">
        <v>0</v>
      </c>
      <c r="AW344" s="408">
        <v>0</v>
      </c>
      <c r="AX344" s="408">
        <v>0</v>
      </c>
      <c r="AY344" s="408">
        <v>0</v>
      </c>
      <c r="AZ344" s="408">
        <v>0</v>
      </c>
      <c r="BA344" s="408"/>
      <c r="BB344" s="408">
        <v>0</v>
      </c>
      <c r="BC344" s="408">
        <v>0</v>
      </c>
      <c r="BD344" s="408">
        <v>16.106265664537176</v>
      </c>
      <c r="BE344" s="408">
        <v>0</v>
      </c>
      <c r="BF344" s="408">
        <v>0</v>
      </c>
      <c r="BG344" s="408">
        <v>218.17906460716335</v>
      </c>
      <c r="BH344" s="408">
        <v>0</v>
      </c>
      <c r="BI344" s="408">
        <v>0</v>
      </c>
      <c r="BJ344" s="408">
        <v>0</v>
      </c>
      <c r="BK344" s="408">
        <v>0</v>
      </c>
      <c r="BL344" s="408">
        <v>0</v>
      </c>
      <c r="BM344" s="408"/>
      <c r="BN344" s="408"/>
      <c r="BO344" s="408"/>
      <c r="BP344" s="408"/>
      <c r="BQ344" s="408"/>
      <c r="BR344" s="408"/>
      <c r="BS344" s="408"/>
      <c r="BT344" s="408"/>
      <c r="BU344" s="408"/>
      <c r="BV344" s="408">
        <v>3588.1964468748165</v>
      </c>
      <c r="BW344" s="408"/>
      <c r="BX344" s="408"/>
      <c r="BY344" s="408"/>
      <c r="BZ344" s="408"/>
      <c r="CA344" s="408"/>
      <c r="CB344" s="408"/>
      <c r="CC344" s="408"/>
      <c r="CD344" s="408"/>
      <c r="CE344" s="408"/>
      <c r="CF344" s="408"/>
      <c r="CG344" s="408"/>
      <c r="CH344" s="408"/>
      <c r="CI344" s="408">
        <v>4600.3786</v>
      </c>
      <c r="CJ344" s="408">
        <v>171.08546999999908</v>
      </c>
      <c r="CK344" s="408"/>
      <c r="CL344" s="408"/>
      <c r="CM344" s="408"/>
      <c r="CN344" s="408"/>
      <c r="CO344" s="408">
        <v>-36.865860000000097</v>
      </c>
      <c r="CP344" s="408">
        <v>209.03727000000012</v>
      </c>
      <c r="CQ344" s="408">
        <v>30</v>
      </c>
      <c r="CR344" s="408">
        <v>172.11634802511253</v>
      </c>
      <c r="CS344" s="408">
        <v>0</v>
      </c>
      <c r="CT344" s="408">
        <v>0</v>
      </c>
      <c r="CU344" s="408">
        <v>0</v>
      </c>
      <c r="CV344" s="408">
        <v>0</v>
      </c>
      <c r="CW344" s="408">
        <v>0</v>
      </c>
      <c r="CX344" s="408">
        <v>0</v>
      </c>
      <c r="CY344" s="408">
        <v>0</v>
      </c>
      <c r="CZ344" s="408">
        <v>0</v>
      </c>
      <c r="DA344" s="408">
        <v>0</v>
      </c>
      <c r="DB344" s="408">
        <v>0</v>
      </c>
      <c r="DC344" s="408">
        <v>208.94352828859292</v>
      </c>
      <c r="DD344" s="408">
        <v>0</v>
      </c>
      <c r="DE344" s="408">
        <v>0</v>
      </c>
      <c r="DF344" s="408">
        <v>1.0033956949074927</v>
      </c>
      <c r="DG344" s="408">
        <v>13.59222172944672</v>
      </c>
      <c r="DH344" s="408">
        <v>0</v>
      </c>
      <c r="DI344" s="408">
        <v>-43.47788726507406</v>
      </c>
      <c r="DJ344" s="408"/>
      <c r="DK344" s="408">
        <v>0</v>
      </c>
      <c r="DL344" s="408">
        <v>0</v>
      </c>
      <c r="DM344" s="408">
        <v>0</v>
      </c>
      <c r="DN344" s="408">
        <v>0</v>
      </c>
      <c r="DO344" s="408">
        <v>-6.8178901338932434</v>
      </c>
      <c r="DP344" s="408">
        <v>-1.1270202888672287</v>
      </c>
      <c r="DQ344" s="408">
        <v>0</v>
      </c>
      <c r="DR344" s="408">
        <v>0</v>
      </c>
      <c r="DS344" s="408"/>
      <c r="DT344" s="408"/>
      <c r="DU344" s="408"/>
      <c r="DV344" s="408">
        <v>0</v>
      </c>
      <c r="DW344" s="408">
        <v>0</v>
      </c>
      <c r="DX344" s="408">
        <v>0</v>
      </c>
      <c r="DY344" s="408">
        <v>-36.865860000000112</v>
      </c>
      <c r="DZ344" s="408">
        <v>209.03726999999981</v>
      </c>
      <c r="EA344" s="408">
        <v>0</v>
      </c>
      <c r="EB344" s="408">
        <v>0</v>
      </c>
      <c r="EC344" s="408">
        <v>0</v>
      </c>
      <c r="ED344" s="408">
        <v>0</v>
      </c>
      <c r="EE344" s="408">
        <v>0</v>
      </c>
      <c r="EF344" s="408">
        <v>0</v>
      </c>
      <c r="EG344" s="408">
        <v>0</v>
      </c>
      <c r="EH344" s="408">
        <v>0</v>
      </c>
      <c r="EI344" s="408">
        <v>0</v>
      </c>
      <c r="EJ344" s="408">
        <v>0</v>
      </c>
      <c r="EK344" s="408">
        <v>0</v>
      </c>
      <c r="EL344" s="408">
        <v>0</v>
      </c>
      <c r="EM344" s="408">
        <v>0</v>
      </c>
      <c r="EN344" s="408">
        <v>0</v>
      </c>
      <c r="EO344" s="408">
        <v>0</v>
      </c>
      <c r="EP344" s="408">
        <v>0</v>
      </c>
      <c r="EQ344" s="408">
        <v>0</v>
      </c>
      <c r="ER344" s="408">
        <v>0</v>
      </c>
      <c r="ES344" s="408">
        <v>0</v>
      </c>
      <c r="ET344" s="408">
        <v>0</v>
      </c>
      <c r="EU344" s="408">
        <v>0</v>
      </c>
      <c r="EV344" s="408">
        <v>257</v>
      </c>
      <c r="EW344" s="408">
        <v>0</v>
      </c>
      <c r="EX344" s="408">
        <v>0</v>
      </c>
      <c r="EY344" s="408">
        <v>0</v>
      </c>
      <c r="EZ344" s="408"/>
      <c r="FA344" s="408">
        <v>0</v>
      </c>
      <c r="FB344" s="408"/>
      <c r="FC344" s="408"/>
      <c r="FD344" s="408"/>
      <c r="FE344" s="408"/>
      <c r="FF344" s="408">
        <v>0</v>
      </c>
      <c r="FG344" s="408">
        <v>0</v>
      </c>
      <c r="FH344" s="408">
        <v>0</v>
      </c>
      <c r="FI344" s="408">
        <v>0</v>
      </c>
    </row>
    <row r="345" spans="1:165">
      <c r="A345" s="408">
        <v>343</v>
      </c>
      <c r="B345" s="408" t="s">
        <v>1035</v>
      </c>
      <c r="C345" s="408" t="s">
        <v>2241</v>
      </c>
      <c r="D345" s="408" t="s">
        <v>596</v>
      </c>
      <c r="E345" s="408" t="s">
        <v>969</v>
      </c>
      <c r="F345" s="408" t="s">
        <v>1321</v>
      </c>
      <c r="G345" s="408" t="s">
        <v>1321</v>
      </c>
      <c r="H345" s="408" t="s">
        <v>1321</v>
      </c>
      <c r="I345" s="408" t="s">
        <v>1321</v>
      </c>
      <c r="J345" s="408" t="s">
        <v>2234</v>
      </c>
      <c r="K345" s="828">
        <v>44652</v>
      </c>
      <c r="L345" s="408">
        <v>1534</v>
      </c>
      <c r="M345" s="408">
        <v>1534</v>
      </c>
      <c r="N345" s="408">
        <v>0</v>
      </c>
      <c r="O345" s="408">
        <v>0</v>
      </c>
      <c r="P345" s="408">
        <v>0</v>
      </c>
      <c r="Q345" s="408">
        <v>0</v>
      </c>
      <c r="R345" s="408">
        <v>47.39</v>
      </c>
      <c r="S345" s="408"/>
      <c r="T345" s="408"/>
      <c r="U345" s="408">
        <v>72696.259999999995</v>
      </c>
      <c r="V345" s="408"/>
      <c r="W345" s="408">
        <v>72696.259999999995</v>
      </c>
      <c r="X345" s="408">
        <v>49425.479999999996</v>
      </c>
      <c r="Y345" s="408">
        <v>0</v>
      </c>
      <c r="Z345" s="408">
        <v>0</v>
      </c>
      <c r="AA345" s="408">
        <v>0</v>
      </c>
      <c r="AB345" s="408">
        <v>0</v>
      </c>
      <c r="AC345" s="408">
        <v>0</v>
      </c>
      <c r="AD345" s="408">
        <v>38304.133675300385</v>
      </c>
      <c r="AE345" s="408">
        <v>34392.076354949051</v>
      </c>
      <c r="AF345" s="408"/>
      <c r="AG345" s="408"/>
      <c r="AH345" s="408"/>
      <c r="AI345" s="408">
        <v>0</v>
      </c>
      <c r="AJ345" s="408">
        <v>0</v>
      </c>
      <c r="AK345" s="408">
        <v>0</v>
      </c>
      <c r="AL345" s="408">
        <v>0</v>
      </c>
      <c r="AM345" s="408"/>
      <c r="AN345" s="408">
        <v>0</v>
      </c>
      <c r="AO345" s="408">
        <v>0</v>
      </c>
      <c r="AP345" s="408">
        <v>0</v>
      </c>
      <c r="AQ345" s="408">
        <v>0</v>
      </c>
      <c r="AR345" s="408">
        <v>0</v>
      </c>
      <c r="AS345" s="408"/>
      <c r="AT345" s="408"/>
      <c r="AU345" s="408">
        <v>0</v>
      </c>
      <c r="AV345" s="408">
        <v>0</v>
      </c>
      <c r="AW345" s="408">
        <v>0</v>
      </c>
      <c r="AX345" s="408"/>
      <c r="AY345" s="408"/>
      <c r="AZ345" s="408">
        <v>0</v>
      </c>
      <c r="BA345" s="408"/>
      <c r="BB345" s="408">
        <v>0</v>
      </c>
      <c r="BC345" s="408">
        <v>0</v>
      </c>
      <c r="BD345" s="408">
        <v>0</v>
      </c>
      <c r="BE345" s="408">
        <v>0</v>
      </c>
      <c r="BF345" s="408"/>
      <c r="BG345" s="408">
        <v>0</v>
      </c>
      <c r="BH345" s="408">
        <v>0</v>
      </c>
      <c r="BI345" s="408">
        <v>373.18</v>
      </c>
      <c r="BJ345" s="408">
        <v>1730.12</v>
      </c>
      <c r="BK345" s="408">
        <v>29065.03</v>
      </c>
      <c r="BL345" s="408">
        <v>10</v>
      </c>
      <c r="BM345" s="408"/>
      <c r="BN345" s="408"/>
      <c r="BO345" s="408"/>
      <c r="BP345" s="408"/>
      <c r="BQ345" s="408"/>
      <c r="BR345" s="408"/>
      <c r="BS345" s="408"/>
      <c r="BT345" s="408"/>
      <c r="BU345" s="408"/>
      <c r="BV345" s="408">
        <v>0</v>
      </c>
      <c r="BW345" s="408"/>
      <c r="BX345" s="408"/>
      <c r="BY345" s="408"/>
      <c r="BZ345" s="408"/>
      <c r="CA345" s="408"/>
      <c r="CB345" s="408"/>
      <c r="CC345" s="408"/>
      <c r="CD345" s="408"/>
      <c r="CE345" s="408"/>
      <c r="CF345" s="408"/>
      <c r="CG345" s="408"/>
      <c r="CH345" s="408"/>
      <c r="CI345" s="408">
        <v>49425.479999999996</v>
      </c>
      <c r="CJ345" s="408">
        <v>-23270.809999999983</v>
      </c>
      <c r="CK345" s="408"/>
      <c r="CL345" s="408"/>
      <c r="CM345" s="408"/>
      <c r="CN345" s="408"/>
      <c r="CO345" s="408">
        <v>-23270.780000000002</v>
      </c>
      <c r="CP345" s="408">
        <v>0</v>
      </c>
      <c r="CQ345" s="408">
        <v>30</v>
      </c>
      <c r="CR345" s="408">
        <v>-173.13709336076136</v>
      </c>
      <c r="CS345" s="408">
        <v>0</v>
      </c>
      <c r="CT345" s="408">
        <v>0</v>
      </c>
      <c r="CU345" s="408">
        <v>0</v>
      </c>
      <c r="CV345" s="408">
        <v>0</v>
      </c>
      <c r="CW345" s="408"/>
      <c r="CX345" s="408"/>
      <c r="CY345" s="408"/>
      <c r="CZ345" s="408">
        <v>-173.13709336076136</v>
      </c>
      <c r="DA345" s="408">
        <v>0</v>
      </c>
      <c r="DB345" s="408">
        <v>0</v>
      </c>
      <c r="DC345" s="408"/>
      <c r="DD345" s="408"/>
      <c r="DE345" s="408">
        <v>0</v>
      </c>
      <c r="DF345" s="408">
        <v>0</v>
      </c>
      <c r="DG345" s="408">
        <v>0</v>
      </c>
      <c r="DH345" s="408">
        <v>0</v>
      </c>
      <c r="DI345" s="408">
        <v>0</v>
      </c>
      <c r="DJ345" s="408"/>
      <c r="DK345" s="408">
        <v>0</v>
      </c>
      <c r="DL345" s="408">
        <v>0</v>
      </c>
      <c r="DM345" s="408"/>
      <c r="DN345" s="408">
        <v>0</v>
      </c>
      <c r="DO345" s="408">
        <v>0</v>
      </c>
      <c r="DP345" s="408">
        <v>0</v>
      </c>
      <c r="DQ345" s="408">
        <v>0</v>
      </c>
      <c r="DR345" s="408">
        <v>0</v>
      </c>
      <c r="DS345" s="408"/>
      <c r="DT345" s="408"/>
      <c r="DU345" s="408">
        <v>34392.076354949051</v>
      </c>
      <c r="DV345" s="408"/>
      <c r="DW345" s="408">
        <v>0</v>
      </c>
      <c r="DX345" s="408">
        <v>0</v>
      </c>
      <c r="DY345" s="408">
        <v>-23270.78</v>
      </c>
      <c r="DZ345" s="408"/>
      <c r="EA345" s="408">
        <v>0</v>
      </c>
      <c r="EB345" s="408"/>
      <c r="EC345" s="408">
        <v>-23100.286484954166</v>
      </c>
      <c r="ED345" s="408"/>
      <c r="EE345" s="408">
        <v>0</v>
      </c>
      <c r="EF345" s="408">
        <v>0</v>
      </c>
      <c r="EG345" s="408"/>
      <c r="EH345" s="408">
        <v>0</v>
      </c>
      <c r="EI345" s="408">
        <v>0</v>
      </c>
      <c r="EJ345" s="408">
        <v>0</v>
      </c>
      <c r="EK345" s="408">
        <v>0</v>
      </c>
      <c r="EL345" s="408">
        <v>0</v>
      </c>
      <c r="EM345" s="408"/>
      <c r="EN345" s="408"/>
      <c r="EO345" s="408">
        <v>0</v>
      </c>
      <c r="EP345" s="408">
        <v>0</v>
      </c>
      <c r="EQ345" s="408"/>
      <c r="ER345" s="408">
        <v>0</v>
      </c>
      <c r="ES345" s="408"/>
      <c r="ET345" s="408">
        <v>0</v>
      </c>
      <c r="EU345" s="408"/>
      <c r="EV345" s="408">
        <v>257</v>
      </c>
      <c r="EW345" s="408"/>
      <c r="EX345" s="408"/>
      <c r="EY345" s="408"/>
      <c r="EZ345" s="408"/>
      <c r="FA345" s="408">
        <v>0</v>
      </c>
      <c r="FB345" s="408"/>
      <c r="FC345" s="408"/>
      <c r="FD345" s="408"/>
      <c r="FE345" s="408"/>
      <c r="FF345" s="408">
        <v>0</v>
      </c>
      <c r="FG345" s="408">
        <v>0</v>
      </c>
      <c r="FH345" s="408">
        <v>0</v>
      </c>
      <c r="FI345" s="408">
        <v>0</v>
      </c>
    </row>
    <row r="346" spans="1:165">
      <c r="A346" s="408">
        <v>344</v>
      </c>
      <c r="B346" s="408" t="s">
        <v>2236</v>
      </c>
      <c r="C346" s="408" t="s">
        <v>2241</v>
      </c>
      <c r="D346" s="408" t="s">
        <v>596</v>
      </c>
      <c r="E346" s="408" t="s">
        <v>969</v>
      </c>
      <c r="F346" s="408" t="s">
        <v>1321</v>
      </c>
      <c r="G346" s="408" t="s">
        <v>1321</v>
      </c>
      <c r="H346" s="408" t="s">
        <v>1321</v>
      </c>
      <c r="I346" s="408" t="s">
        <v>1321</v>
      </c>
      <c r="J346" s="408" t="s">
        <v>2234</v>
      </c>
      <c r="K346" s="828">
        <v>44652</v>
      </c>
      <c r="L346" s="408">
        <v>729</v>
      </c>
      <c r="M346" s="408">
        <v>729</v>
      </c>
      <c r="N346" s="408">
        <v>0</v>
      </c>
      <c r="O346" s="408">
        <v>0</v>
      </c>
      <c r="P346" s="408">
        <v>0</v>
      </c>
      <c r="Q346" s="408">
        <v>0</v>
      </c>
      <c r="R346" s="408">
        <v>47.39</v>
      </c>
      <c r="S346" s="408"/>
      <c r="T346" s="408"/>
      <c r="U346" s="408">
        <v>34547.31</v>
      </c>
      <c r="V346" s="408"/>
      <c r="W346" s="408">
        <v>34547.31</v>
      </c>
      <c r="X346" s="408">
        <v>23488.379999999997</v>
      </c>
      <c r="Y346" s="408">
        <v>0</v>
      </c>
      <c r="Z346" s="408">
        <v>0</v>
      </c>
      <c r="AA346" s="408">
        <v>0</v>
      </c>
      <c r="AB346" s="408">
        <v>0</v>
      </c>
      <c r="AC346" s="408">
        <v>0</v>
      </c>
      <c r="AD346" s="408">
        <v>18203.203030830497</v>
      </c>
      <c r="AE346" s="408">
        <v>16344.083222136805</v>
      </c>
      <c r="AF346" s="408"/>
      <c r="AG346" s="408"/>
      <c r="AH346" s="408"/>
      <c r="AI346" s="408">
        <v>0</v>
      </c>
      <c r="AJ346" s="408">
        <v>0</v>
      </c>
      <c r="AK346" s="408">
        <v>0</v>
      </c>
      <c r="AL346" s="408">
        <v>0</v>
      </c>
      <c r="AM346" s="408"/>
      <c r="AN346" s="408">
        <v>0</v>
      </c>
      <c r="AO346" s="408">
        <v>0</v>
      </c>
      <c r="AP346" s="408">
        <v>0</v>
      </c>
      <c r="AQ346" s="408">
        <v>0</v>
      </c>
      <c r="AR346" s="408">
        <v>0</v>
      </c>
      <c r="AS346" s="408"/>
      <c r="AT346" s="408"/>
      <c r="AU346" s="408">
        <v>0</v>
      </c>
      <c r="AV346" s="408">
        <v>0</v>
      </c>
      <c r="AW346" s="408">
        <v>0</v>
      </c>
      <c r="AX346" s="408"/>
      <c r="AY346" s="408"/>
      <c r="AZ346" s="408">
        <v>0</v>
      </c>
      <c r="BA346" s="408"/>
      <c r="BB346" s="408">
        <v>0</v>
      </c>
      <c r="BC346" s="408">
        <v>0</v>
      </c>
      <c r="BD346" s="408">
        <v>0</v>
      </c>
      <c r="BE346" s="408">
        <v>0</v>
      </c>
      <c r="BF346" s="408"/>
      <c r="BG346" s="408">
        <v>0</v>
      </c>
      <c r="BH346" s="408">
        <v>0</v>
      </c>
      <c r="BI346" s="408">
        <v>83.26</v>
      </c>
      <c r="BJ346" s="408">
        <v>386.09</v>
      </c>
      <c r="BK346" s="408">
        <v>6221.94</v>
      </c>
      <c r="BL346" s="408">
        <v>5</v>
      </c>
      <c r="BM346" s="408"/>
      <c r="BN346" s="408"/>
      <c r="BO346" s="408"/>
      <c r="BP346" s="408"/>
      <c r="BQ346" s="408"/>
      <c r="BR346" s="408"/>
      <c r="BS346" s="408"/>
      <c r="BT346" s="408"/>
      <c r="BU346" s="408"/>
      <c r="BV346" s="408">
        <v>0</v>
      </c>
      <c r="BW346" s="408"/>
      <c r="BX346" s="408"/>
      <c r="BY346" s="408"/>
      <c r="BZ346" s="408"/>
      <c r="CA346" s="408"/>
      <c r="CB346" s="408"/>
      <c r="CC346" s="408"/>
      <c r="CD346" s="408"/>
      <c r="CE346" s="408"/>
      <c r="CF346" s="408"/>
      <c r="CG346" s="408"/>
      <c r="CH346" s="408"/>
      <c r="CI346" s="408">
        <v>23488.379999999997</v>
      </c>
      <c r="CJ346" s="408">
        <v>-11058.960000000006</v>
      </c>
      <c r="CK346" s="408"/>
      <c r="CL346" s="408"/>
      <c r="CM346" s="408"/>
      <c r="CN346" s="408"/>
      <c r="CO346" s="408">
        <v>-11058.930000000002</v>
      </c>
      <c r="CP346" s="408">
        <v>0</v>
      </c>
      <c r="CQ346" s="408">
        <v>30</v>
      </c>
      <c r="CR346" s="408">
        <v>-82.279622594520333</v>
      </c>
      <c r="CS346" s="408">
        <v>0</v>
      </c>
      <c r="CT346" s="408">
        <v>0</v>
      </c>
      <c r="CU346" s="408">
        <v>0</v>
      </c>
      <c r="CV346" s="408">
        <v>0</v>
      </c>
      <c r="CW346" s="408"/>
      <c r="CX346" s="408"/>
      <c r="CY346" s="408"/>
      <c r="CZ346" s="408">
        <v>-82.279622594520333</v>
      </c>
      <c r="DA346" s="408">
        <v>0</v>
      </c>
      <c r="DB346" s="408">
        <v>0</v>
      </c>
      <c r="DC346" s="408"/>
      <c r="DD346" s="408"/>
      <c r="DE346" s="408">
        <v>0</v>
      </c>
      <c r="DF346" s="408">
        <v>0</v>
      </c>
      <c r="DG346" s="408">
        <v>0</v>
      </c>
      <c r="DH346" s="408">
        <v>0</v>
      </c>
      <c r="DI346" s="408">
        <v>0</v>
      </c>
      <c r="DJ346" s="408"/>
      <c r="DK346" s="408">
        <v>0</v>
      </c>
      <c r="DL346" s="408">
        <v>0</v>
      </c>
      <c r="DM346" s="408"/>
      <c r="DN346" s="408">
        <v>0</v>
      </c>
      <c r="DO346" s="408">
        <v>0</v>
      </c>
      <c r="DP346" s="408">
        <v>0</v>
      </c>
      <c r="DQ346" s="408">
        <v>0</v>
      </c>
      <c r="DR346" s="408">
        <v>0</v>
      </c>
      <c r="DS346" s="408"/>
      <c r="DT346" s="408"/>
      <c r="DU346" s="408">
        <v>16344.083222136805</v>
      </c>
      <c r="DV346" s="408"/>
      <c r="DW346" s="408">
        <v>0</v>
      </c>
      <c r="DX346" s="408">
        <v>0</v>
      </c>
      <c r="DY346" s="408">
        <v>-11058.93</v>
      </c>
      <c r="DZ346" s="408"/>
      <c r="EA346" s="408">
        <v>0</v>
      </c>
      <c r="EB346" s="408"/>
      <c r="EC346" s="408">
        <v>-10977.906680268312</v>
      </c>
      <c r="ED346" s="408"/>
      <c r="EE346" s="408">
        <v>0</v>
      </c>
      <c r="EF346" s="408">
        <v>0</v>
      </c>
      <c r="EG346" s="408"/>
      <c r="EH346" s="408">
        <v>0</v>
      </c>
      <c r="EI346" s="408">
        <v>0</v>
      </c>
      <c r="EJ346" s="408">
        <v>0</v>
      </c>
      <c r="EK346" s="408">
        <v>0</v>
      </c>
      <c r="EL346" s="408">
        <v>0</v>
      </c>
      <c r="EM346" s="408"/>
      <c r="EN346" s="408"/>
      <c r="EO346" s="408">
        <v>0</v>
      </c>
      <c r="EP346" s="408">
        <v>0</v>
      </c>
      <c r="EQ346" s="408"/>
      <c r="ER346" s="408">
        <v>0</v>
      </c>
      <c r="ES346" s="408"/>
      <c r="ET346" s="408">
        <v>0</v>
      </c>
      <c r="EU346" s="408"/>
      <c r="EV346" s="408">
        <v>257</v>
      </c>
      <c r="EW346" s="408"/>
      <c r="EX346" s="408"/>
      <c r="EY346" s="408"/>
      <c r="EZ346" s="408"/>
      <c r="FA346" s="408">
        <v>0</v>
      </c>
      <c r="FB346" s="408"/>
      <c r="FC346" s="408"/>
      <c r="FD346" s="408"/>
      <c r="FE346" s="408"/>
      <c r="FF346" s="408">
        <v>0</v>
      </c>
      <c r="FG346" s="408">
        <v>0</v>
      </c>
      <c r="FH346" s="408">
        <v>0</v>
      </c>
      <c r="FI346" s="408">
        <v>0</v>
      </c>
    </row>
    <row r="347" spans="1:165">
      <c r="A347" s="408">
        <v>345</v>
      </c>
      <c r="B347" s="408" t="s">
        <v>1035</v>
      </c>
      <c r="C347" s="408" t="s">
        <v>2233</v>
      </c>
      <c r="D347" s="408" t="s">
        <v>1958</v>
      </c>
      <c r="E347" s="408" t="s">
        <v>997</v>
      </c>
      <c r="F347" s="408" t="s">
        <v>1321</v>
      </c>
      <c r="G347" s="408" t="s">
        <v>1321</v>
      </c>
      <c r="H347" s="408" t="s">
        <v>1321</v>
      </c>
      <c r="I347" s="408" t="s">
        <v>1321</v>
      </c>
      <c r="J347" s="408" t="s">
        <v>2234</v>
      </c>
      <c r="K347" s="828">
        <v>44652</v>
      </c>
      <c r="L347" s="408">
        <v>0</v>
      </c>
      <c r="M347" s="408">
        <v>0</v>
      </c>
      <c r="N347" s="408">
        <v>367.40800000000002</v>
      </c>
      <c r="O347" s="408">
        <v>367.40800000000002</v>
      </c>
      <c r="P347" s="408">
        <v>367.40800000000002</v>
      </c>
      <c r="Q347" s="408">
        <v>367.40800000000002</v>
      </c>
      <c r="R347" s="408"/>
      <c r="S347" s="408">
        <v>710.91</v>
      </c>
      <c r="T347" s="408">
        <v>256.55</v>
      </c>
      <c r="U347" s="408"/>
      <c r="V347" s="408">
        <v>355452.54368</v>
      </c>
      <c r="W347" s="408">
        <v>355452.54368</v>
      </c>
      <c r="X347" s="408">
        <v>242647.26544000002</v>
      </c>
      <c r="Y347" s="408">
        <v>0</v>
      </c>
      <c r="Z347" s="408">
        <v>22586.289743063378</v>
      </c>
      <c r="AA347" s="408">
        <v>0</v>
      </c>
      <c r="AB347" s="408">
        <v>0</v>
      </c>
      <c r="AC347" s="408">
        <v>0</v>
      </c>
      <c r="AD347" s="408">
        <v>45221.601636077299</v>
      </c>
      <c r="AE347" s="408">
        <v>175220.57194367234</v>
      </c>
      <c r="AF347" s="408">
        <v>94259.448904529767</v>
      </c>
      <c r="AG347" s="408">
        <v>0</v>
      </c>
      <c r="AH347" s="408">
        <v>0</v>
      </c>
      <c r="AI347" s="408">
        <v>0</v>
      </c>
      <c r="AJ347" s="408">
        <v>0</v>
      </c>
      <c r="AK347" s="408">
        <v>0</v>
      </c>
      <c r="AL347" s="408">
        <v>3491.9425378520937</v>
      </c>
      <c r="AM347" s="408"/>
      <c r="AN347" s="408">
        <v>806.7561934944589</v>
      </c>
      <c r="AO347" s="408">
        <v>0</v>
      </c>
      <c r="AP347" s="408">
        <v>0</v>
      </c>
      <c r="AQ347" s="408">
        <v>0</v>
      </c>
      <c r="AR347" s="408">
        <v>0</v>
      </c>
      <c r="AS347" s="408">
        <v>0</v>
      </c>
      <c r="AT347" s="408">
        <v>0</v>
      </c>
      <c r="AU347" s="408">
        <v>0</v>
      </c>
      <c r="AV347" s="408">
        <v>0</v>
      </c>
      <c r="AW347" s="408">
        <v>0</v>
      </c>
      <c r="AX347" s="408">
        <v>0</v>
      </c>
      <c r="AY347" s="408">
        <v>0</v>
      </c>
      <c r="AZ347" s="408">
        <v>0</v>
      </c>
      <c r="BA347" s="408"/>
      <c r="BB347" s="408">
        <v>0</v>
      </c>
      <c r="BC347" s="408">
        <v>0</v>
      </c>
      <c r="BD347" s="408">
        <v>547.55561184707926</v>
      </c>
      <c r="BE347" s="408">
        <v>0</v>
      </c>
      <c r="BF347" s="408">
        <v>0</v>
      </c>
      <c r="BG347" s="408">
        <v>13319.790022996325</v>
      </c>
      <c r="BH347" s="408">
        <v>0</v>
      </c>
      <c r="BI347" s="408">
        <v>746</v>
      </c>
      <c r="BJ347" s="408">
        <v>3470.11</v>
      </c>
      <c r="BK347" s="408">
        <v>99468.63</v>
      </c>
      <c r="BL347" s="408">
        <v>963</v>
      </c>
      <c r="BM347" s="408"/>
      <c r="BN347" s="408"/>
      <c r="BO347" s="408"/>
      <c r="BP347" s="408"/>
      <c r="BQ347" s="408"/>
      <c r="BR347" s="408"/>
      <c r="BS347" s="408"/>
      <c r="BT347" s="408"/>
      <c r="BU347" s="408"/>
      <c r="BV347" s="408">
        <v>108126.79453937318</v>
      </c>
      <c r="BW347" s="408"/>
      <c r="BX347" s="408"/>
      <c r="BY347" s="408"/>
      <c r="BZ347" s="408"/>
      <c r="CA347" s="408"/>
      <c r="CB347" s="408"/>
      <c r="CC347" s="408"/>
      <c r="CD347" s="408"/>
      <c r="CE347" s="408"/>
      <c r="CF347" s="408"/>
      <c r="CG347" s="408"/>
      <c r="CH347" s="408"/>
      <c r="CI347" s="408">
        <v>242648.58630000002</v>
      </c>
      <c r="CJ347" s="408">
        <v>-112803.98738000001</v>
      </c>
      <c r="CK347" s="408"/>
      <c r="CL347" s="408"/>
      <c r="CM347" s="408"/>
      <c r="CN347" s="408"/>
      <c r="CO347" s="408">
        <v>-118680.13215999999</v>
      </c>
      <c r="CP347" s="408">
        <v>5874.8539200000032</v>
      </c>
      <c r="CQ347" s="408">
        <v>30</v>
      </c>
      <c r="CR347" s="408">
        <v>4884.0596735027211</v>
      </c>
      <c r="CS347" s="408">
        <v>0</v>
      </c>
      <c r="CT347" s="408">
        <v>0</v>
      </c>
      <c r="CU347" s="408">
        <v>0</v>
      </c>
      <c r="CV347" s="408">
        <v>0</v>
      </c>
      <c r="CW347" s="408">
        <v>0</v>
      </c>
      <c r="CX347" s="408">
        <v>0</v>
      </c>
      <c r="CY347" s="408">
        <v>0</v>
      </c>
      <c r="CZ347" s="408">
        <v>-204.40448361934978</v>
      </c>
      <c r="DA347" s="408">
        <v>0</v>
      </c>
      <c r="DB347" s="408">
        <v>0</v>
      </c>
      <c r="DC347" s="408">
        <v>5872.2193713344604</v>
      </c>
      <c r="DD347" s="408">
        <v>0</v>
      </c>
      <c r="DE347" s="408">
        <v>0</v>
      </c>
      <c r="DF347" s="408">
        <v>34.111876402205894</v>
      </c>
      <c r="DG347" s="408">
        <v>829.80252806663702</v>
      </c>
      <c r="DH347" s="408">
        <v>0</v>
      </c>
      <c r="DI347" s="408">
        <v>-1404.5025330163044</v>
      </c>
      <c r="DJ347" s="408"/>
      <c r="DK347" s="408">
        <v>0</v>
      </c>
      <c r="DL347" s="408">
        <v>0</v>
      </c>
      <c r="DM347" s="408">
        <v>0</v>
      </c>
      <c r="DN347" s="408">
        <v>0</v>
      </c>
      <c r="DO347" s="408">
        <v>-191.61228320304826</v>
      </c>
      <c r="DP347" s="408">
        <v>-51.554802461877102</v>
      </c>
      <c r="DQ347" s="408">
        <v>0</v>
      </c>
      <c r="DR347" s="408">
        <v>0</v>
      </c>
      <c r="DS347" s="408"/>
      <c r="DT347" s="408"/>
      <c r="DU347" s="408"/>
      <c r="DV347" s="408">
        <v>175220.57194367234</v>
      </c>
      <c r="DW347" s="408">
        <v>0</v>
      </c>
      <c r="DX347" s="408">
        <v>0</v>
      </c>
      <c r="DY347" s="408">
        <v>-118680.13215999998</v>
      </c>
      <c r="DZ347" s="408">
        <v>5874.8539200000087</v>
      </c>
      <c r="EA347" s="408">
        <v>0</v>
      </c>
      <c r="EB347" s="408">
        <v>0</v>
      </c>
      <c r="EC347" s="408">
        <v>-117691.2195757525</v>
      </c>
      <c r="ED347" s="408">
        <v>0</v>
      </c>
      <c r="EE347" s="408">
        <v>0</v>
      </c>
      <c r="EF347" s="408">
        <v>0</v>
      </c>
      <c r="EG347" s="408">
        <v>0</v>
      </c>
      <c r="EH347" s="408">
        <v>0</v>
      </c>
      <c r="EI347" s="408">
        <v>0</v>
      </c>
      <c r="EJ347" s="408">
        <v>0</v>
      </c>
      <c r="EK347" s="408">
        <v>0</v>
      </c>
      <c r="EL347" s="408">
        <v>0</v>
      </c>
      <c r="EM347" s="408">
        <v>0</v>
      </c>
      <c r="EN347" s="408">
        <v>0</v>
      </c>
      <c r="EO347" s="408">
        <v>0</v>
      </c>
      <c r="EP347" s="408">
        <v>0</v>
      </c>
      <c r="EQ347" s="408">
        <v>0</v>
      </c>
      <c r="ER347" s="408">
        <v>0</v>
      </c>
      <c r="ES347" s="408">
        <v>0</v>
      </c>
      <c r="ET347" s="408">
        <v>0</v>
      </c>
      <c r="EU347" s="408">
        <v>0</v>
      </c>
      <c r="EV347" s="408">
        <v>257</v>
      </c>
      <c r="EW347" s="408">
        <v>0</v>
      </c>
      <c r="EX347" s="408">
        <v>0</v>
      </c>
      <c r="EY347" s="408">
        <v>0</v>
      </c>
      <c r="EZ347" s="408"/>
      <c r="FA347" s="408">
        <v>0</v>
      </c>
      <c r="FB347" s="408"/>
      <c r="FC347" s="408"/>
      <c r="FD347" s="408"/>
      <c r="FE347" s="408"/>
      <c r="FF347" s="408">
        <v>0</v>
      </c>
      <c r="FG347" s="408">
        <v>0</v>
      </c>
      <c r="FH347" s="408">
        <v>0</v>
      </c>
      <c r="FI347" s="408">
        <v>0</v>
      </c>
    </row>
    <row r="348" spans="1:165">
      <c r="A348" s="408">
        <v>346</v>
      </c>
      <c r="B348" s="408" t="s">
        <v>2235</v>
      </c>
      <c r="C348" s="408" t="s">
        <v>2233</v>
      </c>
      <c r="D348" s="408" t="s">
        <v>1958</v>
      </c>
      <c r="E348" s="408" t="s">
        <v>997</v>
      </c>
      <c r="F348" s="408" t="s">
        <v>1321</v>
      </c>
      <c r="G348" s="408" t="s">
        <v>1321</v>
      </c>
      <c r="H348" s="408" t="s">
        <v>1321</v>
      </c>
      <c r="I348" s="408" t="s">
        <v>1321</v>
      </c>
      <c r="J348" s="408" t="s">
        <v>2234</v>
      </c>
      <c r="K348" s="828">
        <v>44652</v>
      </c>
      <c r="L348" s="408">
        <v>0</v>
      </c>
      <c r="M348" s="408">
        <v>0</v>
      </c>
      <c r="N348" s="408">
        <v>-0.54400000000000004</v>
      </c>
      <c r="O348" s="408">
        <v>-0.54400000000000004</v>
      </c>
      <c r="P348" s="408">
        <v>-0.54400000000000004</v>
      </c>
      <c r="Q348" s="408">
        <v>-0.54400000000000004</v>
      </c>
      <c r="R348" s="408"/>
      <c r="S348" s="408">
        <v>710.91</v>
      </c>
      <c r="T348" s="408">
        <v>256.55</v>
      </c>
      <c r="U348" s="408"/>
      <c r="V348" s="408">
        <v>-526.29824000000008</v>
      </c>
      <c r="W348" s="408">
        <v>-526.29824000000008</v>
      </c>
      <c r="X348" s="408">
        <v>-359.27391999999998</v>
      </c>
      <c r="Y348" s="408">
        <v>0</v>
      </c>
      <c r="Z348" s="408">
        <v>-33.442226680492745</v>
      </c>
      <c r="AA348" s="408">
        <v>0</v>
      </c>
      <c r="AB348" s="408">
        <v>0</v>
      </c>
      <c r="AC348" s="408">
        <v>0</v>
      </c>
      <c r="AD348" s="408">
        <v>-66.957037653034376</v>
      </c>
      <c r="AE348" s="408">
        <v>-259.43907355680267</v>
      </c>
      <c r="AF348" s="408">
        <v>-139.5645718222363</v>
      </c>
      <c r="AG348" s="408">
        <v>0</v>
      </c>
      <c r="AH348" s="408">
        <v>0</v>
      </c>
      <c r="AI348" s="408">
        <v>0</v>
      </c>
      <c r="AJ348" s="408">
        <v>0</v>
      </c>
      <c r="AK348" s="408">
        <v>0</v>
      </c>
      <c r="AL348" s="408">
        <v>-5.1703194829495791</v>
      </c>
      <c r="AM348" s="408"/>
      <c r="AN348" s="408">
        <v>-1.1945177275970738</v>
      </c>
      <c r="AO348" s="408">
        <v>0</v>
      </c>
      <c r="AP348" s="408">
        <v>0</v>
      </c>
      <c r="AQ348" s="408">
        <v>0</v>
      </c>
      <c r="AR348" s="408">
        <v>0</v>
      </c>
      <c r="AS348" s="408">
        <v>0</v>
      </c>
      <c r="AT348" s="408">
        <v>0</v>
      </c>
      <c r="AU348" s="408">
        <v>0</v>
      </c>
      <c r="AV348" s="408">
        <v>0</v>
      </c>
      <c r="AW348" s="408">
        <v>0</v>
      </c>
      <c r="AX348" s="408">
        <v>0</v>
      </c>
      <c r="AY348" s="408">
        <v>0</v>
      </c>
      <c r="AZ348" s="408">
        <v>0</v>
      </c>
      <c r="BA348" s="408"/>
      <c r="BB348" s="408">
        <v>0</v>
      </c>
      <c r="BC348" s="408">
        <v>0</v>
      </c>
      <c r="BD348" s="408">
        <v>-0.8107342595828374</v>
      </c>
      <c r="BE348" s="408">
        <v>0</v>
      </c>
      <c r="BF348" s="408">
        <v>0</v>
      </c>
      <c r="BG348" s="408">
        <v>-19.721850837515792</v>
      </c>
      <c r="BH348" s="408">
        <v>0</v>
      </c>
      <c r="BI348" s="408">
        <v>0</v>
      </c>
      <c r="BJ348" s="408">
        <v>0</v>
      </c>
      <c r="BK348" s="408">
        <v>-145.52000000000001</v>
      </c>
      <c r="BL348" s="408">
        <v>0</v>
      </c>
      <c r="BM348" s="408"/>
      <c r="BN348" s="408"/>
      <c r="BO348" s="408"/>
      <c r="BP348" s="408"/>
      <c r="BQ348" s="408"/>
      <c r="BR348" s="408"/>
      <c r="BS348" s="408"/>
      <c r="BT348" s="408"/>
      <c r="BU348" s="408"/>
      <c r="BV348" s="408">
        <v>-160.09715691933494</v>
      </c>
      <c r="BW348" s="408"/>
      <c r="BX348" s="408"/>
      <c r="BY348" s="408"/>
      <c r="BZ348" s="408"/>
      <c r="CA348" s="408"/>
      <c r="CB348" s="408"/>
      <c r="CC348" s="408"/>
      <c r="CD348" s="408"/>
      <c r="CE348" s="408"/>
      <c r="CF348" s="408"/>
      <c r="CG348" s="408"/>
      <c r="CH348" s="408"/>
      <c r="CI348" s="408">
        <v>-356.63220000000001</v>
      </c>
      <c r="CJ348" s="408">
        <v>169.63604000000009</v>
      </c>
      <c r="CK348" s="408"/>
      <c r="CL348" s="408"/>
      <c r="CM348" s="408"/>
      <c r="CN348" s="408"/>
      <c r="CO348" s="408">
        <v>175.72288</v>
      </c>
      <c r="CP348" s="408">
        <v>-8.6985600000000058</v>
      </c>
      <c r="CQ348" s="408">
        <v>30</v>
      </c>
      <c r="CR348" s="408">
        <v>-7.2315476592384016</v>
      </c>
      <c r="CS348" s="408">
        <v>0</v>
      </c>
      <c r="CT348" s="408">
        <v>0</v>
      </c>
      <c r="CU348" s="408">
        <v>0</v>
      </c>
      <c r="CV348" s="408">
        <v>0</v>
      </c>
      <c r="CW348" s="408">
        <v>0</v>
      </c>
      <c r="CX348" s="408">
        <v>0</v>
      </c>
      <c r="CY348" s="408">
        <v>0</v>
      </c>
      <c r="CZ348" s="408">
        <v>0.30265002147184816</v>
      </c>
      <c r="DA348" s="408">
        <v>0</v>
      </c>
      <c r="DB348" s="408">
        <v>0</v>
      </c>
      <c r="DC348" s="408">
        <v>-8.6946591745578417</v>
      </c>
      <c r="DD348" s="408">
        <v>0</v>
      </c>
      <c r="DE348" s="408">
        <v>0</v>
      </c>
      <c r="DF348" s="408">
        <v>-5.0507503273744758E-2</v>
      </c>
      <c r="DG348" s="408">
        <v>-1.228641116329122</v>
      </c>
      <c r="DH348" s="408">
        <v>0</v>
      </c>
      <c r="DI348" s="408">
        <v>2.0795665253910336</v>
      </c>
      <c r="DJ348" s="408"/>
      <c r="DK348" s="408">
        <v>0</v>
      </c>
      <c r="DL348" s="408">
        <v>0</v>
      </c>
      <c r="DM348" s="408">
        <v>0</v>
      </c>
      <c r="DN348" s="408">
        <v>0</v>
      </c>
      <c r="DO348" s="408">
        <v>0.28370934237267065</v>
      </c>
      <c r="DP348" s="408">
        <v>7.6334245686705771E-2</v>
      </c>
      <c r="DQ348" s="408">
        <v>0</v>
      </c>
      <c r="DR348" s="408">
        <v>0</v>
      </c>
      <c r="DS348" s="408"/>
      <c r="DT348" s="408"/>
      <c r="DU348" s="408"/>
      <c r="DV348" s="408">
        <v>-259.43907355680267</v>
      </c>
      <c r="DW348" s="408">
        <v>0</v>
      </c>
      <c r="DX348" s="408">
        <v>0</v>
      </c>
      <c r="DY348" s="408">
        <v>175.72288000000003</v>
      </c>
      <c r="DZ348" s="408">
        <v>-8.6985599999999863</v>
      </c>
      <c r="EA348" s="408">
        <v>0</v>
      </c>
      <c r="EB348" s="408">
        <v>0</v>
      </c>
      <c r="EC348" s="408">
        <v>174.25865372885011</v>
      </c>
      <c r="ED348" s="408">
        <v>0</v>
      </c>
      <c r="EE348" s="408">
        <v>0</v>
      </c>
      <c r="EF348" s="408">
        <v>0</v>
      </c>
      <c r="EG348" s="408">
        <v>0</v>
      </c>
      <c r="EH348" s="408">
        <v>0</v>
      </c>
      <c r="EI348" s="408">
        <v>0</v>
      </c>
      <c r="EJ348" s="408">
        <v>0</v>
      </c>
      <c r="EK348" s="408">
        <v>0</v>
      </c>
      <c r="EL348" s="408">
        <v>0</v>
      </c>
      <c r="EM348" s="408">
        <v>0</v>
      </c>
      <c r="EN348" s="408">
        <v>0</v>
      </c>
      <c r="EO348" s="408">
        <v>0</v>
      </c>
      <c r="EP348" s="408">
        <v>0</v>
      </c>
      <c r="EQ348" s="408">
        <v>0</v>
      </c>
      <c r="ER348" s="408">
        <v>0</v>
      </c>
      <c r="ES348" s="408">
        <v>0</v>
      </c>
      <c r="ET348" s="408">
        <v>0</v>
      </c>
      <c r="EU348" s="408">
        <v>0</v>
      </c>
      <c r="EV348" s="408">
        <v>257</v>
      </c>
      <c r="EW348" s="408">
        <v>0</v>
      </c>
      <c r="EX348" s="408">
        <v>0</v>
      </c>
      <c r="EY348" s="408">
        <v>0</v>
      </c>
      <c r="EZ348" s="408"/>
      <c r="FA348" s="408">
        <v>0</v>
      </c>
      <c r="FB348" s="408"/>
      <c r="FC348" s="408"/>
      <c r="FD348" s="408"/>
      <c r="FE348" s="408"/>
      <c r="FF348" s="408">
        <v>0</v>
      </c>
      <c r="FG348" s="408">
        <v>0</v>
      </c>
      <c r="FH348" s="408">
        <v>0</v>
      </c>
      <c r="FI348" s="408">
        <v>0</v>
      </c>
    </row>
    <row r="349" spans="1:165">
      <c r="A349" s="408">
        <v>347</v>
      </c>
      <c r="B349" s="408" t="s">
        <v>2236</v>
      </c>
      <c r="C349" s="408" t="s">
        <v>2233</v>
      </c>
      <c r="D349" s="408" t="s">
        <v>1958</v>
      </c>
      <c r="E349" s="408" t="s">
        <v>997</v>
      </c>
      <c r="F349" s="408" t="s">
        <v>1321</v>
      </c>
      <c r="G349" s="408" t="s">
        <v>1321</v>
      </c>
      <c r="H349" s="408" t="s">
        <v>1321</v>
      </c>
      <c r="I349" s="408" t="s">
        <v>1321</v>
      </c>
      <c r="J349" s="408" t="s">
        <v>2234</v>
      </c>
      <c r="K349" s="828">
        <v>44652</v>
      </c>
      <c r="L349" s="408">
        <v>0</v>
      </c>
      <c r="M349" s="408">
        <v>0</v>
      </c>
      <c r="N349" s="408">
        <v>12.577</v>
      </c>
      <c r="O349" s="408">
        <v>12.577</v>
      </c>
      <c r="P349" s="408">
        <v>12.577</v>
      </c>
      <c r="Q349" s="408">
        <v>12.577</v>
      </c>
      <c r="R349" s="408"/>
      <c r="S349" s="408">
        <v>710.91</v>
      </c>
      <c r="T349" s="408">
        <v>256.55</v>
      </c>
      <c r="U349" s="408"/>
      <c r="V349" s="408">
        <v>12167.744419999999</v>
      </c>
      <c r="W349" s="408">
        <v>12167.744419999999</v>
      </c>
      <c r="X349" s="408">
        <v>8306.22811</v>
      </c>
      <c r="Y349" s="408">
        <v>0</v>
      </c>
      <c r="Z349" s="408">
        <v>773.16706794220079</v>
      </c>
      <c r="AA349" s="408">
        <v>0</v>
      </c>
      <c r="AB349" s="408">
        <v>0</v>
      </c>
      <c r="AC349" s="408">
        <v>0</v>
      </c>
      <c r="AD349" s="408">
        <v>1548.0122473570095</v>
      </c>
      <c r="AE349" s="408">
        <v>5998.0978458160052</v>
      </c>
      <c r="AF349" s="408">
        <v>3226.6610658240184</v>
      </c>
      <c r="AG349" s="408">
        <v>0</v>
      </c>
      <c r="AH349" s="408">
        <v>0</v>
      </c>
      <c r="AI349" s="408">
        <v>0</v>
      </c>
      <c r="AJ349" s="408">
        <v>0</v>
      </c>
      <c r="AK349" s="408">
        <v>0</v>
      </c>
      <c r="AL349" s="408">
        <v>119.53512525194274</v>
      </c>
      <c r="AM349" s="408"/>
      <c r="AN349" s="408">
        <v>27.616635036743372</v>
      </c>
      <c r="AO349" s="408">
        <v>0</v>
      </c>
      <c r="AP349" s="408">
        <v>0</v>
      </c>
      <c r="AQ349" s="408">
        <v>0</v>
      </c>
      <c r="AR349" s="408">
        <v>0</v>
      </c>
      <c r="AS349" s="408">
        <v>0</v>
      </c>
      <c r="AT349" s="408">
        <v>0</v>
      </c>
      <c r="AU349" s="408">
        <v>0</v>
      </c>
      <c r="AV349" s="408">
        <v>0</v>
      </c>
      <c r="AW349" s="408">
        <v>0</v>
      </c>
      <c r="AX349" s="408">
        <v>0</v>
      </c>
      <c r="AY349" s="408">
        <v>0</v>
      </c>
      <c r="AZ349" s="408">
        <v>0</v>
      </c>
      <c r="BA349" s="408"/>
      <c r="BB349" s="408">
        <v>0</v>
      </c>
      <c r="BC349" s="408">
        <v>0</v>
      </c>
      <c r="BD349" s="408">
        <v>18.743758791862767</v>
      </c>
      <c r="BE349" s="408">
        <v>0</v>
      </c>
      <c r="BF349" s="408">
        <v>0</v>
      </c>
      <c r="BG349" s="408">
        <v>455.95904041072811</v>
      </c>
      <c r="BH349" s="408">
        <v>0</v>
      </c>
      <c r="BI349" s="408">
        <v>25.72</v>
      </c>
      <c r="BJ349" s="408">
        <v>120.03</v>
      </c>
      <c r="BK349" s="408">
        <v>8519.8799999999992</v>
      </c>
      <c r="BL349" s="408">
        <v>47</v>
      </c>
      <c r="BM349" s="408"/>
      <c r="BN349" s="408"/>
      <c r="BO349" s="408"/>
      <c r="BP349" s="408"/>
      <c r="BQ349" s="408"/>
      <c r="BR349" s="408"/>
      <c r="BS349" s="408"/>
      <c r="BT349" s="408"/>
      <c r="BU349" s="408"/>
      <c r="BV349" s="408">
        <v>3701.3638650266089</v>
      </c>
      <c r="BW349" s="408"/>
      <c r="BX349" s="408"/>
      <c r="BY349" s="408"/>
      <c r="BZ349" s="408"/>
      <c r="CA349" s="408"/>
      <c r="CB349" s="408"/>
      <c r="CC349" s="408"/>
      <c r="CD349" s="408"/>
      <c r="CE349" s="408"/>
      <c r="CF349" s="408"/>
      <c r="CG349" s="408"/>
      <c r="CH349" s="408"/>
      <c r="CI349" s="408">
        <v>8308.2093999999997</v>
      </c>
      <c r="CJ349" s="408">
        <v>-3859.56502</v>
      </c>
      <c r="CK349" s="408"/>
      <c r="CL349" s="408"/>
      <c r="CM349" s="408"/>
      <c r="CN349" s="408"/>
      <c r="CO349" s="408">
        <v>-4062.6225399999998</v>
      </c>
      <c r="CP349" s="408">
        <v>201.10623000000012</v>
      </c>
      <c r="CQ349" s="408">
        <v>30</v>
      </c>
      <c r="CR349" s="408">
        <v>167.18965976147501</v>
      </c>
      <c r="CS349" s="408">
        <v>0</v>
      </c>
      <c r="CT349" s="408">
        <v>0</v>
      </c>
      <c r="CU349" s="408">
        <v>0</v>
      </c>
      <c r="CV349" s="408">
        <v>0</v>
      </c>
      <c r="CW349" s="408">
        <v>0</v>
      </c>
      <c r="CX349" s="408">
        <v>0</v>
      </c>
      <c r="CY349" s="408">
        <v>0</v>
      </c>
      <c r="CZ349" s="408">
        <v>-6.9971127206824804</v>
      </c>
      <c r="DA349" s="408">
        <v>0</v>
      </c>
      <c r="DB349" s="408">
        <v>0</v>
      </c>
      <c r="DC349" s="408">
        <v>201.01604492355455</v>
      </c>
      <c r="DD349" s="408">
        <v>0</v>
      </c>
      <c r="DE349" s="408">
        <v>0</v>
      </c>
      <c r="DF349" s="408">
        <v>1.1677074791799384</v>
      </c>
      <c r="DG349" s="408">
        <v>28.405550220719419</v>
      </c>
      <c r="DH349" s="408">
        <v>0</v>
      </c>
      <c r="DI349" s="408">
        <v>-48.078507701917374</v>
      </c>
      <c r="DJ349" s="408"/>
      <c r="DK349" s="408">
        <v>0</v>
      </c>
      <c r="DL349" s="408">
        <v>0</v>
      </c>
      <c r="DM349" s="408">
        <v>0</v>
      </c>
      <c r="DN349" s="408">
        <v>0</v>
      </c>
      <c r="DO349" s="408">
        <v>-6.5592139687887396</v>
      </c>
      <c r="DP349" s="408">
        <v>-1.7648084705913547</v>
      </c>
      <c r="DQ349" s="408">
        <v>0</v>
      </c>
      <c r="DR349" s="408">
        <v>0</v>
      </c>
      <c r="DS349" s="408"/>
      <c r="DT349" s="408"/>
      <c r="DU349" s="408"/>
      <c r="DV349" s="408">
        <v>5998.0978458160052</v>
      </c>
      <c r="DW349" s="408">
        <v>0</v>
      </c>
      <c r="DX349" s="408">
        <v>0</v>
      </c>
      <c r="DY349" s="408">
        <v>-4062.6225400000003</v>
      </c>
      <c r="DZ349" s="408">
        <v>201.10622999999987</v>
      </c>
      <c r="EA349" s="408">
        <v>0</v>
      </c>
      <c r="EB349" s="408">
        <v>0</v>
      </c>
      <c r="EC349" s="408">
        <v>-4028.7703822568892</v>
      </c>
      <c r="ED349" s="408">
        <v>0</v>
      </c>
      <c r="EE349" s="408">
        <v>0</v>
      </c>
      <c r="EF349" s="408">
        <v>0</v>
      </c>
      <c r="EG349" s="408">
        <v>0</v>
      </c>
      <c r="EH349" s="408">
        <v>0</v>
      </c>
      <c r="EI349" s="408">
        <v>0</v>
      </c>
      <c r="EJ349" s="408">
        <v>0</v>
      </c>
      <c r="EK349" s="408">
        <v>0</v>
      </c>
      <c r="EL349" s="408">
        <v>0</v>
      </c>
      <c r="EM349" s="408">
        <v>0</v>
      </c>
      <c r="EN349" s="408">
        <v>0</v>
      </c>
      <c r="EO349" s="408">
        <v>0</v>
      </c>
      <c r="EP349" s="408">
        <v>0</v>
      </c>
      <c r="EQ349" s="408">
        <v>0</v>
      </c>
      <c r="ER349" s="408">
        <v>0</v>
      </c>
      <c r="ES349" s="408">
        <v>0</v>
      </c>
      <c r="ET349" s="408">
        <v>0</v>
      </c>
      <c r="EU349" s="408">
        <v>0</v>
      </c>
      <c r="EV349" s="408">
        <v>257</v>
      </c>
      <c r="EW349" s="408">
        <v>0</v>
      </c>
      <c r="EX349" s="408">
        <v>0</v>
      </c>
      <c r="EY349" s="408">
        <v>0</v>
      </c>
      <c r="EZ349" s="408"/>
      <c r="FA349" s="408">
        <v>0</v>
      </c>
      <c r="FB349" s="408"/>
      <c r="FC349" s="408"/>
      <c r="FD349" s="408"/>
      <c r="FE349" s="408"/>
      <c r="FF349" s="408">
        <v>0</v>
      </c>
      <c r="FG349" s="408">
        <v>0</v>
      </c>
      <c r="FH349" s="408">
        <v>0</v>
      </c>
      <c r="FI349" s="408">
        <v>0</v>
      </c>
    </row>
    <row r="350" spans="1:165">
      <c r="A350" s="408">
        <v>348</v>
      </c>
      <c r="B350" s="408" t="s">
        <v>1035</v>
      </c>
      <c r="C350" s="408" t="s">
        <v>2241</v>
      </c>
      <c r="D350" s="408" t="s">
        <v>596</v>
      </c>
      <c r="E350" s="408" t="s">
        <v>997</v>
      </c>
      <c r="F350" s="408" t="s">
        <v>1321</v>
      </c>
      <c r="G350" s="408" t="s">
        <v>1321</v>
      </c>
      <c r="H350" s="408" t="s">
        <v>1321</v>
      </c>
      <c r="I350" s="408" t="s">
        <v>972</v>
      </c>
      <c r="J350" s="408" t="s">
        <v>2234</v>
      </c>
      <c r="K350" s="828">
        <v>44652</v>
      </c>
      <c r="L350" s="408">
        <v>0</v>
      </c>
      <c r="M350" s="408">
        <v>0</v>
      </c>
      <c r="N350" s="408">
        <v>12.964</v>
      </c>
      <c r="O350" s="408">
        <v>12.964</v>
      </c>
      <c r="P350" s="408">
        <v>12.964</v>
      </c>
      <c r="Q350" s="408">
        <v>12.964</v>
      </c>
      <c r="R350" s="408"/>
      <c r="S350" s="408">
        <v>3130.62</v>
      </c>
      <c r="T350" s="408">
        <v>256.55</v>
      </c>
      <c r="U350" s="408"/>
      <c r="V350" s="408">
        <v>43911.27188</v>
      </c>
      <c r="W350" s="408">
        <v>43911.27188</v>
      </c>
      <c r="X350" s="408">
        <v>23110.015319999999</v>
      </c>
      <c r="Y350" s="408">
        <v>0</v>
      </c>
      <c r="Z350" s="408">
        <v>693.35325958959538</v>
      </c>
      <c r="AA350" s="408">
        <v>0</v>
      </c>
      <c r="AB350" s="408">
        <v>0</v>
      </c>
      <c r="AC350" s="408">
        <v>0</v>
      </c>
      <c r="AD350" s="408">
        <v>8351.5877974851501</v>
      </c>
      <c r="AE350" s="408">
        <v>31167.383267373003</v>
      </c>
      <c r="AF350" s="408">
        <v>3325.9468917343224</v>
      </c>
      <c r="AG350" s="408">
        <v>0</v>
      </c>
      <c r="AH350" s="408">
        <v>0</v>
      </c>
      <c r="AI350" s="408">
        <v>0</v>
      </c>
      <c r="AJ350" s="408">
        <v>0</v>
      </c>
      <c r="AK350" s="408">
        <v>0</v>
      </c>
      <c r="AL350" s="408">
        <v>123.21327532529106</v>
      </c>
      <c r="AM350" s="408"/>
      <c r="AN350" s="408">
        <v>17.489148952778159</v>
      </c>
      <c r="AO350" s="408">
        <v>0</v>
      </c>
      <c r="AP350" s="408">
        <v>0</v>
      </c>
      <c r="AQ350" s="408">
        <v>0</v>
      </c>
      <c r="AR350" s="408">
        <v>0</v>
      </c>
      <c r="AS350" s="408">
        <v>0</v>
      </c>
      <c r="AT350" s="408">
        <v>0</v>
      </c>
      <c r="AU350" s="408">
        <v>0</v>
      </c>
      <c r="AV350" s="408">
        <v>0</v>
      </c>
      <c r="AW350" s="408">
        <v>0</v>
      </c>
      <c r="AX350" s="408">
        <v>0</v>
      </c>
      <c r="AY350" s="408">
        <v>0</v>
      </c>
      <c r="AZ350" s="408">
        <v>0</v>
      </c>
      <c r="BA350" s="408"/>
      <c r="BB350" s="408">
        <v>0</v>
      </c>
      <c r="BC350" s="408">
        <v>0</v>
      </c>
      <c r="BD350" s="408">
        <v>15.971974915861697</v>
      </c>
      <c r="BE350" s="408">
        <v>0</v>
      </c>
      <c r="BF350" s="408">
        <v>0</v>
      </c>
      <c r="BG350" s="408">
        <v>216.35993219362547</v>
      </c>
      <c r="BH350" s="408">
        <v>0</v>
      </c>
      <c r="BI350" s="408">
        <v>0</v>
      </c>
      <c r="BJ350" s="408">
        <v>0</v>
      </c>
      <c r="BK350" s="408">
        <v>0</v>
      </c>
      <c r="BL350" s="408">
        <v>0</v>
      </c>
      <c r="BM350" s="408"/>
      <c r="BN350" s="408"/>
      <c r="BO350" s="408"/>
      <c r="BP350" s="408"/>
      <c r="BQ350" s="408"/>
      <c r="BR350" s="408"/>
      <c r="BS350" s="408"/>
      <c r="BT350" s="408"/>
      <c r="BU350" s="408"/>
      <c r="BV350" s="408">
        <v>3558.2787988438095</v>
      </c>
      <c r="BW350" s="408"/>
      <c r="BX350" s="408"/>
      <c r="BY350" s="408"/>
      <c r="BZ350" s="408"/>
      <c r="CA350" s="408"/>
      <c r="CB350" s="408"/>
      <c r="CC350" s="408"/>
      <c r="CD350" s="408"/>
      <c r="CE350" s="408"/>
      <c r="CF350" s="408"/>
      <c r="CG350" s="408"/>
      <c r="CH350" s="408"/>
      <c r="CI350" s="408">
        <v>23102.8848</v>
      </c>
      <c r="CJ350" s="408">
        <v>-20808.417080000007</v>
      </c>
      <c r="CK350" s="408"/>
      <c r="CL350" s="408"/>
      <c r="CM350" s="408"/>
      <c r="CN350" s="408"/>
      <c r="CO350" s="408">
        <v>-21008.550920000001</v>
      </c>
      <c r="CP350" s="408">
        <v>207.29436000000013</v>
      </c>
      <c r="CQ350" s="408">
        <v>30</v>
      </c>
      <c r="CR350" s="408">
        <v>132.93157500069174</v>
      </c>
      <c r="CS350" s="408">
        <v>0</v>
      </c>
      <c r="CT350" s="408">
        <v>0</v>
      </c>
      <c r="CU350" s="408">
        <v>0</v>
      </c>
      <c r="CV350" s="408">
        <v>0</v>
      </c>
      <c r="CW350" s="408">
        <v>0</v>
      </c>
      <c r="CX350" s="408">
        <v>0</v>
      </c>
      <c r="CY350" s="408">
        <v>0</v>
      </c>
      <c r="CZ350" s="408">
        <v>-37.749702119903304</v>
      </c>
      <c r="DA350" s="408">
        <v>0</v>
      </c>
      <c r="DB350" s="408">
        <v>0</v>
      </c>
      <c r="DC350" s="408">
        <v>207.20139988780829</v>
      </c>
      <c r="DD350" s="408">
        <v>0</v>
      </c>
      <c r="DE350" s="408">
        <v>0</v>
      </c>
      <c r="DF350" s="408">
        <v>0.995029586841639</v>
      </c>
      <c r="DG350" s="408">
        <v>13.478892564870137</v>
      </c>
      <c r="DH350" s="408">
        <v>0</v>
      </c>
      <c r="DI350" s="408">
        <v>-43.115377534186564</v>
      </c>
      <c r="DJ350" s="408"/>
      <c r="DK350" s="408">
        <v>0</v>
      </c>
      <c r="DL350" s="408">
        <v>0</v>
      </c>
      <c r="DM350" s="408">
        <v>0</v>
      </c>
      <c r="DN350" s="408">
        <v>0</v>
      </c>
      <c r="DO350" s="408">
        <v>-6.7610439605134189</v>
      </c>
      <c r="DP350" s="408">
        <v>-1.1176234242235736</v>
      </c>
      <c r="DQ350" s="408">
        <v>0</v>
      </c>
      <c r="DR350" s="408">
        <v>0</v>
      </c>
      <c r="DS350" s="408"/>
      <c r="DT350" s="408"/>
      <c r="DU350" s="408"/>
      <c r="DV350" s="408">
        <v>31167.383267373003</v>
      </c>
      <c r="DW350" s="408">
        <v>0</v>
      </c>
      <c r="DX350" s="408">
        <v>0</v>
      </c>
      <c r="DY350" s="408">
        <v>-21008.550920000001</v>
      </c>
      <c r="DZ350" s="408">
        <v>207.29436000000032</v>
      </c>
      <c r="EA350" s="408">
        <v>0</v>
      </c>
      <c r="EB350" s="408">
        <v>0</v>
      </c>
      <c r="EC350" s="408">
        <v>-20934.341824321917</v>
      </c>
      <c r="ED350" s="408">
        <v>0</v>
      </c>
      <c r="EE350" s="408">
        <v>0</v>
      </c>
      <c r="EF350" s="408">
        <v>0</v>
      </c>
      <c r="EG350" s="408">
        <v>0</v>
      </c>
      <c r="EH350" s="408">
        <v>0</v>
      </c>
      <c r="EI350" s="408">
        <v>0</v>
      </c>
      <c r="EJ350" s="408">
        <v>0</v>
      </c>
      <c r="EK350" s="408">
        <v>0</v>
      </c>
      <c r="EL350" s="408">
        <v>0</v>
      </c>
      <c r="EM350" s="408">
        <v>0</v>
      </c>
      <c r="EN350" s="408">
        <v>0</v>
      </c>
      <c r="EO350" s="408">
        <v>0</v>
      </c>
      <c r="EP350" s="408">
        <v>0</v>
      </c>
      <c r="EQ350" s="408">
        <v>0</v>
      </c>
      <c r="ER350" s="408">
        <v>0</v>
      </c>
      <c r="ES350" s="408">
        <v>0</v>
      </c>
      <c r="ET350" s="408">
        <v>0</v>
      </c>
      <c r="EU350" s="408">
        <v>0</v>
      </c>
      <c r="EV350" s="408">
        <v>257</v>
      </c>
      <c r="EW350" s="408">
        <v>0</v>
      </c>
      <c r="EX350" s="408">
        <v>0</v>
      </c>
      <c r="EY350" s="408">
        <v>0</v>
      </c>
      <c r="EZ350" s="408"/>
      <c r="FA350" s="408">
        <v>0</v>
      </c>
      <c r="FB350" s="408"/>
      <c r="FC350" s="408"/>
      <c r="FD350" s="408"/>
      <c r="FE350" s="408"/>
      <c r="FF350" s="408">
        <v>0</v>
      </c>
      <c r="FG350" s="408">
        <v>0</v>
      </c>
      <c r="FH350" s="408">
        <v>0</v>
      </c>
      <c r="FI350" s="408">
        <v>0</v>
      </c>
    </row>
    <row r="351" spans="1:165">
      <c r="A351" s="408">
        <v>349</v>
      </c>
      <c r="B351" s="408" t="s">
        <v>2236</v>
      </c>
      <c r="C351" s="408" t="s">
        <v>2241</v>
      </c>
      <c r="D351" s="408" t="s">
        <v>596</v>
      </c>
      <c r="E351" s="408" t="s">
        <v>997</v>
      </c>
      <c r="F351" s="408" t="s">
        <v>1321</v>
      </c>
      <c r="G351" s="408" t="s">
        <v>1321</v>
      </c>
      <c r="H351" s="408" t="s">
        <v>1321</v>
      </c>
      <c r="I351" s="408" t="s">
        <v>972</v>
      </c>
      <c r="J351" s="408" t="s">
        <v>2234</v>
      </c>
      <c r="K351" s="828">
        <v>44652</v>
      </c>
      <c r="L351" s="408">
        <v>0</v>
      </c>
      <c r="M351" s="408">
        <v>0</v>
      </c>
      <c r="N351" s="408">
        <v>0.86</v>
      </c>
      <c r="O351" s="408">
        <v>0.86</v>
      </c>
      <c r="P351" s="408">
        <v>0.86</v>
      </c>
      <c r="Q351" s="408">
        <v>0.86</v>
      </c>
      <c r="R351" s="408"/>
      <c r="S351" s="408">
        <v>3130.62</v>
      </c>
      <c r="T351" s="408">
        <v>256.55</v>
      </c>
      <c r="U351" s="408"/>
      <c r="V351" s="408">
        <v>2912.9661999999998</v>
      </c>
      <c r="W351" s="408">
        <v>2912.9661999999998</v>
      </c>
      <c r="X351" s="408">
        <v>1533.0617999999999</v>
      </c>
      <c r="Y351" s="408">
        <v>0</v>
      </c>
      <c r="Z351" s="408">
        <v>45.995356621957114</v>
      </c>
      <c r="AA351" s="408">
        <v>0</v>
      </c>
      <c r="AB351" s="408">
        <v>0</v>
      </c>
      <c r="AC351" s="408">
        <v>0</v>
      </c>
      <c r="AD351" s="408">
        <v>554.02387425464576</v>
      </c>
      <c r="AE351" s="408">
        <v>2067.5678501959874</v>
      </c>
      <c r="AF351" s="408">
        <v>220.63516868956472</v>
      </c>
      <c r="AG351" s="408">
        <v>0</v>
      </c>
      <c r="AH351" s="408">
        <v>0</v>
      </c>
      <c r="AI351" s="408">
        <v>0</v>
      </c>
      <c r="AJ351" s="408">
        <v>0</v>
      </c>
      <c r="AK351" s="408">
        <v>0</v>
      </c>
      <c r="AL351" s="408">
        <v>8.1736668296629365</v>
      </c>
      <c r="AM351" s="408"/>
      <c r="AN351" s="408">
        <v>1.1601872955406678</v>
      </c>
      <c r="AO351" s="408">
        <v>0</v>
      </c>
      <c r="AP351" s="408">
        <v>0</v>
      </c>
      <c r="AQ351" s="408">
        <v>0</v>
      </c>
      <c r="AR351" s="408">
        <v>0</v>
      </c>
      <c r="AS351" s="408">
        <v>0</v>
      </c>
      <c r="AT351" s="408">
        <v>0</v>
      </c>
      <c r="AU351" s="408">
        <v>0</v>
      </c>
      <c r="AV351" s="408">
        <v>0</v>
      </c>
      <c r="AW351" s="408">
        <v>0</v>
      </c>
      <c r="AX351" s="408">
        <v>0</v>
      </c>
      <c r="AY351" s="408">
        <v>0</v>
      </c>
      <c r="AZ351" s="408">
        <v>0</v>
      </c>
      <c r="BA351" s="408"/>
      <c r="BB351" s="408">
        <v>0</v>
      </c>
      <c r="BC351" s="408">
        <v>0</v>
      </c>
      <c r="BD351" s="408">
        <v>1.0595416867973664</v>
      </c>
      <c r="BE351" s="408">
        <v>0</v>
      </c>
      <c r="BF351" s="408">
        <v>0</v>
      </c>
      <c r="BG351" s="408">
        <v>14.352787849931957</v>
      </c>
      <c r="BH351" s="408">
        <v>0</v>
      </c>
      <c r="BI351" s="408">
        <v>0</v>
      </c>
      <c r="BJ351" s="408">
        <v>0</v>
      </c>
      <c r="BK351" s="408">
        <v>0</v>
      </c>
      <c r="BL351" s="408">
        <v>0</v>
      </c>
      <c r="BM351" s="408"/>
      <c r="BN351" s="408"/>
      <c r="BO351" s="408"/>
      <c r="BP351" s="408"/>
      <c r="BQ351" s="408"/>
      <c r="BR351" s="408"/>
      <c r="BS351" s="408"/>
      <c r="BT351" s="408"/>
      <c r="BU351" s="408"/>
      <c r="BV351" s="408">
        <v>236.04749822629404</v>
      </c>
      <c r="BW351" s="408"/>
      <c r="BX351" s="408"/>
      <c r="BY351" s="408"/>
      <c r="BZ351" s="408"/>
      <c r="CA351" s="408"/>
      <c r="CB351" s="408"/>
      <c r="CC351" s="408"/>
      <c r="CD351" s="408"/>
      <c r="CE351" s="408"/>
      <c r="CF351" s="408"/>
      <c r="CG351" s="408"/>
      <c r="CH351" s="408"/>
      <c r="CI351" s="408">
        <v>1533.0617999999999</v>
      </c>
      <c r="CJ351" s="408">
        <v>-1379.9344000000006</v>
      </c>
      <c r="CK351" s="408"/>
      <c r="CL351" s="408"/>
      <c r="CM351" s="408"/>
      <c r="CN351" s="408"/>
      <c r="CO351" s="408">
        <v>-1393.6558</v>
      </c>
      <c r="CP351" s="408">
        <v>13.751400000000007</v>
      </c>
      <c r="CQ351" s="408">
        <v>30</v>
      </c>
      <c r="CR351" s="408">
        <v>8.8183550216442654</v>
      </c>
      <c r="CS351" s="408">
        <v>0</v>
      </c>
      <c r="CT351" s="408">
        <v>0</v>
      </c>
      <c r="CU351" s="408">
        <v>0</v>
      </c>
      <c r="CV351" s="408">
        <v>0</v>
      </c>
      <c r="CW351" s="408">
        <v>0</v>
      </c>
      <c r="CX351" s="408">
        <v>0</v>
      </c>
      <c r="CY351" s="408">
        <v>0</v>
      </c>
      <c r="CZ351" s="408">
        <v>-2.5042227571055946</v>
      </c>
      <c r="DA351" s="408">
        <v>0</v>
      </c>
      <c r="DB351" s="408">
        <v>0</v>
      </c>
      <c r="DC351" s="408">
        <v>13.745233253896572</v>
      </c>
      <c r="DD351" s="408">
        <v>0</v>
      </c>
      <c r="DE351" s="408">
        <v>0</v>
      </c>
      <c r="DF351" s="408">
        <v>6.6007825106742413E-2</v>
      </c>
      <c r="DG351" s="408">
        <v>0.89415671133819075</v>
      </c>
      <c r="DH351" s="408">
        <v>0</v>
      </c>
      <c r="DI351" s="408">
        <v>-2.8601685189293846</v>
      </c>
      <c r="DJ351" s="408"/>
      <c r="DK351" s="408">
        <v>0</v>
      </c>
      <c r="DL351" s="408">
        <v>0</v>
      </c>
      <c r="DM351" s="408">
        <v>0</v>
      </c>
      <c r="DN351" s="408">
        <v>0</v>
      </c>
      <c r="DO351" s="408">
        <v>-0.44851109272150058</v>
      </c>
      <c r="DP351" s="408">
        <v>-7.4140399940780144E-2</v>
      </c>
      <c r="DQ351" s="408">
        <v>0</v>
      </c>
      <c r="DR351" s="408">
        <v>0</v>
      </c>
      <c r="DS351" s="408"/>
      <c r="DT351" s="408"/>
      <c r="DU351" s="408"/>
      <c r="DV351" s="408">
        <v>2067.5678501959874</v>
      </c>
      <c r="DW351" s="408">
        <v>0</v>
      </c>
      <c r="DX351" s="408">
        <v>0</v>
      </c>
      <c r="DY351" s="408">
        <v>-1393.6558000000002</v>
      </c>
      <c r="DZ351" s="408">
        <v>13.751400000000018</v>
      </c>
      <c r="EA351" s="408">
        <v>0</v>
      </c>
      <c r="EB351" s="408">
        <v>0</v>
      </c>
      <c r="EC351" s="408">
        <v>-1388.7329503946967</v>
      </c>
      <c r="ED351" s="408">
        <v>0</v>
      </c>
      <c r="EE351" s="408">
        <v>0</v>
      </c>
      <c r="EF351" s="408">
        <v>0</v>
      </c>
      <c r="EG351" s="408">
        <v>0</v>
      </c>
      <c r="EH351" s="408">
        <v>0</v>
      </c>
      <c r="EI351" s="408">
        <v>0</v>
      </c>
      <c r="EJ351" s="408">
        <v>0</v>
      </c>
      <c r="EK351" s="408">
        <v>0</v>
      </c>
      <c r="EL351" s="408">
        <v>0</v>
      </c>
      <c r="EM351" s="408">
        <v>0</v>
      </c>
      <c r="EN351" s="408">
        <v>0</v>
      </c>
      <c r="EO351" s="408">
        <v>0</v>
      </c>
      <c r="EP351" s="408">
        <v>0</v>
      </c>
      <c r="EQ351" s="408">
        <v>0</v>
      </c>
      <c r="ER351" s="408">
        <v>0</v>
      </c>
      <c r="ES351" s="408">
        <v>0</v>
      </c>
      <c r="ET351" s="408">
        <v>0</v>
      </c>
      <c r="EU351" s="408">
        <v>0</v>
      </c>
      <c r="EV351" s="408">
        <v>257</v>
      </c>
      <c r="EW351" s="408">
        <v>0</v>
      </c>
      <c r="EX351" s="408">
        <v>0</v>
      </c>
      <c r="EY351" s="408">
        <v>0</v>
      </c>
      <c r="EZ351" s="408"/>
      <c r="FA351" s="408">
        <v>0</v>
      </c>
      <c r="FB351" s="408"/>
      <c r="FC351" s="408"/>
      <c r="FD351" s="408"/>
      <c r="FE351" s="408"/>
      <c r="FF351" s="408">
        <v>0</v>
      </c>
      <c r="FG351" s="408">
        <v>0</v>
      </c>
      <c r="FH351" s="408">
        <v>0</v>
      </c>
      <c r="FI351" s="408">
        <v>0</v>
      </c>
    </row>
    <row r="352" spans="1:165">
      <c r="A352" s="408">
        <v>350</v>
      </c>
      <c r="B352" s="408" t="s">
        <v>1035</v>
      </c>
      <c r="C352" s="408" t="s">
        <v>2241</v>
      </c>
      <c r="D352" s="408" t="s">
        <v>596</v>
      </c>
      <c r="E352" s="408" t="s">
        <v>997</v>
      </c>
      <c r="F352" s="408" t="s">
        <v>1321</v>
      </c>
      <c r="G352" s="408" t="s">
        <v>1321</v>
      </c>
      <c r="H352" s="408" t="s">
        <v>1321</v>
      </c>
      <c r="I352" s="408" t="s">
        <v>2242</v>
      </c>
      <c r="J352" s="408" t="s">
        <v>2234</v>
      </c>
      <c r="K352" s="828">
        <v>44652</v>
      </c>
      <c r="L352" s="408">
        <v>0</v>
      </c>
      <c r="M352" s="408">
        <v>0</v>
      </c>
      <c r="N352" s="408">
        <v>111.074</v>
      </c>
      <c r="O352" s="408">
        <v>111.074</v>
      </c>
      <c r="P352" s="408">
        <v>111.074</v>
      </c>
      <c r="Q352" s="408">
        <v>111.074</v>
      </c>
      <c r="R352" s="408"/>
      <c r="S352" s="408">
        <v>82.26</v>
      </c>
      <c r="T352" s="408">
        <v>256.55</v>
      </c>
      <c r="U352" s="408"/>
      <c r="V352" s="408">
        <v>37632.981939999998</v>
      </c>
      <c r="W352" s="408">
        <v>37632.981939999998</v>
      </c>
      <c r="X352" s="408">
        <v>39095.826520000002</v>
      </c>
      <c r="Y352" s="408">
        <v>0</v>
      </c>
      <c r="Z352" s="408">
        <v>5940.5677225898417</v>
      </c>
      <c r="AA352" s="408">
        <v>0</v>
      </c>
      <c r="AB352" s="408">
        <v>0</v>
      </c>
      <c r="AC352" s="408">
        <v>0</v>
      </c>
      <c r="AD352" s="408">
        <v>0</v>
      </c>
      <c r="AE352" s="408">
        <v>0</v>
      </c>
      <c r="AF352" s="408">
        <v>28496.314798865944</v>
      </c>
      <c r="AG352" s="408">
        <v>0</v>
      </c>
      <c r="AH352" s="408">
        <v>0</v>
      </c>
      <c r="AI352" s="408">
        <v>0</v>
      </c>
      <c r="AJ352" s="408">
        <v>0</v>
      </c>
      <c r="AK352" s="408">
        <v>0</v>
      </c>
      <c r="AL352" s="408">
        <v>1055.6765923697453</v>
      </c>
      <c r="AM352" s="408"/>
      <c r="AN352" s="408">
        <v>149.8449344940513</v>
      </c>
      <c r="AO352" s="408">
        <v>0</v>
      </c>
      <c r="AP352" s="408">
        <v>0</v>
      </c>
      <c r="AQ352" s="408">
        <v>0</v>
      </c>
      <c r="AR352" s="408">
        <v>0</v>
      </c>
      <c r="AS352" s="408">
        <v>0</v>
      </c>
      <c r="AT352" s="408">
        <v>0</v>
      </c>
      <c r="AU352" s="408">
        <v>0</v>
      </c>
      <c r="AV352" s="408">
        <v>0</v>
      </c>
      <c r="AW352" s="408">
        <v>0</v>
      </c>
      <c r="AX352" s="408">
        <v>0</v>
      </c>
      <c r="AY352" s="408">
        <v>0</v>
      </c>
      <c r="AZ352" s="408">
        <v>0</v>
      </c>
      <c r="BA352" s="408"/>
      <c r="BB352" s="408">
        <v>0</v>
      </c>
      <c r="BC352" s="408">
        <v>0</v>
      </c>
      <c r="BD352" s="408">
        <v>136.84596897596589</v>
      </c>
      <c r="BE352" s="408">
        <v>0</v>
      </c>
      <c r="BF352" s="408">
        <v>0</v>
      </c>
      <c r="BG352" s="408">
        <v>1853.7459972597003</v>
      </c>
      <c r="BH352" s="408">
        <v>0</v>
      </c>
      <c r="BI352" s="408">
        <v>0</v>
      </c>
      <c r="BJ352" s="408">
        <v>0</v>
      </c>
      <c r="BK352" s="408">
        <v>0</v>
      </c>
      <c r="BL352" s="408">
        <v>0</v>
      </c>
      <c r="BM352" s="408"/>
      <c r="BN352" s="408"/>
      <c r="BO352" s="408"/>
      <c r="BP352" s="408"/>
      <c r="BQ352" s="408"/>
      <c r="BR352" s="408"/>
      <c r="BS352" s="408"/>
      <c r="BT352" s="408"/>
      <c r="BU352" s="408"/>
      <c r="BV352" s="408">
        <v>30486.906765101608</v>
      </c>
      <c r="BW352" s="408"/>
      <c r="BX352" s="408"/>
      <c r="BY352" s="408"/>
      <c r="BZ352" s="408"/>
      <c r="CA352" s="408"/>
      <c r="CB352" s="408"/>
      <c r="CC352" s="408"/>
      <c r="CD352" s="408"/>
      <c r="CE352" s="408"/>
      <c r="CF352" s="408"/>
      <c r="CG352" s="408"/>
      <c r="CH352" s="408"/>
      <c r="CI352" s="408">
        <v>39094.418600000005</v>
      </c>
      <c r="CJ352" s="408">
        <v>1461.4066600000006</v>
      </c>
      <c r="CK352" s="408"/>
      <c r="CL352" s="408"/>
      <c r="CM352" s="408"/>
      <c r="CN352" s="408"/>
      <c r="CO352" s="408">
        <v>-313.22868000000079</v>
      </c>
      <c r="CP352" s="408">
        <v>1776.073260000001</v>
      </c>
      <c r="CQ352" s="408">
        <v>30</v>
      </c>
      <c r="CR352" s="408">
        <v>1462.3767490661194</v>
      </c>
      <c r="CS352" s="408">
        <v>0</v>
      </c>
      <c r="CT352" s="408">
        <v>0</v>
      </c>
      <c r="CU352" s="408">
        <v>0</v>
      </c>
      <c r="CV352" s="408">
        <v>0</v>
      </c>
      <c r="CW352" s="408">
        <v>0</v>
      </c>
      <c r="CX352" s="408">
        <v>0</v>
      </c>
      <c r="CY352" s="408">
        <v>0</v>
      </c>
      <c r="CZ352" s="408">
        <v>0</v>
      </c>
      <c r="DA352" s="408">
        <v>0</v>
      </c>
      <c r="DB352" s="408">
        <v>0</v>
      </c>
      <c r="DC352" s="408">
        <v>1775.2767888875678</v>
      </c>
      <c r="DD352" s="408">
        <v>0</v>
      </c>
      <c r="DE352" s="408">
        <v>0</v>
      </c>
      <c r="DF352" s="408">
        <v>8.5252943789608366</v>
      </c>
      <c r="DG352" s="408">
        <v>115.48553785485842</v>
      </c>
      <c r="DH352" s="408">
        <v>0</v>
      </c>
      <c r="DI352" s="408">
        <v>-369.40739310646677</v>
      </c>
      <c r="DJ352" s="408"/>
      <c r="DK352" s="408">
        <v>0</v>
      </c>
      <c r="DL352" s="408">
        <v>0</v>
      </c>
      <c r="DM352" s="408">
        <v>0</v>
      </c>
      <c r="DN352" s="408">
        <v>0</v>
      </c>
      <c r="DO352" s="408">
        <v>-57.927815247613921</v>
      </c>
      <c r="DP352" s="408">
        <v>-9.5756637011886028</v>
      </c>
      <c r="DQ352" s="408">
        <v>0</v>
      </c>
      <c r="DR352" s="408">
        <v>0</v>
      </c>
      <c r="DS352" s="408"/>
      <c r="DT352" s="408"/>
      <c r="DU352" s="408"/>
      <c r="DV352" s="408">
        <v>0</v>
      </c>
      <c r="DW352" s="408">
        <v>0</v>
      </c>
      <c r="DX352" s="408">
        <v>0</v>
      </c>
      <c r="DY352" s="408">
        <v>-313.22868000000017</v>
      </c>
      <c r="DZ352" s="408">
        <v>1776.073260000001</v>
      </c>
      <c r="EA352" s="408">
        <v>0</v>
      </c>
      <c r="EB352" s="408">
        <v>0</v>
      </c>
      <c r="EC352" s="408">
        <v>0</v>
      </c>
      <c r="ED352" s="408">
        <v>0</v>
      </c>
      <c r="EE352" s="408">
        <v>0</v>
      </c>
      <c r="EF352" s="408">
        <v>0</v>
      </c>
      <c r="EG352" s="408">
        <v>0</v>
      </c>
      <c r="EH352" s="408">
        <v>0</v>
      </c>
      <c r="EI352" s="408">
        <v>0</v>
      </c>
      <c r="EJ352" s="408">
        <v>0</v>
      </c>
      <c r="EK352" s="408">
        <v>0</v>
      </c>
      <c r="EL352" s="408">
        <v>0</v>
      </c>
      <c r="EM352" s="408">
        <v>0</v>
      </c>
      <c r="EN352" s="408">
        <v>0</v>
      </c>
      <c r="EO352" s="408">
        <v>0</v>
      </c>
      <c r="EP352" s="408">
        <v>0</v>
      </c>
      <c r="EQ352" s="408">
        <v>0</v>
      </c>
      <c r="ER352" s="408">
        <v>0</v>
      </c>
      <c r="ES352" s="408">
        <v>0</v>
      </c>
      <c r="ET352" s="408">
        <v>0</v>
      </c>
      <c r="EU352" s="408">
        <v>0</v>
      </c>
      <c r="EV352" s="408">
        <v>257</v>
      </c>
      <c r="EW352" s="408">
        <v>0</v>
      </c>
      <c r="EX352" s="408">
        <v>0</v>
      </c>
      <c r="EY352" s="408">
        <v>0</v>
      </c>
      <c r="EZ352" s="408"/>
      <c r="FA352" s="408">
        <v>0</v>
      </c>
      <c r="FB352" s="408"/>
      <c r="FC352" s="408"/>
      <c r="FD352" s="408"/>
      <c r="FE352" s="408"/>
      <c r="FF352" s="408">
        <v>0</v>
      </c>
      <c r="FG352" s="408">
        <v>0</v>
      </c>
      <c r="FH352" s="408">
        <v>0</v>
      </c>
      <c r="FI352" s="408">
        <v>0</v>
      </c>
    </row>
    <row r="353" spans="1:165">
      <c r="A353" s="408">
        <v>351</v>
      </c>
      <c r="B353" s="408" t="s">
        <v>2236</v>
      </c>
      <c r="C353" s="408" t="s">
        <v>2241</v>
      </c>
      <c r="D353" s="408" t="s">
        <v>596</v>
      </c>
      <c r="E353" s="408" t="s">
        <v>997</v>
      </c>
      <c r="F353" s="408" t="s">
        <v>1321</v>
      </c>
      <c r="G353" s="408" t="s">
        <v>1321</v>
      </c>
      <c r="H353" s="408" t="s">
        <v>1321</v>
      </c>
      <c r="I353" s="408" t="s">
        <v>2242</v>
      </c>
      <c r="J353" s="408" t="s">
        <v>2234</v>
      </c>
      <c r="K353" s="828">
        <v>44652</v>
      </c>
      <c r="L353" s="408">
        <v>0</v>
      </c>
      <c r="M353" s="408">
        <v>0</v>
      </c>
      <c r="N353" s="408">
        <v>1.415</v>
      </c>
      <c r="O353" s="408">
        <v>1.415</v>
      </c>
      <c r="P353" s="408">
        <v>1.415</v>
      </c>
      <c r="Q353" s="408">
        <v>1.415</v>
      </c>
      <c r="R353" s="408"/>
      <c r="S353" s="408">
        <v>82.26</v>
      </c>
      <c r="T353" s="408">
        <v>256.55</v>
      </c>
      <c r="U353" s="408"/>
      <c r="V353" s="408">
        <v>479.41615000000002</v>
      </c>
      <c r="W353" s="408">
        <v>479.41615000000002</v>
      </c>
      <c r="X353" s="408">
        <v>498.05170000000004</v>
      </c>
      <c r="Y353" s="408">
        <v>0</v>
      </c>
      <c r="Z353" s="408">
        <v>75.678406534964324</v>
      </c>
      <c r="AA353" s="408">
        <v>0</v>
      </c>
      <c r="AB353" s="408">
        <v>0</v>
      </c>
      <c r="AC353" s="408">
        <v>0</v>
      </c>
      <c r="AD353" s="408">
        <v>0</v>
      </c>
      <c r="AE353" s="408">
        <v>0</v>
      </c>
      <c r="AF353" s="408">
        <v>363.02181825085358</v>
      </c>
      <c r="AG353" s="408">
        <v>0</v>
      </c>
      <c r="AH353" s="408">
        <v>0</v>
      </c>
      <c r="AI353" s="408">
        <v>0</v>
      </c>
      <c r="AJ353" s="408">
        <v>0</v>
      </c>
      <c r="AK353" s="408">
        <v>0</v>
      </c>
      <c r="AL353" s="408">
        <v>13.448533213922159</v>
      </c>
      <c r="AM353" s="408"/>
      <c r="AN353" s="408">
        <v>1.9089128176628429</v>
      </c>
      <c r="AO353" s="408">
        <v>0</v>
      </c>
      <c r="AP353" s="408">
        <v>0</v>
      </c>
      <c r="AQ353" s="408">
        <v>0</v>
      </c>
      <c r="AR353" s="408">
        <v>0</v>
      </c>
      <c r="AS353" s="408">
        <v>0</v>
      </c>
      <c r="AT353" s="408">
        <v>0</v>
      </c>
      <c r="AU353" s="408">
        <v>0</v>
      </c>
      <c r="AV353" s="408">
        <v>0</v>
      </c>
      <c r="AW353" s="408">
        <v>0</v>
      </c>
      <c r="AX353" s="408">
        <v>0</v>
      </c>
      <c r="AY353" s="408">
        <v>0</v>
      </c>
      <c r="AZ353" s="408">
        <v>0</v>
      </c>
      <c r="BA353" s="408"/>
      <c r="BB353" s="408">
        <v>0</v>
      </c>
      <c r="BC353" s="408">
        <v>0</v>
      </c>
      <c r="BD353" s="408">
        <v>1.7433156823468297</v>
      </c>
      <c r="BE353" s="408">
        <v>0</v>
      </c>
      <c r="BF353" s="408">
        <v>0</v>
      </c>
      <c r="BG353" s="408">
        <v>23.61534279959735</v>
      </c>
      <c r="BH353" s="408">
        <v>0</v>
      </c>
      <c r="BI353" s="408">
        <v>0</v>
      </c>
      <c r="BJ353" s="408">
        <v>0</v>
      </c>
      <c r="BK353" s="408">
        <v>0</v>
      </c>
      <c r="BL353" s="408">
        <v>0</v>
      </c>
      <c r="BM353" s="408"/>
      <c r="BN353" s="408"/>
      <c r="BO353" s="408"/>
      <c r="BP353" s="408"/>
      <c r="BQ353" s="408"/>
      <c r="BR353" s="408"/>
      <c r="BS353" s="408"/>
      <c r="BT353" s="408"/>
      <c r="BU353" s="408"/>
      <c r="BV353" s="408">
        <v>388.38047673279772</v>
      </c>
      <c r="BW353" s="408"/>
      <c r="BX353" s="408"/>
      <c r="BY353" s="408"/>
      <c r="BZ353" s="408"/>
      <c r="CA353" s="408"/>
      <c r="CB353" s="408"/>
      <c r="CC353" s="408"/>
      <c r="CD353" s="408"/>
      <c r="CE353" s="408"/>
      <c r="CF353" s="408"/>
      <c r="CG353" s="408"/>
      <c r="CH353" s="408"/>
      <c r="CI353" s="408">
        <v>499.8116</v>
      </c>
      <c r="CJ353" s="408">
        <v>20.365449999999953</v>
      </c>
      <c r="CK353" s="408"/>
      <c r="CL353" s="408"/>
      <c r="CM353" s="408"/>
      <c r="CN353" s="408"/>
      <c r="CO353" s="408">
        <v>-3.9903000000000106</v>
      </c>
      <c r="CP353" s="408">
        <v>22.625850000000014</v>
      </c>
      <c r="CQ353" s="408">
        <v>30</v>
      </c>
      <c r="CR353" s="408">
        <v>18.629590182478012</v>
      </c>
      <c r="CS353" s="408">
        <v>0</v>
      </c>
      <c r="CT353" s="408">
        <v>0</v>
      </c>
      <c r="CU353" s="408">
        <v>0</v>
      </c>
      <c r="CV353" s="408">
        <v>0</v>
      </c>
      <c r="CW353" s="408">
        <v>0</v>
      </c>
      <c r="CX353" s="408">
        <v>0</v>
      </c>
      <c r="CY353" s="408">
        <v>0</v>
      </c>
      <c r="CZ353" s="408">
        <v>0</v>
      </c>
      <c r="DA353" s="408">
        <v>0</v>
      </c>
      <c r="DB353" s="408">
        <v>0</v>
      </c>
      <c r="DC353" s="408">
        <v>22.61570355146938</v>
      </c>
      <c r="DD353" s="408">
        <v>0</v>
      </c>
      <c r="DE353" s="408">
        <v>0</v>
      </c>
      <c r="DF353" s="408">
        <v>0.10860589828609379</v>
      </c>
      <c r="DG353" s="408">
        <v>1.4711997052831869</v>
      </c>
      <c r="DH353" s="408">
        <v>0</v>
      </c>
      <c r="DI353" s="408">
        <v>-4.7059749468431136</v>
      </c>
      <c r="DJ353" s="408"/>
      <c r="DK353" s="408">
        <v>0</v>
      </c>
      <c r="DL353" s="408">
        <v>0</v>
      </c>
      <c r="DM353" s="408">
        <v>0</v>
      </c>
      <c r="DN353" s="408">
        <v>0</v>
      </c>
      <c r="DO353" s="408">
        <v>-0.73795720488479688</v>
      </c>
      <c r="DP353" s="408">
        <v>-0.121986820832795</v>
      </c>
      <c r="DQ353" s="408">
        <v>0</v>
      </c>
      <c r="DR353" s="408">
        <v>0</v>
      </c>
      <c r="DS353" s="408"/>
      <c r="DT353" s="408"/>
      <c r="DU353" s="408"/>
      <c r="DV353" s="408">
        <v>0</v>
      </c>
      <c r="DW353" s="408">
        <v>0</v>
      </c>
      <c r="DX353" s="408">
        <v>0</v>
      </c>
      <c r="DY353" s="408">
        <v>-3.9903000000000048</v>
      </c>
      <c r="DZ353" s="408">
        <v>22.625850000000014</v>
      </c>
      <c r="EA353" s="408">
        <v>0</v>
      </c>
      <c r="EB353" s="408">
        <v>0</v>
      </c>
      <c r="EC353" s="408">
        <v>0</v>
      </c>
      <c r="ED353" s="408">
        <v>0</v>
      </c>
      <c r="EE353" s="408">
        <v>0</v>
      </c>
      <c r="EF353" s="408">
        <v>0</v>
      </c>
      <c r="EG353" s="408">
        <v>0</v>
      </c>
      <c r="EH353" s="408">
        <v>0</v>
      </c>
      <c r="EI353" s="408">
        <v>0</v>
      </c>
      <c r="EJ353" s="408">
        <v>0</v>
      </c>
      <c r="EK353" s="408">
        <v>0</v>
      </c>
      <c r="EL353" s="408">
        <v>0</v>
      </c>
      <c r="EM353" s="408">
        <v>0</v>
      </c>
      <c r="EN353" s="408">
        <v>0</v>
      </c>
      <c r="EO353" s="408">
        <v>0</v>
      </c>
      <c r="EP353" s="408">
        <v>0</v>
      </c>
      <c r="EQ353" s="408">
        <v>0</v>
      </c>
      <c r="ER353" s="408">
        <v>0</v>
      </c>
      <c r="ES353" s="408">
        <v>0</v>
      </c>
      <c r="ET353" s="408">
        <v>0</v>
      </c>
      <c r="EU353" s="408">
        <v>0</v>
      </c>
      <c r="EV353" s="408">
        <v>257</v>
      </c>
      <c r="EW353" s="408">
        <v>0</v>
      </c>
      <c r="EX353" s="408">
        <v>0</v>
      </c>
      <c r="EY353" s="408">
        <v>0</v>
      </c>
      <c r="EZ353" s="408"/>
      <c r="FA353" s="408">
        <v>0</v>
      </c>
      <c r="FB353" s="408"/>
      <c r="FC353" s="408"/>
      <c r="FD353" s="408"/>
      <c r="FE353" s="408"/>
      <c r="FF353" s="408">
        <v>0</v>
      </c>
      <c r="FG353" s="408">
        <v>0</v>
      </c>
      <c r="FH353" s="408">
        <v>0</v>
      </c>
      <c r="FI353" s="408">
        <v>0</v>
      </c>
    </row>
    <row r="354" spans="1:165">
      <c r="A354" s="408">
        <v>352</v>
      </c>
      <c r="B354" s="408" t="s">
        <v>1035</v>
      </c>
      <c r="C354" s="408" t="s">
        <v>2241</v>
      </c>
      <c r="D354" s="408" t="s">
        <v>596</v>
      </c>
      <c r="E354" s="408" t="s">
        <v>997</v>
      </c>
      <c r="F354" s="408" t="s">
        <v>1321</v>
      </c>
      <c r="G354" s="408" t="s">
        <v>1321</v>
      </c>
      <c r="H354" s="408" t="s">
        <v>1321</v>
      </c>
      <c r="I354" s="408" t="s">
        <v>1321</v>
      </c>
      <c r="J354" s="408" t="s">
        <v>2234</v>
      </c>
      <c r="K354" s="828">
        <v>44652</v>
      </c>
      <c r="L354" s="408">
        <v>864</v>
      </c>
      <c r="M354" s="408">
        <v>864</v>
      </c>
      <c r="N354" s="408">
        <v>0</v>
      </c>
      <c r="O354" s="408">
        <v>0</v>
      </c>
      <c r="P354" s="408">
        <v>0</v>
      </c>
      <c r="Q354" s="408">
        <v>0</v>
      </c>
      <c r="R354" s="408">
        <v>47.39</v>
      </c>
      <c r="S354" s="408"/>
      <c r="T354" s="408"/>
      <c r="U354" s="408">
        <v>40944.959999999999</v>
      </c>
      <c r="V354" s="408"/>
      <c r="W354" s="408">
        <v>40944.959999999999</v>
      </c>
      <c r="X354" s="408">
        <v>27838.079999999998</v>
      </c>
      <c r="Y354" s="408">
        <v>0</v>
      </c>
      <c r="Z354" s="408">
        <v>0</v>
      </c>
      <c r="AA354" s="408">
        <v>0</v>
      </c>
      <c r="AB354" s="408">
        <v>0</v>
      </c>
      <c r="AC354" s="408">
        <v>0</v>
      </c>
      <c r="AD354" s="408">
        <v>21574.166555058364</v>
      </c>
      <c r="AE354" s="408">
        <v>19370.765300310286</v>
      </c>
      <c r="AF354" s="408"/>
      <c r="AG354" s="408"/>
      <c r="AH354" s="408"/>
      <c r="AI354" s="408">
        <v>0</v>
      </c>
      <c r="AJ354" s="408">
        <v>0</v>
      </c>
      <c r="AK354" s="408">
        <v>0</v>
      </c>
      <c r="AL354" s="408">
        <v>0</v>
      </c>
      <c r="AM354" s="408"/>
      <c r="AN354" s="408">
        <v>0</v>
      </c>
      <c r="AO354" s="408">
        <v>0</v>
      </c>
      <c r="AP354" s="408">
        <v>0</v>
      </c>
      <c r="AQ354" s="408">
        <v>0</v>
      </c>
      <c r="AR354" s="408">
        <v>0</v>
      </c>
      <c r="AS354" s="408"/>
      <c r="AT354" s="408"/>
      <c r="AU354" s="408">
        <v>0</v>
      </c>
      <c r="AV354" s="408">
        <v>0</v>
      </c>
      <c r="AW354" s="408">
        <v>0</v>
      </c>
      <c r="AX354" s="408"/>
      <c r="AY354" s="408"/>
      <c r="AZ354" s="408">
        <v>0</v>
      </c>
      <c r="BA354" s="408"/>
      <c r="BB354" s="408">
        <v>0</v>
      </c>
      <c r="BC354" s="408">
        <v>0</v>
      </c>
      <c r="BD354" s="408">
        <v>0</v>
      </c>
      <c r="BE354" s="408">
        <v>0</v>
      </c>
      <c r="BF354" s="408"/>
      <c r="BG354" s="408">
        <v>0</v>
      </c>
      <c r="BH354" s="408">
        <v>0</v>
      </c>
      <c r="BI354" s="408">
        <v>267.02999999999997</v>
      </c>
      <c r="BJ354" s="408">
        <v>1238.0899999999999</v>
      </c>
      <c r="BK354" s="408">
        <v>33717.18</v>
      </c>
      <c r="BL354" s="408">
        <v>10</v>
      </c>
      <c r="BM354" s="408"/>
      <c r="BN354" s="408"/>
      <c r="BO354" s="408"/>
      <c r="BP354" s="408"/>
      <c r="BQ354" s="408"/>
      <c r="BR354" s="408"/>
      <c r="BS354" s="408"/>
      <c r="BT354" s="408"/>
      <c r="BU354" s="408"/>
      <c r="BV354" s="408">
        <v>0</v>
      </c>
      <c r="BW354" s="408"/>
      <c r="BX354" s="408"/>
      <c r="BY354" s="408"/>
      <c r="BZ354" s="408"/>
      <c r="CA354" s="408"/>
      <c r="CB354" s="408"/>
      <c r="CC354" s="408"/>
      <c r="CD354" s="408"/>
      <c r="CE354" s="408"/>
      <c r="CF354" s="408"/>
      <c r="CG354" s="408"/>
      <c r="CH354" s="408"/>
      <c r="CI354" s="408">
        <v>27838.079999999998</v>
      </c>
      <c r="CJ354" s="408">
        <v>-13106.910000000007</v>
      </c>
      <c r="CK354" s="408"/>
      <c r="CL354" s="408"/>
      <c r="CM354" s="408"/>
      <c r="CN354" s="408"/>
      <c r="CO354" s="408">
        <v>-13106.880000000001</v>
      </c>
      <c r="CP354" s="408">
        <v>0</v>
      </c>
      <c r="CQ354" s="408">
        <v>30</v>
      </c>
      <c r="CR354" s="408">
        <v>-97.516589741651842</v>
      </c>
      <c r="CS354" s="408">
        <v>0</v>
      </c>
      <c r="CT354" s="408">
        <v>0</v>
      </c>
      <c r="CU354" s="408">
        <v>0</v>
      </c>
      <c r="CV354" s="408">
        <v>0</v>
      </c>
      <c r="CW354" s="408"/>
      <c r="CX354" s="408"/>
      <c r="CY354" s="408"/>
      <c r="CZ354" s="408">
        <v>-97.516589741651842</v>
      </c>
      <c r="DA354" s="408">
        <v>0</v>
      </c>
      <c r="DB354" s="408">
        <v>0</v>
      </c>
      <c r="DC354" s="408"/>
      <c r="DD354" s="408"/>
      <c r="DE354" s="408">
        <v>0</v>
      </c>
      <c r="DF354" s="408">
        <v>0</v>
      </c>
      <c r="DG354" s="408">
        <v>0</v>
      </c>
      <c r="DH354" s="408">
        <v>0</v>
      </c>
      <c r="DI354" s="408">
        <v>0</v>
      </c>
      <c r="DJ354" s="408"/>
      <c r="DK354" s="408">
        <v>0</v>
      </c>
      <c r="DL354" s="408">
        <v>0</v>
      </c>
      <c r="DM354" s="408"/>
      <c r="DN354" s="408">
        <v>0</v>
      </c>
      <c r="DO354" s="408">
        <v>0</v>
      </c>
      <c r="DP354" s="408">
        <v>0</v>
      </c>
      <c r="DQ354" s="408">
        <v>0</v>
      </c>
      <c r="DR354" s="408">
        <v>0</v>
      </c>
      <c r="DS354" s="408"/>
      <c r="DT354" s="408"/>
      <c r="DU354" s="408">
        <v>19370.765300310286</v>
      </c>
      <c r="DV354" s="408"/>
      <c r="DW354" s="408">
        <v>0</v>
      </c>
      <c r="DX354" s="408">
        <v>0</v>
      </c>
      <c r="DY354" s="408">
        <v>-13106.880000000001</v>
      </c>
      <c r="DZ354" s="408"/>
      <c r="EA354" s="408">
        <v>0</v>
      </c>
      <c r="EB354" s="408"/>
      <c r="EC354" s="408">
        <v>-13010.852361799478</v>
      </c>
      <c r="ED354" s="408"/>
      <c r="EE354" s="408">
        <v>0</v>
      </c>
      <c r="EF354" s="408">
        <v>0</v>
      </c>
      <c r="EG354" s="408"/>
      <c r="EH354" s="408">
        <v>0</v>
      </c>
      <c r="EI354" s="408">
        <v>0</v>
      </c>
      <c r="EJ354" s="408">
        <v>0</v>
      </c>
      <c r="EK354" s="408">
        <v>0</v>
      </c>
      <c r="EL354" s="408">
        <v>0</v>
      </c>
      <c r="EM354" s="408"/>
      <c r="EN354" s="408"/>
      <c r="EO354" s="408">
        <v>0</v>
      </c>
      <c r="EP354" s="408">
        <v>0</v>
      </c>
      <c r="EQ354" s="408"/>
      <c r="ER354" s="408">
        <v>0</v>
      </c>
      <c r="ES354" s="408"/>
      <c r="ET354" s="408">
        <v>0</v>
      </c>
      <c r="EU354" s="408"/>
      <c r="EV354" s="408">
        <v>257</v>
      </c>
      <c r="EW354" s="408"/>
      <c r="EX354" s="408"/>
      <c r="EY354" s="408"/>
      <c r="EZ354" s="408"/>
      <c r="FA354" s="408">
        <v>0</v>
      </c>
      <c r="FB354" s="408"/>
      <c r="FC354" s="408"/>
      <c r="FD354" s="408"/>
      <c r="FE354" s="408"/>
      <c r="FF354" s="408">
        <v>0</v>
      </c>
      <c r="FG354" s="408">
        <v>0</v>
      </c>
      <c r="FH354" s="408">
        <v>0</v>
      </c>
      <c r="FI354" s="408">
        <v>0</v>
      </c>
    </row>
    <row r="355" spans="1:165">
      <c r="A355" s="408">
        <v>353</v>
      </c>
      <c r="B355" s="408" t="s">
        <v>2236</v>
      </c>
      <c r="C355" s="408" t="s">
        <v>2241</v>
      </c>
      <c r="D355" s="408" t="s">
        <v>596</v>
      </c>
      <c r="E355" s="408" t="s">
        <v>997</v>
      </c>
      <c r="F355" s="408" t="s">
        <v>1321</v>
      </c>
      <c r="G355" s="408" t="s">
        <v>1321</v>
      </c>
      <c r="H355" s="408" t="s">
        <v>1321</v>
      </c>
      <c r="I355" s="408" t="s">
        <v>1321</v>
      </c>
      <c r="J355" s="408" t="s">
        <v>2234</v>
      </c>
      <c r="K355" s="828">
        <v>44652</v>
      </c>
      <c r="L355" s="408">
        <v>45</v>
      </c>
      <c r="M355" s="408">
        <v>45</v>
      </c>
      <c r="N355" s="408">
        <v>0</v>
      </c>
      <c r="O355" s="408">
        <v>0</v>
      </c>
      <c r="P355" s="408">
        <v>0</v>
      </c>
      <c r="Q355" s="408">
        <v>0</v>
      </c>
      <c r="R355" s="408">
        <v>47.39</v>
      </c>
      <c r="S355" s="408"/>
      <c r="T355" s="408"/>
      <c r="U355" s="408">
        <v>2132.5500000000002</v>
      </c>
      <c r="V355" s="408"/>
      <c r="W355" s="408">
        <v>2132.5500000000002</v>
      </c>
      <c r="X355" s="408">
        <v>1449.8999999999999</v>
      </c>
      <c r="Y355" s="408">
        <v>0</v>
      </c>
      <c r="Z355" s="408">
        <v>0</v>
      </c>
      <c r="AA355" s="408">
        <v>0</v>
      </c>
      <c r="AB355" s="408">
        <v>0</v>
      </c>
      <c r="AC355" s="408">
        <v>0</v>
      </c>
      <c r="AD355" s="408">
        <v>1123.6545080759565</v>
      </c>
      <c r="AE355" s="408">
        <v>1008.8940260578274</v>
      </c>
      <c r="AF355" s="408"/>
      <c r="AG355" s="408"/>
      <c r="AH355" s="408"/>
      <c r="AI355" s="408">
        <v>0</v>
      </c>
      <c r="AJ355" s="408">
        <v>0</v>
      </c>
      <c r="AK355" s="408">
        <v>0</v>
      </c>
      <c r="AL355" s="408">
        <v>0</v>
      </c>
      <c r="AM355" s="408"/>
      <c r="AN355" s="408">
        <v>0</v>
      </c>
      <c r="AO355" s="408">
        <v>0</v>
      </c>
      <c r="AP355" s="408">
        <v>0</v>
      </c>
      <c r="AQ355" s="408">
        <v>0</v>
      </c>
      <c r="AR355" s="408">
        <v>0</v>
      </c>
      <c r="AS355" s="408"/>
      <c r="AT355" s="408"/>
      <c r="AU355" s="408">
        <v>0</v>
      </c>
      <c r="AV355" s="408">
        <v>0</v>
      </c>
      <c r="AW355" s="408">
        <v>0</v>
      </c>
      <c r="AX355" s="408"/>
      <c r="AY355" s="408"/>
      <c r="AZ355" s="408">
        <v>0</v>
      </c>
      <c r="BA355" s="408"/>
      <c r="BB355" s="408">
        <v>0</v>
      </c>
      <c r="BC355" s="408">
        <v>0</v>
      </c>
      <c r="BD355" s="408">
        <v>0</v>
      </c>
      <c r="BE355" s="408">
        <v>0</v>
      </c>
      <c r="BF355" s="408"/>
      <c r="BG355" s="408">
        <v>0</v>
      </c>
      <c r="BH355" s="408">
        <v>0</v>
      </c>
      <c r="BI355" s="408">
        <v>9.3699999999999992</v>
      </c>
      <c r="BJ355" s="408">
        <v>43.48</v>
      </c>
      <c r="BK355" s="408">
        <v>1161.73</v>
      </c>
      <c r="BL355" s="408">
        <v>1</v>
      </c>
      <c r="BM355" s="408"/>
      <c r="BN355" s="408"/>
      <c r="BO355" s="408"/>
      <c r="BP355" s="408"/>
      <c r="BQ355" s="408"/>
      <c r="BR355" s="408"/>
      <c r="BS355" s="408"/>
      <c r="BT355" s="408"/>
      <c r="BU355" s="408"/>
      <c r="BV355" s="408">
        <v>0</v>
      </c>
      <c r="BW355" s="408"/>
      <c r="BX355" s="408"/>
      <c r="BY355" s="408"/>
      <c r="BZ355" s="408"/>
      <c r="CA355" s="408"/>
      <c r="CB355" s="408"/>
      <c r="CC355" s="408"/>
      <c r="CD355" s="408"/>
      <c r="CE355" s="408"/>
      <c r="CF355" s="408"/>
      <c r="CG355" s="408"/>
      <c r="CH355" s="408"/>
      <c r="CI355" s="408">
        <v>1449.8999999999999</v>
      </c>
      <c r="CJ355" s="408">
        <v>-682.68000000000097</v>
      </c>
      <c r="CK355" s="408"/>
      <c r="CL355" s="408"/>
      <c r="CM355" s="408"/>
      <c r="CN355" s="408"/>
      <c r="CO355" s="408">
        <v>-682.65000000000009</v>
      </c>
      <c r="CP355" s="408">
        <v>0</v>
      </c>
      <c r="CQ355" s="408">
        <v>30</v>
      </c>
      <c r="CR355" s="408">
        <v>-5.0789890490445941</v>
      </c>
      <c r="CS355" s="408">
        <v>0</v>
      </c>
      <c r="CT355" s="408">
        <v>0</v>
      </c>
      <c r="CU355" s="408">
        <v>0</v>
      </c>
      <c r="CV355" s="408">
        <v>0</v>
      </c>
      <c r="CW355" s="408"/>
      <c r="CX355" s="408"/>
      <c r="CY355" s="408"/>
      <c r="CZ355" s="408">
        <v>-5.0789890490445941</v>
      </c>
      <c r="DA355" s="408">
        <v>0</v>
      </c>
      <c r="DB355" s="408">
        <v>0</v>
      </c>
      <c r="DC355" s="408"/>
      <c r="DD355" s="408"/>
      <c r="DE355" s="408">
        <v>0</v>
      </c>
      <c r="DF355" s="408">
        <v>0</v>
      </c>
      <c r="DG355" s="408">
        <v>0</v>
      </c>
      <c r="DH355" s="408">
        <v>0</v>
      </c>
      <c r="DI355" s="408">
        <v>0</v>
      </c>
      <c r="DJ355" s="408"/>
      <c r="DK355" s="408">
        <v>0</v>
      </c>
      <c r="DL355" s="408">
        <v>0</v>
      </c>
      <c r="DM355" s="408"/>
      <c r="DN355" s="408">
        <v>0</v>
      </c>
      <c r="DO355" s="408">
        <v>0</v>
      </c>
      <c r="DP355" s="408">
        <v>0</v>
      </c>
      <c r="DQ355" s="408">
        <v>0</v>
      </c>
      <c r="DR355" s="408">
        <v>0</v>
      </c>
      <c r="DS355" s="408"/>
      <c r="DT355" s="408"/>
      <c r="DU355" s="408">
        <v>1008.8940260578274</v>
      </c>
      <c r="DV355" s="408"/>
      <c r="DW355" s="408">
        <v>0</v>
      </c>
      <c r="DX355" s="408">
        <v>0</v>
      </c>
      <c r="DY355" s="408">
        <v>-682.65000000000032</v>
      </c>
      <c r="DZ355" s="408"/>
      <c r="EA355" s="408">
        <v>0</v>
      </c>
      <c r="EB355" s="408"/>
      <c r="EC355" s="408">
        <v>-677.64856051038953</v>
      </c>
      <c r="ED355" s="408"/>
      <c r="EE355" s="408">
        <v>0</v>
      </c>
      <c r="EF355" s="408">
        <v>0</v>
      </c>
      <c r="EG355" s="408"/>
      <c r="EH355" s="408">
        <v>0</v>
      </c>
      <c r="EI355" s="408">
        <v>0</v>
      </c>
      <c r="EJ355" s="408">
        <v>0</v>
      </c>
      <c r="EK355" s="408">
        <v>0</v>
      </c>
      <c r="EL355" s="408">
        <v>0</v>
      </c>
      <c r="EM355" s="408"/>
      <c r="EN355" s="408"/>
      <c r="EO355" s="408">
        <v>0</v>
      </c>
      <c r="EP355" s="408">
        <v>0</v>
      </c>
      <c r="EQ355" s="408"/>
      <c r="ER355" s="408">
        <v>0</v>
      </c>
      <c r="ES355" s="408"/>
      <c r="ET355" s="408">
        <v>0</v>
      </c>
      <c r="EU355" s="408"/>
      <c r="EV355" s="408">
        <v>257</v>
      </c>
      <c r="EW355" s="408"/>
      <c r="EX355" s="408"/>
      <c r="EY355" s="408"/>
      <c r="EZ355" s="408"/>
      <c r="FA355" s="408">
        <v>0</v>
      </c>
      <c r="FB355" s="408"/>
      <c r="FC355" s="408"/>
      <c r="FD355" s="408"/>
      <c r="FE355" s="408"/>
      <c r="FF355" s="408">
        <v>0</v>
      </c>
      <c r="FG355" s="408">
        <v>0</v>
      </c>
      <c r="FH355" s="408">
        <v>0</v>
      </c>
      <c r="FI355" s="408">
        <v>0</v>
      </c>
    </row>
    <row r="356" spans="1:165">
      <c r="A356" s="408">
        <v>354</v>
      </c>
      <c r="B356" s="408" t="s">
        <v>1035</v>
      </c>
      <c r="C356" s="408" t="s">
        <v>2233</v>
      </c>
      <c r="D356" s="408" t="s">
        <v>2243</v>
      </c>
      <c r="E356" s="408" t="s">
        <v>973</v>
      </c>
      <c r="F356" s="408" t="s">
        <v>1321</v>
      </c>
      <c r="G356" s="408" t="s">
        <v>1321</v>
      </c>
      <c r="H356" s="408" t="s">
        <v>1321</v>
      </c>
      <c r="I356" s="408" t="s">
        <v>1321</v>
      </c>
      <c r="J356" s="408" t="s">
        <v>2234</v>
      </c>
      <c r="K356" s="828">
        <v>44652</v>
      </c>
      <c r="L356" s="408">
        <v>0</v>
      </c>
      <c r="M356" s="408">
        <v>0</v>
      </c>
      <c r="N356" s="408">
        <v>2940.6080000000002</v>
      </c>
      <c r="O356" s="408">
        <v>2940.6080000000002</v>
      </c>
      <c r="P356" s="408">
        <v>2940.6080000000002</v>
      </c>
      <c r="Q356" s="408">
        <v>2940.6080000000002</v>
      </c>
      <c r="R356" s="408"/>
      <c r="S356" s="408">
        <v>710.91</v>
      </c>
      <c r="T356" s="408">
        <v>256.55</v>
      </c>
      <c r="U356" s="408"/>
      <c r="V356" s="408">
        <v>2844920.6156799998</v>
      </c>
      <c r="W356" s="408">
        <v>2844920.6156799998</v>
      </c>
      <c r="X356" s="408">
        <v>1942065.7414400002</v>
      </c>
      <c r="Y356" s="408">
        <v>0</v>
      </c>
      <c r="Z356" s="408">
        <v>180772.93991630591</v>
      </c>
      <c r="AA356" s="408">
        <v>0</v>
      </c>
      <c r="AB356" s="408">
        <v>0</v>
      </c>
      <c r="AC356" s="408">
        <v>0</v>
      </c>
      <c r="AD356" s="408">
        <v>361938.23635811411</v>
      </c>
      <c r="AE356" s="408">
        <v>1402405.5426722839</v>
      </c>
      <c r="AF356" s="408">
        <v>754420.3978254461</v>
      </c>
      <c r="AG356" s="408">
        <v>0</v>
      </c>
      <c r="AH356" s="408">
        <v>0</v>
      </c>
      <c r="AI356" s="408">
        <v>0</v>
      </c>
      <c r="AJ356" s="408">
        <v>0</v>
      </c>
      <c r="AK356" s="408">
        <v>0</v>
      </c>
      <c r="AL356" s="408">
        <v>27948.314033304036</v>
      </c>
      <c r="AM356" s="408"/>
      <c r="AN356" s="408">
        <v>6457.0007094003231</v>
      </c>
      <c r="AO356" s="408">
        <v>0</v>
      </c>
      <c r="AP356" s="408">
        <v>0</v>
      </c>
      <c r="AQ356" s="408">
        <v>0</v>
      </c>
      <c r="AR356" s="408">
        <v>0</v>
      </c>
      <c r="AS356" s="408">
        <v>0</v>
      </c>
      <c r="AT356" s="408">
        <v>0</v>
      </c>
      <c r="AU356" s="408">
        <v>0</v>
      </c>
      <c r="AV356" s="408">
        <v>0</v>
      </c>
      <c r="AW356" s="408">
        <v>0</v>
      </c>
      <c r="AX356" s="408">
        <v>0</v>
      </c>
      <c r="AY356" s="408">
        <v>0</v>
      </c>
      <c r="AZ356" s="408">
        <v>0</v>
      </c>
      <c r="BA356" s="408"/>
      <c r="BB356" s="408">
        <v>0</v>
      </c>
      <c r="BC356" s="408">
        <v>0</v>
      </c>
      <c r="BD356" s="408">
        <v>4382.4478853003093</v>
      </c>
      <c r="BE356" s="408">
        <v>0</v>
      </c>
      <c r="BF356" s="408">
        <v>0</v>
      </c>
      <c r="BG356" s="408">
        <v>106607.04475662801</v>
      </c>
      <c r="BH356" s="408">
        <v>0</v>
      </c>
      <c r="BI356" s="408">
        <v>5353.93</v>
      </c>
      <c r="BJ356" s="408">
        <v>25000.080000000002</v>
      </c>
      <c r="BK356" s="408">
        <v>136665.48000000001</v>
      </c>
      <c r="BL356" s="408">
        <v>8869</v>
      </c>
      <c r="BM356" s="408"/>
      <c r="BN356" s="408"/>
      <c r="BO356" s="408"/>
      <c r="BP356" s="408"/>
      <c r="BQ356" s="408"/>
      <c r="BR356" s="408">
        <v>233043.18399999995</v>
      </c>
      <c r="BS356" s="408"/>
      <c r="BT356" s="408"/>
      <c r="BU356" s="408"/>
      <c r="BV356" s="408">
        <v>865409.89046737435</v>
      </c>
      <c r="BW356" s="408"/>
      <c r="BX356" s="408"/>
      <c r="BY356" s="408"/>
      <c r="BZ356" s="408"/>
      <c r="CA356" s="408"/>
      <c r="CB356" s="408"/>
      <c r="CC356" s="408"/>
      <c r="CD356" s="408"/>
      <c r="CE356" s="408"/>
      <c r="CF356" s="408"/>
      <c r="CG356" s="408"/>
      <c r="CH356" s="408"/>
      <c r="CI356" s="408">
        <v>1709023.7198000001</v>
      </c>
      <c r="CJ356" s="408">
        <v>-794521.74316000007</v>
      </c>
      <c r="CK356" s="408"/>
      <c r="CL356" s="408"/>
      <c r="CM356" s="408"/>
      <c r="CN356" s="408"/>
      <c r="CO356" s="408">
        <v>-949875.19616000005</v>
      </c>
      <c r="CP356" s="408">
        <v>47020.321920000031</v>
      </c>
      <c r="CQ356" s="408">
        <v>30</v>
      </c>
      <c r="CR356" s="408">
        <v>39090.343564591603</v>
      </c>
      <c r="CS356" s="408">
        <v>0</v>
      </c>
      <c r="CT356" s="408">
        <v>0</v>
      </c>
      <c r="CU356" s="408">
        <v>0</v>
      </c>
      <c r="CV356" s="408">
        <v>0</v>
      </c>
      <c r="CW356" s="408">
        <v>0</v>
      </c>
      <c r="CX356" s="408">
        <v>0</v>
      </c>
      <c r="CY356" s="408">
        <v>0</v>
      </c>
      <c r="CZ356" s="408">
        <v>-1635.9835925372317</v>
      </c>
      <c r="DA356" s="408">
        <v>0</v>
      </c>
      <c r="DB356" s="408">
        <v>0</v>
      </c>
      <c r="DC356" s="408">
        <v>46999.235893342178</v>
      </c>
      <c r="DD356" s="408">
        <v>0</v>
      </c>
      <c r="DE356" s="408">
        <v>0</v>
      </c>
      <c r="DF356" s="408">
        <v>273.01979446102905</v>
      </c>
      <c r="DG356" s="408">
        <v>6641.4556908204831</v>
      </c>
      <c r="DH356" s="408">
        <v>0</v>
      </c>
      <c r="DI356" s="408">
        <v>-11241.158016722591</v>
      </c>
      <c r="DJ356" s="408"/>
      <c r="DK356" s="408">
        <v>0</v>
      </c>
      <c r="DL356" s="408">
        <v>0</v>
      </c>
      <c r="DM356" s="408">
        <v>0</v>
      </c>
      <c r="DN356" s="408">
        <v>0</v>
      </c>
      <c r="DO356" s="408">
        <v>-1533.5991945878923</v>
      </c>
      <c r="DP356" s="408">
        <v>-412.6270101843611</v>
      </c>
      <c r="DQ356" s="408">
        <v>0</v>
      </c>
      <c r="DR356" s="408">
        <v>0</v>
      </c>
      <c r="DS356" s="408"/>
      <c r="DT356" s="408"/>
      <c r="DU356" s="408"/>
      <c r="DV356" s="408">
        <v>1402405.5426722839</v>
      </c>
      <c r="DW356" s="408">
        <v>0</v>
      </c>
      <c r="DX356" s="408">
        <v>0</v>
      </c>
      <c r="DY356" s="408">
        <v>-949875.19615999982</v>
      </c>
      <c r="DZ356" s="408">
        <v>47020.321920000017</v>
      </c>
      <c r="EA356" s="408">
        <v>0</v>
      </c>
      <c r="EB356" s="408">
        <v>0</v>
      </c>
      <c r="EC356" s="408">
        <v>-941960.27798582101</v>
      </c>
      <c r="ED356" s="408">
        <v>0</v>
      </c>
      <c r="EE356" s="408">
        <v>0</v>
      </c>
      <c r="EF356" s="408">
        <v>0</v>
      </c>
      <c r="EG356" s="408">
        <v>0</v>
      </c>
      <c r="EH356" s="408">
        <v>0</v>
      </c>
      <c r="EI356" s="408">
        <v>0</v>
      </c>
      <c r="EJ356" s="408">
        <v>0</v>
      </c>
      <c r="EK356" s="408">
        <v>0</v>
      </c>
      <c r="EL356" s="408">
        <v>0</v>
      </c>
      <c r="EM356" s="408">
        <v>0</v>
      </c>
      <c r="EN356" s="408">
        <v>0</v>
      </c>
      <c r="EO356" s="408">
        <v>0</v>
      </c>
      <c r="EP356" s="408">
        <v>0</v>
      </c>
      <c r="EQ356" s="408">
        <v>0</v>
      </c>
      <c r="ER356" s="408">
        <v>0</v>
      </c>
      <c r="ES356" s="408">
        <v>0</v>
      </c>
      <c r="ET356" s="408">
        <v>0</v>
      </c>
      <c r="EU356" s="408">
        <v>0</v>
      </c>
      <c r="EV356" s="408">
        <v>257</v>
      </c>
      <c r="EW356" s="408">
        <v>0</v>
      </c>
      <c r="EX356" s="408">
        <v>0</v>
      </c>
      <c r="EY356" s="408">
        <v>0</v>
      </c>
      <c r="EZ356" s="408"/>
      <c r="FA356" s="408">
        <v>0</v>
      </c>
      <c r="FB356" s="408"/>
      <c r="FC356" s="408"/>
      <c r="FD356" s="408"/>
      <c r="FE356" s="408"/>
      <c r="FF356" s="408">
        <v>0</v>
      </c>
      <c r="FG356" s="408">
        <v>0</v>
      </c>
      <c r="FH356" s="408">
        <v>0</v>
      </c>
      <c r="FI356" s="408">
        <v>0</v>
      </c>
    </row>
    <row r="357" spans="1:165">
      <c r="A357" s="408">
        <v>355</v>
      </c>
      <c r="B357" s="408" t="s">
        <v>2235</v>
      </c>
      <c r="C357" s="408" t="s">
        <v>2233</v>
      </c>
      <c r="D357" s="408" t="s">
        <v>2243</v>
      </c>
      <c r="E357" s="408" t="s">
        <v>973</v>
      </c>
      <c r="F357" s="408" t="s">
        <v>1321</v>
      </c>
      <c r="G357" s="408" t="s">
        <v>1321</v>
      </c>
      <c r="H357" s="408" t="s">
        <v>1321</v>
      </c>
      <c r="I357" s="408" t="s">
        <v>1321</v>
      </c>
      <c r="J357" s="408" t="s">
        <v>2234</v>
      </c>
      <c r="K357" s="828">
        <v>44652</v>
      </c>
      <c r="L357" s="408">
        <v>0</v>
      </c>
      <c r="M357" s="408">
        <v>0</v>
      </c>
      <c r="N357" s="408">
        <v>-16.818999999999999</v>
      </c>
      <c r="O357" s="408">
        <v>-16.818999999999999</v>
      </c>
      <c r="P357" s="408">
        <v>-16.818999999999999</v>
      </c>
      <c r="Q357" s="408">
        <v>-16.818999999999999</v>
      </c>
      <c r="R357" s="408"/>
      <c r="S357" s="408">
        <v>710.91</v>
      </c>
      <c r="T357" s="408">
        <v>256.55</v>
      </c>
      <c r="U357" s="408"/>
      <c r="V357" s="408">
        <v>-16271.709739999998</v>
      </c>
      <c r="W357" s="408">
        <v>-16271.709739999998</v>
      </c>
      <c r="X357" s="408">
        <v>-11107.77217</v>
      </c>
      <c r="Y357" s="408">
        <v>0</v>
      </c>
      <c r="Z357" s="408">
        <v>-1033.9426664323667</v>
      </c>
      <c r="AA357" s="408">
        <v>0</v>
      </c>
      <c r="AB357" s="408">
        <v>0</v>
      </c>
      <c r="AC357" s="408">
        <v>0</v>
      </c>
      <c r="AD357" s="408">
        <v>-2070.1294417029135</v>
      </c>
      <c r="AE357" s="408">
        <v>-8021.1503274850438</v>
      </c>
      <c r="AF357" s="408">
        <v>-4314.9568630113827</v>
      </c>
      <c r="AG357" s="408">
        <v>0</v>
      </c>
      <c r="AH357" s="408">
        <v>0</v>
      </c>
      <c r="AI357" s="408">
        <v>0</v>
      </c>
      <c r="AJ357" s="408">
        <v>0</v>
      </c>
      <c r="AK357" s="408">
        <v>0</v>
      </c>
      <c r="AL357" s="408">
        <v>-159.85221210244293</v>
      </c>
      <c r="AM357" s="408"/>
      <c r="AN357" s="408">
        <v>-36.931238346424962</v>
      </c>
      <c r="AO357" s="408">
        <v>0</v>
      </c>
      <c r="AP357" s="408">
        <v>0</v>
      </c>
      <c r="AQ357" s="408">
        <v>0</v>
      </c>
      <c r="AR357" s="408">
        <v>0</v>
      </c>
      <c r="AS357" s="408">
        <v>0</v>
      </c>
      <c r="AT357" s="408">
        <v>0</v>
      </c>
      <c r="AU357" s="408">
        <v>0</v>
      </c>
      <c r="AV357" s="408">
        <v>0</v>
      </c>
      <c r="AW357" s="408">
        <v>0</v>
      </c>
      <c r="AX357" s="408">
        <v>0</v>
      </c>
      <c r="AY357" s="408">
        <v>0</v>
      </c>
      <c r="AZ357" s="408">
        <v>0</v>
      </c>
      <c r="BA357" s="408"/>
      <c r="BB357" s="408">
        <v>0</v>
      </c>
      <c r="BC357" s="408">
        <v>0</v>
      </c>
      <c r="BD357" s="408">
        <v>-25.06569763221276</v>
      </c>
      <c r="BE357" s="408">
        <v>0</v>
      </c>
      <c r="BF357" s="408">
        <v>0</v>
      </c>
      <c r="BG357" s="408">
        <v>-609.74597286062135</v>
      </c>
      <c r="BH357" s="408">
        <v>0</v>
      </c>
      <c r="BI357" s="408">
        <v>0.43</v>
      </c>
      <c r="BJ357" s="408">
        <v>2.02</v>
      </c>
      <c r="BK357" s="408">
        <v>-197.81</v>
      </c>
      <c r="BL357" s="408">
        <v>0</v>
      </c>
      <c r="BM357" s="408"/>
      <c r="BN357" s="408"/>
      <c r="BO357" s="408"/>
      <c r="BP357" s="408"/>
      <c r="BQ357" s="408"/>
      <c r="BR357" s="408">
        <v>-1332.9057499999994</v>
      </c>
      <c r="BS357" s="408"/>
      <c r="BT357" s="408"/>
      <c r="BU357" s="408"/>
      <c r="BV357" s="408">
        <v>-4949.768533504217</v>
      </c>
      <c r="BW357" s="408"/>
      <c r="BX357" s="408"/>
      <c r="BY357" s="408"/>
      <c r="BZ357" s="408"/>
      <c r="CA357" s="408"/>
      <c r="CB357" s="408"/>
      <c r="CC357" s="408"/>
      <c r="CD357" s="408"/>
      <c r="CE357" s="408"/>
      <c r="CF357" s="408"/>
      <c r="CG357" s="408"/>
      <c r="CH357" s="408"/>
      <c r="CI357" s="408">
        <v>-9775.4476000000013</v>
      </c>
      <c r="CJ357" s="408">
        <v>4543.7144299999964</v>
      </c>
      <c r="CK357" s="408"/>
      <c r="CL357" s="408"/>
      <c r="CM357" s="408"/>
      <c r="CN357" s="408"/>
      <c r="CO357" s="408">
        <v>5432.8733799999991</v>
      </c>
      <c r="CP357" s="408">
        <v>-268.93581000000012</v>
      </c>
      <c r="CQ357" s="408">
        <v>30</v>
      </c>
      <c r="CR357" s="408">
        <v>-223.57977956016657</v>
      </c>
      <c r="CS357" s="408">
        <v>0</v>
      </c>
      <c r="CT357" s="408">
        <v>0</v>
      </c>
      <c r="CU357" s="408">
        <v>0</v>
      </c>
      <c r="CV357" s="408">
        <v>0</v>
      </c>
      <c r="CW357" s="408">
        <v>0</v>
      </c>
      <c r="CX357" s="408">
        <v>0</v>
      </c>
      <c r="CY357" s="408">
        <v>0</v>
      </c>
      <c r="CZ357" s="408">
        <v>9.3571152778213218</v>
      </c>
      <c r="DA357" s="408">
        <v>0</v>
      </c>
      <c r="DB357" s="408">
        <v>0</v>
      </c>
      <c r="DC357" s="408">
        <v>-268.81520708986773</v>
      </c>
      <c r="DD357" s="408">
        <v>0</v>
      </c>
      <c r="DE357" s="408">
        <v>0</v>
      </c>
      <c r="DF357" s="408">
        <v>-1.5615545911049828</v>
      </c>
      <c r="DG357" s="408">
        <v>-37.986240690330078</v>
      </c>
      <c r="DH357" s="408">
        <v>0</v>
      </c>
      <c r="DI357" s="408">
        <v>64.294539320867443</v>
      </c>
      <c r="DJ357" s="408"/>
      <c r="DK357" s="408">
        <v>0</v>
      </c>
      <c r="DL357" s="408">
        <v>0</v>
      </c>
      <c r="DM357" s="408">
        <v>0</v>
      </c>
      <c r="DN357" s="408">
        <v>0</v>
      </c>
      <c r="DO357" s="408">
        <v>8.7715210098638465</v>
      </c>
      <c r="DP357" s="408">
        <v>2.360047202582173</v>
      </c>
      <c r="DQ357" s="408">
        <v>0</v>
      </c>
      <c r="DR357" s="408">
        <v>0</v>
      </c>
      <c r="DS357" s="408"/>
      <c r="DT357" s="408"/>
      <c r="DU357" s="408"/>
      <c r="DV357" s="408">
        <v>-8021.1503274850438</v>
      </c>
      <c r="DW357" s="408">
        <v>0</v>
      </c>
      <c r="DX357" s="408">
        <v>0</v>
      </c>
      <c r="DY357" s="408">
        <v>5432.8733799999991</v>
      </c>
      <c r="DZ357" s="408">
        <v>-268.93580999999995</v>
      </c>
      <c r="EA357" s="408">
        <v>0</v>
      </c>
      <c r="EB357" s="408">
        <v>0</v>
      </c>
      <c r="EC357" s="408">
        <v>5387.6034872528126</v>
      </c>
      <c r="ED357" s="408">
        <v>0</v>
      </c>
      <c r="EE357" s="408">
        <v>0</v>
      </c>
      <c r="EF357" s="408">
        <v>0</v>
      </c>
      <c r="EG357" s="408">
        <v>0</v>
      </c>
      <c r="EH357" s="408">
        <v>0</v>
      </c>
      <c r="EI357" s="408">
        <v>0</v>
      </c>
      <c r="EJ357" s="408">
        <v>0</v>
      </c>
      <c r="EK357" s="408">
        <v>0</v>
      </c>
      <c r="EL357" s="408">
        <v>0</v>
      </c>
      <c r="EM357" s="408">
        <v>0</v>
      </c>
      <c r="EN357" s="408">
        <v>0</v>
      </c>
      <c r="EO357" s="408">
        <v>0</v>
      </c>
      <c r="EP357" s="408">
        <v>0</v>
      </c>
      <c r="EQ357" s="408">
        <v>0</v>
      </c>
      <c r="ER357" s="408">
        <v>0</v>
      </c>
      <c r="ES357" s="408">
        <v>0</v>
      </c>
      <c r="ET357" s="408">
        <v>0</v>
      </c>
      <c r="EU357" s="408">
        <v>0</v>
      </c>
      <c r="EV357" s="408">
        <v>257</v>
      </c>
      <c r="EW357" s="408">
        <v>0</v>
      </c>
      <c r="EX357" s="408">
        <v>0</v>
      </c>
      <c r="EY357" s="408">
        <v>0</v>
      </c>
      <c r="EZ357" s="408"/>
      <c r="FA357" s="408">
        <v>0</v>
      </c>
      <c r="FB357" s="408"/>
      <c r="FC357" s="408"/>
      <c r="FD357" s="408"/>
      <c r="FE357" s="408"/>
      <c r="FF357" s="408">
        <v>0</v>
      </c>
      <c r="FG357" s="408">
        <v>0</v>
      </c>
      <c r="FH357" s="408">
        <v>0</v>
      </c>
      <c r="FI357" s="408">
        <v>0</v>
      </c>
    </row>
    <row r="358" spans="1:165">
      <c r="A358" s="408">
        <v>356</v>
      </c>
      <c r="B358" s="408" t="s">
        <v>2236</v>
      </c>
      <c r="C358" s="408" t="s">
        <v>2233</v>
      </c>
      <c r="D358" s="408" t="s">
        <v>2243</v>
      </c>
      <c r="E358" s="408" t="s">
        <v>973</v>
      </c>
      <c r="F358" s="408" t="s">
        <v>1321</v>
      </c>
      <c r="G358" s="408" t="s">
        <v>1321</v>
      </c>
      <c r="H358" s="408" t="s">
        <v>1321</v>
      </c>
      <c r="I358" s="408" t="s">
        <v>1321</v>
      </c>
      <c r="J358" s="408" t="s">
        <v>2234</v>
      </c>
      <c r="K358" s="828">
        <v>44652</v>
      </c>
      <c r="L358" s="408">
        <v>0</v>
      </c>
      <c r="M358" s="408">
        <v>0</v>
      </c>
      <c r="N358" s="408">
        <v>122.191</v>
      </c>
      <c r="O358" s="408">
        <v>122.191</v>
      </c>
      <c r="P358" s="408">
        <v>122.191</v>
      </c>
      <c r="Q358" s="408">
        <v>122.191</v>
      </c>
      <c r="R358" s="408"/>
      <c r="S358" s="408">
        <v>710.91</v>
      </c>
      <c r="T358" s="408">
        <v>256.55</v>
      </c>
      <c r="U358" s="408"/>
      <c r="V358" s="408">
        <v>118214.90486</v>
      </c>
      <c r="W358" s="408">
        <v>118214.90486</v>
      </c>
      <c r="X358" s="408">
        <v>80698.602129999999</v>
      </c>
      <c r="Y358" s="408">
        <v>0</v>
      </c>
      <c r="Z358" s="408">
        <v>7511.6527946986926</v>
      </c>
      <c r="AA358" s="408">
        <v>0</v>
      </c>
      <c r="AB358" s="408">
        <v>0</v>
      </c>
      <c r="AC358" s="408">
        <v>0</v>
      </c>
      <c r="AD358" s="408">
        <v>15039.609168863828</v>
      </c>
      <c r="AE358" s="408">
        <v>58274.117347388375</v>
      </c>
      <c r="AF358" s="408">
        <v>31348.409182961168</v>
      </c>
      <c r="AG358" s="408">
        <v>0</v>
      </c>
      <c r="AH358" s="408">
        <v>0</v>
      </c>
      <c r="AI358" s="408">
        <v>0</v>
      </c>
      <c r="AJ358" s="408">
        <v>0</v>
      </c>
      <c r="AK358" s="408">
        <v>0</v>
      </c>
      <c r="AL358" s="408">
        <v>1161.3354925387721</v>
      </c>
      <c r="AM358" s="408"/>
      <c r="AN358" s="408">
        <v>268.30756553826109</v>
      </c>
      <c r="AO358" s="408">
        <v>0</v>
      </c>
      <c r="AP358" s="408">
        <v>0</v>
      </c>
      <c r="AQ358" s="408">
        <v>0</v>
      </c>
      <c r="AR358" s="408">
        <v>0</v>
      </c>
      <c r="AS358" s="408">
        <v>0</v>
      </c>
      <c r="AT358" s="408">
        <v>0</v>
      </c>
      <c r="AU358" s="408">
        <v>0</v>
      </c>
      <c r="AV358" s="408">
        <v>0</v>
      </c>
      <c r="AW358" s="408">
        <v>0</v>
      </c>
      <c r="AX358" s="408">
        <v>0</v>
      </c>
      <c r="AY358" s="408">
        <v>0</v>
      </c>
      <c r="AZ358" s="408">
        <v>0</v>
      </c>
      <c r="BA358" s="408"/>
      <c r="BB358" s="408">
        <v>0</v>
      </c>
      <c r="BC358" s="408">
        <v>0</v>
      </c>
      <c r="BD358" s="408">
        <v>182.10373145714428</v>
      </c>
      <c r="BE358" s="408">
        <v>0</v>
      </c>
      <c r="BF358" s="408">
        <v>0</v>
      </c>
      <c r="BG358" s="408">
        <v>4429.83947736561</v>
      </c>
      <c r="BH358" s="408">
        <v>0</v>
      </c>
      <c r="BI358" s="408">
        <v>220.35</v>
      </c>
      <c r="BJ358" s="408">
        <v>1025.26</v>
      </c>
      <c r="BK358" s="408">
        <v>3604.51</v>
      </c>
      <c r="BL358" s="408">
        <v>208</v>
      </c>
      <c r="BM358" s="408"/>
      <c r="BN358" s="408"/>
      <c r="BO358" s="408"/>
      <c r="BP358" s="408"/>
      <c r="BQ358" s="408"/>
      <c r="BR358" s="408">
        <v>9683.6367499999978</v>
      </c>
      <c r="BS358" s="408"/>
      <c r="BT358" s="408"/>
      <c r="BU358" s="408"/>
      <c r="BV358" s="408">
        <v>35960.352391783919</v>
      </c>
      <c r="BW358" s="408"/>
      <c r="BX358" s="408"/>
      <c r="BY358" s="408"/>
      <c r="BZ358" s="408"/>
      <c r="CA358" s="408"/>
      <c r="CB358" s="408"/>
      <c r="CC358" s="408"/>
      <c r="CD358" s="408"/>
      <c r="CE358" s="408"/>
      <c r="CF358" s="408"/>
      <c r="CG358" s="408"/>
      <c r="CH358" s="408"/>
      <c r="CI358" s="408">
        <v>71014.3842</v>
      </c>
      <c r="CJ358" s="408">
        <v>-33015.397469999982</v>
      </c>
      <c r="CK358" s="408"/>
      <c r="CL358" s="408"/>
      <c r="CM358" s="408"/>
      <c r="CN358" s="408"/>
      <c r="CO358" s="408">
        <v>-39470.13682</v>
      </c>
      <c r="CP358" s="408">
        <v>1953.8340900000012</v>
      </c>
      <c r="CQ358" s="408">
        <v>30</v>
      </c>
      <c r="CR358" s="408">
        <v>1624.3199265257499</v>
      </c>
      <c r="CS358" s="408">
        <v>0</v>
      </c>
      <c r="CT358" s="408">
        <v>0</v>
      </c>
      <c r="CU358" s="408">
        <v>0</v>
      </c>
      <c r="CV358" s="408">
        <v>0</v>
      </c>
      <c r="CW358" s="408">
        <v>0</v>
      </c>
      <c r="CX358" s="408">
        <v>0</v>
      </c>
      <c r="CY358" s="408">
        <v>0</v>
      </c>
      <c r="CZ358" s="408">
        <v>-67.979979363355596</v>
      </c>
      <c r="DA358" s="408">
        <v>0</v>
      </c>
      <c r="DB358" s="408">
        <v>0</v>
      </c>
      <c r="DC358" s="408">
        <v>1952.9579029382257</v>
      </c>
      <c r="DD358" s="408">
        <v>0</v>
      </c>
      <c r="DE358" s="408">
        <v>0</v>
      </c>
      <c r="DF358" s="408">
        <v>11.344783699489227</v>
      </c>
      <c r="DG358" s="408">
        <v>275.97221809810981</v>
      </c>
      <c r="DH358" s="408">
        <v>0</v>
      </c>
      <c r="DI358" s="408">
        <v>-467.10351710304349</v>
      </c>
      <c r="DJ358" s="408"/>
      <c r="DK358" s="408">
        <v>0</v>
      </c>
      <c r="DL358" s="408">
        <v>0</v>
      </c>
      <c r="DM358" s="408">
        <v>0</v>
      </c>
      <c r="DN358" s="408">
        <v>0</v>
      </c>
      <c r="DO358" s="408">
        <v>-63.725603407829112</v>
      </c>
      <c r="DP358" s="408">
        <v>-17.145878335853411</v>
      </c>
      <c r="DQ358" s="408">
        <v>0</v>
      </c>
      <c r="DR358" s="408">
        <v>0</v>
      </c>
      <c r="DS358" s="408"/>
      <c r="DT358" s="408"/>
      <c r="DU358" s="408"/>
      <c r="DV358" s="408">
        <v>58274.117347388375</v>
      </c>
      <c r="DW358" s="408">
        <v>0</v>
      </c>
      <c r="DX358" s="408">
        <v>0</v>
      </c>
      <c r="DY358" s="408">
        <v>-39470.13682</v>
      </c>
      <c r="DZ358" s="408">
        <v>1953.8340900000003</v>
      </c>
      <c r="EA358" s="408">
        <v>0</v>
      </c>
      <c r="EB358" s="408">
        <v>0</v>
      </c>
      <c r="EC358" s="408">
        <v>-39141.248451805011</v>
      </c>
      <c r="ED358" s="408">
        <v>0</v>
      </c>
      <c r="EE358" s="408">
        <v>0</v>
      </c>
      <c r="EF358" s="408">
        <v>0</v>
      </c>
      <c r="EG358" s="408">
        <v>0</v>
      </c>
      <c r="EH358" s="408">
        <v>0</v>
      </c>
      <c r="EI358" s="408">
        <v>0</v>
      </c>
      <c r="EJ358" s="408">
        <v>0</v>
      </c>
      <c r="EK358" s="408">
        <v>0</v>
      </c>
      <c r="EL358" s="408">
        <v>0</v>
      </c>
      <c r="EM358" s="408">
        <v>0</v>
      </c>
      <c r="EN358" s="408">
        <v>0</v>
      </c>
      <c r="EO358" s="408">
        <v>0</v>
      </c>
      <c r="EP358" s="408">
        <v>0</v>
      </c>
      <c r="EQ358" s="408">
        <v>0</v>
      </c>
      <c r="ER358" s="408">
        <v>0</v>
      </c>
      <c r="ES358" s="408">
        <v>0</v>
      </c>
      <c r="ET358" s="408">
        <v>0</v>
      </c>
      <c r="EU358" s="408">
        <v>0</v>
      </c>
      <c r="EV358" s="408">
        <v>257</v>
      </c>
      <c r="EW358" s="408">
        <v>0</v>
      </c>
      <c r="EX358" s="408">
        <v>0</v>
      </c>
      <c r="EY358" s="408">
        <v>0</v>
      </c>
      <c r="EZ358" s="408"/>
      <c r="FA358" s="408">
        <v>0</v>
      </c>
      <c r="FB358" s="408"/>
      <c r="FC358" s="408"/>
      <c r="FD358" s="408"/>
      <c r="FE358" s="408"/>
      <c r="FF358" s="408">
        <v>0</v>
      </c>
      <c r="FG358" s="408">
        <v>0</v>
      </c>
      <c r="FH358" s="408">
        <v>0</v>
      </c>
      <c r="FI358" s="408">
        <v>0</v>
      </c>
    </row>
    <row r="359" spans="1:165">
      <c r="A359" s="408">
        <v>357</v>
      </c>
      <c r="B359" s="408" t="s">
        <v>1035</v>
      </c>
      <c r="C359" s="408" t="s">
        <v>2241</v>
      </c>
      <c r="D359" s="408" t="s">
        <v>596</v>
      </c>
      <c r="E359" s="408" t="s">
        <v>973</v>
      </c>
      <c r="F359" s="408" t="s">
        <v>1321</v>
      </c>
      <c r="G359" s="408" t="s">
        <v>1321</v>
      </c>
      <c r="H359" s="408" t="s">
        <v>1321</v>
      </c>
      <c r="I359" s="408" t="s">
        <v>972</v>
      </c>
      <c r="J359" s="408" t="s">
        <v>2234</v>
      </c>
      <c r="K359" s="828">
        <v>44652</v>
      </c>
      <c r="L359" s="408">
        <v>0</v>
      </c>
      <c r="M359" s="408">
        <v>0</v>
      </c>
      <c r="N359" s="408">
        <v>13.397</v>
      </c>
      <c r="O359" s="408">
        <v>12.86112</v>
      </c>
      <c r="P359" s="408">
        <v>13.397</v>
      </c>
      <c r="Q359" s="408">
        <v>12.86112</v>
      </c>
      <c r="R359" s="408"/>
      <c r="S359" s="408">
        <v>3130.62</v>
      </c>
      <c r="T359" s="408">
        <v>256.55</v>
      </c>
      <c r="U359" s="408"/>
      <c r="V359" s="408">
        <v>45377.916490000003</v>
      </c>
      <c r="W359" s="408">
        <v>45377.916490000003</v>
      </c>
      <c r="X359" s="408">
        <v>23881.894110000001</v>
      </c>
      <c r="Y359" s="408">
        <v>0</v>
      </c>
      <c r="Z359" s="408">
        <v>716.51138681902262</v>
      </c>
      <c r="AA359" s="408">
        <v>0</v>
      </c>
      <c r="AB359" s="408">
        <v>0</v>
      </c>
      <c r="AC359" s="408">
        <v>0</v>
      </c>
      <c r="AD359" s="408">
        <v>8630.5323760342908</v>
      </c>
      <c r="AE359" s="408">
        <v>32208.37963846005</v>
      </c>
      <c r="AF359" s="408">
        <v>3437.0341336443007</v>
      </c>
      <c r="AG359" s="408">
        <v>0</v>
      </c>
      <c r="AH359" s="408">
        <v>0</v>
      </c>
      <c r="AI359" s="408">
        <v>0</v>
      </c>
      <c r="AJ359" s="408">
        <v>0</v>
      </c>
      <c r="AK359" s="408">
        <v>0</v>
      </c>
      <c r="AL359" s="408">
        <v>127.32862153138881</v>
      </c>
      <c r="AM359" s="408"/>
      <c r="AN359" s="408">
        <v>18.073289765532937</v>
      </c>
      <c r="AO359" s="408">
        <v>0</v>
      </c>
      <c r="AP359" s="408">
        <v>0</v>
      </c>
      <c r="AQ359" s="408">
        <v>0</v>
      </c>
      <c r="AR359" s="408">
        <v>0</v>
      </c>
      <c r="AS359" s="408">
        <v>0</v>
      </c>
      <c r="AT359" s="408">
        <v>0</v>
      </c>
      <c r="AU359" s="408">
        <v>0</v>
      </c>
      <c r="AV359" s="408">
        <v>0</v>
      </c>
      <c r="AW359" s="408">
        <v>0</v>
      </c>
      <c r="AX359" s="408">
        <v>0</v>
      </c>
      <c r="AY359" s="408">
        <v>0</v>
      </c>
      <c r="AZ359" s="408">
        <v>0</v>
      </c>
      <c r="BA359" s="408"/>
      <c r="BB359" s="408">
        <v>0</v>
      </c>
      <c r="BC359" s="408">
        <v>0</v>
      </c>
      <c r="BD359" s="408">
        <v>16.505441834911998</v>
      </c>
      <c r="BE359" s="408">
        <v>0</v>
      </c>
      <c r="BF359" s="408">
        <v>0</v>
      </c>
      <c r="BG359" s="408">
        <v>223.58639398318422</v>
      </c>
      <c r="BH359" s="408">
        <v>0</v>
      </c>
      <c r="BI359" s="408">
        <v>0</v>
      </c>
      <c r="BJ359" s="408">
        <v>0</v>
      </c>
      <c r="BK359" s="408">
        <v>0</v>
      </c>
      <c r="BL359" s="408">
        <v>0</v>
      </c>
      <c r="BM359" s="408"/>
      <c r="BN359" s="408"/>
      <c r="BO359" s="408"/>
      <c r="BP359" s="408"/>
      <c r="BQ359" s="408"/>
      <c r="BR359" s="408">
        <v>955.27576440000098</v>
      </c>
      <c r="BS359" s="408"/>
      <c r="BT359" s="408"/>
      <c r="BU359" s="408"/>
      <c r="BV359" s="408">
        <v>3677.1259694623968</v>
      </c>
      <c r="BW359" s="408"/>
      <c r="BX359" s="408"/>
      <c r="BY359" s="408"/>
      <c r="BZ359" s="408"/>
      <c r="CA359" s="408"/>
      <c r="CB359" s="408"/>
      <c r="CC359" s="408"/>
      <c r="CD359" s="408"/>
      <c r="CE359" s="408"/>
      <c r="CF359" s="408"/>
      <c r="CG359" s="408"/>
      <c r="CH359" s="408"/>
      <c r="CI359" s="408">
        <v>22924.621799999997</v>
      </c>
      <c r="CJ359" s="408">
        <v>-20638.208030400008</v>
      </c>
      <c r="CK359" s="408"/>
      <c r="CL359" s="408"/>
      <c r="CM359" s="408"/>
      <c r="CN359" s="408"/>
      <c r="CO359" s="408">
        <v>-21710.240409999999</v>
      </c>
      <c r="CP359" s="408">
        <v>214.21803000000011</v>
      </c>
      <c r="CQ359" s="408">
        <v>30</v>
      </c>
      <c r="CR359" s="408">
        <v>137.37151421507951</v>
      </c>
      <c r="CS359" s="408">
        <v>0</v>
      </c>
      <c r="CT359" s="408">
        <v>0</v>
      </c>
      <c r="CU359" s="408">
        <v>0</v>
      </c>
      <c r="CV359" s="408">
        <v>0</v>
      </c>
      <c r="CW359" s="408">
        <v>0</v>
      </c>
      <c r="CX359" s="408">
        <v>0</v>
      </c>
      <c r="CY359" s="408">
        <v>0</v>
      </c>
      <c r="CZ359" s="408">
        <v>-39.010549159236689</v>
      </c>
      <c r="DA359" s="408">
        <v>0</v>
      </c>
      <c r="DB359" s="408">
        <v>0</v>
      </c>
      <c r="DC359" s="408">
        <v>214.12196500285154</v>
      </c>
      <c r="DD359" s="408">
        <v>0</v>
      </c>
      <c r="DE359" s="408">
        <v>0</v>
      </c>
      <c r="DF359" s="408">
        <v>1.0282637592500343</v>
      </c>
      <c r="DG359" s="408">
        <v>13.929090071857843</v>
      </c>
      <c r="DH359" s="408">
        <v>0</v>
      </c>
      <c r="DI359" s="408">
        <v>-44.555439125694079</v>
      </c>
      <c r="DJ359" s="408"/>
      <c r="DK359" s="408">
        <v>0</v>
      </c>
      <c r="DL359" s="408">
        <v>0</v>
      </c>
      <c r="DM359" s="408">
        <v>0</v>
      </c>
      <c r="DN359" s="408">
        <v>0</v>
      </c>
      <c r="DO359" s="408">
        <v>-6.9868640804534294</v>
      </c>
      <c r="DP359" s="408">
        <v>-1.1549522534960808</v>
      </c>
      <c r="DQ359" s="408">
        <v>0</v>
      </c>
      <c r="DR359" s="408">
        <v>0</v>
      </c>
      <c r="DS359" s="408"/>
      <c r="DT359" s="408"/>
      <c r="DU359" s="408"/>
      <c r="DV359" s="408">
        <v>32208.37963846005</v>
      </c>
      <c r="DW359" s="408">
        <v>0</v>
      </c>
      <c r="DX359" s="408">
        <v>0</v>
      </c>
      <c r="DY359" s="408">
        <v>-21710.240410000002</v>
      </c>
      <c r="DZ359" s="408">
        <v>214.21803</v>
      </c>
      <c r="EA359" s="408">
        <v>0</v>
      </c>
      <c r="EB359" s="408">
        <v>0</v>
      </c>
      <c r="EC359" s="408">
        <v>-21633.552716788079</v>
      </c>
      <c r="ED359" s="408">
        <v>0</v>
      </c>
      <c r="EE359" s="408">
        <v>0</v>
      </c>
      <c r="EF359" s="408">
        <v>0</v>
      </c>
      <c r="EG359" s="408">
        <v>0</v>
      </c>
      <c r="EH359" s="408">
        <v>0</v>
      </c>
      <c r="EI359" s="408">
        <v>0</v>
      </c>
      <c r="EJ359" s="408">
        <v>0</v>
      </c>
      <c r="EK359" s="408">
        <v>0</v>
      </c>
      <c r="EL359" s="408">
        <v>0</v>
      </c>
      <c r="EM359" s="408">
        <v>0</v>
      </c>
      <c r="EN359" s="408">
        <v>0</v>
      </c>
      <c r="EO359" s="408">
        <v>0</v>
      </c>
      <c r="EP359" s="408">
        <v>0</v>
      </c>
      <c r="EQ359" s="408">
        <v>0</v>
      </c>
      <c r="ER359" s="408">
        <v>0</v>
      </c>
      <c r="ES359" s="408">
        <v>0</v>
      </c>
      <c r="ET359" s="408">
        <v>0</v>
      </c>
      <c r="EU359" s="408">
        <v>0</v>
      </c>
      <c r="EV359" s="408">
        <v>257</v>
      </c>
      <c r="EW359" s="408">
        <v>0</v>
      </c>
      <c r="EX359" s="408">
        <v>0</v>
      </c>
      <c r="EY359" s="408">
        <v>0</v>
      </c>
      <c r="EZ359" s="408"/>
      <c r="FA359" s="408">
        <v>0</v>
      </c>
      <c r="FB359" s="408"/>
      <c r="FC359" s="408"/>
      <c r="FD359" s="408"/>
      <c r="FE359" s="408"/>
      <c r="FF359" s="408">
        <v>0</v>
      </c>
      <c r="FG359" s="408">
        <v>0</v>
      </c>
      <c r="FH359" s="408">
        <v>0</v>
      </c>
      <c r="FI359" s="408">
        <v>0</v>
      </c>
    </row>
    <row r="360" spans="1:165">
      <c r="A360" s="408">
        <v>358</v>
      </c>
      <c r="B360" s="408" t="s">
        <v>2236</v>
      </c>
      <c r="C360" s="408" t="s">
        <v>2241</v>
      </c>
      <c r="D360" s="408" t="s">
        <v>596</v>
      </c>
      <c r="E360" s="408" t="s">
        <v>973</v>
      </c>
      <c r="F360" s="408" t="s">
        <v>1321</v>
      </c>
      <c r="G360" s="408" t="s">
        <v>1321</v>
      </c>
      <c r="H360" s="408" t="s">
        <v>1321</v>
      </c>
      <c r="I360" s="408" t="s">
        <v>972</v>
      </c>
      <c r="J360" s="408" t="s">
        <v>2234</v>
      </c>
      <c r="K360" s="828">
        <v>44652</v>
      </c>
      <c r="L360" s="408">
        <v>0</v>
      </c>
      <c r="M360" s="408">
        <v>0</v>
      </c>
      <c r="N360" s="408">
        <v>2.407</v>
      </c>
      <c r="O360" s="408">
        <v>2.3107199999999999</v>
      </c>
      <c r="P360" s="408">
        <v>2.407</v>
      </c>
      <c r="Q360" s="408">
        <v>2.3107199999999999</v>
      </c>
      <c r="R360" s="408"/>
      <c r="S360" s="408">
        <v>3130.62</v>
      </c>
      <c r="T360" s="408">
        <v>256.55</v>
      </c>
      <c r="U360" s="408"/>
      <c r="V360" s="408">
        <v>8152.9181899999994</v>
      </c>
      <c r="W360" s="408">
        <v>8152.9181899999994</v>
      </c>
      <c r="X360" s="408">
        <v>4290.7904099999996</v>
      </c>
      <c r="Y360" s="408">
        <v>0</v>
      </c>
      <c r="Z360" s="408">
        <v>128.73351556866368</v>
      </c>
      <c r="AA360" s="408">
        <v>0</v>
      </c>
      <c r="AB360" s="408">
        <v>0</v>
      </c>
      <c r="AC360" s="408">
        <v>0</v>
      </c>
      <c r="AD360" s="408">
        <v>1550.6226341057354</v>
      </c>
      <c r="AE360" s="408">
        <v>5786.7858318857461</v>
      </c>
      <c r="AF360" s="408">
        <v>617.52191980904922</v>
      </c>
      <c r="AG360" s="408">
        <v>0</v>
      </c>
      <c r="AH360" s="408">
        <v>0</v>
      </c>
      <c r="AI360" s="408">
        <v>0</v>
      </c>
      <c r="AJ360" s="408">
        <v>0</v>
      </c>
      <c r="AK360" s="408">
        <v>0</v>
      </c>
      <c r="AL360" s="408">
        <v>22.876762859300801</v>
      </c>
      <c r="AM360" s="408"/>
      <c r="AN360" s="408">
        <v>3.2471753725190551</v>
      </c>
      <c r="AO360" s="408">
        <v>0</v>
      </c>
      <c r="AP360" s="408">
        <v>0</v>
      </c>
      <c r="AQ360" s="408">
        <v>0</v>
      </c>
      <c r="AR360" s="408">
        <v>0</v>
      </c>
      <c r="AS360" s="408">
        <v>0</v>
      </c>
      <c r="AT360" s="408">
        <v>0</v>
      </c>
      <c r="AU360" s="408">
        <v>0</v>
      </c>
      <c r="AV360" s="408">
        <v>0</v>
      </c>
      <c r="AW360" s="408">
        <v>0</v>
      </c>
      <c r="AX360" s="408">
        <v>0</v>
      </c>
      <c r="AY360" s="408">
        <v>0</v>
      </c>
      <c r="AZ360" s="408">
        <v>0</v>
      </c>
      <c r="BA360" s="408"/>
      <c r="BB360" s="408">
        <v>0</v>
      </c>
      <c r="BC360" s="408">
        <v>0</v>
      </c>
      <c r="BD360" s="408">
        <v>2.9654846978154197</v>
      </c>
      <c r="BE360" s="408">
        <v>0</v>
      </c>
      <c r="BF360" s="408">
        <v>0</v>
      </c>
      <c r="BG360" s="408">
        <v>40.171116691611886</v>
      </c>
      <c r="BH360" s="408">
        <v>0</v>
      </c>
      <c r="BI360" s="408">
        <v>0</v>
      </c>
      <c r="BJ360" s="408">
        <v>0</v>
      </c>
      <c r="BK360" s="408">
        <v>0</v>
      </c>
      <c r="BL360" s="408">
        <v>0</v>
      </c>
      <c r="BM360" s="408"/>
      <c r="BN360" s="408"/>
      <c r="BO360" s="408"/>
      <c r="BP360" s="408"/>
      <c r="BQ360" s="408"/>
      <c r="BR360" s="408">
        <v>171.63161640000024</v>
      </c>
      <c r="BS360" s="408"/>
      <c r="BT360" s="408"/>
      <c r="BU360" s="408"/>
      <c r="BV360" s="408">
        <v>660.65852119847659</v>
      </c>
      <c r="BW360" s="408"/>
      <c r="BX360" s="408"/>
      <c r="BY360" s="408"/>
      <c r="BZ360" s="408"/>
      <c r="CA360" s="408"/>
      <c r="CB360" s="408"/>
      <c r="CC360" s="408"/>
      <c r="CD360" s="408"/>
      <c r="CE360" s="408"/>
      <c r="CF360" s="408"/>
      <c r="CG360" s="408"/>
      <c r="CH360" s="408"/>
      <c r="CI360" s="408">
        <v>4117.8752999999997</v>
      </c>
      <c r="CJ360" s="408">
        <v>-3708.9561624000007</v>
      </c>
      <c r="CK360" s="408"/>
      <c r="CL360" s="408"/>
      <c r="CM360" s="408"/>
      <c r="CN360" s="408"/>
      <c r="CO360" s="408">
        <v>-3900.61571</v>
      </c>
      <c r="CP360" s="408">
        <v>38.48793000000002</v>
      </c>
      <c r="CQ360" s="408">
        <v>30</v>
      </c>
      <c r="CR360" s="408">
        <v>24.681140159415463</v>
      </c>
      <c r="CS360" s="408">
        <v>0</v>
      </c>
      <c r="CT360" s="408">
        <v>0</v>
      </c>
      <c r="CU360" s="408">
        <v>0</v>
      </c>
      <c r="CV360" s="408">
        <v>0</v>
      </c>
      <c r="CW360" s="408">
        <v>0</v>
      </c>
      <c r="CX360" s="408">
        <v>0</v>
      </c>
      <c r="CY360" s="408">
        <v>0</v>
      </c>
      <c r="CZ360" s="408">
        <v>-7.0089118329688063</v>
      </c>
      <c r="DA360" s="408">
        <v>0</v>
      </c>
      <c r="DB360" s="408">
        <v>0</v>
      </c>
      <c r="DC360" s="408">
        <v>38.470670281545381</v>
      </c>
      <c r="DD360" s="408">
        <v>0</v>
      </c>
      <c r="DE360" s="408">
        <v>0</v>
      </c>
      <c r="DF360" s="408">
        <v>0.18474515701387118</v>
      </c>
      <c r="DG360" s="408">
        <v>2.5025990746407274</v>
      </c>
      <c r="DH360" s="408">
        <v>0</v>
      </c>
      <c r="DI360" s="408">
        <v>-8.0051460756546646</v>
      </c>
      <c r="DJ360" s="408"/>
      <c r="DK360" s="408">
        <v>0</v>
      </c>
      <c r="DL360" s="408">
        <v>0</v>
      </c>
      <c r="DM360" s="408">
        <v>0</v>
      </c>
      <c r="DN360" s="408">
        <v>0</v>
      </c>
      <c r="DO360" s="408">
        <v>-1.2553095350937831</v>
      </c>
      <c r="DP360" s="408">
        <v>-0.20750691006681121</v>
      </c>
      <c r="DQ360" s="408">
        <v>0</v>
      </c>
      <c r="DR360" s="408">
        <v>0</v>
      </c>
      <c r="DS360" s="408"/>
      <c r="DT360" s="408"/>
      <c r="DU360" s="408"/>
      <c r="DV360" s="408">
        <v>5786.7858318857461</v>
      </c>
      <c r="DW360" s="408">
        <v>0</v>
      </c>
      <c r="DX360" s="408">
        <v>0</v>
      </c>
      <c r="DY360" s="408">
        <v>-3900.6157099999996</v>
      </c>
      <c r="DZ360" s="408">
        <v>38.487930000000006</v>
      </c>
      <c r="EA360" s="408">
        <v>0</v>
      </c>
      <c r="EB360" s="408">
        <v>0</v>
      </c>
      <c r="EC360" s="408">
        <v>-3886.8374553488775</v>
      </c>
      <c r="ED360" s="408">
        <v>0</v>
      </c>
      <c r="EE360" s="408">
        <v>0</v>
      </c>
      <c r="EF360" s="408">
        <v>0</v>
      </c>
      <c r="EG360" s="408">
        <v>0</v>
      </c>
      <c r="EH360" s="408">
        <v>0</v>
      </c>
      <c r="EI360" s="408">
        <v>0</v>
      </c>
      <c r="EJ360" s="408">
        <v>0</v>
      </c>
      <c r="EK360" s="408">
        <v>0</v>
      </c>
      <c r="EL360" s="408">
        <v>0</v>
      </c>
      <c r="EM360" s="408">
        <v>0</v>
      </c>
      <c r="EN360" s="408">
        <v>0</v>
      </c>
      <c r="EO360" s="408">
        <v>0</v>
      </c>
      <c r="EP360" s="408">
        <v>0</v>
      </c>
      <c r="EQ360" s="408">
        <v>0</v>
      </c>
      <c r="ER360" s="408">
        <v>0</v>
      </c>
      <c r="ES360" s="408">
        <v>0</v>
      </c>
      <c r="ET360" s="408">
        <v>0</v>
      </c>
      <c r="EU360" s="408">
        <v>0</v>
      </c>
      <c r="EV360" s="408">
        <v>257</v>
      </c>
      <c r="EW360" s="408">
        <v>0</v>
      </c>
      <c r="EX360" s="408">
        <v>0</v>
      </c>
      <c r="EY360" s="408">
        <v>0</v>
      </c>
      <c r="EZ360" s="408"/>
      <c r="FA360" s="408">
        <v>0</v>
      </c>
      <c r="FB360" s="408"/>
      <c r="FC360" s="408"/>
      <c r="FD360" s="408"/>
      <c r="FE360" s="408"/>
      <c r="FF360" s="408">
        <v>0</v>
      </c>
      <c r="FG360" s="408">
        <v>0</v>
      </c>
      <c r="FH360" s="408">
        <v>0</v>
      </c>
      <c r="FI360" s="408">
        <v>0</v>
      </c>
    </row>
    <row r="361" spans="1:165">
      <c r="A361" s="408">
        <v>359</v>
      </c>
      <c r="B361" s="408" t="s">
        <v>1035</v>
      </c>
      <c r="C361" s="408" t="s">
        <v>2241</v>
      </c>
      <c r="D361" s="408" t="s">
        <v>596</v>
      </c>
      <c r="E361" s="408" t="s">
        <v>973</v>
      </c>
      <c r="F361" s="408" t="s">
        <v>1321</v>
      </c>
      <c r="G361" s="408" t="s">
        <v>1321</v>
      </c>
      <c r="H361" s="408" t="s">
        <v>1321</v>
      </c>
      <c r="I361" s="408" t="s">
        <v>2242</v>
      </c>
      <c r="J361" s="408" t="s">
        <v>2234</v>
      </c>
      <c r="K361" s="828">
        <v>44652</v>
      </c>
      <c r="L361" s="408">
        <v>0</v>
      </c>
      <c r="M361" s="408">
        <v>0</v>
      </c>
      <c r="N361" s="408">
        <v>137.667</v>
      </c>
      <c r="O361" s="408">
        <v>132.16032000000001</v>
      </c>
      <c r="P361" s="408">
        <v>137.667</v>
      </c>
      <c r="Q361" s="408">
        <v>132.16032000000001</v>
      </c>
      <c r="R361" s="408"/>
      <c r="S361" s="408">
        <v>82.26</v>
      </c>
      <c r="T361" s="408">
        <v>256.55</v>
      </c>
      <c r="U361" s="408"/>
      <c r="V361" s="408">
        <v>46642.95627000001</v>
      </c>
      <c r="W361" s="408">
        <v>46642.95627000001</v>
      </c>
      <c r="X361" s="408">
        <v>48456.030660000004</v>
      </c>
      <c r="Y361" s="408">
        <v>0</v>
      </c>
      <c r="Z361" s="408">
        <v>7362.8404186918251</v>
      </c>
      <c r="AA361" s="408">
        <v>0</v>
      </c>
      <c r="AB361" s="408">
        <v>0</v>
      </c>
      <c r="AC361" s="408">
        <v>0</v>
      </c>
      <c r="AD361" s="408">
        <v>0</v>
      </c>
      <c r="AE361" s="408">
        <v>0</v>
      </c>
      <c r="AF361" s="408">
        <v>35318.816009286405</v>
      </c>
      <c r="AG361" s="408">
        <v>0</v>
      </c>
      <c r="AH361" s="408">
        <v>0</v>
      </c>
      <c r="AI361" s="408">
        <v>0</v>
      </c>
      <c r="AJ361" s="408">
        <v>0</v>
      </c>
      <c r="AK361" s="408">
        <v>0</v>
      </c>
      <c r="AL361" s="408">
        <v>1308.4234784176833</v>
      </c>
      <c r="AM361" s="408"/>
      <c r="AN361" s="408">
        <v>185.72035397115943</v>
      </c>
      <c r="AO361" s="408">
        <v>0</v>
      </c>
      <c r="AP361" s="408">
        <v>0</v>
      </c>
      <c r="AQ361" s="408">
        <v>0</v>
      </c>
      <c r="AR361" s="408">
        <v>0</v>
      </c>
      <c r="AS361" s="408">
        <v>0</v>
      </c>
      <c r="AT361" s="408">
        <v>0</v>
      </c>
      <c r="AU361" s="408">
        <v>0</v>
      </c>
      <c r="AV361" s="408">
        <v>0</v>
      </c>
      <c r="AW361" s="408">
        <v>0</v>
      </c>
      <c r="AX361" s="408">
        <v>0</v>
      </c>
      <c r="AY361" s="408">
        <v>0</v>
      </c>
      <c r="AZ361" s="408">
        <v>0</v>
      </c>
      <c r="BA361" s="408"/>
      <c r="BB361" s="408">
        <v>0</v>
      </c>
      <c r="BC361" s="408">
        <v>0</v>
      </c>
      <c r="BD361" s="408">
        <v>169.60921557713144</v>
      </c>
      <c r="BE361" s="408">
        <v>0</v>
      </c>
      <c r="BF361" s="408">
        <v>0</v>
      </c>
      <c r="BG361" s="408">
        <v>2297.5642382983519</v>
      </c>
      <c r="BH361" s="408">
        <v>0</v>
      </c>
      <c r="BI361" s="408">
        <v>0</v>
      </c>
      <c r="BJ361" s="408">
        <v>0</v>
      </c>
      <c r="BK361" s="408">
        <v>0</v>
      </c>
      <c r="BL361" s="408">
        <v>0</v>
      </c>
      <c r="BM361" s="408"/>
      <c r="BN361" s="408"/>
      <c r="BO361" s="408"/>
      <c r="BP361" s="408"/>
      <c r="BQ361" s="408"/>
      <c r="BR361" s="408">
        <v>1938.2412263999961</v>
      </c>
      <c r="BS361" s="408"/>
      <c r="BT361" s="408"/>
      <c r="BU361" s="408"/>
      <c r="BV361" s="408">
        <v>37785.989463161888</v>
      </c>
      <c r="BW361" s="408"/>
      <c r="BX361" s="408"/>
      <c r="BY361" s="408"/>
      <c r="BZ361" s="408"/>
      <c r="CA361" s="408"/>
      <c r="CB361" s="408"/>
      <c r="CC361" s="408"/>
      <c r="CD361" s="408"/>
      <c r="CE361" s="408"/>
      <c r="CF361" s="408"/>
      <c r="CG361" s="408"/>
      <c r="CH361" s="408"/>
      <c r="CI361" s="408">
        <v>46517.676800000001</v>
      </c>
      <c r="CJ361" s="408">
        <v>1740.4087807999895</v>
      </c>
      <c r="CK361" s="408"/>
      <c r="CL361" s="408"/>
      <c r="CM361" s="408"/>
      <c r="CN361" s="408"/>
      <c r="CO361" s="408">
        <v>-388.22094000000101</v>
      </c>
      <c r="CP361" s="408">
        <v>2201.2953300000013</v>
      </c>
      <c r="CQ361" s="408">
        <v>30</v>
      </c>
      <c r="CR361" s="408">
        <v>1812.4945524036666</v>
      </c>
      <c r="CS361" s="408">
        <v>0</v>
      </c>
      <c r="CT361" s="408">
        <v>0</v>
      </c>
      <c r="CU361" s="408">
        <v>0</v>
      </c>
      <c r="CV361" s="408">
        <v>0</v>
      </c>
      <c r="CW361" s="408">
        <v>0</v>
      </c>
      <c r="CX361" s="408">
        <v>0</v>
      </c>
      <c r="CY361" s="408">
        <v>0</v>
      </c>
      <c r="CZ361" s="408">
        <v>0</v>
      </c>
      <c r="DA361" s="408">
        <v>0</v>
      </c>
      <c r="DB361" s="408">
        <v>0</v>
      </c>
      <c r="DC361" s="408">
        <v>2200.3081701909032</v>
      </c>
      <c r="DD361" s="408">
        <v>0</v>
      </c>
      <c r="DE361" s="408">
        <v>0</v>
      </c>
      <c r="DF361" s="408">
        <v>10.566394487174335</v>
      </c>
      <c r="DG361" s="408">
        <v>143.13473486022667</v>
      </c>
      <c r="DH361" s="408">
        <v>0</v>
      </c>
      <c r="DI361" s="408">
        <v>-457.84979011098858</v>
      </c>
      <c r="DJ361" s="408"/>
      <c r="DK361" s="408">
        <v>0</v>
      </c>
      <c r="DL361" s="408">
        <v>0</v>
      </c>
      <c r="DM361" s="408">
        <v>0</v>
      </c>
      <c r="DN361" s="408">
        <v>0</v>
      </c>
      <c r="DO361" s="408">
        <v>-71.796716978710492</v>
      </c>
      <c r="DP361" s="408">
        <v>-11.868240044938801</v>
      </c>
      <c r="DQ361" s="408">
        <v>0</v>
      </c>
      <c r="DR361" s="408">
        <v>0</v>
      </c>
      <c r="DS361" s="408"/>
      <c r="DT361" s="408"/>
      <c r="DU361" s="408"/>
      <c r="DV361" s="408">
        <v>0</v>
      </c>
      <c r="DW361" s="408">
        <v>0</v>
      </c>
      <c r="DX361" s="408">
        <v>0</v>
      </c>
      <c r="DY361" s="408">
        <v>-388.22094000000106</v>
      </c>
      <c r="DZ361" s="408">
        <v>2201.2953300000008</v>
      </c>
      <c r="EA361" s="408">
        <v>0</v>
      </c>
      <c r="EB361" s="408">
        <v>0</v>
      </c>
      <c r="EC361" s="408">
        <v>0</v>
      </c>
      <c r="ED361" s="408">
        <v>0</v>
      </c>
      <c r="EE361" s="408">
        <v>0</v>
      </c>
      <c r="EF361" s="408">
        <v>0</v>
      </c>
      <c r="EG361" s="408">
        <v>0</v>
      </c>
      <c r="EH361" s="408">
        <v>0</v>
      </c>
      <c r="EI361" s="408">
        <v>0</v>
      </c>
      <c r="EJ361" s="408">
        <v>0</v>
      </c>
      <c r="EK361" s="408">
        <v>0</v>
      </c>
      <c r="EL361" s="408">
        <v>0</v>
      </c>
      <c r="EM361" s="408">
        <v>0</v>
      </c>
      <c r="EN361" s="408">
        <v>0</v>
      </c>
      <c r="EO361" s="408">
        <v>0</v>
      </c>
      <c r="EP361" s="408">
        <v>0</v>
      </c>
      <c r="EQ361" s="408">
        <v>0</v>
      </c>
      <c r="ER361" s="408">
        <v>0</v>
      </c>
      <c r="ES361" s="408">
        <v>0</v>
      </c>
      <c r="ET361" s="408">
        <v>0</v>
      </c>
      <c r="EU361" s="408">
        <v>0</v>
      </c>
      <c r="EV361" s="408">
        <v>257</v>
      </c>
      <c r="EW361" s="408">
        <v>0</v>
      </c>
      <c r="EX361" s="408">
        <v>0</v>
      </c>
      <c r="EY361" s="408">
        <v>0</v>
      </c>
      <c r="EZ361" s="408"/>
      <c r="FA361" s="408">
        <v>0</v>
      </c>
      <c r="FB361" s="408"/>
      <c r="FC361" s="408"/>
      <c r="FD361" s="408"/>
      <c r="FE361" s="408"/>
      <c r="FF361" s="408">
        <v>0</v>
      </c>
      <c r="FG361" s="408">
        <v>0</v>
      </c>
      <c r="FH361" s="408">
        <v>0</v>
      </c>
      <c r="FI361" s="408">
        <v>0</v>
      </c>
    </row>
    <row r="362" spans="1:165">
      <c r="A362" s="408">
        <v>360</v>
      </c>
      <c r="B362" s="408" t="s">
        <v>2236</v>
      </c>
      <c r="C362" s="408" t="s">
        <v>2241</v>
      </c>
      <c r="D362" s="408" t="s">
        <v>596</v>
      </c>
      <c r="E362" s="408" t="s">
        <v>973</v>
      </c>
      <c r="F362" s="408" t="s">
        <v>1321</v>
      </c>
      <c r="G362" s="408" t="s">
        <v>1321</v>
      </c>
      <c r="H362" s="408" t="s">
        <v>1321</v>
      </c>
      <c r="I362" s="408" t="s">
        <v>2242</v>
      </c>
      <c r="J362" s="408" t="s">
        <v>2234</v>
      </c>
      <c r="K362" s="828">
        <v>44652</v>
      </c>
      <c r="L362" s="408">
        <v>0</v>
      </c>
      <c r="M362" s="408">
        <v>0</v>
      </c>
      <c r="N362" s="408">
        <v>23.324000000000002</v>
      </c>
      <c r="O362" s="408">
        <v>22.39104</v>
      </c>
      <c r="P362" s="408">
        <v>23.324000000000002</v>
      </c>
      <c r="Q362" s="408">
        <v>22.39104</v>
      </c>
      <c r="R362" s="408"/>
      <c r="S362" s="408">
        <v>82.26</v>
      </c>
      <c r="T362" s="408">
        <v>256.55</v>
      </c>
      <c r="U362" s="408"/>
      <c r="V362" s="408">
        <v>7902.4044400000002</v>
      </c>
      <c r="W362" s="408">
        <v>7902.4044400000002</v>
      </c>
      <c r="X362" s="408">
        <v>8209.5815200000015</v>
      </c>
      <c r="Y362" s="408">
        <v>0</v>
      </c>
      <c r="Z362" s="408">
        <v>1247.43685796573</v>
      </c>
      <c r="AA362" s="408">
        <v>0</v>
      </c>
      <c r="AB362" s="408">
        <v>0</v>
      </c>
      <c r="AC362" s="408">
        <v>0</v>
      </c>
      <c r="AD362" s="408">
        <v>0</v>
      </c>
      <c r="AE362" s="408">
        <v>0</v>
      </c>
      <c r="AF362" s="408">
        <v>5983.8310168783819</v>
      </c>
      <c r="AG362" s="408">
        <v>0</v>
      </c>
      <c r="AH362" s="408">
        <v>0</v>
      </c>
      <c r="AI362" s="408">
        <v>0</v>
      </c>
      <c r="AJ362" s="408">
        <v>0</v>
      </c>
      <c r="AK362" s="408">
        <v>0</v>
      </c>
      <c r="AL362" s="408">
        <v>221.67744783146321</v>
      </c>
      <c r="AM362" s="408"/>
      <c r="AN362" s="408">
        <v>31.465358699058761</v>
      </c>
      <c r="AO362" s="408">
        <v>0</v>
      </c>
      <c r="AP362" s="408">
        <v>0</v>
      </c>
      <c r="AQ362" s="408">
        <v>0</v>
      </c>
      <c r="AR362" s="408">
        <v>0</v>
      </c>
      <c r="AS362" s="408">
        <v>0</v>
      </c>
      <c r="AT362" s="408">
        <v>0</v>
      </c>
      <c r="AU362" s="408">
        <v>0</v>
      </c>
      <c r="AV362" s="408">
        <v>0</v>
      </c>
      <c r="AW362" s="408">
        <v>0</v>
      </c>
      <c r="AX362" s="408">
        <v>0</v>
      </c>
      <c r="AY362" s="408">
        <v>0</v>
      </c>
      <c r="AZ362" s="408">
        <v>0</v>
      </c>
      <c r="BA362" s="408"/>
      <c r="BB362" s="408">
        <v>0</v>
      </c>
      <c r="BC362" s="408">
        <v>0</v>
      </c>
      <c r="BD362" s="408">
        <v>28.735756166118346</v>
      </c>
      <c r="BE362" s="408">
        <v>0</v>
      </c>
      <c r="BF362" s="408">
        <v>0</v>
      </c>
      <c r="BG362" s="408">
        <v>389.26095792071277</v>
      </c>
      <c r="BH362" s="408">
        <v>0</v>
      </c>
      <c r="BI362" s="408">
        <v>0</v>
      </c>
      <c r="BJ362" s="408">
        <v>0</v>
      </c>
      <c r="BK362" s="408">
        <v>0</v>
      </c>
      <c r="BL362" s="408">
        <v>0</v>
      </c>
      <c r="BM362" s="408"/>
      <c r="BN362" s="408"/>
      <c r="BO362" s="408"/>
      <c r="BP362" s="408"/>
      <c r="BQ362" s="408"/>
      <c r="BR362" s="408">
        <v>328.38326080000047</v>
      </c>
      <c r="BS362" s="408"/>
      <c r="BT362" s="408"/>
      <c r="BU362" s="408"/>
      <c r="BV362" s="408">
        <v>6401.827730965213</v>
      </c>
      <c r="BW362" s="408"/>
      <c r="BX362" s="408"/>
      <c r="BY362" s="408"/>
      <c r="BZ362" s="408"/>
      <c r="CA362" s="408"/>
      <c r="CB362" s="408"/>
      <c r="CC362" s="408"/>
      <c r="CD362" s="408"/>
      <c r="CE362" s="408"/>
      <c r="CF362" s="408"/>
      <c r="CG362" s="408"/>
      <c r="CH362" s="408"/>
      <c r="CI362" s="408">
        <v>7880.8322000000007</v>
      </c>
      <c r="CJ362" s="408">
        <v>294.49393760000021</v>
      </c>
      <c r="CK362" s="408"/>
      <c r="CL362" s="408"/>
      <c r="CM362" s="408"/>
      <c r="CN362" s="408"/>
      <c r="CO362" s="408">
        <v>-65.773680000000184</v>
      </c>
      <c r="CP362" s="408">
        <v>372.95076000000023</v>
      </c>
      <c r="CQ362" s="408">
        <v>30</v>
      </c>
      <c r="CR362" s="408">
        <v>307.07884199018736</v>
      </c>
      <c r="CS362" s="408">
        <v>0</v>
      </c>
      <c r="CT362" s="408">
        <v>0</v>
      </c>
      <c r="CU362" s="408">
        <v>0</v>
      </c>
      <c r="CV362" s="408">
        <v>0</v>
      </c>
      <c r="CW362" s="408">
        <v>0</v>
      </c>
      <c r="CX362" s="408">
        <v>0</v>
      </c>
      <c r="CY362" s="408">
        <v>0</v>
      </c>
      <c r="CZ362" s="408">
        <v>0</v>
      </c>
      <c r="DA362" s="408">
        <v>0</v>
      </c>
      <c r="DB362" s="408">
        <v>0</v>
      </c>
      <c r="DC362" s="408">
        <v>372.78351210916662</v>
      </c>
      <c r="DD362" s="408">
        <v>0</v>
      </c>
      <c r="DE362" s="408">
        <v>0</v>
      </c>
      <c r="DF362" s="408">
        <v>1.79019361952286</v>
      </c>
      <c r="DG362" s="408">
        <v>24.250361785176722</v>
      </c>
      <c r="DH362" s="408">
        <v>0</v>
      </c>
      <c r="DI362" s="408">
        <v>-77.570430855242876</v>
      </c>
      <c r="DJ362" s="408"/>
      <c r="DK362" s="408">
        <v>0</v>
      </c>
      <c r="DL362" s="408">
        <v>0</v>
      </c>
      <c r="DM362" s="408">
        <v>0</v>
      </c>
      <c r="DN362" s="408">
        <v>0</v>
      </c>
      <c r="DO362" s="408">
        <v>-12.164038054228257</v>
      </c>
      <c r="DP362" s="408">
        <v>-2.0107566142078497</v>
      </c>
      <c r="DQ362" s="408">
        <v>0</v>
      </c>
      <c r="DR362" s="408">
        <v>0</v>
      </c>
      <c r="DS362" s="408"/>
      <c r="DT362" s="408"/>
      <c r="DU362" s="408"/>
      <c r="DV362" s="408">
        <v>0</v>
      </c>
      <c r="DW362" s="408">
        <v>0</v>
      </c>
      <c r="DX362" s="408">
        <v>0</v>
      </c>
      <c r="DY362" s="408">
        <v>-65.77368000000024</v>
      </c>
      <c r="DZ362" s="408">
        <v>372.95076000000063</v>
      </c>
      <c r="EA362" s="408">
        <v>0</v>
      </c>
      <c r="EB362" s="408">
        <v>0</v>
      </c>
      <c r="EC362" s="408">
        <v>0</v>
      </c>
      <c r="ED362" s="408">
        <v>0</v>
      </c>
      <c r="EE362" s="408">
        <v>0</v>
      </c>
      <c r="EF362" s="408">
        <v>0</v>
      </c>
      <c r="EG362" s="408">
        <v>0</v>
      </c>
      <c r="EH362" s="408">
        <v>0</v>
      </c>
      <c r="EI362" s="408">
        <v>0</v>
      </c>
      <c r="EJ362" s="408">
        <v>0</v>
      </c>
      <c r="EK362" s="408">
        <v>0</v>
      </c>
      <c r="EL362" s="408">
        <v>0</v>
      </c>
      <c r="EM362" s="408">
        <v>0</v>
      </c>
      <c r="EN362" s="408">
        <v>0</v>
      </c>
      <c r="EO362" s="408">
        <v>0</v>
      </c>
      <c r="EP362" s="408">
        <v>0</v>
      </c>
      <c r="EQ362" s="408">
        <v>0</v>
      </c>
      <c r="ER362" s="408">
        <v>0</v>
      </c>
      <c r="ES362" s="408">
        <v>0</v>
      </c>
      <c r="ET362" s="408">
        <v>0</v>
      </c>
      <c r="EU362" s="408">
        <v>0</v>
      </c>
      <c r="EV362" s="408">
        <v>257</v>
      </c>
      <c r="EW362" s="408">
        <v>0</v>
      </c>
      <c r="EX362" s="408">
        <v>0</v>
      </c>
      <c r="EY362" s="408">
        <v>0</v>
      </c>
      <c r="EZ362" s="408"/>
      <c r="FA362" s="408">
        <v>0</v>
      </c>
      <c r="FB362" s="408"/>
      <c r="FC362" s="408"/>
      <c r="FD362" s="408"/>
      <c r="FE362" s="408"/>
      <c r="FF362" s="408">
        <v>0</v>
      </c>
      <c r="FG362" s="408">
        <v>0</v>
      </c>
      <c r="FH362" s="408">
        <v>0</v>
      </c>
      <c r="FI362" s="408">
        <v>0</v>
      </c>
    </row>
    <row r="363" spans="1:165">
      <c r="A363" s="408">
        <v>361</v>
      </c>
      <c r="B363" s="408" t="s">
        <v>1035</v>
      </c>
      <c r="C363" s="408" t="s">
        <v>2241</v>
      </c>
      <c r="D363" s="408" t="s">
        <v>596</v>
      </c>
      <c r="E363" s="408" t="s">
        <v>973</v>
      </c>
      <c r="F363" s="408" t="s">
        <v>1321</v>
      </c>
      <c r="G363" s="408" t="s">
        <v>1321</v>
      </c>
      <c r="H363" s="408" t="s">
        <v>1321</v>
      </c>
      <c r="I363" s="408" t="s">
        <v>1321</v>
      </c>
      <c r="J363" s="408" t="s">
        <v>2234</v>
      </c>
      <c r="K363" s="828">
        <v>44652</v>
      </c>
      <c r="L363" s="408">
        <v>735</v>
      </c>
      <c r="M363" s="408">
        <v>705.6</v>
      </c>
      <c r="N363" s="408">
        <v>0</v>
      </c>
      <c r="O363" s="408">
        <v>0</v>
      </c>
      <c r="P363" s="408">
        <v>0</v>
      </c>
      <c r="Q363" s="408">
        <v>0</v>
      </c>
      <c r="R363" s="408">
        <v>47.39</v>
      </c>
      <c r="S363" s="408"/>
      <c r="T363" s="408"/>
      <c r="U363" s="408">
        <v>34831.65</v>
      </c>
      <c r="V363" s="408"/>
      <c r="W363" s="408">
        <v>34831.65</v>
      </c>
      <c r="X363" s="408">
        <v>23681.7</v>
      </c>
      <c r="Y363" s="408">
        <v>0</v>
      </c>
      <c r="Z363" s="408">
        <v>0</v>
      </c>
      <c r="AA363" s="408">
        <v>0</v>
      </c>
      <c r="AB363" s="408">
        <v>0</v>
      </c>
      <c r="AC363" s="408">
        <v>0</v>
      </c>
      <c r="AD363" s="408">
        <v>18353.02363190729</v>
      </c>
      <c r="AE363" s="408">
        <v>16478.602425611181</v>
      </c>
      <c r="AF363" s="408"/>
      <c r="AG363" s="408"/>
      <c r="AH363" s="408"/>
      <c r="AI363" s="408">
        <v>0</v>
      </c>
      <c r="AJ363" s="408">
        <v>0</v>
      </c>
      <c r="AK363" s="408">
        <v>0</v>
      </c>
      <c r="AL363" s="408">
        <v>0</v>
      </c>
      <c r="AM363" s="408"/>
      <c r="AN363" s="408">
        <v>0</v>
      </c>
      <c r="AO363" s="408">
        <v>0</v>
      </c>
      <c r="AP363" s="408">
        <v>0</v>
      </c>
      <c r="AQ363" s="408">
        <v>0</v>
      </c>
      <c r="AR363" s="408">
        <v>0</v>
      </c>
      <c r="AS363" s="408"/>
      <c r="AT363" s="408"/>
      <c r="AU363" s="408">
        <v>0</v>
      </c>
      <c r="AV363" s="408">
        <v>0</v>
      </c>
      <c r="AW363" s="408">
        <v>0</v>
      </c>
      <c r="AX363" s="408"/>
      <c r="AY363" s="408"/>
      <c r="AZ363" s="408">
        <v>0</v>
      </c>
      <c r="BA363" s="408"/>
      <c r="BB363" s="408">
        <v>0</v>
      </c>
      <c r="BC363" s="408">
        <v>0</v>
      </c>
      <c r="BD363" s="408">
        <v>0</v>
      </c>
      <c r="BE363" s="408">
        <v>0</v>
      </c>
      <c r="BF363" s="408"/>
      <c r="BG363" s="408">
        <v>0</v>
      </c>
      <c r="BH363" s="408">
        <v>0</v>
      </c>
      <c r="BI363" s="408">
        <v>262.97000000000003</v>
      </c>
      <c r="BJ363" s="408">
        <v>1219.22</v>
      </c>
      <c r="BK363" s="408">
        <v>1474.31</v>
      </c>
      <c r="BL363" s="408">
        <v>6</v>
      </c>
      <c r="BM363" s="408"/>
      <c r="BN363" s="408"/>
      <c r="BO363" s="408"/>
      <c r="BP363" s="408"/>
      <c r="BQ363" s="408"/>
      <c r="BR363" s="408">
        <v>947.26799999999923</v>
      </c>
      <c r="BS363" s="408"/>
      <c r="BT363" s="408"/>
      <c r="BU363" s="408"/>
      <c r="BV363" s="408">
        <v>0</v>
      </c>
      <c r="BW363" s="408"/>
      <c r="BX363" s="408"/>
      <c r="BY363" s="408"/>
      <c r="BZ363" s="408"/>
      <c r="CA363" s="408"/>
      <c r="CB363" s="408"/>
      <c r="CC363" s="408"/>
      <c r="CD363" s="408"/>
      <c r="CE363" s="408"/>
      <c r="CF363" s="408"/>
      <c r="CG363" s="408"/>
      <c r="CH363" s="408"/>
      <c r="CI363" s="408">
        <v>22734.432000000001</v>
      </c>
      <c r="CJ363" s="408">
        <v>-10703.982000000004</v>
      </c>
      <c r="CK363" s="408"/>
      <c r="CL363" s="408"/>
      <c r="CM363" s="408"/>
      <c r="CN363" s="408"/>
      <c r="CO363" s="408">
        <v>-11149.95</v>
      </c>
      <c r="CP363" s="408">
        <v>0</v>
      </c>
      <c r="CQ363" s="408">
        <v>30</v>
      </c>
      <c r="CR363" s="408">
        <v>-82.956821134393977</v>
      </c>
      <c r="CS363" s="408">
        <v>0</v>
      </c>
      <c r="CT363" s="408">
        <v>0</v>
      </c>
      <c r="CU363" s="408">
        <v>0</v>
      </c>
      <c r="CV363" s="408">
        <v>0</v>
      </c>
      <c r="CW363" s="408"/>
      <c r="CX363" s="408"/>
      <c r="CY363" s="408"/>
      <c r="CZ363" s="408">
        <v>-82.956821134393977</v>
      </c>
      <c r="DA363" s="408">
        <v>0</v>
      </c>
      <c r="DB363" s="408">
        <v>0</v>
      </c>
      <c r="DC363" s="408"/>
      <c r="DD363" s="408"/>
      <c r="DE363" s="408">
        <v>0</v>
      </c>
      <c r="DF363" s="408">
        <v>0</v>
      </c>
      <c r="DG363" s="408">
        <v>0</v>
      </c>
      <c r="DH363" s="408">
        <v>0</v>
      </c>
      <c r="DI363" s="408">
        <v>0</v>
      </c>
      <c r="DJ363" s="408"/>
      <c r="DK363" s="408">
        <v>0</v>
      </c>
      <c r="DL363" s="408">
        <v>0</v>
      </c>
      <c r="DM363" s="408"/>
      <c r="DN363" s="408">
        <v>0</v>
      </c>
      <c r="DO363" s="408">
        <v>0</v>
      </c>
      <c r="DP363" s="408">
        <v>0</v>
      </c>
      <c r="DQ363" s="408">
        <v>0</v>
      </c>
      <c r="DR363" s="408">
        <v>0</v>
      </c>
      <c r="DS363" s="408"/>
      <c r="DT363" s="408"/>
      <c r="DU363" s="408">
        <v>16478.602425611181</v>
      </c>
      <c r="DV363" s="408"/>
      <c r="DW363" s="408">
        <v>0</v>
      </c>
      <c r="DX363" s="408">
        <v>0</v>
      </c>
      <c r="DY363" s="408">
        <v>-11149.95</v>
      </c>
      <c r="DZ363" s="408"/>
      <c r="EA363" s="408">
        <v>0</v>
      </c>
      <c r="EB363" s="408"/>
      <c r="EC363" s="408">
        <v>-11068.259821669695</v>
      </c>
      <c r="ED363" s="408"/>
      <c r="EE363" s="408">
        <v>0</v>
      </c>
      <c r="EF363" s="408">
        <v>0</v>
      </c>
      <c r="EG363" s="408"/>
      <c r="EH363" s="408">
        <v>0</v>
      </c>
      <c r="EI363" s="408">
        <v>0</v>
      </c>
      <c r="EJ363" s="408">
        <v>0</v>
      </c>
      <c r="EK363" s="408">
        <v>0</v>
      </c>
      <c r="EL363" s="408">
        <v>0</v>
      </c>
      <c r="EM363" s="408"/>
      <c r="EN363" s="408"/>
      <c r="EO363" s="408">
        <v>0</v>
      </c>
      <c r="EP363" s="408">
        <v>0</v>
      </c>
      <c r="EQ363" s="408"/>
      <c r="ER363" s="408">
        <v>0</v>
      </c>
      <c r="ES363" s="408"/>
      <c r="ET363" s="408">
        <v>0</v>
      </c>
      <c r="EU363" s="408"/>
      <c r="EV363" s="408">
        <v>257</v>
      </c>
      <c r="EW363" s="408"/>
      <c r="EX363" s="408"/>
      <c r="EY363" s="408"/>
      <c r="EZ363" s="408"/>
      <c r="FA363" s="408">
        <v>0</v>
      </c>
      <c r="FB363" s="408"/>
      <c r="FC363" s="408"/>
      <c r="FD363" s="408"/>
      <c r="FE363" s="408"/>
      <c r="FF363" s="408">
        <v>0</v>
      </c>
      <c r="FG363" s="408">
        <v>0</v>
      </c>
      <c r="FH363" s="408">
        <v>0</v>
      </c>
      <c r="FI363" s="408">
        <v>0</v>
      </c>
    </row>
    <row r="364" spans="1:165">
      <c r="A364" s="408">
        <v>362</v>
      </c>
      <c r="B364" s="408" t="s">
        <v>2236</v>
      </c>
      <c r="C364" s="408" t="s">
        <v>2241</v>
      </c>
      <c r="D364" s="408" t="s">
        <v>596</v>
      </c>
      <c r="E364" s="408" t="s">
        <v>973</v>
      </c>
      <c r="F364" s="408" t="s">
        <v>1321</v>
      </c>
      <c r="G364" s="408" t="s">
        <v>1321</v>
      </c>
      <c r="H364" s="408" t="s">
        <v>1321</v>
      </c>
      <c r="I364" s="408" t="s">
        <v>1321</v>
      </c>
      <c r="J364" s="408" t="s">
        <v>2234</v>
      </c>
      <c r="K364" s="828">
        <v>44652</v>
      </c>
      <c r="L364" s="408">
        <v>168</v>
      </c>
      <c r="M364" s="408">
        <v>161.28</v>
      </c>
      <c r="N364" s="408">
        <v>0</v>
      </c>
      <c r="O364" s="408">
        <v>0</v>
      </c>
      <c r="P364" s="408">
        <v>0</v>
      </c>
      <c r="Q364" s="408">
        <v>0</v>
      </c>
      <c r="R364" s="408">
        <v>47.39</v>
      </c>
      <c r="S364" s="408"/>
      <c r="T364" s="408"/>
      <c r="U364" s="408">
        <v>7961.52</v>
      </c>
      <c r="V364" s="408"/>
      <c r="W364" s="408">
        <v>7961.52</v>
      </c>
      <c r="X364" s="408">
        <v>5412.96</v>
      </c>
      <c r="Y364" s="408">
        <v>0</v>
      </c>
      <c r="Z364" s="408">
        <v>0</v>
      </c>
      <c r="AA364" s="408">
        <v>0</v>
      </c>
      <c r="AB364" s="408">
        <v>0</v>
      </c>
      <c r="AC364" s="408">
        <v>0</v>
      </c>
      <c r="AD364" s="408">
        <v>4194.9768301502372</v>
      </c>
      <c r="AE364" s="408">
        <v>3766.5376972825557</v>
      </c>
      <c r="AF364" s="408"/>
      <c r="AG364" s="408"/>
      <c r="AH364" s="408"/>
      <c r="AI364" s="408">
        <v>0</v>
      </c>
      <c r="AJ364" s="408">
        <v>0</v>
      </c>
      <c r="AK364" s="408">
        <v>0</v>
      </c>
      <c r="AL364" s="408">
        <v>0</v>
      </c>
      <c r="AM364" s="408"/>
      <c r="AN364" s="408">
        <v>0</v>
      </c>
      <c r="AO364" s="408">
        <v>0</v>
      </c>
      <c r="AP364" s="408">
        <v>0</v>
      </c>
      <c r="AQ364" s="408">
        <v>0</v>
      </c>
      <c r="AR364" s="408">
        <v>0</v>
      </c>
      <c r="AS364" s="408"/>
      <c r="AT364" s="408"/>
      <c r="AU364" s="408">
        <v>0</v>
      </c>
      <c r="AV364" s="408">
        <v>0</v>
      </c>
      <c r="AW364" s="408">
        <v>0</v>
      </c>
      <c r="AX364" s="408"/>
      <c r="AY364" s="408"/>
      <c r="AZ364" s="408">
        <v>0</v>
      </c>
      <c r="BA364" s="408"/>
      <c r="BB364" s="408">
        <v>0</v>
      </c>
      <c r="BC364" s="408">
        <v>0</v>
      </c>
      <c r="BD364" s="408">
        <v>0</v>
      </c>
      <c r="BE364" s="408">
        <v>0</v>
      </c>
      <c r="BF364" s="408"/>
      <c r="BG364" s="408">
        <v>0</v>
      </c>
      <c r="BH364" s="408">
        <v>0</v>
      </c>
      <c r="BI364" s="408">
        <v>58.77</v>
      </c>
      <c r="BJ364" s="408">
        <v>272.45</v>
      </c>
      <c r="BK364" s="408">
        <v>8.61</v>
      </c>
      <c r="BL364" s="408">
        <v>1</v>
      </c>
      <c r="BM364" s="408"/>
      <c r="BN364" s="408"/>
      <c r="BO364" s="408"/>
      <c r="BP364" s="408"/>
      <c r="BQ364" s="408"/>
      <c r="BR364" s="408">
        <v>216.51839999999996</v>
      </c>
      <c r="BS364" s="408"/>
      <c r="BT364" s="408"/>
      <c r="BU364" s="408"/>
      <c r="BV364" s="408">
        <v>0</v>
      </c>
      <c r="BW364" s="408"/>
      <c r="BX364" s="408"/>
      <c r="BY364" s="408"/>
      <c r="BZ364" s="408"/>
      <c r="CA364" s="408"/>
      <c r="CB364" s="408"/>
      <c r="CC364" s="408"/>
      <c r="CD364" s="408"/>
      <c r="CE364" s="408"/>
      <c r="CF364" s="408"/>
      <c r="CG364" s="408"/>
      <c r="CH364" s="408"/>
      <c r="CI364" s="408">
        <v>5196.4416000000001</v>
      </c>
      <c r="CJ364" s="408">
        <v>-2446.6476000000002</v>
      </c>
      <c r="CK364" s="408"/>
      <c r="CL364" s="408"/>
      <c r="CM364" s="408"/>
      <c r="CN364" s="408"/>
      <c r="CO364" s="408">
        <v>-2548.5600000000004</v>
      </c>
      <c r="CP364" s="408">
        <v>0</v>
      </c>
      <c r="CQ364" s="408">
        <v>30</v>
      </c>
      <c r="CR364" s="408">
        <v>-18.961559116431999</v>
      </c>
      <c r="CS364" s="408">
        <v>0</v>
      </c>
      <c r="CT364" s="408">
        <v>0</v>
      </c>
      <c r="CU364" s="408">
        <v>0</v>
      </c>
      <c r="CV364" s="408">
        <v>0</v>
      </c>
      <c r="CW364" s="408"/>
      <c r="CX364" s="408"/>
      <c r="CY364" s="408"/>
      <c r="CZ364" s="408">
        <v>-18.961559116431999</v>
      </c>
      <c r="DA364" s="408">
        <v>0</v>
      </c>
      <c r="DB364" s="408">
        <v>0</v>
      </c>
      <c r="DC364" s="408"/>
      <c r="DD364" s="408"/>
      <c r="DE364" s="408">
        <v>0</v>
      </c>
      <c r="DF364" s="408">
        <v>0</v>
      </c>
      <c r="DG364" s="408">
        <v>0</v>
      </c>
      <c r="DH364" s="408">
        <v>0</v>
      </c>
      <c r="DI364" s="408">
        <v>0</v>
      </c>
      <c r="DJ364" s="408"/>
      <c r="DK364" s="408">
        <v>0</v>
      </c>
      <c r="DL364" s="408">
        <v>0</v>
      </c>
      <c r="DM364" s="408"/>
      <c r="DN364" s="408">
        <v>0</v>
      </c>
      <c r="DO364" s="408">
        <v>0</v>
      </c>
      <c r="DP364" s="408">
        <v>0</v>
      </c>
      <c r="DQ364" s="408">
        <v>0</v>
      </c>
      <c r="DR364" s="408">
        <v>0</v>
      </c>
      <c r="DS364" s="408"/>
      <c r="DT364" s="408"/>
      <c r="DU364" s="408">
        <v>3766.5376972825557</v>
      </c>
      <c r="DV364" s="408"/>
      <c r="DW364" s="408">
        <v>0</v>
      </c>
      <c r="DX364" s="408">
        <v>0</v>
      </c>
      <c r="DY364" s="408">
        <v>-2548.5600000000004</v>
      </c>
      <c r="DZ364" s="408"/>
      <c r="EA364" s="408">
        <v>0</v>
      </c>
      <c r="EB364" s="408"/>
      <c r="EC364" s="408">
        <v>-2529.8879592387875</v>
      </c>
      <c r="ED364" s="408"/>
      <c r="EE364" s="408">
        <v>0</v>
      </c>
      <c r="EF364" s="408">
        <v>0</v>
      </c>
      <c r="EG364" s="408"/>
      <c r="EH364" s="408">
        <v>0</v>
      </c>
      <c r="EI364" s="408">
        <v>0</v>
      </c>
      <c r="EJ364" s="408">
        <v>0</v>
      </c>
      <c r="EK364" s="408">
        <v>0</v>
      </c>
      <c r="EL364" s="408">
        <v>0</v>
      </c>
      <c r="EM364" s="408"/>
      <c r="EN364" s="408"/>
      <c r="EO364" s="408">
        <v>0</v>
      </c>
      <c r="EP364" s="408">
        <v>0</v>
      </c>
      <c r="EQ364" s="408"/>
      <c r="ER364" s="408">
        <v>0</v>
      </c>
      <c r="ES364" s="408"/>
      <c r="ET364" s="408">
        <v>0</v>
      </c>
      <c r="EU364" s="408"/>
      <c r="EV364" s="408">
        <v>257</v>
      </c>
      <c r="EW364" s="408"/>
      <c r="EX364" s="408"/>
      <c r="EY364" s="408"/>
      <c r="EZ364" s="408"/>
      <c r="FA364" s="408">
        <v>0</v>
      </c>
      <c r="FB364" s="408"/>
      <c r="FC364" s="408"/>
      <c r="FD364" s="408"/>
      <c r="FE364" s="408"/>
      <c r="FF364" s="408">
        <v>0</v>
      </c>
      <c r="FG364" s="408">
        <v>0</v>
      </c>
      <c r="FH364" s="408">
        <v>0</v>
      </c>
      <c r="FI364" s="408">
        <v>0</v>
      </c>
    </row>
    <row r="365" spans="1:165">
      <c r="A365" s="408">
        <v>363</v>
      </c>
      <c r="B365" s="408" t="s">
        <v>1035</v>
      </c>
      <c r="C365" s="408" t="s">
        <v>2233</v>
      </c>
      <c r="D365" s="408" t="s">
        <v>1958</v>
      </c>
      <c r="E365" s="408" t="s">
        <v>2244</v>
      </c>
      <c r="F365" s="408" t="s">
        <v>1321</v>
      </c>
      <c r="G365" s="408" t="s">
        <v>1321</v>
      </c>
      <c r="H365" s="408" t="s">
        <v>1321</v>
      </c>
      <c r="I365" s="408" t="s">
        <v>1321</v>
      </c>
      <c r="J365" s="408" t="s">
        <v>2234</v>
      </c>
      <c r="K365" s="828">
        <v>44652</v>
      </c>
      <c r="L365" s="408">
        <v>0</v>
      </c>
      <c r="M365" s="408">
        <v>0</v>
      </c>
      <c r="N365" s="408">
        <v>200.72900000000001</v>
      </c>
      <c r="O365" s="408">
        <v>200.72900000000001</v>
      </c>
      <c r="P365" s="408">
        <v>200.72900000000001</v>
      </c>
      <c r="Q365" s="408">
        <v>200.72900000000001</v>
      </c>
      <c r="R365" s="408"/>
      <c r="S365" s="408">
        <v>710.91</v>
      </c>
      <c r="T365" s="408">
        <v>256.55</v>
      </c>
      <c r="U365" s="408"/>
      <c r="V365" s="408">
        <v>194197.27834000002</v>
      </c>
      <c r="W365" s="408">
        <v>194197.27834000002</v>
      </c>
      <c r="X365" s="408">
        <v>132567.45347000001</v>
      </c>
      <c r="Y365" s="408">
        <v>0</v>
      </c>
      <c r="Z365" s="408">
        <v>12339.751322332037</v>
      </c>
      <c r="AA365" s="408">
        <v>0</v>
      </c>
      <c r="AB365" s="408">
        <v>0</v>
      </c>
      <c r="AC365" s="408">
        <v>0</v>
      </c>
      <c r="AD365" s="408">
        <v>24706.285314441058</v>
      </c>
      <c r="AE365" s="408">
        <v>95729.679772028394</v>
      </c>
      <c r="AF365" s="408">
        <v>51497.531134753073</v>
      </c>
      <c r="AG365" s="408">
        <v>0</v>
      </c>
      <c r="AH365" s="408">
        <v>0</v>
      </c>
      <c r="AI365" s="408">
        <v>0</v>
      </c>
      <c r="AJ365" s="408">
        <v>0</v>
      </c>
      <c r="AK365" s="408">
        <v>0</v>
      </c>
      <c r="AL365" s="408">
        <v>1907.7813593621067</v>
      </c>
      <c r="AM365" s="408"/>
      <c r="AN365" s="408">
        <v>440.76167085079595</v>
      </c>
      <c r="AO365" s="408">
        <v>0</v>
      </c>
      <c r="AP365" s="408">
        <v>0</v>
      </c>
      <c r="AQ365" s="408">
        <v>0</v>
      </c>
      <c r="AR365" s="408">
        <v>0</v>
      </c>
      <c r="AS365" s="408">
        <v>0</v>
      </c>
      <c r="AT365" s="408">
        <v>0</v>
      </c>
      <c r="AU365" s="408">
        <v>0</v>
      </c>
      <c r="AV365" s="408">
        <v>0</v>
      </c>
      <c r="AW365" s="408">
        <v>0</v>
      </c>
      <c r="AX365" s="408">
        <v>0</v>
      </c>
      <c r="AY365" s="408">
        <v>0</v>
      </c>
      <c r="AZ365" s="408">
        <v>0</v>
      </c>
      <c r="BA365" s="408"/>
      <c r="BB365" s="408">
        <v>0</v>
      </c>
      <c r="BC365" s="408">
        <v>0</v>
      </c>
      <c r="BD365" s="408">
        <v>299.15050954375619</v>
      </c>
      <c r="BE365" s="408">
        <v>0</v>
      </c>
      <c r="BF365" s="408">
        <v>0</v>
      </c>
      <c r="BG365" s="408">
        <v>7277.109185227403</v>
      </c>
      <c r="BH365" s="408">
        <v>0</v>
      </c>
      <c r="BI365" s="408">
        <v>404.16</v>
      </c>
      <c r="BJ365" s="408">
        <v>1852.69</v>
      </c>
      <c r="BK365" s="408">
        <v>51320.800000000003</v>
      </c>
      <c r="BL365" s="408">
        <v>304</v>
      </c>
      <c r="BM365" s="408"/>
      <c r="BN365" s="408"/>
      <c r="BO365" s="408"/>
      <c r="BP365" s="408"/>
      <c r="BQ365" s="408"/>
      <c r="BR365" s="408"/>
      <c r="BS365" s="408"/>
      <c r="BT365" s="408"/>
      <c r="BU365" s="408"/>
      <c r="BV365" s="408">
        <v>59073.790829524231</v>
      </c>
      <c r="BW365" s="408"/>
      <c r="BX365" s="408"/>
      <c r="BY365" s="408"/>
      <c r="BZ365" s="408"/>
      <c r="CA365" s="408"/>
      <c r="CB365" s="408"/>
      <c r="CC365" s="408"/>
      <c r="CD365" s="408"/>
      <c r="CE365" s="408"/>
      <c r="CF365" s="408"/>
      <c r="CG365" s="408"/>
      <c r="CH365" s="408"/>
      <c r="CI365" s="408">
        <v>132568.1139</v>
      </c>
      <c r="CJ365" s="408">
        <v>-61629.19444000005</v>
      </c>
      <c r="CK365" s="408"/>
      <c r="CL365" s="408"/>
      <c r="CM365" s="408"/>
      <c r="CN365" s="408"/>
      <c r="CO365" s="408">
        <v>-64839.48158</v>
      </c>
      <c r="CP365" s="408">
        <v>3209.656710000002</v>
      </c>
      <c r="CQ365" s="408">
        <v>30</v>
      </c>
      <c r="CR365" s="408">
        <v>2668.3480332560139</v>
      </c>
      <c r="CS365" s="408">
        <v>0</v>
      </c>
      <c r="CT365" s="408">
        <v>0</v>
      </c>
      <c r="CU365" s="408">
        <v>0</v>
      </c>
      <c r="CV365" s="408">
        <v>0</v>
      </c>
      <c r="CW365" s="408">
        <v>0</v>
      </c>
      <c r="CX365" s="408">
        <v>0</v>
      </c>
      <c r="CY365" s="408">
        <v>0</v>
      </c>
      <c r="CZ365" s="408">
        <v>-111.6739635294507</v>
      </c>
      <c r="DA365" s="408">
        <v>0</v>
      </c>
      <c r="DB365" s="408">
        <v>0</v>
      </c>
      <c r="DC365" s="408">
        <v>3208.2173556062844</v>
      </c>
      <c r="DD365" s="408">
        <v>0</v>
      </c>
      <c r="DE365" s="408">
        <v>0</v>
      </c>
      <c r="DF365" s="408">
        <v>18.63661879528587</v>
      </c>
      <c r="DG365" s="408">
        <v>453.35276220519881</v>
      </c>
      <c r="DH365" s="408">
        <v>0</v>
      </c>
      <c r="DI365" s="408">
        <v>-767.33328874120707</v>
      </c>
      <c r="DJ365" s="408"/>
      <c r="DK365" s="408">
        <v>0</v>
      </c>
      <c r="DL365" s="408">
        <v>0</v>
      </c>
      <c r="DM365" s="408">
        <v>0</v>
      </c>
      <c r="DN365" s="408">
        <v>0</v>
      </c>
      <c r="DO365" s="408">
        <v>-104.68509666383056</v>
      </c>
      <c r="DP365" s="408">
        <v>-28.166354416262379</v>
      </c>
      <c r="DQ365" s="408">
        <v>0</v>
      </c>
      <c r="DR365" s="408">
        <v>0</v>
      </c>
      <c r="DS365" s="408"/>
      <c r="DT365" s="408"/>
      <c r="DU365" s="408"/>
      <c r="DV365" s="408">
        <v>95729.679772028394</v>
      </c>
      <c r="DW365" s="408">
        <v>0</v>
      </c>
      <c r="DX365" s="408">
        <v>0</v>
      </c>
      <c r="DY365" s="408">
        <v>-64839.481579999992</v>
      </c>
      <c r="DZ365" s="408">
        <v>3209.6567100000029</v>
      </c>
      <c r="EA365" s="408">
        <v>0</v>
      </c>
      <c r="EB365" s="408">
        <v>0</v>
      </c>
      <c r="EC365" s="408">
        <v>-64299.200927092577</v>
      </c>
      <c r="ED365" s="408">
        <v>0</v>
      </c>
      <c r="EE365" s="408">
        <v>0</v>
      </c>
      <c r="EF365" s="408">
        <v>0</v>
      </c>
      <c r="EG365" s="408">
        <v>0</v>
      </c>
      <c r="EH365" s="408">
        <v>0</v>
      </c>
      <c r="EI365" s="408">
        <v>0</v>
      </c>
      <c r="EJ365" s="408">
        <v>0</v>
      </c>
      <c r="EK365" s="408">
        <v>0</v>
      </c>
      <c r="EL365" s="408">
        <v>0</v>
      </c>
      <c r="EM365" s="408">
        <v>0</v>
      </c>
      <c r="EN365" s="408">
        <v>0</v>
      </c>
      <c r="EO365" s="408">
        <v>0</v>
      </c>
      <c r="EP365" s="408">
        <v>0</v>
      </c>
      <c r="EQ365" s="408">
        <v>0</v>
      </c>
      <c r="ER365" s="408">
        <v>0</v>
      </c>
      <c r="ES365" s="408">
        <v>0</v>
      </c>
      <c r="ET365" s="408">
        <v>0</v>
      </c>
      <c r="EU365" s="408">
        <v>0</v>
      </c>
      <c r="EV365" s="408">
        <v>257</v>
      </c>
      <c r="EW365" s="408">
        <v>0</v>
      </c>
      <c r="EX365" s="408">
        <v>0</v>
      </c>
      <c r="EY365" s="408">
        <v>0</v>
      </c>
      <c r="EZ365" s="408"/>
      <c r="FA365" s="408">
        <v>0</v>
      </c>
      <c r="FB365" s="408"/>
      <c r="FC365" s="408"/>
      <c r="FD365" s="408"/>
      <c r="FE365" s="408"/>
      <c r="FF365" s="408">
        <v>0</v>
      </c>
      <c r="FG365" s="408">
        <v>0</v>
      </c>
      <c r="FH365" s="408">
        <v>0</v>
      </c>
      <c r="FI365" s="408">
        <v>0</v>
      </c>
    </row>
    <row r="366" spans="1:165">
      <c r="A366" s="408">
        <v>364</v>
      </c>
      <c r="B366" s="408" t="s">
        <v>2236</v>
      </c>
      <c r="C366" s="408" t="s">
        <v>2233</v>
      </c>
      <c r="D366" s="408" t="s">
        <v>1958</v>
      </c>
      <c r="E366" s="408" t="s">
        <v>2244</v>
      </c>
      <c r="F366" s="408" t="s">
        <v>1321</v>
      </c>
      <c r="G366" s="408" t="s">
        <v>1321</v>
      </c>
      <c r="H366" s="408" t="s">
        <v>1321</v>
      </c>
      <c r="I366" s="408" t="s">
        <v>1321</v>
      </c>
      <c r="J366" s="408" t="s">
        <v>2234</v>
      </c>
      <c r="K366" s="828">
        <v>44652</v>
      </c>
      <c r="L366" s="408">
        <v>0</v>
      </c>
      <c r="M366" s="408">
        <v>0</v>
      </c>
      <c r="N366" s="408">
        <v>1.59</v>
      </c>
      <c r="O366" s="408">
        <v>1.59</v>
      </c>
      <c r="P366" s="408">
        <v>1.59</v>
      </c>
      <c r="Q366" s="408">
        <v>1.59</v>
      </c>
      <c r="R366" s="408"/>
      <c r="S366" s="408">
        <v>710.91</v>
      </c>
      <c r="T366" s="408">
        <v>256.55</v>
      </c>
      <c r="U366" s="408"/>
      <c r="V366" s="408">
        <v>1538.2614000000001</v>
      </c>
      <c r="W366" s="408">
        <v>1538.2614000000001</v>
      </c>
      <c r="X366" s="408">
        <v>1050.0837000000001</v>
      </c>
      <c r="Y366" s="408">
        <v>0</v>
      </c>
      <c r="Z366" s="408">
        <v>97.744743422763719</v>
      </c>
      <c r="AA366" s="408">
        <v>0</v>
      </c>
      <c r="AB366" s="408">
        <v>0</v>
      </c>
      <c r="AC366" s="408">
        <v>0</v>
      </c>
      <c r="AD366" s="408">
        <v>195.70163578736148</v>
      </c>
      <c r="AE366" s="408">
        <v>758.2869980796255</v>
      </c>
      <c r="AF366" s="408">
        <v>407.91850955396274</v>
      </c>
      <c r="AG366" s="408">
        <v>0</v>
      </c>
      <c r="AH366" s="408">
        <v>0</v>
      </c>
      <c r="AI366" s="408">
        <v>0</v>
      </c>
      <c r="AJ366" s="408">
        <v>0</v>
      </c>
      <c r="AK366" s="408">
        <v>0</v>
      </c>
      <c r="AL366" s="408">
        <v>15.111779371121013</v>
      </c>
      <c r="AM366" s="408"/>
      <c r="AN366" s="408">
        <v>3.4913293876458584</v>
      </c>
      <c r="AO366" s="408">
        <v>0</v>
      </c>
      <c r="AP366" s="408">
        <v>0</v>
      </c>
      <c r="AQ366" s="408">
        <v>0</v>
      </c>
      <c r="AR366" s="408">
        <v>0</v>
      </c>
      <c r="AS366" s="408">
        <v>0</v>
      </c>
      <c r="AT366" s="408">
        <v>0</v>
      </c>
      <c r="AU366" s="408">
        <v>0</v>
      </c>
      <c r="AV366" s="408">
        <v>0</v>
      </c>
      <c r="AW366" s="408">
        <v>0</v>
      </c>
      <c r="AX366" s="408">
        <v>0</v>
      </c>
      <c r="AY366" s="408">
        <v>0</v>
      </c>
      <c r="AZ366" s="408">
        <v>0</v>
      </c>
      <c r="BA366" s="408"/>
      <c r="BB366" s="408">
        <v>0</v>
      </c>
      <c r="BC366" s="408">
        <v>0</v>
      </c>
      <c r="BD366" s="408">
        <v>2.3696093248836609</v>
      </c>
      <c r="BE366" s="408">
        <v>0</v>
      </c>
      <c r="BF366" s="408">
        <v>0</v>
      </c>
      <c r="BG366" s="408">
        <v>57.642909617003873</v>
      </c>
      <c r="BH366" s="408">
        <v>0</v>
      </c>
      <c r="BI366" s="408">
        <v>3.25</v>
      </c>
      <c r="BJ366" s="408">
        <v>15.07</v>
      </c>
      <c r="BK366" s="408">
        <v>0</v>
      </c>
      <c r="BL366" s="408">
        <v>1</v>
      </c>
      <c r="BM366" s="408"/>
      <c r="BN366" s="408"/>
      <c r="BO366" s="408"/>
      <c r="BP366" s="408"/>
      <c r="BQ366" s="408"/>
      <c r="BR366" s="408"/>
      <c r="BS366" s="408"/>
      <c r="BT366" s="408"/>
      <c r="BU366" s="408"/>
      <c r="BV366" s="408">
        <v>467.93102849585023</v>
      </c>
      <c r="BW366" s="408"/>
      <c r="BX366" s="408"/>
      <c r="BY366" s="408"/>
      <c r="BZ366" s="408"/>
      <c r="CA366" s="408"/>
      <c r="CB366" s="408"/>
      <c r="CC366" s="408"/>
      <c r="CD366" s="408"/>
      <c r="CE366" s="408"/>
      <c r="CF366" s="408"/>
      <c r="CG366" s="408"/>
      <c r="CH366" s="408"/>
      <c r="CI366" s="408">
        <v>1050.0837000000001</v>
      </c>
      <c r="CJ366" s="408">
        <v>-488.20769999999993</v>
      </c>
      <c r="CK366" s="408"/>
      <c r="CL366" s="408"/>
      <c r="CM366" s="408"/>
      <c r="CN366" s="408"/>
      <c r="CO366" s="408">
        <v>-513.60180000000003</v>
      </c>
      <c r="CP366" s="408">
        <v>25.424100000000017</v>
      </c>
      <c r="CQ366" s="408">
        <v>30</v>
      </c>
      <c r="CR366" s="408">
        <v>21.136324959906688</v>
      </c>
      <c r="CS366" s="408">
        <v>0</v>
      </c>
      <c r="CT366" s="408">
        <v>0</v>
      </c>
      <c r="CU366" s="408">
        <v>0</v>
      </c>
      <c r="CV366" s="408">
        <v>0</v>
      </c>
      <c r="CW366" s="408">
        <v>0</v>
      </c>
      <c r="CX366" s="408">
        <v>0</v>
      </c>
      <c r="CY366" s="408">
        <v>0</v>
      </c>
      <c r="CZ366" s="408">
        <v>-0.88458370246365803</v>
      </c>
      <c r="DA366" s="408">
        <v>0</v>
      </c>
      <c r="DB366" s="408">
        <v>0</v>
      </c>
      <c r="DC366" s="408">
        <v>25.412698690343632</v>
      </c>
      <c r="DD366" s="408">
        <v>0</v>
      </c>
      <c r="DE366" s="408">
        <v>0</v>
      </c>
      <c r="DF366" s="408">
        <v>0.1476230334655404</v>
      </c>
      <c r="DG366" s="408">
        <v>3.591065027506076</v>
      </c>
      <c r="DH366" s="408">
        <v>0</v>
      </c>
      <c r="DI366" s="408">
        <v>-6.0781448076686502</v>
      </c>
      <c r="DJ366" s="408"/>
      <c r="DK366" s="408">
        <v>0</v>
      </c>
      <c r="DL366" s="408">
        <v>0</v>
      </c>
      <c r="DM366" s="408">
        <v>0</v>
      </c>
      <c r="DN366" s="408">
        <v>0</v>
      </c>
      <c r="DO366" s="408">
        <v>-0.82922399700835747</v>
      </c>
      <c r="DP366" s="408">
        <v>-0.22310928426812859</v>
      </c>
      <c r="DQ366" s="408">
        <v>0</v>
      </c>
      <c r="DR366" s="408">
        <v>0</v>
      </c>
      <c r="DS366" s="408"/>
      <c r="DT366" s="408"/>
      <c r="DU366" s="408"/>
      <c r="DV366" s="408">
        <v>758.2869980796255</v>
      </c>
      <c r="DW366" s="408">
        <v>0</v>
      </c>
      <c r="DX366" s="408">
        <v>0</v>
      </c>
      <c r="DY366" s="408">
        <v>-513.60180000000003</v>
      </c>
      <c r="DZ366" s="408">
        <v>25.42410000000001</v>
      </c>
      <c r="EA366" s="408">
        <v>0</v>
      </c>
      <c r="EB366" s="408">
        <v>0</v>
      </c>
      <c r="EC366" s="408">
        <v>-509.32216806777888</v>
      </c>
      <c r="ED366" s="408">
        <v>0</v>
      </c>
      <c r="EE366" s="408">
        <v>0</v>
      </c>
      <c r="EF366" s="408">
        <v>0</v>
      </c>
      <c r="EG366" s="408">
        <v>0</v>
      </c>
      <c r="EH366" s="408">
        <v>0</v>
      </c>
      <c r="EI366" s="408">
        <v>0</v>
      </c>
      <c r="EJ366" s="408">
        <v>0</v>
      </c>
      <c r="EK366" s="408">
        <v>0</v>
      </c>
      <c r="EL366" s="408">
        <v>0</v>
      </c>
      <c r="EM366" s="408">
        <v>0</v>
      </c>
      <c r="EN366" s="408">
        <v>0</v>
      </c>
      <c r="EO366" s="408">
        <v>0</v>
      </c>
      <c r="EP366" s="408">
        <v>0</v>
      </c>
      <c r="EQ366" s="408">
        <v>0</v>
      </c>
      <c r="ER366" s="408">
        <v>0</v>
      </c>
      <c r="ES366" s="408">
        <v>0</v>
      </c>
      <c r="ET366" s="408">
        <v>0</v>
      </c>
      <c r="EU366" s="408">
        <v>0</v>
      </c>
      <c r="EV366" s="408">
        <v>257</v>
      </c>
      <c r="EW366" s="408">
        <v>0</v>
      </c>
      <c r="EX366" s="408">
        <v>0</v>
      </c>
      <c r="EY366" s="408">
        <v>0</v>
      </c>
      <c r="EZ366" s="408"/>
      <c r="FA366" s="408">
        <v>0</v>
      </c>
      <c r="FB366" s="408"/>
      <c r="FC366" s="408"/>
      <c r="FD366" s="408"/>
      <c r="FE366" s="408"/>
      <c r="FF366" s="408">
        <v>0</v>
      </c>
      <c r="FG366" s="408">
        <v>0</v>
      </c>
      <c r="FH366" s="408">
        <v>0</v>
      </c>
      <c r="FI366" s="408">
        <v>0</v>
      </c>
    </row>
    <row r="367" spans="1:165">
      <c r="A367" s="408">
        <v>365</v>
      </c>
      <c r="B367" s="408" t="s">
        <v>1035</v>
      </c>
      <c r="C367" s="408" t="s">
        <v>2233</v>
      </c>
      <c r="D367" s="408" t="s">
        <v>2245</v>
      </c>
      <c r="E367" s="408" t="s">
        <v>2246</v>
      </c>
      <c r="F367" s="408" t="s">
        <v>2247</v>
      </c>
      <c r="G367" s="408" t="s">
        <v>1321</v>
      </c>
      <c r="H367" s="408" t="s">
        <v>1321</v>
      </c>
      <c r="I367" s="408" t="s">
        <v>1321</v>
      </c>
      <c r="J367" s="408" t="s">
        <v>2234</v>
      </c>
      <c r="K367" s="828">
        <v>44652</v>
      </c>
      <c r="L367" s="408">
        <v>0</v>
      </c>
      <c r="M367" s="408">
        <v>0</v>
      </c>
      <c r="N367" s="408">
        <v>215.095</v>
      </c>
      <c r="O367" s="408">
        <v>215.095</v>
      </c>
      <c r="P367" s="408">
        <v>215.095</v>
      </c>
      <c r="Q367" s="408">
        <v>215.095</v>
      </c>
      <c r="R367" s="408"/>
      <c r="S367" s="408">
        <v>391</v>
      </c>
      <c r="T367" s="408">
        <v>141.1</v>
      </c>
      <c r="U367" s="408"/>
      <c r="V367" s="408">
        <v>114452.04949999999</v>
      </c>
      <c r="W367" s="408">
        <v>114452.04949999999</v>
      </c>
      <c r="X367" s="408">
        <v>78128.956849999988</v>
      </c>
      <c r="Y367" s="408">
        <v>0</v>
      </c>
      <c r="Z367" s="408">
        <v>7272.5931274123732</v>
      </c>
      <c r="AA367" s="408">
        <v>0</v>
      </c>
      <c r="AB367" s="408">
        <v>0</v>
      </c>
      <c r="AC367" s="408">
        <v>0</v>
      </c>
      <c r="AD367" s="408">
        <v>14560.970970015964</v>
      </c>
      <c r="AE367" s="408">
        <v>56419.533345009564</v>
      </c>
      <c r="AF367" s="408">
        <v>30350.740564075739</v>
      </c>
      <c r="AG367" s="408">
        <v>0</v>
      </c>
      <c r="AH367" s="408">
        <v>0</v>
      </c>
      <c r="AI367" s="408">
        <v>0</v>
      </c>
      <c r="AJ367" s="408">
        <v>0</v>
      </c>
      <c r="AK367" s="408">
        <v>0</v>
      </c>
      <c r="AL367" s="408">
        <v>1124.3757868598746</v>
      </c>
      <c r="AM367" s="408"/>
      <c r="AN367" s="408">
        <v>259.768630219893</v>
      </c>
      <c r="AO367" s="408">
        <v>0</v>
      </c>
      <c r="AP367" s="408">
        <v>0</v>
      </c>
      <c r="AQ367" s="408">
        <v>0</v>
      </c>
      <c r="AR367" s="408">
        <v>0</v>
      </c>
      <c r="AS367" s="408">
        <v>0</v>
      </c>
      <c r="AT367" s="408">
        <v>0</v>
      </c>
      <c r="AU367" s="408">
        <v>0</v>
      </c>
      <c r="AV367" s="408">
        <v>0</v>
      </c>
      <c r="AW367" s="408">
        <v>0</v>
      </c>
      <c r="AX367" s="408">
        <v>0</v>
      </c>
      <c r="AY367" s="408">
        <v>0</v>
      </c>
      <c r="AZ367" s="408">
        <v>0</v>
      </c>
      <c r="BA367" s="408"/>
      <c r="BB367" s="408">
        <v>0</v>
      </c>
      <c r="BC367" s="408">
        <v>0</v>
      </c>
      <c r="BD367" s="408">
        <v>176.30824827340768</v>
      </c>
      <c r="BE367" s="408">
        <v>0</v>
      </c>
      <c r="BF367" s="408">
        <v>0</v>
      </c>
      <c r="BG367" s="408">
        <v>4288.8590592693145</v>
      </c>
      <c r="BH367" s="408">
        <v>0</v>
      </c>
      <c r="BI367" s="408">
        <v>237.95</v>
      </c>
      <c r="BJ367" s="408">
        <v>1103.82</v>
      </c>
      <c r="BK367" s="408">
        <v>23688.98</v>
      </c>
      <c r="BL367" s="408">
        <v>29</v>
      </c>
      <c r="BM367" s="408"/>
      <c r="BN367" s="408"/>
      <c r="BO367" s="408"/>
      <c r="BP367" s="408"/>
      <c r="BQ367" s="408"/>
      <c r="BR367" s="408"/>
      <c r="BS367" s="408"/>
      <c r="BT367" s="408"/>
      <c r="BU367" s="408"/>
      <c r="BV367" s="408">
        <v>34815.907871618459</v>
      </c>
      <c r="BW367" s="408"/>
      <c r="BX367" s="408"/>
      <c r="BY367" s="408"/>
      <c r="BZ367" s="408"/>
      <c r="CA367" s="408"/>
      <c r="CB367" s="408"/>
      <c r="CC367" s="408"/>
      <c r="CD367" s="408"/>
      <c r="CE367" s="408"/>
      <c r="CF367" s="408"/>
      <c r="CG367" s="408"/>
      <c r="CH367" s="408"/>
      <c r="CI367" s="408">
        <v>78130.773000000001</v>
      </c>
      <c r="CJ367" s="408">
        <v>-36321.306499999977</v>
      </c>
      <c r="CK367" s="408"/>
      <c r="CL367" s="408"/>
      <c r="CM367" s="408"/>
      <c r="CN367" s="408"/>
      <c r="CO367" s="408">
        <v>-38213.777699999999</v>
      </c>
      <c r="CP367" s="408">
        <v>1890.6850499999982</v>
      </c>
      <c r="CQ367" s="408">
        <v>30</v>
      </c>
      <c r="CR367" s="408">
        <v>1572.6256600554043</v>
      </c>
      <c r="CS367" s="408">
        <v>0</v>
      </c>
      <c r="CT367" s="408">
        <v>0</v>
      </c>
      <c r="CU367" s="408">
        <v>0</v>
      </c>
      <c r="CV367" s="408">
        <v>0</v>
      </c>
      <c r="CW367" s="408">
        <v>0</v>
      </c>
      <c r="CX367" s="408">
        <v>0</v>
      </c>
      <c r="CY367" s="408">
        <v>0</v>
      </c>
      <c r="CZ367" s="408">
        <v>-65.816504600499684</v>
      </c>
      <c r="DA367" s="408">
        <v>0</v>
      </c>
      <c r="DB367" s="408">
        <v>0</v>
      </c>
      <c r="DC367" s="408">
        <v>1890.8046752451373</v>
      </c>
      <c r="DD367" s="408">
        <v>0</v>
      </c>
      <c r="DE367" s="408">
        <v>0</v>
      </c>
      <c r="DF367" s="408">
        <v>10.983733969055606</v>
      </c>
      <c r="DG367" s="408">
        <v>267.18935386808607</v>
      </c>
      <c r="DH367" s="408">
        <v>0</v>
      </c>
      <c r="DI367" s="408">
        <v>-452.23786576920065</v>
      </c>
      <c r="DJ367" s="408"/>
      <c r="DK367" s="408">
        <v>0</v>
      </c>
      <c r="DL367" s="408">
        <v>0</v>
      </c>
      <c r="DM367" s="408">
        <v>0</v>
      </c>
      <c r="DN367" s="408">
        <v>0</v>
      </c>
      <c r="DO367" s="408">
        <v>-61.697524905711361</v>
      </c>
      <c r="DP367" s="408">
        <v>-16.600207751453979</v>
      </c>
      <c r="DQ367" s="408">
        <v>0</v>
      </c>
      <c r="DR367" s="408">
        <v>0</v>
      </c>
      <c r="DS367" s="408"/>
      <c r="DT367" s="408"/>
      <c r="DU367" s="408"/>
      <c r="DV367" s="408">
        <v>56419.533345009564</v>
      </c>
      <c r="DW367" s="408">
        <v>0</v>
      </c>
      <c r="DX367" s="408">
        <v>0</v>
      </c>
      <c r="DY367" s="408">
        <v>-38213.777700000006</v>
      </c>
      <c r="DZ367" s="408">
        <v>1890.68505</v>
      </c>
      <c r="EA367" s="408">
        <v>0</v>
      </c>
      <c r="EB367" s="408">
        <v>0</v>
      </c>
      <c r="EC367" s="408">
        <v>-37895.571356790097</v>
      </c>
      <c r="ED367" s="408">
        <v>0</v>
      </c>
      <c r="EE367" s="408">
        <v>0</v>
      </c>
      <c r="EF367" s="408">
        <v>0</v>
      </c>
      <c r="EG367" s="408">
        <v>0</v>
      </c>
      <c r="EH367" s="408">
        <v>0</v>
      </c>
      <c r="EI367" s="408">
        <v>0</v>
      </c>
      <c r="EJ367" s="408">
        <v>0</v>
      </c>
      <c r="EK367" s="408">
        <v>0</v>
      </c>
      <c r="EL367" s="408">
        <v>0</v>
      </c>
      <c r="EM367" s="408">
        <v>0</v>
      </c>
      <c r="EN367" s="408">
        <v>0</v>
      </c>
      <c r="EO367" s="408">
        <v>0</v>
      </c>
      <c r="EP367" s="408">
        <v>0</v>
      </c>
      <c r="EQ367" s="408">
        <v>0</v>
      </c>
      <c r="ER367" s="408">
        <v>0</v>
      </c>
      <c r="ES367" s="408">
        <v>0</v>
      </c>
      <c r="ET367" s="408">
        <v>0</v>
      </c>
      <c r="EU367" s="408">
        <v>0</v>
      </c>
      <c r="EV367" s="408">
        <v>257</v>
      </c>
      <c r="EW367" s="408">
        <v>0</v>
      </c>
      <c r="EX367" s="408">
        <v>0</v>
      </c>
      <c r="EY367" s="408">
        <v>0</v>
      </c>
      <c r="EZ367" s="408"/>
      <c r="FA367" s="408">
        <v>0</v>
      </c>
      <c r="FB367" s="408"/>
      <c r="FC367" s="408"/>
      <c r="FD367" s="408"/>
      <c r="FE367" s="408"/>
      <c r="FF367" s="408">
        <v>0</v>
      </c>
      <c r="FG367" s="408">
        <v>0</v>
      </c>
      <c r="FH367" s="408">
        <v>0</v>
      </c>
      <c r="FI367" s="408">
        <v>0</v>
      </c>
    </row>
    <row r="368" spans="1:165">
      <c r="A368" s="408">
        <v>366</v>
      </c>
      <c r="B368" s="408" t="s">
        <v>1035</v>
      </c>
      <c r="C368" s="408" t="s">
        <v>2233</v>
      </c>
      <c r="D368" s="408" t="s">
        <v>1958</v>
      </c>
      <c r="E368" s="408" t="s">
        <v>1000</v>
      </c>
      <c r="F368" s="408" t="s">
        <v>2248</v>
      </c>
      <c r="G368" s="408" t="s">
        <v>1321</v>
      </c>
      <c r="H368" s="408" t="s">
        <v>1321</v>
      </c>
      <c r="I368" s="408" t="s">
        <v>1321</v>
      </c>
      <c r="J368" s="408" t="s">
        <v>2234</v>
      </c>
      <c r="K368" s="828">
        <v>44652</v>
      </c>
      <c r="L368" s="408">
        <v>0</v>
      </c>
      <c r="M368" s="408">
        <v>0</v>
      </c>
      <c r="N368" s="408">
        <v>22.399000000000001</v>
      </c>
      <c r="O368" s="408">
        <v>21.055060000000001</v>
      </c>
      <c r="P368" s="408">
        <v>22.399000000000001</v>
      </c>
      <c r="Q368" s="408">
        <v>21.055060000000001</v>
      </c>
      <c r="R368" s="408"/>
      <c r="S368" s="408">
        <v>710.91</v>
      </c>
      <c r="T368" s="408">
        <v>256.55</v>
      </c>
      <c r="U368" s="408"/>
      <c r="V368" s="408">
        <v>21670.13654</v>
      </c>
      <c r="W368" s="408">
        <v>21670.13654</v>
      </c>
      <c r="X368" s="408">
        <v>14792.971570000002</v>
      </c>
      <c r="Y368" s="408">
        <v>0</v>
      </c>
      <c r="Z368" s="408">
        <v>1376.9713886330092</v>
      </c>
      <c r="AA368" s="408">
        <v>0</v>
      </c>
      <c r="AB368" s="408">
        <v>0</v>
      </c>
      <c r="AC368" s="408">
        <v>0</v>
      </c>
      <c r="AD368" s="408">
        <v>2756.9314088057295</v>
      </c>
      <c r="AE368" s="408">
        <v>10682.308471689013</v>
      </c>
      <c r="AF368" s="408">
        <v>5746.5199342762335</v>
      </c>
      <c r="AG368" s="408">
        <v>0</v>
      </c>
      <c r="AH368" s="408">
        <v>0</v>
      </c>
      <c r="AI368" s="408">
        <v>0</v>
      </c>
      <c r="AJ368" s="408">
        <v>0</v>
      </c>
      <c r="AK368" s="408">
        <v>0</v>
      </c>
      <c r="AL368" s="408">
        <v>212.88600385769783</v>
      </c>
      <c r="AM368" s="408"/>
      <c r="AN368" s="408">
        <v>49.183828272880241</v>
      </c>
      <c r="AO368" s="408">
        <v>0</v>
      </c>
      <c r="AP368" s="408">
        <v>0</v>
      </c>
      <c r="AQ368" s="408">
        <v>0</v>
      </c>
      <c r="AR368" s="408">
        <v>0</v>
      </c>
      <c r="AS368" s="408">
        <v>0</v>
      </c>
      <c r="AT368" s="408">
        <v>0</v>
      </c>
      <c r="AU368" s="408">
        <v>0</v>
      </c>
      <c r="AV368" s="408">
        <v>0</v>
      </c>
      <c r="AW368" s="408">
        <v>0</v>
      </c>
      <c r="AX368" s="408">
        <v>0</v>
      </c>
      <c r="AY368" s="408">
        <v>0</v>
      </c>
      <c r="AZ368" s="408">
        <v>0</v>
      </c>
      <c r="BA368" s="408"/>
      <c r="BB368" s="408">
        <v>0</v>
      </c>
      <c r="BC368" s="408">
        <v>0</v>
      </c>
      <c r="BD368" s="408">
        <v>33.381685074257305</v>
      </c>
      <c r="BE368" s="408">
        <v>0</v>
      </c>
      <c r="BF368" s="408">
        <v>0</v>
      </c>
      <c r="BG368" s="408">
        <v>812.03995755425763</v>
      </c>
      <c r="BH368" s="408">
        <v>0</v>
      </c>
      <c r="BI368" s="408">
        <v>43.51</v>
      </c>
      <c r="BJ368" s="408">
        <v>201.88</v>
      </c>
      <c r="BK368" s="408">
        <v>6077.17</v>
      </c>
      <c r="BL368" s="408">
        <v>9</v>
      </c>
      <c r="BM368" s="408"/>
      <c r="BN368" s="408"/>
      <c r="BO368" s="408"/>
      <c r="BP368" s="408"/>
      <c r="BQ368" s="408">
        <v>887.57829419999985</v>
      </c>
      <c r="BR368" s="408"/>
      <c r="BS368" s="408"/>
      <c r="BT368" s="408"/>
      <c r="BU368" s="408"/>
      <c r="BV368" s="408">
        <v>6591.9415769047482</v>
      </c>
      <c r="BW368" s="408"/>
      <c r="BX368" s="408"/>
      <c r="BY368" s="408"/>
      <c r="BZ368" s="408"/>
      <c r="CA368" s="408"/>
      <c r="CB368" s="408"/>
      <c r="CC368" s="408"/>
      <c r="CD368" s="408"/>
      <c r="CE368" s="408"/>
      <c r="CF368" s="408"/>
      <c r="CG368" s="408"/>
      <c r="CH368" s="408"/>
      <c r="CI368" s="408">
        <v>13908.6558</v>
      </c>
      <c r="CJ368" s="408">
        <v>-6461.3025476000003</v>
      </c>
      <c r="CK368" s="408"/>
      <c r="CL368" s="408"/>
      <c r="CM368" s="408"/>
      <c r="CN368" s="408"/>
      <c r="CO368" s="408">
        <v>-7235.3249800000003</v>
      </c>
      <c r="CP368" s="408">
        <v>358.16001000000023</v>
      </c>
      <c r="CQ368" s="408">
        <v>30</v>
      </c>
      <c r="CR368" s="408">
        <v>297.75631621191496</v>
      </c>
      <c r="CS368" s="408">
        <v>0</v>
      </c>
      <c r="CT368" s="408">
        <v>0</v>
      </c>
      <c r="CU368" s="408">
        <v>0</v>
      </c>
      <c r="CV368" s="408">
        <v>0</v>
      </c>
      <c r="CW368" s="408">
        <v>0</v>
      </c>
      <c r="CX368" s="408">
        <v>0</v>
      </c>
      <c r="CY368" s="408">
        <v>0</v>
      </c>
      <c r="CZ368" s="408">
        <v>-12.461503365712815</v>
      </c>
      <c r="DA368" s="408">
        <v>0</v>
      </c>
      <c r="DB368" s="408">
        <v>0</v>
      </c>
      <c r="DC368" s="408">
        <v>357.99939494654518</v>
      </c>
      <c r="DD368" s="408">
        <v>0</v>
      </c>
      <c r="DE368" s="408">
        <v>0</v>
      </c>
      <c r="DF368" s="408">
        <v>2.0796278783614142</v>
      </c>
      <c r="DG368" s="408">
        <v>50.588846258558874</v>
      </c>
      <c r="DH368" s="408">
        <v>0</v>
      </c>
      <c r="DI368" s="408">
        <v>-85.625387136459267</v>
      </c>
      <c r="DJ368" s="408"/>
      <c r="DK368" s="408">
        <v>0</v>
      </c>
      <c r="DL368" s="408">
        <v>0</v>
      </c>
      <c r="DM368" s="408">
        <v>0</v>
      </c>
      <c r="DN368" s="408">
        <v>0</v>
      </c>
      <c r="DO368" s="408">
        <v>-11.681627867289421</v>
      </c>
      <c r="DP368" s="408">
        <v>-3.1430345020891863</v>
      </c>
      <c r="DQ368" s="408">
        <v>0</v>
      </c>
      <c r="DR368" s="408">
        <v>0</v>
      </c>
      <c r="DS368" s="408"/>
      <c r="DT368" s="408"/>
      <c r="DU368" s="408"/>
      <c r="DV368" s="408">
        <v>10682.308471689013</v>
      </c>
      <c r="DW368" s="408">
        <v>0</v>
      </c>
      <c r="DX368" s="408">
        <v>0</v>
      </c>
      <c r="DY368" s="408">
        <v>-7235.3249799999994</v>
      </c>
      <c r="DZ368" s="408">
        <v>358.16001000000051</v>
      </c>
      <c r="EA368" s="408">
        <v>0</v>
      </c>
      <c r="EB368" s="408">
        <v>0</v>
      </c>
      <c r="EC368" s="408">
        <v>-7175.0360016038867</v>
      </c>
      <c r="ED368" s="408">
        <v>0</v>
      </c>
      <c r="EE368" s="408">
        <v>0</v>
      </c>
      <c r="EF368" s="408">
        <v>0</v>
      </c>
      <c r="EG368" s="408">
        <v>0</v>
      </c>
      <c r="EH368" s="408">
        <v>0</v>
      </c>
      <c r="EI368" s="408">
        <v>0</v>
      </c>
      <c r="EJ368" s="408">
        <v>0</v>
      </c>
      <c r="EK368" s="408">
        <v>0</v>
      </c>
      <c r="EL368" s="408">
        <v>0</v>
      </c>
      <c r="EM368" s="408">
        <v>0</v>
      </c>
      <c r="EN368" s="408">
        <v>0</v>
      </c>
      <c r="EO368" s="408">
        <v>0</v>
      </c>
      <c r="EP368" s="408">
        <v>0</v>
      </c>
      <c r="EQ368" s="408">
        <v>0</v>
      </c>
      <c r="ER368" s="408">
        <v>0</v>
      </c>
      <c r="ES368" s="408">
        <v>0</v>
      </c>
      <c r="ET368" s="408">
        <v>0</v>
      </c>
      <c r="EU368" s="408">
        <v>0</v>
      </c>
      <c r="EV368" s="408">
        <v>257</v>
      </c>
      <c r="EW368" s="408">
        <v>0</v>
      </c>
      <c r="EX368" s="408">
        <v>0</v>
      </c>
      <c r="EY368" s="408">
        <v>0</v>
      </c>
      <c r="EZ368" s="408"/>
      <c r="FA368" s="408">
        <v>0</v>
      </c>
      <c r="FB368" s="408"/>
      <c r="FC368" s="408"/>
      <c r="FD368" s="408"/>
      <c r="FE368" s="408"/>
      <c r="FF368" s="408">
        <v>0</v>
      </c>
      <c r="FG368" s="408">
        <v>0</v>
      </c>
      <c r="FH368" s="408">
        <v>0</v>
      </c>
      <c r="FI368" s="408">
        <v>0</v>
      </c>
    </row>
    <row r="369" spans="1:165">
      <c r="A369" s="408">
        <v>367</v>
      </c>
      <c r="B369" s="408" t="s">
        <v>1035</v>
      </c>
      <c r="C369" s="408" t="s">
        <v>2241</v>
      </c>
      <c r="D369" s="408" t="s">
        <v>596</v>
      </c>
      <c r="E369" s="408" t="s">
        <v>1000</v>
      </c>
      <c r="F369" s="408" t="s">
        <v>2248</v>
      </c>
      <c r="G369" s="408" t="s">
        <v>1321</v>
      </c>
      <c r="H369" s="408" t="s">
        <v>1321</v>
      </c>
      <c r="I369" s="408" t="s">
        <v>972</v>
      </c>
      <c r="J369" s="408" t="s">
        <v>2234</v>
      </c>
      <c r="K369" s="828">
        <v>44652</v>
      </c>
      <c r="L369" s="408">
        <v>0</v>
      </c>
      <c r="M369" s="408">
        <v>0</v>
      </c>
      <c r="N369" s="408">
        <v>1.609</v>
      </c>
      <c r="O369" s="408">
        <v>1.5124599999999999</v>
      </c>
      <c r="P369" s="408">
        <v>1.609</v>
      </c>
      <c r="Q369" s="408">
        <v>1.5124599999999999</v>
      </c>
      <c r="R369" s="408"/>
      <c r="S369" s="408">
        <v>3130.62</v>
      </c>
      <c r="T369" s="408">
        <v>256.55</v>
      </c>
      <c r="U369" s="408"/>
      <c r="V369" s="408">
        <v>5449.9565299999995</v>
      </c>
      <c r="W369" s="408">
        <v>5449.9565299999995</v>
      </c>
      <c r="X369" s="408">
        <v>2868.2516700000001</v>
      </c>
      <c r="Y369" s="408">
        <v>0</v>
      </c>
      <c r="Z369" s="408">
        <v>86.054103261312775</v>
      </c>
      <c r="AA369" s="408">
        <v>0</v>
      </c>
      <c r="AB369" s="408">
        <v>0</v>
      </c>
      <c r="AC369" s="408">
        <v>0</v>
      </c>
      <c r="AD369" s="408">
        <v>1036.540015902006</v>
      </c>
      <c r="AE369" s="408">
        <v>3868.2751987969114</v>
      </c>
      <c r="AF369" s="408">
        <v>412.7930074668717</v>
      </c>
      <c r="AG369" s="408">
        <v>0</v>
      </c>
      <c r="AH369" s="408">
        <v>0</v>
      </c>
      <c r="AI369" s="408">
        <v>0</v>
      </c>
      <c r="AJ369" s="408">
        <v>0</v>
      </c>
      <c r="AK369" s="408">
        <v>0</v>
      </c>
      <c r="AL369" s="408">
        <v>15.29236038247403</v>
      </c>
      <c r="AM369" s="408"/>
      <c r="AN369" s="408">
        <v>2.1706294866569005</v>
      </c>
      <c r="AO369" s="408">
        <v>0</v>
      </c>
      <c r="AP369" s="408">
        <v>0</v>
      </c>
      <c r="AQ369" s="408">
        <v>0</v>
      </c>
      <c r="AR369" s="408">
        <v>0</v>
      </c>
      <c r="AS369" s="408">
        <v>0</v>
      </c>
      <c r="AT369" s="408">
        <v>0</v>
      </c>
      <c r="AU369" s="408">
        <v>0</v>
      </c>
      <c r="AV369" s="408">
        <v>0</v>
      </c>
      <c r="AW369" s="408">
        <v>0</v>
      </c>
      <c r="AX369" s="408">
        <v>0</v>
      </c>
      <c r="AY369" s="408">
        <v>0</v>
      </c>
      <c r="AZ369" s="408">
        <v>0</v>
      </c>
      <c r="BA369" s="408"/>
      <c r="BB369" s="408">
        <v>0</v>
      </c>
      <c r="BC369" s="408">
        <v>0</v>
      </c>
      <c r="BD369" s="408">
        <v>1.9823285744848402</v>
      </c>
      <c r="BE369" s="408">
        <v>0</v>
      </c>
      <c r="BF369" s="408">
        <v>0</v>
      </c>
      <c r="BG369" s="408">
        <v>26.853064709930837</v>
      </c>
      <c r="BH369" s="408">
        <v>0</v>
      </c>
      <c r="BI369" s="408">
        <v>0</v>
      </c>
      <c r="BJ369" s="408">
        <v>0</v>
      </c>
      <c r="BK369" s="408">
        <v>0</v>
      </c>
      <c r="BL369" s="408">
        <v>0</v>
      </c>
      <c r="BM369" s="408"/>
      <c r="BN369" s="408"/>
      <c r="BO369" s="408"/>
      <c r="BP369" s="408"/>
      <c r="BQ369" s="408">
        <v>172.09510020000013</v>
      </c>
      <c r="BR369" s="408"/>
      <c r="BS369" s="408"/>
      <c r="BT369" s="408"/>
      <c r="BU369" s="408"/>
      <c r="BV369" s="408">
        <v>441.62840075128736</v>
      </c>
      <c r="BW369" s="408"/>
      <c r="BX369" s="408"/>
      <c r="BY369" s="408"/>
      <c r="BZ369" s="408"/>
      <c r="CA369" s="408"/>
      <c r="CB369" s="408"/>
      <c r="CC369" s="408"/>
      <c r="CD369" s="408"/>
      <c r="CE369" s="408"/>
      <c r="CF369" s="408"/>
      <c r="CG369" s="408"/>
      <c r="CH369" s="408"/>
      <c r="CI369" s="408">
        <v>2691.7712999999999</v>
      </c>
      <c r="CJ369" s="408">
        <v>-2431.2178382000006</v>
      </c>
      <c r="CK369" s="408"/>
      <c r="CL369" s="408"/>
      <c r="CM369" s="408"/>
      <c r="CN369" s="408"/>
      <c r="CO369" s="408">
        <v>-2607.4327699999999</v>
      </c>
      <c r="CP369" s="408">
        <v>25.727910000000016</v>
      </c>
      <c r="CQ369" s="408">
        <v>30</v>
      </c>
      <c r="CR369" s="408">
        <v>16.49852701142504</v>
      </c>
      <c r="CS369" s="408">
        <v>0</v>
      </c>
      <c r="CT369" s="408">
        <v>0</v>
      </c>
      <c r="CU369" s="408">
        <v>0</v>
      </c>
      <c r="CV369" s="408">
        <v>0</v>
      </c>
      <c r="CW369" s="408">
        <v>0</v>
      </c>
      <c r="CX369" s="408">
        <v>0</v>
      </c>
      <c r="CY369" s="408">
        <v>0</v>
      </c>
      <c r="CZ369" s="408">
        <v>-4.6852260653290614</v>
      </c>
      <c r="DA369" s="408">
        <v>0</v>
      </c>
      <c r="DB369" s="408">
        <v>0</v>
      </c>
      <c r="DC369" s="408">
        <v>25.716372448278548</v>
      </c>
      <c r="DD369" s="408">
        <v>0</v>
      </c>
      <c r="DE369" s="408">
        <v>0</v>
      </c>
      <c r="DF369" s="408">
        <v>0.12349603557761468</v>
      </c>
      <c r="DG369" s="408">
        <v>1.6729048238873823</v>
      </c>
      <c r="DH369" s="408">
        <v>0</v>
      </c>
      <c r="DI369" s="408">
        <v>-5.3511757522760064</v>
      </c>
      <c r="DJ369" s="408"/>
      <c r="DK369" s="408">
        <v>0</v>
      </c>
      <c r="DL369" s="408">
        <v>0</v>
      </c>
      <c r="DM369" s="408">
        <v>0</v>
      </c>
      <c r="DN369" s="408">
        <v>0</v>
      </c>
      <c r="DO369" s="408">
        <v>-0.83913296301034279</v>
      </c>
      <c r="DP369" s="408">
        <v>-0.13871151570315732</v>
      </c>
      <c r="DQ369" s="408">
        <v>0</v>
      </c>
      <c r="DR369" s="408">
        <v>0</v>
      </c>
      <c r="DS369" s="408"/>
      <c r="DT369" s="408"/>
      <c r="DU369" s="408"/>
      <c r="DV369" s="408">
        <v>3868.2751987969114</v>
      </c>
      <c r="DW369" s="408">
        <v>0</v>
      </c>
      <c r="DX369" s="408">
        <v>0</v>
      </c>
      <c r="DY369" s="408">
        <v>-2607.4327699999994</v>
      </c>
      <c r="DZ369" s="408">
        <v>25.727910000000008</v>
      </c>
      <c r="EA369" s="408">
        <v>0</v>
      </c>
      <c r="EB369" s="408">
        <v>0</v>
      </c>
      <c r="EC369" s="408">
        <v>-2598.222461843101</v>
      </c>
      <c r="ED369" s="408">
        <v>0</v>
      </c>
      <c r="EE369" s="408">
        <v>0</v>
      </c>
      <c r="EF369" s="408">
        <v>0</v>
      </c>
      <c r="EG369" s="408">
        <v>0</v>
      </c>
      <c r="EH369" s="408">
        <v>0</v>
      </c>
      <c r="EI369" s="408">
        <v>0</v>
      </c>
      <c r="EJ369" s="408">
        <v>0</v>
      </c>
      <c r="EK369" s="408">
        <v>0</v>
      </c>
      <c r="EL369" s="408">
        <v>0</v>
      </c>
      <c r="EM369" s="408">
        <v>0</v>
      </c>
      <c r="EN369" s="408">
        <v>0</v>
      </c>
      <c r="EO369" s="408">
        <v>0</v>
      </c>
      <c r="EP369" s="408">
        <v>0</v>
      </c>
      <c r="EQ369" s="408">
        <v>0</v>
      </c>
      <c r="ER369" s="408">
        <v>0</v>
      </c>
      <c r="ES369" s="408">
        <v>0</v>
      </c>
      <c r="ET369" s="408">
        <v>0</v>
      </c>
      <c r="EU369" s="408">
        <v>0</v>
      </c>
      <c r="EV369" s="408">
        <v>257</v>
      </c>
      <c r="EW369" s="408">
        <v>0</v>
      </c>
      <c r="EX369" s="408">
        <v>0</v>
      </c>
      <c r="EY369" s="408">
        <v>0</v>
      </c>
      <c r="EZ369" s="408"/>
      <c r="FA369" s="408">
        <v>0</v>
      </c>
      <c r="FB369" s="408"/>
      <c r="FC369" s="408"/>
      <c r="FD369" s="408"/>
      <c r="FE369" s="408"/>
      <c r="FF369" s="408">
        <v>0</v>
      </c>
      <c r="FG369" s="408">
        <v>0</v>
      </c>
      <c r="FH369" s="408">
        <v>0</v>
      </c>
      <c r="FI369" s="408">
        <v>0</v>
      </c>
    </row>
    <row r="370" spans="1:165">
      <c r="A370" s="408">
        <v>368</v>
      </c>
      <c r="B370" s="408" t="s">
        <v>1035</v>
      </c>
      <c r="C370" s="408" t="s">
        <v>2241</v>
      </c>
      <c r="D370" s="408" t="s">
        <v>596</v>
      </c>
      <c r="E370" s="408" t="s">
        <v>1000</v>
      </c>
      <c r="F370" s="408" t="s">
        <v>2248</v>
      </c>
      <c r="G370" s="408" t="s">
        <v>1321</v>
      </c>
      <c r="H370" s="408" t="s">
        <v>1321</v>
      </c>
      <c r="I370" s="408" t="s">
        <v>2242</v>
      </c>
      <c r="J370" s="408" t="s">
        <v>2234</v>
      </c>
      <c r="K370" s="828">
        <v>44652</v>
      </c>
      <c r="L370" s="408">
        <v>0</v>
      </c>
      <c r="M370" s="408">
        <v>0</v>
      </c>
      <c r="N370" s="408">
        <v>20.632999999999999</v>
      </c>
      <c r="O370" s="408">
        <v>19.395019999999999</v>
      </c>
      <c r="P370" s="408">
        <v>20.632999999999999</v>
      </c>
      <c r="Q370" s="408">
        <v>19.395019999999999</v>
      </c>
      <c r="R370" s="408"/>
      <c r="S370" s="408">
        <v>82.26</v>
      </c>
      <c r="T370" s="408">
        <v>256.55</v>
      </c>
      <c r="U370" s="408"/>
      <c r="V370" s="408">
        <v>6990.6667299999999</v>
      </c>
      <c r="W370" s="408">
        <v>6990.6667299999999</v>
      </c>
      <c r="X370" s="408">
        <v>7262.4033399999998</v>
      </c>
      <c r="Y370" s="408">
        <v>0</v>
      </c>
      <c r="Z370" s="408">
        <v>1103.514178117257</v>
      </c>
      <c r="AA370" s="408">
        <v>0</v>
      </c>
      <c r="AB370" s="408">
        <v>0</v>
      </c>
      <c r="AC370" s="408">
        <v>0</v>
      </c>
      <c r="AD370" s="408">
        <v>0</v>
      </c>
      <c r="AE370" s="408">
        <v>0</v>
      </c>
      <c r="AF370" s="408">
        <v>5293.4481808974288</v>
      </c>
      <c r="AG370" s="408">
        <v>0</v>
      </c>
      <c r="AH370" s="408">
        <v>0</v>
      </c>
      <c r="AI370" s="408">
        <v>0</v>
      </c>
      <c r="AJ370" s="408">
        <v>0</v>
      </c>
      <c r="AK370" s="408">
        <v>0</v>
      </c>
      <c r="AL370" s="408">
        <v>196.10147406562254</v>
      </c>
      <c r="AM370" s="408"/>
      <c r="AN370" s="408">
        <v>27.835051708012323</v>
      </c>
      <c r="AO370" s="408">
        <v>0</v>
      </c>
      <c r="AP370" s="408">
        <v>0</v>
      </c>
      <c r="AQ370" s="408">
        <v>0</v>
      </c>
      <c r="AR370" s="408">
        <v>0</v>
      </c>
      <c r="AS370" s="408">
        <v>0</v>
      </c>
      <c r="AT370" s="408">
        <v>0</v>
      </c>
      <c r="AU370" s="408">
        <v>0</v>
      </c>
      <c r="AV370" s="408">
        <v>0</v>
      </c>
      <c r="AW370" s="408">
        <v>0</v>
      </c>
      <c r="AX370" s="408">
        <v>0</v>
      </c>
      <c r="AY370" s="408">
        <v>0</v>
      </c>
      <c r="AZ370" s="408">
        <v>0</v>
      </c>
      <c r="BA370" s="408"/>
      <c r="BB370" s="408">
        <v>0</v>
      </c>
      <c r="BC370" s="408">
        <v>0</v>
      </c>
      <c r="BD370" s="408">
        <v>25.420376306616351</v>
      </c>
      <c r="BE370" s="408">
        <v>0</v>
      </c>
      <c r="BF370" s="408">
        <v>0</v>
      </c>
      <c r="BG370" s="408">
        <v>344.35008338098379</v>
      </c>
      <c r="BH370" s="408">
        <v>0</v>
      </c>
      <c r="BI370" s="408">
        <v>0</v>
      </c>
      <c r="BJ370" s="408">
        <v>0</v>
      </c>
      <c r="BK370" s="408">
        <v>0</v>
      </c>
      <c r="BL370" s="408">
        <v>0</v>
      </c>
      <c r="BM370" s="408"/>
      <c r="BN370" s="408"/>
      <c r="BO370" s="408"/>
      <c r="BP370" s="408"/>
      <c r="BQ370" s="408">
        <v>435.74420040000012</v>
      </c>
      <c r="BR370" s="408"/>
      <c r="BS370" s="408"/>
      <c r="BT370" s="408"/>
      <c r="BU370" s="408"/>
      <c r="BV370" s="408">
        <v>5663.2186405850289</v>
      </c>
      <c r="BW370" s="408"/>
      <c r="BX370" s="408"/>
      <c r="BY370" s="408"/>
      <c r="BZ370" s="408"/>
      <c r="CA370" s="408"/>
      <c r="CB370" s="408"/>
      <c r="CC370" s="408"/>
      <c r="CD370" s="408"/>
      <c r="CE370" s="408"/>
      <c r="CF370" s="408"/>
      <c r="CG370" s="408"/>
      <c r="CH370" s="408"/>
      <c r="CI370" s="408">
        <v>6828.4119999999994</v>
      </c>
      <c r="CJ370" s="408">
        <v>257.15527379999912</v>
      </c>
      <c r="CK370" s="408"/>
      <c r="CL370" s="408"/>
      <c r="CM370" s="408"/>
      <c r="CN370" s="408"/>
      <c r="CO370" s="408">
        <v>-58.185060000000149</v>
      </c>
      <c r="CP370" s="408">
        <v>329.92167000000018</v>
      </c>
      <c r="CQ370" s="408">
        <v>30</v>
      </c>
      <c r="CR370" s="408">
        <v>271.64970617319159</v>
      </c>
      <c r="CS370" s="408">
        <v>0</v>
      </c>
      <c r="CT370" s="408">
        <v>0</v>
      </c>
      <c r="CU370" s="408">
        <v>0</v>
      </c>
      <c r="CV370" s="408">
        <v>0</v>
      </c>
      <c r="CW370" s="408">
        <v>0</v>
      </c>
      <c r="CX370" s="408">
        <v>0</v>
      </c>
      <c r="CY370" s="408">
        <v>0</v>
      </c>
      <c r="CZ370" s="408">
        <v>0</v>
      </c>
      <c r="DA370" s="408">
        <v>0</v>
      </c>
      <c r="DB370" s="408">
        <v>0</v>
      </c>
      <c r="DC370" s="408">
        <v>329.77371828796277</v>
      </c>
      <c r="DD370" s="408">
        <v>0</v>
      </c>
      <c r="DE370" s="408">
        <v>0</v>
      </c>
      <c r="DF370" s="408">
        <v>1.5836505295667607</v>
      </c>
      <c r="DG370" s="408">
        <v>21.452483052373168</v>
      </c>
      <c r="DH370" s="408">
        <v>0</v>
      </c>
      <c r="DI370" s="408">
        <v>-68.620764012871859</v>
      </c>
      <c r="DJ370" s="408"/>
      <c r="DK370" s="408">
        <v>0</v>
      </c>
      <c r="DL370" s="408">
        <v>0</v>
      </c>
      <c r="DM370" s="408">
        <v>0</v>
      </c>
      <c r="DN370" s="408">
        <v>0</v>
      </c>
      <c r="DO370" s="408">
        <v>-10.760615553631084</v>
      </c>
      <c r="DP370" s="408">
        <v>-1.7787661302071101</v>
      </c>
      <c r="DQ370" s="408">
        <v>0</v>
      </c>
      <c r="DR370" s="408">
        <v>0</v>
      </c>
      <c r="DS370" s="408"/>
      <c r="DT370" s="408"/>
      <c r="DU370" s="408"/>
      <c r="DV370" s="408">
        <v>0</v>
      </c>
      <c r="DW370" s="408">
        <v>0</v>
      </c>
      <c r="DX370" s="408">
        <v>0</v>
      </c>
      <c r="DY370" s="408">
        <v>-58.185060000000249</v>
      </c>
      <c r="DZ370" s="408">
        <v>329.92167000000063</v>
      </c>
      <c r="EA370" s="408">
        <v>0</v>
      </c>
      <c r="EB370" s="408">
        <v>0</v>
      </c>
      <c r="EC370" s="408">
        <v>0</v>
      </c>
      <c r="ED370" s="408">
        <v>0</v>
      </c>
      <c r="EE370" s="408">
        <v>0</v>
      </c>
      <c r="EF370" s="408">
        <v>0</v>
      </c>
      <c r="EG370" s="408">
        <v>0</v>
      </c>
      <c r="EH370" s="408">
        <v>0</v>
      </c>
      <c r="EI370" s="408">
        <v>0</v>
      </c>
      <c r="EJ370" s="408">
        <v>0</v>
      </c>
      <c r="EK370" s="408">
        <v>0</v>
      </c>
      <c r="EL370" s="408">
        <v>0</v>
      </c>
      <c r="EM370" s="408">
        <v>0</v>
      </c>
      <c r="EN370" s="408">
        <v>0</v>
      </c>
      <c r="EO370" s="408">
        <v>0</v>
      </c>
      <c r="EP370" s="408">
        <v>0</v>
      </c>
      <c r="EQ370" s="408">
        <v>0</v>
      </c>
      <c r="ER370" s="408">
        <v>0</v>
      </c>
      <c r="ES370" s="408">
        <v>0</v>
      </c>
      <c r="ET370" s="408">
        <v>0</v>
      </c>
      <c r="EU370" s="408">
        <v>0</v>
      </c>
      <c r="EV370" s="408">
        <v>257</v>
      </c>
      <c r="EW370" s="408">
        <v>0</v>
      </c>
      <c r="EX370" s="408">
        <v>0</v>
      </c>
      <c r="EY370" s="408">
        <v>0</v>
      </c>
      <c r="EZ370" s="408"/>
      <c r="FA370" s="408">
        <v>0</v>
      </c>
      <c r="FB370" s="408"/>
      <c r="FC370" s="408"/>
      <c r="FD370" s="408"/>
      <c r="FE370" s="408"/>
      <c r="FF370" s="408">
        <v>0</v>
      </c>
      <c r="FG370" s="408">
        <v>0</v>
      </c>
      <c r="FH370" s="408">
        <v>0</v>
      </c>
      <c r="FI370" s="408">
        <v>0</v>
      </c>
    </row>
    <row r="371" spans="1:165">
      <c r="A371" s="408">
        <v>369</v>
      </c>
      <c r="B371" s="408" t="s">
        <v>1035</v>
      </c>
      <c r="C371" s="408" t="s">
        <v>2241</v>
      </c>
      <c r="D371" s="408" t="s">
        <v>596</v>
      </c>
      <c r="E371" s="408" t="s">
        <v>1000</v>
      </c>
      <c r="F371" s="408" t="s">
        <v>2248</v>
      </c>
      <c r="G371" s="408" t="s">
        <v>1321</v>
      </c>
      <c r="H371" s="408" t="s">
        <v>1321</v>
      </c>
      <c r="I371" s="408" t="s">
        <v>1321</v>
      </c>
      <c r="J371" s="408" t="s">
        <v>2234</v>
      </c>
      <c r="K371" s="828">
        <v>44652</v>
      </c>
      <c r="L371" s="408">
        <v>79</v>
      </c>
      <c r="M371" s="408">
        <v>74.260000000000005</v>
      </c>
      <c r="N371" s="408">
        <v>0</v>
      </c>
      <c r="O371" s="408">
        <v>0</v>
      </c>
      <c r="P371" s="408">
        <v>0</v>
      </c>
      <c r="Q371" s="408">
        <v>0</v>
      </c>
      <c r="R371" s="408">
        <v>47.39</v>
      </c>
      <c r="S371" s="408"/>
      <c r="T371" s="408"/>
      <c r="U371" s="408">
        <v>3743.81</v>
      </c>
      <c r="V371" s="408"/>
      <c r="W371" s="408">
        <v>3743.81</v>
      </c>
      <c r="X371" s="408">
        <v>2545.38</v>
      </c>
      <c r="Y371" s="408">
        <v>0</v>
      </c>
      <c r="Z371" s="408">
        <v>0</v>
      </c>
      <c r="AA371" s="408">
        <v>0</v>
      </c>
      <c r="AB371" s="408">
        <v>0</v>
      </c>
      <c r="AC371" s="408">
        <v>0</v>
      </c>
      <c r="AD371" s="408">
        <v>1972.6379141777902</v>
      </c>
      <c r="AE371" s="408">
        <v>1771.1695124126304</v>
      </c>
      <c r="AF371" s="408"/>
      <c r="AG371" s="408"/>
      <c r="AH371" s="408"/>
      <c r="AI371" s="408">
        <v>0</v>
      </c>
      <c r="AJ371" s="408">
        <v>0</v>
      </c>
      <c r="AK371" s="408">
        <v>0</v>
      </c>
      <c r="AL371" s="408">
        <v>0</v>
      </c>
      <c r="AM371" s="408"/>
      <c r="AN371" s="408">
        <v>0</v>
      </c>
      <c r="AO371" s="408">
        <v>0</v>
      </c>
      <c r="AP371" s="408">
        <v>0</v>
      </c>
      <c r="AQ371" s="408">
        <v>0</v>
      </c>
      <c r="AR371" s="408">
        <v>0</v>
      </c>
      <c r="AS371" s="408"/>
      <c r="AT371" s="408"/>
      <c r="AU371" s="408">
        <v>0</v>
      </c>
      <c r="AV371" s="408">
        <v>0</v>
      </c>
      <c r="AW371" s="408">
        <v>0</v>
      </c>
      <c r="AX371" s="408"/>
      <c r="AY371" s="408"/>
      <c r="AZ371" s="408">
        <v>0</v>
      </c>
      <c r="BA371" s="408"/>
      <c r="BB371" s="408">
        <v>0</v>
      </c>
      <c r="BC371" s="408">
        <v>0</v>
      </c>
      <c r="BD371" s="408">
        <v>0</v>
      </c>
      <c r="BE371" s="408">
        <v>0</v>
      </c>
      <c r="BF371" s="408"/>
      <c r="BG371" s="408">
        <v>0</v>
      </c>
      <c r="BH371" s="408">
        <v>0</v>
      </c>
      <c r="BI371" s="408">
        <v>34.39</v>
      </c>
      <c r="BJ371" s="408">
        <v>159.44999999999999</v>
      </c>
      <c r="BK371" s="408">
        <v>4689.2</v>
      </c>
      <c r="BL371" s="408">
        <v>1</v>
      </c>
      <c r="BM371" s="408"/>
      <c r="BN371" s="408"/>
      <c r="BO371" s="408"/>
      <c r="BP371" s="408"/>
      <c r="BQ371" s="408">
        <v>152.72279999999984</v>
      </c>
      <c r="BR371" s="408"/>
      <c r="BS371" s="408"/>
      <c r="BT371" s="408"/>
      <c r="BU371" s="408"/>
      <c r="BV371" s="408">
        <v>0</v>
      </c>
      <c r="BW371" s="408"/>
      <c r="BX371" s="408"/>
      <c r="BY371" s="408"/>
      <c r="BZ371" s="408"/>
      <c r="CA371" s="408"/>
      <c r="CB371" s="408"/>
      <c r="CC371" s="408"/>
      <c r="CD371" s="408"/>
      <c r="CE371" s="408"/>
      <c r="CF371" s="408"/>
      <c r="CG371" s="408"/>
      <c r="CH371" s="408"/>
      <c r="CI371" s="408">
        <v>2392.6572000000001</v>
      </c>
      <c r="CJ371" s="408">
        <v>-1126.5542000000009</v>
      </c>
      <c r="CK371" s="408"/>
      <c r="CL371" s="408"/>
      <c r="CM371" s="408"/>
      <c r="CN371" s="408"/>
      <c r="CO371" s="408">
        <v>-1198.43</v>
      </c>
      <c r="CP371" s="408">
        <v>0</v>
      </c>
      <c r="CQ371" s="408">
        <v>30</v>
      </c>
      <c r="CR371" s="408">
        <v>-8.9164474416556914</v>
      </c>
      <c r="CS371" s="408">
        <v>0</v>
      </c>
      <c r="CT371" s="408">
        <v>0</v>
      </c>
      <c r="CU371" s="408">
        <v>0</v>
      </c>
      <c r="CV371" s="408">
        <v>0</v>
      </c>
      <c r="CW371" s="408"/>
      <c r="CX371" s="408"/>
      <c r="CY371" s="408"/>
      <c r="CZ371" s="408">
        <v>-8.9164474416556914</v>
      </c>
      <c r="DA371" s="408">
        <v>0</v>
      </c>
      <c r="DB371" s="408">
        <v>0</v>
      </c>
      <c r="DC371" s="408"/>
      <c r="DD371" s="408"/>
      <c r="DE371" s="408">
        <v>0</v>
      </c>
      <c r="DF371" s="408">
        <v>0</v>
      </c>
      <c r="DG371" s="408">
        <v>0</v>
      </c>
      <c r="DH371" s="408">
        <v>0</v>
      </c>
      <c r="DI371" s="408">
        <v>0</v>
      </c>
      <c r="DJ371" s="408"/>
      <c r="DK371" s="408">
        <v>0</v>
      </c>
      <c r="DL371" s="408">
        <v>0</v>
      </c>
      <c r="DM371" s="408"/>
      <c r="DN371" s="408">
        <v>0</v>
      </c>
      <c r="DO371" s="408">
        <v>0</v>
      </c>
      <c r="DP371" s="408">
        <v>0</v>
      </c>
      <c r="DQ371" s="408">
        <v>0</v>
      </c>
      <c r="DR371" s="408">
        <v>0</v>
      </c>
      <c r="DS371" s="408"/>
      <c r="DT371" s="408"/>
      <c r="DU371" s="408">
        <v>1771.1695124126304</v>
      </c>
      <c r="DV371" s="408"/>
      <c r="DW371" s="408">
        <v>0</v>
      </c>
      <c r="DX371" s="408">
        <v>0</v>
      </c>
      <c r="DY371" s="408">
        <v>-1198.4299999999998</v>
      </c>
      <c r="DZ371" s="408"/>
      <c r="EA371" s="408">
        <v>0</v>
      </c>
      <c r="EB371" s="408"/>
      <c r="EC371" s="408">
        <v>-1189.6496951182394</v>
      </c>
      <c r="ED371" s="408"/>
      <c r="EE371" s="408">
        <v>0</v>
      </c>
      <c r="EF371" s="408">
        <v>0</v>
      </c>
      <c r="EG371" s="408"/>
      <c r="EH371" s="408">
        <v>0</v>
      </c>
      <c r="EI371" s="408">
        <v>0</v>
      </c>
      <c r="EJ371" s="408">
        <v>0</v>
      </c>
      <c r="EK371" s="408">
        <v>0</v>
      </c>
      <c r="EL371" s="408">
        <v>0</v>
      </c>
      <c r="EM371" s="408"/>
      <c r="EN371" s="408"/>
      <c r="EO371" s="408">
        <v>0</v>
      </c>
      <c r="EP371" s="408">
        <v>0</v>
      </c>
      <c r="EQ371" s="408"/>
      <c r="ER371" s="408">
        <v>0</v>
      </c>
      <c r="ES371" s="408"/>
      <c r="ET371" s="408">
        <v>0</v>
      </c>
      <c r="EU371" s="408"/>
      <c r="EV371" s="408">
        <v>257</v>
      </c>
      <c r="EW371" s="408"/>
      <c r="EX371" s="408"/>
      <c r="EY371" s="408"/>
      <c r="EZ371" s="408"/>
      <c r="FA371" s="408">
        <v>0</v>
      </c>
      <c r="FB371" s="408"/>
      <c r="FC371" s="408"/>
      <c r="FD371" s="408"/>
      <c r="FE371" s="408"/>
      <c r="FF371" s="408">
        <v>0</v>
      </c>
      <c r="FG371" s="408">
        <v>0</v>
      </c>
      <c r="FH371" s="408">
        <v>0</v>
      </c>
      <c r="FI371" s="408">
        <v>0</v>
      </c>
    </row>
    <row r="372" spans="1:165">
      <c r="A372" s="408">
        <v>370</v>
      </c>
      <c r="B372" s="408" t="s">
        <v>1035</v>
      </c>
      <c r="C372" s="408" t="s">
        <v>2233</v>
      </c>
      <c r="D372" s="408" t="s">
        <v>1958</v>
      </c>
      <c r="E372" s="408" t="s">
        <v>2249</v>
      </c>
      <c r="F372" s="408" t="s">
        <v>1321</v>
      </c>
      <c r="G372" s="408" t="s">
        <v>1321</v>
      </c>
      <c r="H372" s="408" t="s">
        <v>1321</v>
      </c>
      <c r="I372" s="408" t="s">
        <v>1321</v>
      </c>
      <c r="J372" s="408" t="s">
        <v>2234</v>
      </c>
      <c r="K372" s="828">
        <v>44652</v>
      </c>
      <c r="L372" s="408">
        <v>0</v>
      </c>
      <c r="M372" s="408">
        <v>0</v>
      </c>
      <c r="N372" s="408">
        <v>0.749</v>
      </c>
      <c r="O372" s="408">
        <v>0.749</v>
      </c>
      <c r="P372" s="408">
        <v>0.749</v>
      </c>
      <c r="Q372" s="408">
        <v>0.749</v>
      </c>
      <c r="R372" s="408"/>
      <c r="S372" s="408">
        <v>710.91</v>
      </c>
      <c r="T372" s="408">
        <v>256.55</v>
      </c>
      <c r="U372" s="408"/>
      <c r="V372" s="408">
        <v>724.62753999999995</v>
      </c>
      <c r="W372" s="408">
        <v>724.62753999999995</v>
      </c>
      <c r="X372" s="408">
        <v>494.66206999999997</v>
      </c>
      <c r="Y372" s="408">
        <v>0</v>
      </c>
      <c r="Z372" s="408">
        <v>46.044536367075487</v>
      </c>
      <c r="AA372" s="408">
        <v>0</v>
      </c>
      <c r="AB372" s="408">
        <v>0</v>
      </c>
      <c r="AC372" s="408">
        <v>0</v>
      </c>
      <c r="AD372" s="408">
        <v>92.18900956272563</v>
      </c>
      <c r="AE372" s="408">
        <v>357.20563620228899</v>
      </c>
      <c r="AF372" s="408">
        <v>192.15783877730695</v>
      </c>
      <c r="AG372" s="408">
        <v>0</v>
      </c>
      <c r="AH372" s="408">
        <v>0</v>
      </c>
      <c r="AI372" s="408">
        <v>0</v>
      </c>
      <c r="AJ372" s="408">
        <v>0</v>
      </c>
      <c r="AK372" s="408">
        <v>0</v>
      </c>
      <c r="AL372" s="408">
        <v>7.1186935528110933</v>
      </c>
      <c r="AM372" s="408"/>
      <c r="AN372" s="408">
        <v>1.6446576800922943</v>
      </c>
      <c r="AO372" s="408">
        <v>0</v>
      </c>
      <c r="AP372" s="408">
        <v>0</v>
      </c>
      <c r="AQ372" s="408">
        <v>0</v>
      </c>
      <c r="AR372" s="408">
        <v>0</v>
      </c>
      <c r="AS372" s="408">
        <v>0</v>
      </c>
      <c r="AT372" s="408">
        <v>0</v>
      </c>
      <c r="AU372" s="408">
        <v>0</v>
      </c>
      <c r="AV372" s="408">
        <v>0</v>
      </c>
      <c r="AW372" s="408">
        <v>0</v>
      </c>
      <c r="AX372" s="408">
        <v>0</v>
      </c>
      <c r="AY372" s="408">
        <v>0</v>
      </c>
      <c r="AZ372" s="408">
        <v>0</v>
      </c>
      <c r="BA372" s="408"/>
      <c r="BB372" s="408">
        <v>0</v>
      </c>
      <c r="BC372" s="408">
        <v>0</v>
      </c>
      <c r="BD372" s="408">
        <v>1.1162499272565169</v>
      </c>
      <c r="BE372" s="408">
        <v>0</v>
      </c>
      <c r="BF372" s="408">
        <v>0</v>
      </c>
      <c r="BG372" s="408">
        <v>27.153798303859055</v>
      </c>
      <c r="BH372" s="408">
        <v>0</v>
      </c>
      <c r="BI372" s="408">
        <v>1.51</v>
      </c>
      <c r="BJ372" s="408">
        <v>7.1</v>
      </c>
      <c r="BK372" s="408">
        <v>203.17</v>
      </c>
      <c r="BL372" s="408">
        <v>5</v>
      </c>
      <c r="BM372" s="408"/>
      <c r="BN372" s="408"/>
      <c r="BO372" s="408"/>
      <c r="BP372" s="408"/>
      <c r="BQ372" s="408"/>
      <c r="BR372" s="408"/>
      <c r="BS372" s="408"/>
      <c r="BT372" s="408"/>
      <c r="BU372" s="408"/>
      <c r="BV372" s="408">
        <v>220.42788700842252</v>
      </c>
      <c r="BW372" s="408"/>
      <c r="BX372" s="408"/>
      <c r="BY372" s="408"/>
      <c r="BZ372" s="408"/>
      <c r="CA372" s="408"/>
      <c r="CB372" s="408"/>
      <c r="CC372" s="408"/>
      <c r="CD372" s="408"/>
      <c r="CE372" s="408"/>
      <c r="CF372" s="408"/>
      <c r="CG372" s="408"/>
      <c r="CH372" s="408"/>
      <c r="CI372" s="408">
        <v>495.32250000000005</v>
      </c>
      <c r="CJ372" s="408">
        <v>-229.33503999999988</v>
      </c>
      <c r="CK372" s="408"/>
      <c r="CL372" s="408"/>
      <c r="CM372" s="408"/>
      <c r="CN372" s="408"/>
      <c r="CO372" s="408">
        <v>-241.94197999999997</v>
      </c>
      <c r="CP372" s="408">
        <v>11.976510000000006</v>
      </c>
      <c r="CQ372" s="408">
        <v>30</v>
      </c>
      <c r="CR372" s="408">
        <v>9.9566713175911445</v>
      </c>
      <c r="CS372" s="408">
        <v>0</v>
      </c>
      <c r="CT372" s="408">
        <v>0</v>
      </c>
      <c r="CU372" s="408">
        <v>0</v>
      </c>
      <c r="CV372" s="408">
        <v>0</v>
      </c>
      <c r="CW372" s="408">
        <v>0</v>
      </c>
      <c r="CX372" s="408">
        <v>0</v>
      </c>
      <c r="CY372" s="408">
        <v>0</v>
      </c>
      <c r="CZ372" s="408">
        <v>-0.41670012147501723</v>
      </c>
      <c r="DA372" s="408">
        <v>0</v>
      </c>
      <c r="DB372" s="408">
        <v>0</v>
      </c>
      <c r="DC372" s="408">
        <v>11.971139194382005</v>
      </c>
      <c r="DD372" s="408">
        <v>0</v>
      </c>
      <c r="DE372" s="408">
        <v>0</v>
      </c>
      <c r="DF372" s="408">
        <v>6.9540661676534388E-2</v>
      </c>
      <c r="DG372" s="408">
        <v>1.6916400664163831</v>
      </c>
      <c r="DH372" s="408">
        <v>0</v>
      </c>
      <c r="DI372" s="408">
        <v>-2.8632267049961158</v>
      </c>
      <c r="DJ372" s="408"/>
      <c r="DK372" s="408">
        <v>0</v>
      </c>
      <c r="DL372" s="408">
        <v>0</v>
      </c>
      <c r="DM372" s="408">
        <v>0</v>
      </c>
      <c r="DN372" s="408">
        <v>0</v>
      </c>
      <c r="DO372" s="408">
        <v>-0.3906218702888431</v>
      </c>
      <c r="DP372" s="408">
        <v>-0.10509990812379133</v>
      </c>
      <c r="DQ372" s="408">
        <v>0</v>
      </c>
      <c r="DR372" s="408">
        <v>0</v>
      </c>
      <c r="DS372" s="408"/>
      <c r="DT372" s="408"/>
      <c r="DU372" s="408"/>
      <c r="DV372" s="408">
        <v>357.20563620228899</v>
      </c>
      <c r="DW372" s="408">
        <v>0</v>
      </c>
      <c r="DX372" s="408">
        <v>0</v>
      </c>
      <c r="DY372" s="408">
        <v>-241.94198</v>
      </c>
      <c r="DZ372" s="408">
        <v>11.97650999999999</v>
      </c>
      <c r="EA372" s="408">
        <v>0</v>
      </c>
      <c r="EB372" s="408">
        <v>0</v>
      </c>
      <c r="EC372" s="408">
        <v>-239.92597728475874</v>
      </c>
      <c r="ED372" s="408">
        <v>0</v>
      </c>
      <c r="EE372" s="408">
        <v>0</v>
      </c>
      <c r="EF372" s="408">
        <v>0</v>
      </c>
      <c r="EG372" s="408">
        <v>0</v>
      </c>
      <c r="EH372" s="408">
        <v>0</v>
      </c>
      <c r="EI372" s="408">
        <v>0</v>
      </c>
      <c r="EJ372" s="408">
        <v>0</v>
      </c>
      <c r="EK372" s="408">
        <v>0</v>
      </c>
      <c r="EL372" s="408">
        <v>0</v>
      </c>
      <c r="EM372" s="408">
        <v>0</v>
      </c>
      <c r="EN372" s="408">
        <v>0</v>
      </c>
      <c r="EO372" s="408">
        <v>0</v>
      </c>
      <c r="EP372" s="408">
        <v>0</v>
      </c>
      <c r="EQ372" s="408">
        <v>0</v>
      </c>
      <c r="ER372" s="408">
        <v>0</v>
      </c>
      <c r="ES372" s="408">
        <v>0</v>
      </c>
      <c r="ET372" s="408">
        <v>0</v>
      </c>
      <c r="EU372" s="408">
        <v>0</v>
      </c>
      <c r="EV372" s="408">
        <v>257</v>
      </c>
      <c r="EW372" s="408">
        <v>0</v>
      </c>
      <c r="EX372" s="408">
        <v>0</v>
      </c>
      <c r="EY372" s="408">
        <v>0</v>
      </c>
      <c r="EZ372" s="408"/>
      <c r="FA372" s="408">
        <v>0</v>
      </c>
      <c r="FB372" s="408"/>
      <c r="FC372" s="408"/>
      <c r="FD372" s="408"/>
      <c r="FE372" s="408"/>
      <c r="FF372" s="408">
        <v>0</v>
      </c>
      <c r="FG372" s="408">
        <v>0</v>
      </c>
      <c r="FH372" s="408">
        <v>0</v>
      </c>
      <c r="FI372" s="408">
        <v>0</v>
      </c>
    </row>
    <row r="373" spans="1:165">
      <c r="A373" s="408">
        <v>371</v>
      </c>
      <c r="B373" s="408" t="s">
        <v>1035</v>
      </c>
      <c r="C373" s="408" t="s">
        <v>2233</v>
      </c>
      <c r="D373" s="408" t="s">
        <v>1955</v>
      </c>
      <c r="E373" s="408" t="s">
        <v>968</v>
      </c>
      <c r="F373" s="408" t="s">
        <v>968</v>
      </c>
      <c r="G373" s="408" t="s">
        <v>1321</v>
      </c>
      <c r="H373" s="408" t="s">
        <v>1321</v>
      </c>
      <c r="I373" s="408" t="s">
        <v>1321</v>
      </c>
      <c r="J373" s="408" t="s">
        <v>2234</v>
      </c>
      <c r="K373" s="828">
        <v>44682</v>
      </c>
      <c r="L373" s="408">
        <v>0</v>
      </c>
      <c r="M373" s="408">
        <v>0</v>
      </c>
      <c r="N373" s="408">
        <v>737.65300000000002</v>
      </c>
      <c r="O373" s="408">
        <v>737.65300000000002</v>
      </c>
      <c r="P373" s="408">
        <v>737.65300000000002</v>
      </c>
      <c r="Q373" s="408">
        <v>737.65300000000002</v>
      </c>
      <c r="R373" s="408"/>
      <c r="S373" s="408">
        <v>710.91</v>
      </c>
      <c r="T373" s="408">
        <v>256.55</v>
      </c>
      <c r="U373" s="408"/>
      <c r="V373" s="408">
        <v>713649.77138000005</v>
      </c>
      <c r="W373" s="408">
        <v>713649.77138000005</v>
      </c>
      <c r="X373" s="408">
        <v>487168.17079</v>
      </c>
      <c r="Y373" s="408">
        <v>0</v>
      </c>
      <c r="Z373" s="408">
        <v>45346.983157252784</v>
      </c>
      <c r="AA373" s="408">
        <v>0</v>
      </c>
      <c r="AB373" s="408">
        <v>0</v>
      </c>
      <c r="AC373" s="408">
        <v>0</v>
      </c>
      <c r="AD373" s="408">
        <v>90792.389146826768</v>
      </c>
      <c r="AE373" s="408">
        <v>351794.1377323459</v>
      </c>
      <c r="AF373" s="408">
        <v>189246.73731321338</v>
      </c>
      <c r="AG373" s="408">
        <v>0</v>
      </c>
      <c r="AH373" s="408">
        <v>0</v>
      </c>
      <c r="AI373" s="408">
        <v>0</v>
      </c>
      <c r="AJ373" s="408">
        <v>0</v>
      </c>
      <c r="AK373" s="408">
        <v>0</v>
      </c>
      <c r="AL373" s="408">
        <v>7010.8486719783195</v>
      </c>
      <c r="AM373" s="408"/>
      <c r="AN373" s="408">
        <v>1619.7418847705223</v>
      </c>
      <c r="AO373" s="408">
        <v>0</v>
      </c>
      <c r="AP373" s="408">
        <v>0</v>
      </c>
      <c r="AQ373" s="408">
        <v>0</v>
      </c>
      <c r="AR373" s="408">
        <v>0</v>
      </c>
      <c r="AS373" s="408">
        <v>0</v>
      </c>
      <c r="AT373" s="408">
        <v>0</v>
      </c>
      <c r="AU373" s="408">
        <v>0</v>
      </c>
      <c r="AV373" s="408">
        <v>0</v>
      </c>
      <c r="AW373" s="408">
        <v>0</v>
      </c>
      <c r="AX373" s="408">
        <v>0</v>
      </c>
      <c r="AY373" s="408">
        <v>0</v>
      </c>
      <c r="AZ373" s="408">
        <v>0</v>
      </c>
      <c r="BA373" s="408"/>
      <c r="BB373" s="408">
        <v>0</v>
      </c>
      <c r="BC373" s="408">
        <v>0</v>
      </c>
      <c r="BD373" s="408">
        <v>1099.3392624706962</v>
      </c>
      <c r="BE373" s="408">
        <v>0</v>
      </c>
      <c r="BF373" s="408">
        <v>0</v>
      </c>
      <c r="BG373" s="408">
        <v>26742.430948246387</v>
      </c>
      <c r="BH373" s="408">
        <v>0</v>
      </c>
      <c r="BI373" s="408">
        <v>5573.74</v>
      </c>
      <c r="BJ373" s="408">
        <v>5598.61</v>
      </c>
      <c r="BK373" s="408">
        <v>170606.74</v>
      </c>
      <c r="BL373" s="408">
        <v>5207</v>
      </c>
      <c r="BM373" s="408"/>
      <c r="BN373" s="408"/>
      <c r="BO373" s="408"/>
      <c r="BP373" s="408"/>
      <c r="BQ373" s="408"/>
      <c r="BR373" s="408"/>
      <c r="BS373" s="408"/>
      <c r="BT373" s="408"/>
      <c r="BU373" s="408"/>
      <c r="BV373" s="408">
        <v>217088.50752393046</v>
      </c>
      <c r="BW373" s="408"/>
      <c r="BX373" s="408"/>
      <c r="BY373" s="408"/>
      <c r="BZ373" s="408"/>
      <c r="CA373" s="408"/>
      <c r="CB373" s="408"/>
      <c r="CC373" s="408"/>
      <c r="CD373" s="408"/>
      <c r="CE373" s="408"/>
      <c r="CF373" s="408"/>
      <c r="CG373" s="408"/>
      <c r="CH373" s="408"/>
      <c r="CI373" s="408">
        <v>487166.18949999998</v>
      </c>
      <c r="CJ373" s="408">
        <v>-226483.6118800001</v>
      </c>
      <c r="CK373" s="408"/>
      <c r="CL373" s="408"/>
      <c r="CM373" s="408"/>
      <c r="CN373" s="408"/>
      <c r="CO373" s="408">
        <v>-238276.67205999998</v>
      </c>
      <c r="CP373" s="408">
        <v>11795.071470000006</v>
      </c>
      <c r="CQ373" s="408">
        <v>31</v>
      </c>
      <c r="CR373" s="408">
        <v>9805.8323997798143</v>
      </c>
      <c r="CS373" s="408">
        <v>0</v>
      </c>
      <c r="CT373" s="408">
        <v>0</v>
      </c>
      <c r="CU373" s="408">
        <v>0</v>
      </c>
      <c r="CV373" s="408">
        <v>0</v>
      </c>
      <c r="CW373" s="408">
        <v>0</v>
      </c>
      <c r="CX373" s="408">
        <v>0</v>
      </c>
      <c r="CY373" s="408">
        <v>0</v>
      </c>
      <c r="CZ373" s="408">
        <v>-410.3873093543516</v>
      </c>
      <c r="DA373" s="408">
        <v>0</v>
      </c>
      <c r="DB373" s="408">
        <v>0</v>
      </c>
      <c r="DC373" s="408">
        <v>11789.782029577385</v>
      </c>
      <c r="DD373" s="408">
        <v>0</v>
      </c>
      <c r="DE373" s="408">
        <v>0</v>
      </c>
      <c r="DF373" s="408">
        <v>68.487153147771323</v>
      </c>
      <c r="DG373" s="408">
        <v>1666.0125098961871</v>
      </c>
      <c r="DH373" s="408">
        <v>0</v>
      </c>
      <c r="DI373" s="408">
        <v>-2819.8501583718244</v>
      </c>
      <c r="DJ373" s="408"/>
      <c r="DK373" s="408">
        <v>0</v>
      </c>
      <c r="DL373" s="408">
        <v>0</v>
      </c>
      <c r="DM373" s="408">
        <v>0</v>
      </c>
      <c r="DN373" s="408">
        <v>0</v>
      </c>
      <c r="DO373" s="408">
        <v>-384.70413148755051</v>
      </c>
      <c r="DP373" s="408">
        <v>-103.50769362782262</v>
      </c>
      <c r="DQ373" s="408">
        <v>0</v>
      </c>
      <c r="DR373" s="408">
        <v>0</v>
      </c>
      <c r="DS373" s="408"/>
      <c r="DT373" s="408"/>
      <c r="DU373" s="408"/>
      <c r="DV373" s="408">
        <v>351794.1377323459</v>
      </c>
      <c r="DW373" s="408">
        <v>0</v>
      </c>
      <c r="DX373" s="408">
        <v>0</v>
      </c>
      <c r="DY373" s="408">
        <v>-238276.67205999995</v>
      </c>
      <c r="DZ373" s="408">
        <v>11795.071469999995</v>
      </c>
      <c r="EA373" s="408">
        <v>0</v>
      </c>
      <c r="EB373" s="408">
        <v>0</v>
      </c>
      <c r="EC373" s="408">
        <v>-236291.2108438373</v>
      </c>
      <c r="ED373" s="408">
        <v>0</v>
      </c>
      <c r="EE373" s="408">
        <v>0</v>
      </c>
      <c r="EF373" s="408">
        <v>0</v>
      </c>
      <c r="EG373" s="408">
        <v>0</v>
      </c>
      <c r="EH373" s="408">
        <v>0</v>
      </c>
      <c r="EI373" s="408">
        <v>0</v>
      </c>
      <c r="EJ373" s="408">
        <v>0</v>
      </c>
      <c r="EK373" s="408">
        <v>0</v>
      </c>
      <c r="EL373" s="408">
        <v>0</v>
      </c>
      <c r="EM373" s="408">
        <v>0</v>
      </c>
      <c r="EN373" s="408">
        <v>0</v>
      </c>
      <c r="EO373" s="408">
        <v>0</v>
      </c>
      <c r="EP373" s="408">
        <v>0</v>
      </c>
      <c r="EQ373" s="408">
        <v>0</v>
      </c>
      <c r="ER373" s="408">
        <v>0</v>
      </c>
      <c r="ES373" s="408">
        <v>0</v>
      </c>
      <c r="ET373" s="408">
        <v>0</v>
      </c>
      <c r="EU373" s="408">
        <v>0</v>
      </c>
      <c r="EV373" s="408">
        <v>257</v>
      </c>
      <c r="EW373" s="408">
        <v>0</v>
      </c>
      <c r="EX373" s="408">
        <v>0</v>
      </c>
      <c r="EY373" s="408">
        <v>0</v>
      </c>
      <c r="EZ373" s="408"/>
      <c r="FA373" s="408">
        <v>0</v>
      </c>
      <c r="FB373" s="408"/>
      <c r="FC373" s="408"/>
      <c r="FD373" s="408"/>
      <c r="FE373" s="408"/>
      <c r="FF373" s="408">
        <v>0</v>
      </c>
      <c r="FG373" s="408">
        <v>0</v>
      </c>
      <c r="FH373" s="408">
        <v>0</v>
      </c>
      <c r="FI373" s="408">
        <v>0</v>
      </c>
    </row>
    <row r="374" spans="1:165">
      <c r="A374" s="408">
        <v>372</v>
      </c>
      <c r="B374" s="408" t="s">
        <v>2235</v>
      </c>
      <c r="C374" s="408" t="s">
        <v>2233</v>
      </c>
      <c r="D374" s="408" t="s">
        <v>1955</v>
      </c>
      <c r="E374" s="408" t="s">
        <v>968</v>
      </c>
      <c r="F374" s="408" t="s">
        <v>968</v>
      </c>
      <c r="G374" s="408" t="s">
        <v>1321</v>
      </c>
      <c r="H374" s="408" t="s">
        <v>1321</v>
      </c>
      <c r="I374" s="408" t="s">
        <v>1321</v>
      </c>
      <c r="J374" s="408" t="s">
        <v>2234</v>
      </c>
      <c r="K374" s="828">
        <v>44682</v>
      </c>
      <c r="L374" s="408">
        <v>0</v>
      </c>
      <c r="M374" s="408">
        <v>0</v>
      </c>
      <c r="N374" s="408">
        <v>-1.6319999999999999</v>
      </c>
      <c r="O374" s="408">
        <v>-1.6319999999999999</v>
      </c>
      <c r="P374" s="408">
        <v>-1.6319999999999999</v>
      </c>
      <c r="Q374" s="408">
        <v>-1.6319999999999999</v>
      </c>
      <c r="R374" s="408"/>
      <c r="S374" s="408">
        <v>710.91</v>
      </c>
      <c r="T374" s="408">
        <v>256.55</v>
      </c>
      <c r="U374" s="408"/>
      <c r="V374" s="408">
        <v>-1578.8947199999998</v>
      </c>
      <c r="W374" s="408">
        <v>-1578.8947199999998</v>
      </c>
      <c r="X374" s="408">
        <v>-1077.82176</v>
      </c>
      <c r="Y374" s="408">
        <v>0</v>
      </c>
      <c r="Z374" s="408">
        <v>-100.32668004147823</v>
      </c>
      <c r="AA374" s="408">
        <v>0</v>
      </c>
      <c r="AB374" s="408">
        <v>0</v>
      </c>
      <c r="AC374" s="408">
        <v>0</v>
      </c>
      <c r="AD374" s="408">
        <v>-200.87111295910307</v>
      </c>
      <c r="AE374" s="408">
        <v>-778.31722067040789</v>
      </c>
      <c r="AF374" s="408">
        <v>-418.69371546670885</v>
      </c>
      <c r="AG374" s="408">
        <v>0</v>
      </c>
      <c r="AH374" s="408">
        <v>0</v>
      </c>
      <c r="AI374" s="408">
        <v>0</v>
      </c>
      <c r="AJ374" s="408">
        <v>0</v>
      </c>
      <c r="AK374" s="408">
        <v>0</v>
      </c>
      <c r="AL374" s="408">
        <v>-15.510958448848736</v>
      </c>
      <c r="AM374" s="408"/>
      <c r="AN374" s="408">
        <v>-3.5835531827912206</v>
      </c>
      <c r="AO374" s="408">
        <v>0</v>
      </c>
      <c r="AP374" s="408">
        <v>0</v>
      </c>
      <c r="AQ374" s="408">
        <v>0</v>
      </c>
      <c r="AR374" s="408">
        <v>0</v>
      </c>
      <c r="AS374" s="408">
        <v>0</v>
      </c>
      <c r="AT374" s="408">
        <v>0</v>
      </c>
      <c r="AU374" s="408">
        <v>0</v>
      </c>
      <c r="AV374" s="408">
        <v>0</v>
      </c>
      <c r="AW374" s="408">
        <v>0</v>
      </c>
      <c r="AX374" s="408">
        <v>0</v>
      </c>
      <c r="AY374" s="408">
        <v>0</v>
      </c>
      <c r="AZ374" s="408">
        <v>0</v>
      </c>
      <c r="BA374" s="408"/>
      <c r="BB374" s="408">
        <v>0</v>
      </c>
      <c r="BC374" s="408">
        <v>0</v>
      </c>
      <c r="BD374" s="408">
        <v>-2.4322027787485121</v>
      </c>
      <c r="BE374" s="408">
        <v>0</v>
      </c>
      <c r="BF374" s="408">
        <v>0</v>
      </c>
      <c r="BG374" s="408">
        <v>-59.165552512547364</v>
      </c>
      <c r="BH374" s="408">
        <v>0</v>
      </c>
      <c r="BI374" s="408">
        <v>-3.32</v>
      </c>
      <c r="BJ374" s="408">
        <v>-15.5</v>
      </c>
      <c r="BK374" s="408">
        <v>-458.19</v>
      </c>
      <c r="BL374" s="408">
        <v>0</v>
      </c>
      <c r="BM374" s="408"/>
      <c r="BN374" s="408"/>
      <c r="BO374" s="408"/>
      <c r="BP374" s="408"/>
      <c r="BQ374" s="408"/>
      <c r="BR374" s="408"/>
      <c r="BS374" s="408"/>
      <c r="BT374" s="408"/>
      <c r="BU374" s="408"/>
      <c r="BV374" s="408">
        <v>-480.29147075800472</v>
      </c>
      <c r="BW374" s="408"/>
      <c r="BX374" s="408"/>
      <c r="BY374" s="408"/>
      <c r="BZ374" s="408"/>
      <c r="CA374" s="408"/>
      <c r="CB374" s="408"/>
      <c r="CC374" s="408"/>
      <c r="CD374" s="408"/>
      <c r="CE374" s="408"/>
      <c r="CF374" s="408"/>
      <c r="CG374" s="408"/>
      <c r="CH374" s="408"/>
      <c r="CI374" s="408">
        <v>-1076.5009</v>
      </c>
      <c r="CJ374" s="408">
        <v>502.36381999999981</v>
      </c>
      <c r="CK374" s="408"/>
      <c r="CL374" s="408"/>
      <c r="CM374" s="408"/>
      <c r="CN374" s="408"/>
      <c r="CO374" s="408">
        <v>527.16863999999998</v>
      </c>
      <c r="CP374" s="408">
        <v>-26.095680000000012</v>
      </c>
      <c r="CQ374" s="408">
        <v>31</v>
      </c>
      <c r="CR374" s="408">
        <v>-21.694642977715262</v>
      </c>
      <c r="CS374" s="408">
        <v>0</v>
      </c>
      <c r="CT374" s="408">
        <v>0</v>
      </c>
      <c r="CU374" s="408">
        <v>0</v>
      </c>
      <c r="CV374" s="408">
        <v>0</v>
      </c>
      <c r="CW374" s="408">
        <v>0</v>
      </c>
      <c r="CX374" s="408">
        <v>0</v>
      </c>
      <c r="CY374" s="408">
        <v>0</v>
      </c>
      <c r="CZ374" s="408">
        <v>0.90795006441550186</v>
      </c>
      <c r="DA374" s="408">
        <v>0</v>
      </c>
      <c r="DB374" s="408">
        <v>0</v>
      </c>
      <c r="DC374" s="408">
        <v>-26.083977523673468</v>
      </c>
      <c r="DD374" s="408">
        <v>0</v>
      </c>
      <c r="DE374" s="408">
        <v>0</v>
      </c>
      <c r="DF374" s="408">
        <v>-0.15152250982123405</v>
      </c>
      <c r="DG374" s="408">
        <v>-3.685923348987366</v>
      </c>
      <c r="DH374" s="408">
        <v>0</v>
      </c>
      <c r="DI374" s="408">
        <v>6.2386995761731043</v>
      </c>
      <c r="DJ374" s="408"/>
      <c r="DK374" s="408">
        <v>0</v>
      </c>
      <c r="DL374" s="408">
        <v>0</v>
      </c>
      <c r="DM374" s="408">
        <v>0</v>
      </c>
      <c r="DN374" s="408">
        <v>0</v>
      </c>
      <c r="DO374" s="408">
        <v>0.85112802711801194</v>
      </c>
      <c r="DP374" s="408">
        <v>0.22900273706011687</v>
      </c>
      <c r="DQ374" s="408">
        <v>0</v>
      </c>
      <c r="DR374" s="408">
        <v>0</v>
      </c>
      <c r="DS374" s="408"/>
      <c r="DT374" s="408"/>
      <c r="DU374" s="408"/>
      <c r="DV374" s="408">
        <v>-778.31722067040789</v>
      </c>
      <c r="DW374" s="408">
        <v>0</v>
      </c>
      <c r="DX374" s="408">
        <v>0</v>
      </c>
      <c r="DY374" s="408">
        <v>527.16863999999987</v>
      </c>
      <c r="DZ374" s="408">
        <v>-26.095680000000016</v>
      </c>
      <c r="EA374" s="408">
        <v>0</v>
      </c>
      <c r="EB374" s="408">
        <v>0</v>
      </c>
      <c r="EC374" s="408">
        <v>522.77596118655026</v>
      </c>
      <c r="ED374" s="408">
        <v>0</v>
      </c>
      <c r="EE374" s="408">
        <v>0</v>
      </c>
      <c r="EF374" s="408">
        <v>0</v>
      </c>
      <c r="EG374" s="408">
        <v>0</v>
      </c>
      <c r="EH374" s="408">
        <v>0</v>
      </c>
      <c r="EI374" s="408">
        <v>0</v>
      </c>
      <c r="EJ374" s="408">
        <v>0</v>
      </c>
      <c r="EK374" s="408">
        <v>0</v>
      </c>
      <c r="EL374" s="408">
        <v>0</v>
      </c>
      <c r="EM374" s="408">
        <v>0</v>
      </c>
      <c r="EN374" s="408">
        <v>0</v>
      </c>
      <c r="EO374" s="408">
        <v>0</v>
      </c>
      <c r="EP374" s="408">
        <v>0</v>
      </c>
      <c r="EQ374" s="408">
        <v>0</v>
      </c>
      <c r="ER374" s="408">
        <v>0</v>
      </c>
      <c r="ES374" s="408">
        <v>0</v>
      </c>
      <c r="ET374" s="408">
        <v>0</v>
      </c>
      <c r="EU374" s="408">
        <v>0</v>
      </c>
      <c r="EV374" s="408">
        <v>257</v>
      </c>
      <c r="EW374" s="408">
        <v>0</v>
      </c>
      <c r="EX374" s="408">
        <v>0</v>
      </c>
      <c r="EY374" s="408">
        <v>0</v>
      </c>
      <c r="EZ374" s="408"/>
      <c r="FA374" s="408">
        <v>0</v>
      </c>
      <c r="FB374" s="408"/>
      <c r="FC374" s="408"/>
      <c r="FD374" s="408"/>
      <c r="FE374" s="408"/>
      <c r="FF374" s="408">
        <v>0</v>
      </c>
      <c r="FG374" s="408">
        <v>0</v>
      </c>
      <c r="FH374" s="408">
        <v>0</v>
      </c>
      <c r="FI374" s="408">
        <v>0</v>
      </c>
    </row>
    <row r="375" spans="1:165">
      <c r="A375" s="408">
        <v>373</v>
      </c>
      <c r="B375" s="408" t="s">
        <v>2236</v>
      </c>
      <c r="C375" s="408" t="s">
        <v>2233</v>
      </c>
      <c r="D375" s="408" t="s">
        <v>1955</v>
      </c>
      <c r="E375" s="408" t="s">
        <v>968</v>
      </c>
      <c r="F375" s="408" t="s">
        <v>968</v>
      </c>
      <c r="G375" s="408" t="s">
        <v>1321</v>
      </c>
      <c r="H375" s="408" t="s">
        <v>1321</v>
      </c>
      <c r="I375" s="408" t="s">
        <v>1321</v>
      </c>
      <c r="J375" s="408" t="s">
        <v>2234</v>
      </c>
      <c r="K375" s="828">
        <v>44682</v>
      </c>
      <c r="L375" s="408">
        <v>0</v>
      </c>
      <c r="M375" s="408">
        <v>0</v>
      </c>
      <c r="N375" s="408">
        <v>10.586</v>
      </c>
      <c r="O375" s="408">
        <v>10.586</v>
      </c>
      <c r="P375" s="408">
        <v>10.586</v>
      </c>
      <c r="Q375" s="408">
        <v>10.586</v>
      </c>
      <c r="R375" s="408"/>
      <c r="S375" s="408">
        <v>710.91</v>
      </c>
      <c r="T375" s="408">
        <v>256.55</v>
      </c>
      <c r="U375" s="408"/>
      <c r="V375" s="408">
        <v>10241.531559999999</v>
      </c>
      <c r="W375" s="408">
        <v>10241.531559999999</v>
      </c>
      <c r="X375" s="408">
        <v>6991.3119800000004</v>
      </c>
      <c r="Y375" s="408">
        <v>0</v>
      </c>
      <c r="Z375" s="408">
        <v>650.77097727885325</v>
      </c>
      <c r="AA375" s="408">
        <v>0</v>
      </c>
      <c r="AB375" s="408">
        <v>0</v>
      </c>
      <c r="AC375" s="408">
        <v>0</v>
      </c>
      <c r="AD375" s="408">
        <v>1302.954412858496</v>
      </c>
      <c r="AE375" s="408">
        <v>5048.5699130005751</v>
      </c>
      <c r="AF375" s="408">
        <v>2715.8649950555027</v>
      </c>
      <c r="AG375" s="408">
        <v>0</v>
      </c>
      <c r="AH375" s="408">
        <v>0</v>
      </c>
      <c r="AI375" s="408">
        <v>0</v>
      </c>
      <c r="AJ375" s="408">
        <v>0</v>
      </c>
      <c r="AK375" s="408">
        <v>0</v>
      </c>
      <c r="AL375" s="408">
        <v>100.61213611489751</v>
      </c>
      <c r="AM375" s="408"/>
      <c r="AN375" s="408">
        <v>23.244787985923935</v>
      </c>
      <c r="AO375" s="408">
        <v>0</v>
      </c>
      <c r="AP375" s="408">
        <v>0</v>
      </c>
      <c r="AQ375" s="408">
        <v>0</v>
      </c>
      <c r="AR375" s="408">
        <v>0</v>
      </c>
      <c r="AS375" s="408">
        <v>0</v>
      </c>
      <c r="AT375" s="408">
        <v>0</v>
      </c>
      <c r="AU375" s="408">
        <v>0</v>
      </c>
      <c r="AV375" s="408">
        <v>0</v>
      </c>
      <c r="AW375" s="408">
        <v>0</v>
      </c>
      <c r="AX375" s="408">
        <v>0</v>
      </c>
      <c r="AY375" s="408">
        <v>0</v>
      </c>
      <c r="AZ375" s="408">
        <v>0</v>
      </c>
      <c r="BA375" s="408"/>
      <c r="BB375" s="408">
        <v>0</v>
      </c>
      <c r="BC375" s="408">
        <v>0</v>
      </c>
      <c r="BD375" s="408">
        <v>15.776531014602789</v>
      </c>
      <c r="BE375" s="408">
        <v>0</v>
      </c>
      <c r="BF375" s="408">
        <v>0</v>
      </c>
      <c r="BG375" s="408">
        <v>383.7785164815113</v>
      </c>
      <c r="BH375" s="408">
        <v>0</v>
      </c>
      <c r="BI375" s="408">
        <v>80.41</v>
      </c>
      <c r="BJ375" s="408">
        <v>80.930000000000007</v>
      </c>
      <c r="BK375" s="408">
        <v>5997.9</v>
      </c>
      <c r="BL375" s="408">
        <v>124</v>
      </c>
      <c r="BM375" s="408"/>
      <c r="BN375" s="408"/>
      <c r="BO375" s="408"/>
      <c r="BP375" s="408"/>
      <c r="BQ375" s="408"/>
      <c r="BR375" s="408"/>
      <c r="BS375" s="408"/>
      <c r="BT375" s="408"/>
      <c r="BU375" s="408"/>
      <c r="BV375" s="408">
        <v>3115.4200425516169</v>
      </c>
      <c r="BW375" s="408"/>
      <c r="BX375" s="408"/>
      <c r="BY375" s="408"/>
      <c r="BZ375" s="408"/>
      <c r="CA375" s="408"/>
      <c r="CB375" s="408"/>
      <c r="CC375" s="408"/>
      <c r="CD375" s="408"/>
      <c r="CE375" s="408"/>
      <c r="CF375" s="408"/>
      <c r="CG375" s="408"/>
      <c r="CH375" s="408"/>
      <c r="CI375" s="408">
        <v>6993.9537</v>
      </c>
      <c r="CJ375" s="408">
        <v>-3247.6078600000001</v>
      </c>
      <c r="CK375" s="408"/>
      <c r="CL375" s="408"/>
      <c r="CM375" s="408"/>
      <c r="CN375" s="408"/>
      <c r="CO375" s="408">
        <v>-3419.48972</v>
      </c>
      <c r="CP375" s="408">
        <v>169.27014000000011</v>
      </c>
      <c r="CQ375" s="408">
        <v>31</v>
      </c>
      <c r="CR375" s="408">
        <v>140.7227270601079</v>
      </c>
      <c r="CS375" s="408">
        <v>0</v>
      </c>
      <c r="CT375" s="408">
        <v>0</v>
      </c>
      <c r="CU375" s="408">
        <v>0</v>
      </c>
      <c r="CV375" s="408">
        <v>0</v>
      </c>
      <c r="CW375" s="408">
        <v>0</v>
      </c>
      <c r="CX375" s="408">
        <v>0</v>
      </c>
      <c r="CY375" s="408">
        <v>0</v>
      </c>
      <c r="CZ375" s="408">
        <v>-5.8894358957736586</v>
      </c>
      <c r="DA375" s="408">
        <v>0</v>
      </c>
      <c r="DB375" s="408">
        <v>0</v>
      </c>
      <c r="DC375" s="408">
        <v>169.19423165784792</v>
      </c>
      <c r="DD375" s="408">
        <v>0</v>
      </c>
      <c r="DE375" s="408">
        <v>0</v>
      </c>
      <c r="DF375" s="408">
        <v>0.98285373098503825</v>
      </c>
      <c r="DG375" s="408">
        <v>23.908814076213389</v>
      </c>
      <c r="DH375" s="408">
        <v>0</v>
      </c>
      <c r="DI375" s="408">
        <v>-40.46744712828945</v>
      </c>
      <c r="DJ375" s="408"/>
      <c r="DK375" s="408">
        <v>0</v>
      </c>
      <c r="DL375" s="408">
        <v>0</v>
      </c>
      <c r="DM375" s="408">
        <v>0</v>
      </c>
      <c r="DN375" s="408">
        <v>0</v>
      </c>
      <c r="DO375" s="408">
        <v>-5.5208586366858299</v>
      </c>
      <c r="DP375" s="408">
        <v>-1.4854307441901931</v>
      </c>
      <c r="DQ375" s="408">
        <v>0</v>
      </c>
      <c r="DR375" s="408">
        <v>0</v>
      </c>
      <c r="DS375" s="408"/>
      <c r="DT375" s="408"/>
      <c r="DU375" s="408"/>
      <c r="DV375" s="408">
        <v>5048.5699130005751</v>
      </c>
      <c r="DW375" s="408">
        <v>0</v>
      </c>
      <c r="DX375" s="408">
        <v>0</v>
      </c>
      <c r="DY375" s="408">
        <v>-3419.4897200000005</v>
      </c>
      <c r="DZ375" s="408">
        <v>169.27014000000008</v>
      </c>
      <c r="EA375" s="408">
        <v>0</v>
      </c>
      <c r="EB375" s="408">
        <v>0</v>
      </c>
      <c r="EC375" s="408">
        <v>-3390.9965227456014</v>
      </c>
      <c r="ED375" s="408">
        <v>0</v>
      </c>
      <c r="EE375" s="408">
        <v>0</v>
      </c>
      <c r="EF375" s="408">
        <v>0</v>
      </c>
      <c r="EG375" s="408">
        <v>0</v>
      </c>
      <c r="EH375" s="408">
        <v>0</v>
      </c>
      <c r="EI375" s="408">
        <v>0</v>
      </c>
      <c r="EJ375" s="408">
        <v>0</v>
      </c>
      <c r="EK375" s="408">
        <v>0</v>
      </c>
      <c r="EL375" s="408">
        <v>0</v>
      </c>
      <c r="EM375" s="408">
        <v>0</v>
      </c>
      <c r="EN375" s="408">
        <v>0</v>
      </c>
      <c r="EO375" s="408">
        <v>0</v>
      </c>
      <c r="EP375" s="408">
        <v>0</v>
      </c>
      <c r="EQ375" s="408">
        <v>0</v>
      </c>
      <c r="ER375" s="408">
        <v>0</v>
      </c>
      <c r="ES375" s="408">
        <v>0</v>
      </c>
      <c r="ET375" s="408">
        <v>0</v>
      </c>
      <c r="EU375" s="408">
        <v>0</v>
      </c>
      <c r="EV375" s="408">
        <v>257</v>
      </c>
      <c r="EW375" s="408">
        <v>0</v>
      </c>
      <c r="EX375" s="408">
        <v>0</v>
      </c>
      <c r="EY375" s="408">
        <v>0</v>
      </c>
      <c r="EZ375" s="408"/>
      <c r="FA375" s="408">
        <v>0</v>
      </c>
      <c r="FB375" s="408"/>
      <c r="FC375" s="408"/>
      <c r="FD375" s="408"/>
      <c r="FE375" s="408"/>
      <c r="FF375" s="408">
        <v>0</v>
      </c>
      <c r="FG375" s="408">
        <v>0</v>
      </c>
      <c r="FH375" s="408">
        <v>0</v>
      </c>
      <c r="FI375" s="408">
        <v>0</v>
      </c>
    </row>
    <row r="376" spans="1:165">
      <c r="A376" s="408">
        <v>374</v>
      </c>
      <c r="B376" s="408" t="s">
        <v>2236</v>
      </c>
      <c r="C376" s="408" t="s">
        <v>2233</v>
      </c>
      <c r="D376" s="408" t="s">
        <v>1955</v>
      </c>
      <c r="E376" s="408" t="s">
        <v>968</v>
      </c>
      <c r="F376" s="408" t="s">
        <v>968</v>
      </c>
      <c r="G376" s="408" t="s">
        <v>1321</v>
      </c>
      <c r="H376" s="408" t="s">
        <v>1321</v>
      </c>
      <c r="I376" s="408" t="s">
        <v>1321</v>
      </c>
      <c r="J376" s="408" t="s">
        <v>2234</v>
      </c>
      <c r="K376" s="828">
        <v>44682</v>
      </c>
      <c r="L376" s="408">
        <v>0</v>
      </c>
      <c r="M376" s="408">
        <v>0</v>
      </c>
      <c r="N376" s="408">
        <v>-1.0649999999999999</v>
      </c>
      <c r="O376" s="408">
        <v>-1.0649999999999999</v>
      </c>
      <c r="P376" s="408">
        <v>-1.0649999999999999</v>
      </c>
      <c r="Q376" s="408">
        <v>-1.0649999999999999</v>
      </c>
      <c r="R376" s="408"/>
      <c r="S376" s="408">
        <v>710.91</v>
      </c>
      <c r="T376" s="408">
        <v>256.55</v>
      </c>
      <c r="U376" s="408"/>
      <c r="V376" s="408">
        <v>-1030.3448999999998</v>
      </c>
      <c r="W376" s="408">
        <v>-1030.3448999999998</v>
      </c>
      <c r="X376" s="408">
        <v>-703.35795000000007</v>
      </c>
      <c r="Y376" s="408">
        <v>0</v>
      </c>
      <c r="Z376" s="408">
        <v>-65.4705356888323</v>
      </c>
      <c r="AA376" s="408">
        <v>0</v>
      </c>
      <c r="AB376" s="408">
        <v>0</v>
      </c>
      <c r="AC376" s="408">
        <v>0</v>
      </c>
      <c r="AD376" s="408">
        <v>-131.08317114059116</v>
      </c>
      <c r="AE376" s="408">
        <v>-507.9092156948434</v>
      </c>
      <c r="AF376" s="408">
        <v>-273.2284356446354</v>
      </c>
      <c r="AG376" s="408">
        <v>0</v>
      </c>
      <c r="AH376" s="408">
        <v>0</v>
      </c>
      <c r="AI376" s="408">
        <v>0</v>
      </c>
      <c r="AJ376" s="408">
        <v>0</v>
      </c>
      <c r="AK376" s="408">
        <v>0</v>
      </c>
      <c r="AL376" s="408">
        <v>-10.122040899524452</v>
      </c>
      <c r="AM376" s="408"/>
      <c r="AN376" s="408">
        <v>-2.3385319483288298</v>
      </c>
      <c r="AO376" s="408">
        <v>0</v>
      </c>
      <c r="AP376" s="408">
        <v>0</v>
      </c>
      <c r="AQ376" s="408">
        <v>0</v>
      </c>
      <c r="AR376" s="408">
        <v>0</v>
      </c>
      <c r="AS376" s="408">
        <v>0</v>
      </c>
      <c r="AT376" s="408">
        <v>0</v>
      </c>
      <c r="AU376" s="408">
        <v>0</v>
      </c>
      <c r="AV376" s="408">
        <v>0</v>
      </c>
      <c r="AW376" s="408">
        <v>0</v>
      </c>
      <c r="AX376" s="408">
        <v>0</v>
      </c>
      <c r="AY376" s="408">
        <v>0</v>
      </c>
      <c r="AZ376" s="408">
        <v>0</v>
      </c>
      <c r="BA376" s="408"/>
      <c r="BB376" s="408">
        <v>0</v>
      </c>
      <c r="BC376" s="408">
        <v>0</v>
      </c>
      <c r="BD376" s="408">
        <v>-1.5871911515730179</v>
      </c>
      <c r="BE376" s="408">
        <v>0</v>
      </c>
      <c r="BF376" s="408">
        <v>0</v>
      </c>
      <c r="BG376" s="408">
        <v>-38.609873422710137</v>
      </c>
      <c r="BH376" s="408">
        <v>0</v>
      </c>
      <c r="BI376" s="408">
        <v>-2.1800000000000002</v>
      </c>
      <c r="BJ376" s="408">
        <v>-10.09</v>
      </c>
      <c r="BK376" s="408">
        <v>-288.95</v>
      </c>
      <c r="BL376" s="408">
        <v>2</v>
      </c>
      <c r="BM376" s="408"/>
      <c r="BN376" s="408"/>
      <c r="BO376" s="408"/>
      <c r="BP376" s="408"/>
      <c r="BQ376" s="408"/>
      <c r="BR376" s="408"/>
      <c r="BS376" s="408"/>
      <c r="BT376" s="408"/>
      <c r="BU376" s="408"/>
      <c r="BV376" s="408">
        <v>-313.4255002189185</v>
      </c>
      <c r="BW376" s="408"/>
      <c r="BX376" s="408"/>
      <c r="BY376" s="408"/>
      <c r="BZ376" s="408"/>
      <c r="CA376" s="408"/>
      <c r="CB376" s="408"/>
      <c r="CC376" s="408"/>
      <c r="CD376" s="408"/>
      <c r="CE376" s="408"/>
      <c r="CF376" s="408"/>
      <c r="CG376" s="408"/>
      <c r="CH376" s="408"/>
      <c r="CI376" s="408">
        <v>-706.66010000000006</v>
      </c>
      <c r="CJ376" s="408">
        <v>323.6547999999998</v>
      </c>
      <c r="CK376" s="408"/>
      <c r="CL376" s="408"/>
      <c r="CM376" s="408"/>
      <c r="CN376" s="408"/>
      <c r="CO376" s="408">
        <v>344.01629999999994</v>
      </c>
      <c r="CP376" s="408">
        <v>-17.029350000000008</v>
      </c>
      <c r="CQ376" s="408">
        <v>31</v>
      </c>
      <c r="CR376" s="408">
        <v>-14.157349737295817</v>
      </c>
      <c r="CS376" s="408">
        <v>0</v>
      </c>
      <c r="CT376" s="408">
        <v>0</v>
      </c>
      <c r="CU376" s="408">
        <v>0</v>
      </c>
      <c r="CV376" s="408">
        <v>0</v>
      </c>
      <c r="CW376" s="408">
        <v>0</v>
      </c>
      <c r="CX376" s="408">
        <v>0</v>
      </c>
      <c r="CY376" s="408">
        <v>0</v>
      </c>
      <c r="CZ376" s="408">
        <v>0.59250417806526912</v>
      </c>
      <c r="DA376" s="408">
        <v>0</v>
      </c>
      <c r="DB376" s="408">
        <v>0</v>
      </c>
      <c r="DC376" s="408">
        <v>-17.021713273720707</v>
      </c>
      <c r="DD376" s="408">
        <v>0</v>
      </c>
      <c r="DE376" s="408">
        <v>0</v>
      </c>
      <c r="DF376" s="408">
        <v>-9.88795790193715E-2</v>
      </c>
      <c r="DG376" s="408">
        <v>-2.4053360089899201</v>
      </c>
      <c r="DH376" s="408">
        <v>0</v>
      </c>
      <c r="DI376" s="408">
        <v>4.0712102013629661</v>
      </c>
      <c r="DJ376" s="408"/>
      <c r="DK376" s="408">
        <v>0</v>
      </c>
      <c r="DL376" s="408">
        <v>0</v>
      </c>
      <c r="DM376" s="408">
        <v>0</v>
      </c>
      <c r="DN376" s="408">
        <v>0</v>
      </c>
      <c r="DO376" s="408">
        <v>0.55542362063767392</v>
      </c>
      <c r="DP376" s="408">
        <v>0.14944112436827517</v>
      </c>
      <c r="DQ376" s="408">
        <v>0</v>
      </c>
      <c r="DR376" s="408">
        <v>0</v>
      </c>
      <c r="DS376" s="408"/>
      <c r="DT376" s="408"/>
      <c r="DU376" s="408"/>
      <c r="DV376" s="408">
        <v>-507.9092156948434</v>
      </c>
      <c r="DW376" s="408">
        <v>0</v>
      </c>
      <c r="DX376" s="408">
        <v>0</v>
      </c>
      <c r="DY376" s="408">
        <v>344.01629999999989</v>
      </c>
      <c r="DZ376" s="408">
        <v>-17.029350000000022</v>
      </c>
      <c r="EA376" s="408">
        <v>0</v>
      </c>
      <c r="EB376" s="408">
        <v>0</v>
      </c>
      <c r="EC376" s="408">
        <v>341.14975408313484</v>
      </c>
      <c r="ED376" s="408">
        <v>0</v>
      </c>
      <c r="EE376" s="408">
        <v>0</v>
      </c>
      <c r="EF376" s="408">
        <v>0</v>
      </c>
      <c r="EG376" s="408">
        <v>0</v>
      </c>
      <c r="EH376" s="408">
        <v>0</v>
      </c>
      <c r="EI376" s="408">
        <v>0</v>
      </c>
      <c r="EJ376" s="408">
        <v>0</v>
      </c>
      <c r="EK376" s="408">
        <v>0</v>
      </c>
      <c r="EL376" s="408">
        <v>0</v>
      </c>
      <c r="EM376" s="408">
        <v>0</v>
      </c>
      <c r="EN376" s="408">
        <v>0</v>
      </c>
      <c r="EO376" s="408">
        <v>0</v>
      </c>
      <c r="EP376" s="408">
        <v>0</v>
      </c>
      <c r="EQ376" s="408">
        <v>0</v>
      </c>
      <c r="ER376" s="408">
        <v>0</v>
      </c>
      <c r="ES376" s="408">
        <v>0</v>
      </c>
      <c r="ET376" s="408">
        <v>0</v>
      </c>
      <c r="EU376" s="408">
        <v>0</v>
      </c>
      <c r="EV376" s="408">
        <v>257</v>
      </c>
      <c r="EW376" s="408">
        <v>0</v>
      </c>
      <c r="EX376" s="408">
        <v>0</v>
      </c>
      <c r="EY376" s="408">
        <v>0</v>
      </c>
      <c r="EZ376" s="408"/>
      <c r="FA376" s="408">
        <v>0</v>
      </c>
      <c r="FB376" s="408"/>
      <c r="FC376" s="408"/>
      <c r="FD376" s="408"/>
      <c r="FE376" s="408"/>
      <c r="FF376" s="408">
        <v>0</v>
      </c>
      <c r="FG376" s="408">
        <v>0</v>
      </c>
      <c r="FH376" s="408">
        <v>0</v>
      </c>
      <c r="FI376" s="408">
        <v>0</v>
      </c>
    </row>
    <row r="377" spans="1:165">
      <c r="A377" s="408">
        <v>375</v>
      </c>
      <c r="B377" s="408" t="s">
        <v>1035</v>
      </c>
      <c r="C377" s="408" t="s">
        <v>2233</v>
      </c>
      <c r="D377" s="408" t="s">
        <v>1955</v>
      </c>
      <c r="E377" s="408" t="s">
        <v>968</v>
      </c>
      <c r="F377" s="408" t="s">
        <v>2237</v>
      </c>
      <c r="G377" s="408" t="s">
        <v>1321</v>
      </c>
      <c r="H377" s="408" t="s">
        <v>1321</v>
      </c>
      <c r="I377" s="408" t="s">
        <v>1321</v>
      </c>
      <c r="J377" s="408" t="s">
        <v>2234</v>
      </c>
      <c r="K377" s="828">
        <v>44682</v>
      </c>
      <c r="L377" s="408">
        <v>0</v>
      </c>
      <c r="M377" s="408">
        <v>0</v>
      </c>
      <c r="N377" s="408">
        <v>5.82</v>
      </c>
      <c r="O377" s="408">
        <v>5.82</v>
      </c>
      <c r="P377" s="408">
        <v>5.82</v>
      </c>
      <c r="Q377" s="408">
        <v>5.82</v>
      </c>
      <c r="R377" s="408"/>
      <c r="S377" s="408">
        <v>639.92999999999995</v>
      </c>
      <c r="T377" s="408">
        <v>256.55</v>
      </c>
      <c r="U377" s="408"/>
      <c r="V377" s="408">
        <v>5217.5136000000002</v>
      </c>
      <c r="W377" s="408">
        <v>5217.5136000000002</v>
      </c>
      <c r="X377" s="408">
        <v>3455.9160000000002</v>
      </c>
      <c r="Y377" s="408">
        <v>0</v>
      </c>
      <c r="Z377" s="408">
        <v>0</v>
      </c>
      <c r="AA377" s="408">
        <v>0</v>
      </c>
      <c r="AB377" s="408">
        <v>0</v>
      </c>
      <c r="AC377" s="408">
        <v>0</v>
      </c>
      <c r="AD377" s="408">
        <v>716.341836655625</v>
      </c>
      <c r="AE377" s="408">
        <v>2775.6165590084406</v>
      </c>
      <c r="AF377" s="408">
        <v>1493.1356764805428</v>
      </c>
      <c r="AG377" s="408">
        <v>0</v>
      </c>
      <c r="AH377" s="408">
        <v>0</v>
      </c>
      <c r="AI377" s="408">
        <v>0</v>
      </c>
      <c r="AJ377" s="408">
        <v>0</v>
      </c>
      <c r="AK377" s="408">
        <v>0</v>
      </c>
      <c r="AL377" s="408">
        <v>0</v>
      </c>
      <c r="AM377" s="408"/>
      <c r="AN377" s="408">
        <v>12.779583041571634</v>
      </c>
      <c r="AO377" s="408">
        <v>0</v>
      </c>
      <c r="AP377" s="408">
        <v>0</v>
      </c>
      <c r="AQ377" s="408">
        <v>0</v>
      </c>
      <c r="AR377" s="408">
        <v>0</v>
      </c>
      <c r="AS377" s="408">
        <v>0</v>
      </c>
      <c r="AT377" s="408">
        <v>0</v>
      </c>
      <c r="AU377" s="408">
        <v>0</v>
      </c>
      <c r="AV377" s="408">
        <v>0</v>
      </c>
      <c r="AW377" s="408">
        <v>0</v>
      </c>
      <c r="AX377" s="408">
        <v>0</v>
      </c>
      <c r="AY377" s="408">
        <v>0</v>
      </c>
      <c r="AZ377" s="408">
        <v>0</v>
      </c>
      <c r="BA377" s="408"/>
      <c r="BB377" s="408">
        <v>0</v>
      </c>
      <c r="BC377" s="408">
        <v>0</v>
      </c>
      <c r="BD377" s="408">
        <v>8.6736643212722679</v>
      </c>
      <c r="BE377" s="408">
        <v>0</v>
      </c>
      <c r="BF377" s="408">
        <v>0</v>
      </c>
      <c r="BG377" s="408">
        <v>210.99480123959907</v>
      </c>
      <c r="BH377" s="408">
        <v>0</v>
      </c>
      <c r="BI377" s="408">
        <v>12.41</v>
      </c>
      <c r="BJ377" s="408">
        <v>12.58</v>
      </c>
      <c r="BK377" s="408">
        <v>386.02</v>
      </c>
      <c r="BL377" s="408">
        <v>9</v>
      </c>
      <c r="BM377" s="408"/>
      <c r="BN377" s="408"/>
      <c r="BO377" s="408"/>
      <c r="BP377" s="408"/>
      <c r="BQ377" s="408"/>
      <c r="BR377" s="408"/>
      <c r="BS377" s="408"/>
      <c r="BT377" s="408">
        <v>2246.3454000000002</v>
      </c>
      <c r="BU377" s="408"/>
      <c r="BV377" s="408">
        <v>1712.8041420414143</v>
      </c>
      <c r="BW377" s="408"/>
      <c r="BX377" s="408"/>
      <c r="BY377" s="408"/>
      <c r="BZ377" s="408"/>
      <c r="CA377" s="408"/>
      <c r="CB377" s="408"/>
      <c r="CC377" s="408"/>
      <c r="CD377" s="408"/>
      <c r="CE377" s="408"/>
      <c r="CF377" s="408"/>
      <c r="CG377" s="408"/>
      <c r="CH377" s="408"/>
      <c r="CI377" s="408">
        <v>1209.5706</v>
      </c>
      <c r="CJ377" s="408">
        <v>-616.60079999999994</v>
      </c>
      <c r="CK377" s="408"/>
      <c r="CL377" s="408"/>
      <c r="CM377" s="408"/>
      <c r="CN377" s="408"/>
      <c r="CO377" s="408">
        <v>-1854.6593999999998</v>
      </c>
      <c r="CP377" s="408">
        <v>93.061800000000062</v>
      </c>
      <c r="CQ377" s="408">
        <v>31</v>
      </c>
      <c r="CR377" s="408">
        <v>102.65050170432414</v>
      </c>
      <c r="CS377" s="408">
        <v>0</v>
      </c>
      <c r="CT377" s="408">
        <v>0</v>
      </c>
      <c r="CU377" s="408">
        <v>0</v>
      </c>
      <c r="CV377" s="408">
        <v>0</v>
      </c>
      <c r="CW377" s="408">
        <v>0</v>
      </c>
      <c r="CX377" s="408">
        <v>0</v>
      </c>
      <c r="CY377" s="408">
        <v>0</v>
      </c>
      <c r="CZ377" s="408">
        <v>-3.2379101561876951</v>
      </c>
      <c r="DA377" s="408">
        <v>0</v>
      </c>
      <c r="DB377" s="408">
        <v>0</v>
      </c>
      <c r="DC377" s="408">
        <v>93.020066904276746</v>
      </c>
      <c r="DD377" s="408">
        <v>0</v>
      </c>
      <c r="DE377" s="408">
        <v>0</v>
      </c>
      <c r="DF377" s="408">
        <v>0.54035600928895988</v>
      </c>
      <c r="DG377" s="408">
        <v>13.144653119550554</v>
      </c>
      <c r="DH377" s="408">
        <v>0</v>
      </c>
      <c r="DI377" s="408">
        <v>0</v>
      </c>
      <c r="DJ377" s="408"/>
      <c r="DK377" s="408">
        <v>0</v>
      </c>
      <c r="DL377" s="408">
        <v>0</v>
      </c>
      <c r="DM377" s="408">
        <v>0</v>
      </c>
      <c r="DN377" s="408">
        <v>0</v>
      </c>
      <c r="DO377" s="408">
        <v>0</v>
      </c>
      <c r="DP377" s="408">
        <v>-0.81666417260409396</v>
      </c>
      <c r="DQ377" s="408">
        <v>0</v>
      </c>
      <c r="DR377" s="408">
        <v>0</v>
      </c>
      <c r="DS377" s="408"/>
      <c r="DT377" s="408"/>
      <c r="DU377" s="408"/>
      <c r="DV377" s="408">
        <v>2775.6165590084406</v>
      </c>
      <c r="DW377" s="408">
        <v>0</v>
      </c>
      <c r="DX377" s="408">
        <v>0</v>
      </c>
      <c r="DY377" s="408">
        <v>-1854.6593999999996</v>
      </c>
      <c r="DZ377" s="408">
        <v>93.061800000000176</v>
      </c>
      <c r="EA377" s="408">
        <v>0</v>
      </c>
      <c r="EB377" s="408">
        <v>0</v>
      </c>
      <c r="EC377" s="408">
        <v>-1864.3113321726248</v>
      </c>
      <c r="ED377" s="408">
        <v>0</v>
      </c>
      <c r="EE377" s="408">
        <v>0</v>
      </c>
      <c r="EF377" s="408">
        <v>0</v>
      </c>
      <c r="EG377" s="408">
        <v>0</v>
      </c>
      <c r="EH377" s="408">
        <v>0</v>
      </c>
      <c r="EI377" s="408">
        <v>0</v>
      </c>
      <c r="EJ377" s="408">
        <v>0</v>
      </c>
      <c r="EK377" s="408">
        <v>0</v>
      </c>
      <c r="EL377" s="408">
        <v>0</v>
      </c>
      <c r="EM377" s="408">
        <v>0</v>
      </c>
      <c r="EN377" s="408">
        <v>0</v>
      </c>
      <c r="EO377" s="408">
        <v>0</v>
      </c>
      <c r="EP377" s="408">
        <v>0</v>
      </c>
      <c r="EQ377" s="408">
        <v>0</v>
      </c>
      <c r="ER377" s="408">
        <v>0</v>
      </c>
      <c r="ES377" s="408">
        <v>0</v>
      </c>
      <c r="ET377" s="408">
        <v>0</v>
      </c>
      <c r="EU377" s="408">
        <v>0</v>
      </c>
      <c r="EV377" s="408">
        <v>257</v>
      </c>
      <c r="EW377" s="408">
        <v>0</v>
      </c>
      <c r="EX377" s="408">
        <v>0</v>
      </c>
      <c r="EY377" s="408">
        <v>0</v>
      </c>
      <c r="EZ377" s="408"/>
      <c r="FA377" s="408">
        <v>0</v>
      </c>
      <c r="FB377" s="408"/>
      <c r="FC377" s="408"/>
      <c r="FD377" s="408"/>
      <c r="FE377" s="408"/>
      <c r="FF377" s="408">
        <v>0</v>
      </c>
      <c r="FG377" s="408">
        <v>0</v>
      </c>
      <c r="FH377" s="408">
        <v>0</v>
      </c>
      <c r="FI377" s="408">
        <v>0</v>
      </c>
    </row>
    <row r="378" spans="1:165">
      <c r="A378" s="408">
        <v>376</v>
      </c>
      <c r="B378" s="408" t="s">
        <v>1035</v>
      </c>
      <c r="C378" s="408" t="s">
        <v>2233</v>
      </c>
      <c r="D378" s="408" t="s">
        <v>1955</v>
      </c>
      <c r="E378" s="408" t="s">
        <v>968</v>
      </c>
      <c r="F378" s="408" t="s">
        <v>2238</v>
      </c>
      <c r="G378" s="408" t="s">
        <v>1321</v>
      </c>
      <c r="H378" s="408" t="s">
        <v>1321</v>
      </c>
      <c r="I378" s="408" t="s">
        <v>1321</v>
      </c>
      <c r="J378" s="408" t="s">
        <v>2234</v>
      </c>
      <c r="K378" s="828">
        <v>44682</v>
      </c>
      <c r="L378" s="408">
        <v>0</v>
      </c>
      <c r="M378" s="408">
        <v>0</v>
      </c>
      <c r="N378" s="408">
        <v>11.327</v>
      </c>
      <c r="O378" s="408">
        <v>11.327</v>
      </c>
      <c r="P378" s="408">
        <v>11.327</v>
      </c>
      <c r="Q378" s="408">
        <v>11.327</v>
      </c>
      <c r="R378" s="408"/>
      <c r="S378" s="408">
        <v>639.92999999999995</v>
      </c>
      <c r="T378" s="408">
        <v>256.55</v>
      </c>
      <c r="U378" s="408"/>
      <c r="V378" s="408">
        <v>10154.428959999999</v>
      </c>
      <c r="W378" s="408">
        <v>10154.428959999999</v>
      </c>
      <c r="X378" s="408">
        <v>6725.9726000000001</v>
      </c>
      <c r="Y378" s="408">
        <v>0</v>
      </c>
      <c r="Z378" s="408">
        <v>0</v>
      </c>
      <c r="AA378" s="408">
        <v>0</v>
      </c>
      <c r="AB378" s="408">
        <v>0</v>
      </c>
      <c r="AC378" s="408">
        <v>0</v>
      </c>
      <c r="AD378" s="408">
        <v>1394.1587601027945</v>
      </c>
      <c r="AE378" s="408">
        <v>5401.960268709382</v>
      </c>
      <c r="AF378" s="408">
        <v>2905.970413658953</v>
      </c>
      <c r="AG378" s="408">
        <v>0</v>
      </c>
      <c r="AH378" s="408">
        <v>0</v>
      </c>
      <c r="AI378" s="408">
        <v>0</v>
      </c>
      <c r="AJ378" s="408">
        <v>0</v>
      </c>
      <c r="AK378" s="408">
        <v>0</v>
      </c>
      <c r="AL378" s="408">
        <v>0</v>
      </c>
      <c r="AM378" s="408"/>
      <c r="AN378" s="408">
        <v>24.871879228845685</v>
      </c>
      <c r="AO378" s="408">
        <v>0</v>
      </c>
      <c r="AP378" s="408">
        <v>0</v>
      </c>
      <c r="AQ378" s="408">
        <v>0</v>
      </c>
      <c r="AR378" s="408">
        <v>0</v>
      </c>
      <c r="AS378" s="408">
        <v>0</v>
      </c>
      <c r="AT378" s="408">
        <v>0</v>
      </c>
      <c r="AU378" s="408">
        <v>0</v>
      </c>
      <c r="AV378" s="408">
        <v>0</v>
      </c>
      <c r="AW378" s="408">
        <v>0</v>
      </c>
      <c r="AX378" s="408">
        <v>0</v>
      </c>
      <c r="AY378" s="408">
        <v>0</v>
      </c>
      <c r="AZ378" s="408">
        <v>0</v>
      </c>
      <c r="BA378" s="408"/>
      <c r="BB378" s="408">
        <v>0</v>
      </c>
      <c r="BC378" s="408">
        <v>0</v>
      </c>
      <c r="BD378" s="408">
        <v>16.880858379218381</v>
      </c>
      <c r="BE378" s="408">
        <v>0</v>
      </c>
      <c r="BF378" s="408">
        <v>0</v>
      </c>
      <c r="BG378" s="408">
        <v>410.64228756717159</v>
      </c>
      <c r="BH378" s="408">
        <v>0</v>
      </c>
      <c r="BI378" s="408">
        <v>43.31</v>
      </c>
      <c r="BJ378" s="408">
        <v>43.62</v>
      </c>
      <c r="BK378" s="408">
        <v>1364.53</v>
      </c>
      <c r="BL378" s="408">
        <v>62</v>
      </c>
      <c r="BM378" s="408"/>
      <c r="BN378" s="408"/>
      <c r="BO378" s="408"/>
      <c r="BP378" s="408"/>
      <c r="BQ378" s="408"/>
      <c r="BR378" s="408"/>
      <c r="BS378" s="408"/>
      <c r="BT378" s="408">
        <v>2690.38904</v>
      </c>
      <c r="BU378" s="408"/>
      <c r="BV378" s="408">
        <v>3333.4935596053429</v>
      </c>
      <c r="BW378" s="408"/>
      <c r="BX378" s="408"/>
      <c r="BY378" s="408"/>
      <c r="BZ378" s="408"/>
      <c r="CA378" s="408"/>
      <c r="CB378" s="408"/>
      <c r="CC378" s="408"/>
      <c r="CD378" s="408"/>
      <c r="CE378" s="408"/>
      <c r="CF378" s="408"/>
      <c r="CG378" s="408"/>
      <c r="CH378" s="408"/>
      <c r="CI378" s="408">
        <v>4036.6523999999999</v>
      </c>
      <c r="CJ378" s="408">
        <v>-2056.0576300000002</v>
      </c>
      <c r="CK378" s="408"/>
      <c r="CL378" s="408"/>
      <c r="CM378" s="408"/>
      <c r="CN378" s="408"/>
      <c r="CO378" s="408">
        <v>-3609.5750899999994</v>
      </c>
      <c r="CP378" s="408">
        <v>181.11873000000011</v>
      </c>
      <c r="CQ378" s="408">
        <v>31</v>
      </c>
      <c r="CR378" s="408">
        <v>199.78045237197421</v>
      </c>
      <c r="CS378" s="408">
        <v>0</v>
      </c>
      <c r="CT378" s="408">
        <v>0</v>
      </c>
      <c r="CU378" s="408">
        <v>0</v>
      </c>
      <c r="CV378" s="408">
        <v>0</v>
      </c>
      <c r="CW378" s="408">
        <v>0</v>
      </c>
      <c r="CX378" s="408">
        <v>0</v>
      </c>
      <c r="CY378" s="408">
        <v>0</v>
      </c>
      <c r="CZ378" s="408">
        <v>-6.3016852816388109</v>
      </c>
      <c r="DA378" s="408">
        <v>0</v>
      </c>
      <c r="DB378" s="408">
        <v>0</v>
      </c>
      <c r="DC378" s="408">
        <v>181.03750821731001</v>
      </c>
      <c r="DD378" s="408">
        <v>0</v>
      </c>
      <c r="DE378" s="408">
        <v>0</v>
      </c>
      <c r="DF378" s="408">
        <v>1.0516516352604874</v>
      </c>
      <c r="DG378" s="408">
        <v>25.582385890919056</v>
      </c>
      <c r="DH378" s="408">
        <v>0</v>
      </c>
      <c r="DI378" s="408">
        <v>0</v>
      </c>
      <c r="DJ378" s="408"/>
      <c r="DK378" s="408">
        <v>0</v>
      </c>
      <c r="DL378" s="408">
        <v>0</v>
      </c>
      <c r="DM378" s="408">
        <v>0</v>
      </c>
      <c r="DN378" s="408">
        <v>0</v>
      </c>
      <c r="DO378" s="408">
        <v>0</v>
      </c>
      <c r="DP378" s="408">
        <v>-1.5894080898774163</v>
      </c>
      <c r="DQ378" s="408">
        <v>0</v>
      </c>
      <c r="DR378" s="408">
        <v>0</v>
      </c>
      <c r="DS378" s="408"/>
      <c r="DT378" s="408"/>
      <c r="DU378" s="408"/>
      <c r="DV378" s="408">
        <v>5401.960268709382</v>
      </c>
      <c r="DW378" s="408">
        <v>0</v>
      </c>
      <c r="DX378" s="408">
        <v>0</v>
      </c>
      <c r="DY378" s="408">
        <v>-3609.5750899999994</v>
      </c>
      <c r="DZ378" s="408">
        <v>181.11873000000014</v>
      </c>
      <c r="EA378" s="408">
        <v>0</v>
      </c>
      <c r="EB378" s="408">
        <v>0</v>
      </c>
      <c r="EC378" s="408">
        <v>-3628.3598727696426</v>
      </c>
      <c r="ED378" s="408">
        <v>0</v>
      </c>
      <c r="EE378" s="408">
        <v>0</v>
      </c>
      <c r="EF378" s="408">
        <v>0</v>
      </c>
      <c r="EG378" s="408">
        <v>0</v>
      </c>
      <c r="EH378" s="408">
        <v>0</v>
      </c>
      <c r="EI378" s="408">
        <v>0</v>
      </c>
      <c r="EJ378" s="408">
        <v>0</v>
      </c>
      <c r="EK378" s="408">
        <v>0</v>
      </c>
      <c r="EL378" s="408">
        <v>0</v>
      </c>
      <c r="EM378" s="408">
        <v>0</v>
      </c>
      <c r="EN378" s="408">
        <v>0</v>
      </c>
      <c r="EO378" s="408">
        <v>0</v>
      </c>
      <c r="EP378" s="408">
        <v>0</v>
      </c>
      <c r="EQ378" s="408">
        <v>0</v>
      </c>
      <c r="ER378" s="408">
        <v>0</v>
      </c>
      <c r="ES378" s="408">
        <v>0</v>
      </c>
      <c r="ET378" s="408">
        <v>0</v>
      </c>
      <c r="EU378" s="408">
        <v>0</v>
      </c>
      <c r="EV378" s="408">
        <v>257</v>
      </c>
      <c r="EW378" s="408">
        <v>0</v>
      </c>
      <c r="EX378" s="408">
        <v>0</v>
      </c>
      <c r="EY378" s="408">
        <v>0</v>
      </c>
      <c r="EZ378" s="408"/>
      <c r="FA378" s="408">
        <v>0</v>
      </c>
      <c r="FB378" s="408"/>
      <c r="FC378" s="408"/>
      <c r="FD378" s="408"/>
      <c r="FE378" s="408"/>
      <c r="FF378" s="408">
        <v>0</v>
      </c>
      <c r="FG378" s="408">
        <v>0</v>
      </c>
      <c r="FH378" s="408">
        <v>0</v>
      </c>
      <c r="FI378" s="408">
        <v>0</v>
      </c>
    </row>
    <row r="379" spans="1:165">
      <c r="A379" s="408">
        <v>377</v>
      </c>
      <c r="B379" s="408" t="s">
        <v>1035</v>
      </c>
      <c r="C379" s="408" t="s">
        <v>2233</v>
      </c>
      <c r="D379" s="408" t="s">
        <v>1955</v>
      </c>
      <c r="E379" s="408" t="s">
        <v>968</v>
      </c>
      <c r="F379" s="408" t="s">
        <v>2239</v>
      </c>
      <c r="G379" s="408" t="s">
        <v>1321</v>
      </c>
      <c r="H379" s="408" t="s">
        <v>1321</v>
      </c>
      <c r="I379" s="408" t="s">
        <v>1321</v>
      </c>
      <c r="J379" s="408" t="s">
        <v>2234</v>
      </c>
      <c r="K379" s="828">
        <v>44682</v>
      </c>
      <c r="L379" s="408">
        <v>0</v>
      </c>
      <c r="M379" s="408">
        <v>0</v>
      </c>
      <c r="N379" s="408">
        <v>7.8040000000000003</v>
      </c>
      <c r="O379" s="408">
        <v>7.8040000000000003</v>
      </c>
      <c r="P379" s="408">
        <v>7.8040000000000003</v>
      </c>
      <c r="Q379" s="408">
        <v>7.8040000000000003</v>
      </c>
      <c r="R379" s="408"/>
      <c r="S379" s="408">
        <v>639.92999999999995</v>
      </c>
      <c r="T379" s="408">
        <v>256.55</v>
      </c>
      <c r="U379" s="408"/>
      <c r="V379" s="408">
        <v>6996.1299200000003</v>
      </c>
      <c r="W379" s="408">
        <v>6996.1299200000003</v>
      </c>
      <c r="X379" s="408">
        <v>4634.0151999999998</v>
      </c>
      <c r="Y379" s="408">
        <v>0</v>
      </c>
      <c r="Z379" s="408">
        <v>0</v>
      </c>
      <c r="AA379" s="408">
        <v>0</v>
      </c>
      <c r="AB379" s="408">
        <v>0</v>
      </c>
      <c r="AC379" s="408">
        <v>0</v>
      </c>
      <c r="AD379" s="408">
        <v>960.53809162551511</v>
      </c>
      <c r="AE379" s="408">
        <v>3721.8061213920737</v>
      </c>
      <c r="AF379" s="408">
        <v>2002.135879596934</v>
      </c>
      <c r="AG379" s="408">
        <v>0</v>
      </c>
      <c r="AH379" s="408">
        <v>0</v>
      </c>
      <c r="AI379" s="408">
        <v>0</v>
      </c>
      <c r="AJ379" s="408">
        <v>0</v>
      </c>
      <c r="AK379" s="408">
        <v>0</v>
      </c>
      <c r="AL379" s="408">
        <v>0</v>
      </c>
      <c r="AM379" s="408"/>
      <c r="AN379" s="408">
        <v>17.136059459866843</v>
      </c>
      <c r="AO379" s="408">
        <v>0</v>
      </c>
      <c r="AP379" s="408">
        <v>0</v>
      </c>
      <c r="AQ379" s="408">
        <v>0</v>
      </c>
      <c r="AR379" s="408">
        <v>0</v>
      </c>
      <c r="AS379" s="408">
        <v>0</v>
      </c>
      <c r="AT379" s="408">
        <v>0</v>
      </c>
      <c r="AU379" s="408">
        <v>0</v>
      </c>
      <c r="AV379" s="408">
        <v>0</v>
      </c>
      <c r="AW379" s="408">
        <v>0</v>
      </c>
      <c r="AX379" s="408">
        <v>0</v>
      </c>
      <c r="AY379" s="408">
        <v>0</v>
      </c>
      <c r="AZ379" s="408">
        <v>0</v>
      </c>
      <c r="BA379" s="408"/>
      <c r="BB379" s="408">
        <v>0</v>
      </c>
      <c r="BC379" s="408">
        <v>0</v>
      </c>
      <c r="BD379" s="408">
        <v>11.630459856221441</v>
      </c>
      <c r="BE379" s="408">
        <v>0</v>
      </c>
      <c r="BF379" s="408">
        <v>0</v>
      </c>
      <c r="BG379" s="408">
        <v>282.92155135289192</v>
      </c>
      <c r="BH379" s="408">
        <v>0</v>
      </c>
      <c r="BI379" s="408">
        <v>45.18</v>
      </c>
      <c r="BJ379" s="408">
        <v>45.57</v>
      </c>
      <c r="BK379" s="408">
        <v>1419.84</v>
      </c>
      <c r="BL379" s="408">
        <v>94</v>
      </c>
      <c r="BM379" s="408"/>
      <c r="BN379" s="408"/>
      <c r="BO379" s="408"/>
      <c r="BP379" s="408"/>
      <c r="BQ379" s="408"/>
      <c r="BR379" s="408"/>
      <c r="BS379" s="408"/>
      <c r="BT379" s="408">
        <v>463.47956000000011</v>
      </c>
      <c r="BU379" s="408"/>
      <c r="BV379" s="408">
        <v>2296.6878908060476</v>
      </c>
      <c r="BW379" s="408"/>
      <c r="BX379" s="408"/>
      <c r="BY379" s="408"/>
      <c r="BZ379" s="408"/>
      <c r="CA379" s="408"/>
      <c r="CB379" s="408"/>
      <c r="CC379" s="408"/>
      <c r="CD379" s="408"/>
      <c r="CE379" s="408"/>
      <c r="CF379" s="408"/>
      <c r="CG379" s="408"/>
      <c r="CH379" s="408"/>
      <c r="CI379" s="408">
        <v>4168.3980000000001</v>
      </c>
      <c r="CJ379" s="408">
        <v>-2128.2113600000021</v>
      </c>
      <c r="CK379" s="408"/>
      <c r="CL379" s="408"/>
      <c r="CM379" s="408"/>
      <c r="CN379" s="408"/>
      <c r="CO379" s="408">
        <v>-2486.9006799999997</v>
      </c>
      <c r="CP379" s="408">
        <v>124.78596000000007</v>
      </c>
      <c r="CQ379" s="408">
        <v>31</v>
      </c>
      <c r="CR379" s="408">
        <v>137.64338750868546</v>
      </c>
      <c r="CS379" s="408">
        <v>0</v>
      </c>
      <c r="CT379" s="408">
        <v>0</v>
      </c>
      <c r="CU379" s="408">
        <v>0</v>
      </c>
      <c r="CV379" s="408">
        <v>0</v>
      </c>
      <c r="CW379" s="408">
        <v>0</v>
      </c>
      <c r="CX379" s="408">
        <v>0</v>
      </c>
      <c r="CY379" s="408">
        <v>0</v>
      </c>
      <c r="CZ379" s="408">
        <v>-4.3416925874379331</v>
      </c>
      <c r="DA379" s="408">
        <v>0</v>
      </c>
      <c r="DB379" s="408">
        <v>0</v>
      </c>
      <c r="DC379" s="408">
        <v>124.73000036442863</v>
      </c>
      <c r="DD379" s="408">
        <v>0</v>
      </c>
      <c r="DE379" s="408">
        <v>0</v>
      </c>
      <c r="DF379" s="408">
        <v>0.72455984475790913</v>
      </c>
      <c r="DG379" s="408">
        <v>17.625579543809749</v>
      </c>
      <c r="DH379" s="408">
        <v>0</v>
      </c>
      <c r="DI379" s="408">
        <v>0</v>
      </c>
      <c r="DJ379" s="408"/>
      <c r="DK379" s="408">
        <v>0</v>
      </c>
      <c r="DL379" s="408">
        <v>0</v>
      </c>
      <c r="DM379" s="408">
        <v>0</v>
      </c>
      <c r="DN379" s="408">
        <v>0</v>
      </c>
      <c r="DO379" s="408">
        <v>0</v>
      </c>
      <c r="DP379" s="408">
        <v>-1.0950596568732536</v>
      </c>
      <c r="DQ379" s="408">
        <v>0</v>
      </c>
      <c r="DR379" s="408">
        <v>0</v>
      </c>
      <c r="DS379" s="408"/>
      <c r="DT379" s="408"/>
      <c r="DU379" s="408"/>
      <c r="DV379" s="408">
        <v>3721.8061213920737</v>
      </c>
      <c r="DW379" s="408">
        <v>0</v>
      </c>
      <c r="DX379" s="408">
        <v>0</v>
      </c>
      <c r="DY379" s="408">
        <v>-2486.9006799999997</v>
      </c>
      <c r="DZ379" s="408">
        <v>124.78595999999993</v>
      </c>
      <c r="EA379" s="408">
        <v>0</v>
      </c>
      <c r="EB379" s="408">
        <v>0</v>
      </c>
      <c r="EC379" s="408">
        <v>-2499.842892830784</v>
      </c>
      <c r="ED379" s="408">
        <v>0</v>
      </c>
      <c r="EE379" s="408">
        <v>0</v>
      </c>
      <c r="EF379" s="408">
        <v>0</v>
      </c>
      <c r="EG379" s="408">
        <v>0</v>
      </c>
      <c r="EH379" s="408">
        <v>0</v>
      </c>
      <c r="EI379" s="408">
        <v>0</v>
      </c>
      <c r="EJ379" s="408">
        <v>0</v>
      </c>
      <c r="EK379" s="408">
        <v>0</v>
      </c>
      <c r="EL379" s="408">
        <v>0</v>
      </c>
      <c r="EM379" s="408">
        <v>0</v>
      </c>
      <c r="EN379" s="408">
        <v>0</v>
      </c>
      <c r="EO379" s="408">
        <v>0</v>
      </c>
      <c r="EP379" s="408">
        <v>0</v>
      </c>
      <c r="EQ379" s="408">
        <v>0</v>
      </c>
      <c r="ER379" s="408">
        <v>0</v>
      </c>
      <c r="ES379" s="408">
        <v>0</v>
      </c>
      <c r="ET379" s="408">
        <v>0</v>
      </c>
      <c r="EU379" s="408">
        <v>0</v>
      </c>
      <c r="EV379" s="408">
        <v>257</v>
      </c>
      <c r="EW379" s="408">
        <v>0</v>
      </c>
      <c r="EX379" s="408">
        <v>0</v>
      </c>
      <c r="EY379" s="408">
        <v>0</v>
      </c>
      <c r="EZ379" s="408"/>
      <c r="FA379" s="408">
        <v>0</v>
      </c>
      <c r="FB379" s="408"/>
      <c r="FC379" s="408"/>
      <c r="FD379" s="408"/>
      <c r="FE379" s="408"/>
      <c r="FF379" s="408">
        <v>0</v>
      </c>
      <c r="FG379" s="408">
        <v>0</v>
      </c>
      <c r="FH379" s="408">
        <v>0</v>
      </c>
      <c r="FI379" s="408">
        <v>0</v>
      </c>
    </row>
    <row r="380" spans="1:165">
      <c r="A380" s="408">
        <v>378</v>
      </c>
      <c r="B380" s="408" t="s">
        <v>1035</v>
      </c>
      <c r="C380" s="408" t="s">
        <v>2233</v>
      </c>
      <c r="D380" s="408" t="s">
        <v>1955</v>
      </c>
      <c r="E380" s="408" t="s">
        <v>968</v>
      </c>
      <c r="F380" s="408" t="s">
        <v>2240</v>
      </c>
      <c r="G380" s="408" t="s">
        <v>1321</v>
      </c>
      <c r="H380" s="408" t="s">
        <v>1321</v>
      </c>
      <c r="I380" s="408" t="s">
        <v>1321</v>
      </c>
      <c r="J380" s="408" t="s">
        <v>2234</v>
      </c>
      <c r="K380" s="828">
        <v>44682</v>
      </c>
      <c r="L380" s="408">
        <v>0</v>
      </c>
      <c r="M380" s="408">
        <v>0</v>
      </c>
      <c r="N380" s="408">
        <v>2.0859999999999999</v>
      </c>
      <c r="O380" s="408">
        <v>2.0859999999999999</v>
      </c>
      <c r="P380" s="408">
        <v>2.0859999999999999</v>
      </c>
      <c r="Q380" s="408">
        <v>2.0859999999999999</v>
      </c>
      <c r="R380" s="408"/>
      <c r="S380" s="408">
        <v>639.92999999999995</v>
      </c>
      <c r="T380" s="408">
        <v>256.55</v>
      </c>
      <c r="U380" s="408"/>
      <c r="V380" s="408">
        <v>1870.0572799999998</v>
      </c>
      <c r="W380" s="408">
        <v>1870.0572799999998</v>
      </c>
      <c r="X380" s="408">
        <v>1238.6668</v>
      </c>
      <c r="Y380" s="408">
        <v>0</v>
      </c>
      <c r="Z380" s="408">
        <v>0</v>
      </c>
      <c r="AA380" s="408">
        <v>0</v>
      </c>
      <c r="AB380" s="408">
        <v>0</v>
      </c>
      <c r="AC380" s="408">
        <v>0</v>
      </c>
      <c r="AD380" s="408">
        <v>256.75069952983398</v>
      </c>
      <c r="AE380" s="408">
        <v>994.83438867553366</v>
      </c>
      <c r="AF380" s="408">
        <v>535.16856033306044</v>
      </c>
      <c r="AG380" s="408">
        <v>0</v>
      </c>
      <c r="AH380" s="408">
        <v>0</v>
      </c>
      <c r="AI380" s="408">
        <v>0</v>
      </c>
      <c r="AJ380" s="408">
        <v>0</v>
      </c>
      <c r="AK380" s="408">
        <v>0</v>
      </c>
      <c r="AL380" s="408">
        <v>0</v>
      </c>
      <c r="AM380" s="408"/>
      <c r="AN380" s="408">
        <v>4.5804484922196602</v>
      </c>
      <c r="AO380" s="408">
        <v>0</v>
      </c>
      <c r="AP380" s="408">
        <v>0</v>
      </c>
      <c r="AQ380" s="408">
        <v>0</v>
      </c>
      <c r="AR380" s="408">
        <v>0</v>
      </c>
      <c r="AS380" s="408">
        <v>0</v>
      </c>
      <c r="AT380" s="408">
        <v>0</v>
      </c>
      <c r="AU380" s="408">
        <v>0</v>
      </c>
      <c r="AV380" s="408">
        <v>0</v>
      </c>
      <c r="AW380" s="408">
        <v>0</v>
      </c>
      <c r="AX380" s="408">
        <v>0</v>
      </c>
      <c r="AY380" s="408">
        <v>0</v>
      </c>
      <c r="AZ380" s="408">
        <v>0</v>
      </c>
      <c r="BA380" s="408"/>
      <c r="BB380" s="408">
        <v>0</v>
      </c>
      <c r="BC380" s="408">
        <v>0</v>
      </c>
      <c r="BD380" s="408">
        <v>3.1088082086209536</v>
      </c>
      <c r="BE380" s="408">
        <v>0</v>
      </c>
      <c r="BF380" s="408">
        <v>0</v>
      </c>
      <c r="BG380" s="408">
        <v>75.624597145327087</v>
      </c>
      <c r="BH380" s="408">
        <v>0</v>
      </c>
      <c r="BI380" s="408">
        <v>13.33</v>
      </c>
      <c r="BJ380" s="408">
        <v>13.49</v>
      </c>
      <c r="BK380" s="408">
        <v>421.67</v>
      </c>
      <c r="BL380" s="408">
        <v>29</v>
      </c>
      <c r="BM380" s="408"/>
      <c r="BN380" s="408"/>
      <c r="BO380" s="408"/>
      <c r="BP380" s="408"/>
      <c r="BQ380" s="408"/>
      <c r="BR380" s="408"/>
      <c r="BS380" s="408"/>
      <c r="BT380" s="408"/>
      <c r="BU380" s="408"/>
      <c r="BV380" s="408">
        <v>613.90196568700856</v>
      </c>
      <c r="BW380" s="408"/>
      <c r="BX380" s="408"/>
      <c r="BY380" s="408"/>
      <c r="BZ380" s="408"/>
      <c r="CA380" s="408"/>
      <c r="CB380" s="408"/>
      <c r="CC380" s="408"/>
      <c r="CD380" s="408"/>
      <c r="CE380" s="408"/>
      <c r="CF380" s="408"/>
      <c r="CG380" s="408"/>
      <c r="CH380" s="408"/>
      <c r="CI380" s="408">
        <v>1241.0419999999999</v>
      </c>
      <c r="CJ380" s="408">
        <v>-629.04527999999982</v>
      </c>
      <c r="CK380" s="408"/>
      <c r="CL380" s="408"/>
      <c r="CM380" s="408"/>
      <c r="CN380" s="408"/>
      <c r="CO380" s="408">
        <v>-664.74561999999992</v>
      </c>
      <c r="CP380" s="408">
        <v>33.35514000000002</v>
      </c>
      <c r="CQ380" s="408">
        <v>31</v>
      </c>
      <c r="CR380" s="408">
        <v>36.791915215673498</v>
      </c>
      <c r="CS380" s="408">
        <v>0</v>
      </c>
      <c r="CT380" s="408">
        <v>0</v>
      </c>
      <c r="CU380" s="408">
        <v>0</v>
      </c>
      <c r="CV380" s="408">
        <v>0</v>
      </c>
      <c r="CW380" s="408">
        <v>0</v>
      </c>
      <c r="CX380" s="408">
        <v>0</v>
      </c>
      <c r="CY380" s="408">
        <v>0</v>
      </c>
      <c r="CZ380" s="408">
        <v>-1.1605293102762175</v>
      </c>
      <c r="DA380" s="408">
        <v>0</v>
      </c>
      <c r="DB380" s="408">
        <v>0</v>
      </c>
      <c r="DC380" s="408">
        <v>33.340182055381661</v>
      </c>
      <c r="DD380" s="408">
        <v>0</v>
      </c>
      <c r="DE380" s="408">
        <v>0</v>
      </c>
      <c r="DF380" s="408">
        <v>0.19367399233277816</v>
      </c>
      <c r="DG380" s="408">
        <v>4.7112966335708535</v>
      </c>
      <c r="DH380" s="408">
        <v>0</v>
      </c>
      <c r="DI380" s="408">
        <v>0</v>
      </c>
      <c r="DJ380" s="408"/>
      <c r="DK380" s="408">
        <v>0</v>
      </c>
      <c r="DL380" s="408">
        <v>0</v>
      </c>
      <c r="DM380" s="408">
        <v>0</v>
      </c>
      <c r="DN380" s="408">
        <v>0</v>
      </c>
      <c r="DO380" s="408">
        <v>0</v>
      </c>
      <c r="DP380" s="408">
        <v>-0.2927081553354185</v>
      </c>
      <c r="DQ380" s="408">
        <v>0</v>
      </c>
      <c r="DR380" s="408">
        <v>0</v>
      </c>
      <c r="DS380" s="408"/>
      <c r="DT380" s="408"/>
      <c r="DU380" s="408"/>
      <c r="DV380" s="408">
        <v>994.83438867553366</v>
      </c>
      <c r="DW380" s="408">
        <v>0</v>
      </c>
      <c r="DX380" s="408">
        <v>0</v>
      </c>
      <c r="DY380" s="408">
        <v>-664.74561999999992</v>
      </c>
      <c r="DZ380" s="408">
        <v>33.355140000000119</v>
      </c>
      <c r="EA380" s="408">
        <v>0</v>
      </c>
      <c r="EB380" s="408">
        <v>0</v>
      </c>
      <c r="EC380" s="408">
        <v>-668.20505823231861</v>
      </c>
      <c r="ED380" s="408">
        <v>0</v>
      </c>
      <c r="EE380" s="408">
        <v>0</v>
      </c>
      <c r="EF380" s="408">
        <v>0</v>
      </c>
      <c r="EG380" s="408">
        <v>0</v>
      </c>
      <c r="EH380" s="408">
        <v>0</v>
      </c>
      <c r="EI380" s="408">
        <v>0</v>
      </c>
      <c r="EJ380" s="408">
        <v>0</v>
      </c>
      <c r="EK380" s="408">
        <v>0</v>
      </c>
      <c r="EL380" s="408">
        <v>0</v>
      </c>
      <c r="EM380" s="408">
        <v>0</v>
      </c>
      <c r="EN380" s="408">
        <v>0</v>
      </c>
      <c r="EO380" s="408">
        <v>0</v>
      </c>
      <c r="EP380" s="408">
        <v>0</v>
      </c>
      <c r="EQ380" s="408">
        <v>0</v>
      </c>
      <c r="ER380" s="408">
        <v>0</v>
      </c>
      <c r="ES380" s="408">
        <v>0</v>
      </c>
      <c r="ET380" s="408">
        <v>0</v>
      </c>
      <c r="EU380" s="408">
        <v>0</v>
      </c>
      <c r="EV380" s="408">
        <v>257</v>
      </c>
      <c r="EW380" s="408">
        <v>0</v>
      </c>
      <c r="EX380" s="408">
        <v>0</v>
      </c>
      <c r="EY380" s="408">
        <v>0</v>
      </c>
      <c r="EZ380" s="408"/>
      <c r="FA380" s="408">
        <v>0</v>
      </c>
      <c r="FB380" s="408"/>
      <c r="FC380" s="408"/>
      <c r="FD380" s="408"/>
      <c r="FE380" s="408"/>
      <c r="FF380" s="408">
        <v>0</v>
      </c>
      <c r="FG380" s="408">
        <v>0</v>
      </c>
      <c r="FH380" s="408">
        <v>0</v>
      </c>
      <c r="FI380" s="408">
        <v>0</v>
      </c>
    </row>
    <row r="381" spans="1:165">
      <c r="A381" s="408">
        <v>379</v>
      </c>
      <c r="B381" s="408" t="s">
        <v>1035</v>
      </c>
      <c r="C381" s="408" t="s">
        <v>2233</v>
      </c>
      <c r="D381" s="408" t="s">
        <v>1958</v>
      </c>
      <c r="E381" s="408" t="s">
        <v>969</v>
      </c>
      <c r="F381" s="408" t="s">
        <v>1321</v>
      </c>
      <c r="G381" s="408" t="s">
        <v>1321</v>
      </c>
      <c r="H381" s="408" t="s">
        <v>1321</v>
      </c>
      <c r="I381" s="408" t="s">
        <v>1321</v>
      </c>
      <c r="J381" s="408" t="s">
        <v>2234</v>
      </c>
      <c r="K381" s="828">
        <v>44682</v>
      </c>
      <c r="L381" s="408">
        <v>0</v>
      </c>
      <c r="M381" s="408">
        <v>0</v>
      </c>
      <c r="N381" s="408">
        <v>54.448999999999998</v>
      </c>
      <c r="O381" s="408">
        <v>54.448999999999998</v>
      </c>
      <c r="P381" s="408">
        <v>54.448999999999998</v>
      </c>
      <c r="Q381" s="408">
        <v>54.448999999999998</v>
      </c>
      <c r="R381" s="408"/>
      <c r="S381" s="408">
        <v>710.91</v>
      </c>
      <c r="T381" s="408">
        <v>256.55</v>
      </c>
      <c r="U381" s="408"/>
      <c r="V381" s="408">
        <v>52677.22954</v>
      </c>
      <c r="W381" s="408">
        <v>52677.22954</v>
      </c>
      <c r="X381" s="408">
        <v>35959.753069999999</v>
      </c>
      <c r="Y381" s="408">
        <v>0</v>
      </c>
      <c r="Z381" s="408">
        <v>3347.2349274377743</v>
      </c>
      <c r="AA381" s="408">
        <v>0</v>
      </c>
      <c r="AB381" s="408">
        <v>0</v>
      </c>
      <c r="AC381" s="408">
        <v>0</v>
      </c>
      <c r="AD381" s="408">
        <v>6701.7348220038011</v>
      </c>
      <c r="AE381" s="408">
        <v>25967.275948702845</v>
      </c>
      <c r="AF381" s="408">
        <v>13969.0282557885</v>
      </c>
      <c r="AG381" s="408">
        <v>0</v>
      </c>
      <c r="AH381" s="408">
        <v>0</v>
      </c>
      <c r="AI381" s="408">
        <v>0</v>
      </c>
      <c r="AJ381" s="408">
        <v>0</v>
      </c>
      <c r="AK381" s="408">
        <v>0</v>
      </c>
      <c r="AL381" s="408">
        <v>517.49765721897359</v>
      </c>
      <c r="AM381" s="408"/>
      <c r="AN381" s="408">
        <v>119.55936718737695</v>
      </c>
      <c r="AO381" s="408">
        <v>0</v>
      </c>
      <c r="AP381" s="408">
        <v>0</v>
      </c>
      <c r="AQ381" s="408">
        <v>0</v>
      </c>
      <c r="AR381" s="408">
        <v>0</v>
      </c>
      <c r="AS381" s="408">
        <v>0</v>
      </c>
      <c r="AT381" s="408">
        <v>0</v>
      </c>
      <c r="AU381" s="408">
        <v>0</v>
      </c>
      <c r="AV381" s="408">
        <v>0</v>
      </c>
      <c r="AW381" s="408">
        <v>0</v>
      </c>
      <c r="AX381" s="408">
        <v>0</v>
      </c>
      <c r="AY381" s="408">
        <v>0</v>
      </c>
      <c r="AZ381" s="408">
        <v>0</v>
      </c>
      <c r="BA381" s="408"/>
      <c r="BB381" s="408">
        <v>0</v>
      </c>
      <c r="BC381" s="408">
        <v>0</v>
      </c>
      <c r="BD381" s="408">
        <v>81.146451654459398</v>
      </c>
      <c r="BE381" s="408">
        <v>0</v>
      </c>
      <c r="BF381" s="408">
        <v>0</v>
      </c>
      <c r="BG381" s="408">
        <v>1973.9615004630461</v>
      </c>
      <c r="BH381" s="408">
        <v>0</v>
      </c>
      <c r="BI381" s="408">
        <v>412.86</v>
      </c>
      <c r="BJ381" s="408">
        <v>413.08</v>
      </c>
      <c r="BK381" s="408">
        <v>8100.38</v>
      </c>
      <c r="BL381" s="408">
        <v>42</v>
      </c>
      <c r="BM381" s="408"/>
      <c r="BN381" s="408"/>
      <c r="BO381" s="408"/>
      <c r="BP381" s="408"/>
      <c r="BQ381" s="408"/>
      <c r="BR381" s="408"/>
      <c r="BS381" s="408"/>
      <c r="BT381" s="408"/>
      <c r="BU381" s="408"/>
      <c r="BV381" s="408">
        <v>16024.136207906007</v>
      </c>
      <c r="BW381" s="408"/>
      <c r="BX381" s="408"/>
      <c r="BY381" s="408"/>
      <c r="BZ381" s="408"/>
      <c r="CA381" s="408"/>
      <c r="CB381" s="408"/>
      <c r="CC381" s="408"/>
      <c r="CD381" s="408"/>
      <c r="CE381" s="408"/>
      <c r="CF381" s="408"/>
      <c r="CG381" s="408"/>
      <c r="CH381" s="408"/>
      <c r="CI381" s="408">
        <v>35960.413500000002</v>
      </c>
      <c r="CJ381" s="408">
        <v>-16716.846040000004</v>
      </c>
      <c r="CK381" s="408"/>
      <c r="CL381" s="408"/>
      <c r="CM381" s="408"/>
      <c r="CN381" s="408"/>
      <c r="CO381" s="408">
        <v>-17588.115979999999</v>
      </c>
      <c r="CP381" s="408">
        <v>870.63951000000043</v>
      </c>
      <c r="CQ381" s="408">
        <v>31</v>
      </c>
      <c r="CR381" s="408">
        <v>723.80613694462227</v>
      </c>
      <c r="CS381" s="408">
        <v>0</v>
      </c>
      <c r="CT381" s="408">
        <v>0</v>
      </c>
      <c r="CU381" s="408">
        <v>0</v>
      </c>
      <c r="CV381" s="408">
        <v>0</v>
      </c>
      <c r="CW381" s="408">
        <v>0</v>
      </c>
      <c r="CX381" s="408">
        <v>0</v>
      </c>
      <c r="CY381" s="408">
        <v>0</v>
      </c>
      <c r="CZ381" s="408">
        <v>-30.292262902794391</v>
      </c>
      <c r="DA381" s="408">
        <v>0</v>
      </c>
      <c r="DB381" s="408">
        <v>0</v>
      </c>
      <c r="DC381" s="408">
        <v>870.24907609466754</v>
      </c>
      <c r="DD381" s="408">
        <v>0</v>
      </c>
      <c r="DE381" s="408">
        <v>0</v>
      </c>
      <c r="DF381" s="408">
        <v>5.0552997164561049</v>
      </c>
      <c r="DG381" s="408">
        <v>122.97477967464033</v>
      </c>
      <c r="DH381" s="408">
        <v>0</v>
      </c>
      <c r="DI381" s="408">
        <v>-208.14396643569171</v>
      </c>
      <c r="DJ381" s="408"/>
      <c r="DK381" s="408">
        <v>0</v>
      </c>
      <c r="DL381" s="408">
        <v>0</v>
      </c>
      <c r="DM381" s="408">
        <v>0</v>
      </c>
      <c r="DN381" s="408">
        <v>0</v>
      </c>
      <c r="DO381" s="408">
        <v>-28.396488939061669</v>
      </c>
      <c r="DP381" s="408">
        <v>-7.6403002635945541</v>
      </c>
      <c r="DQ381" s="408">
        <v>0</v>
      </c>
      <c r="DR381" s="408">
        <v>0</v>
      </c>
      <c r="DS381" s="408"/>
      <c r="DT381" s="408"/>
      <c r="DU381" s="408"/>
      <c r="DV381" s="408">
        <v>25967.275948702845</v>
      </c>
      <c r="DW381" s="408">
        <v>0</v>
      </c>
      <c r="DX381" s="408">
        <v>0</v>
      </c>
      <c r="DY381" s="408">
        <v>-17588.115980000002</v>
      </c>
      <c r="DZ381" s="408">
        <v>870.63950999999906</v>
      </c>
      <c r="EA381" s="408">
        <v>0</v>
      </c>
      <c r="EB381" s="408">
        <v>0</v>
      </c>
      <c r="EC381" s="408">
        <v>-17441.56146485691</v>
      </c>
      <c r="ED381" s="408">
        <v>0</v>
      </c>
      <c r="EE381" s="408">
        <v>0</v>
      </c>
      <c r="EF381" s="408">
        <v>0</v>
      </c>
      <c r="EG381" s="408">
        <v>0</v>
      </c>
      <c r="EH381" s="408">
        <v>0</v>
      </c>
      <c r="EI381" s="408">
        <v>0</v>
      </c>
      <c r="EJ381" s="408">
        <v>0</v>
      </c>
      <c r="EK381" s="408">
        <v>0</v>
      </c>
      <c r="EL381" s="408">
        <v>0</v>
      </c>
      <c r="EM381" s="408">
        <v>0</v>
      </c>
      <c r="EN381" s="408">
        <v>0</v>
      </c>
      <c r="EO381" s="408">
        <v>0</v>
      </c>
      <c r="EP381" s="408">
        <v>0</v>
      </c>
      <c r="EQ381" s="408">
        <v>0</v>
      </c>
      <c r="ER381" s="408">
        <v>0</v>
      </c>
      <c r="ES381" s="408">
        <v>0</v>
      </c>
      <c r="ET381" s="408">
        <v>0</v>
      </c>
      <c r="EU381" s="408">
        <v>0</v>
      </c>
      <c r="EV381" s="408">
        <v>257</v>
      </c>
      <c r="EW381" s="408">
        <v>0</v>
      </c>
      <c r="EX381" s="408">
        <v>0</v>
      </c>
      <c r="EY381" s="408">
        <v>0</v>
      </c>
      <c r="EZ381" s="408"/>
      <c r="FA381" s="408">
        <v>0</v>
      </c>
      <c r="FB381" s="408"/>
      <c r="FC381" s="408"/>
      <c r="FD381" s="408"/>
      <c r="FE381" s="408"/>
      <c r="FF381" s="408">
        <v>0</v>
      </c>
      <c r="FG381" s="408">
        <v>0</v>
      </c>
      <c r="FH381" s="408">
        <v>0</v>
      </c>
      <c r="FI381" s="408">
        <v>0</v>
      </c>
    </row>
    <row r="382" spans="1:165">
      <c r="A382" s="408">
        <v>380</v>
      </c>
      <c r="B382" s="408" t="s">
        <v>2236</v>
      </c>
      <c r="C382" s="408" t="s">
        <v>2233</v>
      </c>
      <c r="D382" s="408" t="s">
        <v>1958</v>
      </c>
      <c r="E382" s="408" t="s">
        <v>969</v>
      </c>
      <c r="F382" s="408" t="s">
        <v>1321</v>
      </c>
      <c r="G382" s="408" t="s">
        <v>1321</v>
      </c>
      <c r="H382" s="408" t="s">
        <v>1321</v>
      </c>
      <c r="I382" s="408" t="s">
        <v>1321</v>
      </c>
      <c r="J382" s="408" t="s">
        <v>2234</v>
      </c>
      <c r="K382" s="828">
        <v>44682</v>
      </c>
      <c r="L382" s="408">
        <v>0</v>
      </c>
      <c r="M382" s="408">
        <v>0</v>
      </c>
      <c r="N382" s="408">
        <v>5.1189999999999998</v>
      </c>
      <c r="O382" s="408">
        <v>5.1189999999999998</v>
      </c>
      <c r="P382" s="408">
        <v>5.1189999999999998</v>
      </c>
      <c r="Q382" s="408">
        <v>5.1189999999999998</v>
      </c>
      <c r="R382" s="408"/>
      <c r="S382" s="408">
        <v>710.91</v>
      </c>
      <c r="T382" s="408">
        <v>256.55</v>
      </c>
      <c r="U382" s="408"/>
      <c r="V382" s="408">
        <v>4952.4277399999992</v>
      </c>
      <c r="W382" s="408">
        <v>4952.4277399999992</v>
      </c>
      <c r="X382" s="408">
        <v>3380.7411700000002</v>
      </c>
      <c r="Y382" s="408">
        <v>0</v>
      </c>
      <c r="Z382" s="408">
        <v>314.68889407618076</v>
      </c>
      <c r="AA382" s="408">
        <v>0</v>
      </c>
      <c r="AB382" s="408">
        <v>0</v>
      </c>
      <c r="AC382" s="408">
        <v>0</v>
      </c>
      <c r="AD382" s="408">
        <v>630.06080100346117</v>
      </c>
      <c r="AE382" s="408">
        <v>2441.3026057670454</v>
      </c>
      <c r="AF382" s="408">
        <v>1313.2923587463742</v>
      </c>
      <c r="AG382" s="408">
        <v>0</v>
      </c>
      <c r="AH382" s="408">
        <v>0</v>
      </c>
      <c r="AI382" s="408">
        <v>0</v>
      </c>
      <c r="AJ382" s="408">
        <v>0</v>
      </c>
      <c r="AK382" s="408">
        <v>0</v>
      </c>
      <c r="AL382" s="408">
        <v>48.652326164005316</v>
      </c>
      <c r="AM382" s="408"/>
      <c r="AN382" s="408">
        <v>11.240323984502609</v>
      </c>
      <c r="AO382" s="408">
        <v>0</v>
      </c>
      <c r="AP382" s="408">
        <v>0</v>
      </c>
      <c r="AQ382" s="408">
        <v>0</v>
      </c>
      <c r="AR382" s="408">
        <v>0</v>
      </c>
      <c r="AS382" s="408">
        <v>0</v>
      </c>
      <c r="AT382" s="408">
        <v>0</v>
      </c>
      <c r="AU382" s="408">
        <v>0</v>
      </c>
      <c r="AV382" s="408">
        <v>0</v>
      </c>
      <c r="AW382" s="408">
        <v>0</v>
      </c>
      <c r="AX382" s="408">
        <v>0</v>
      </c>
      <c r="AY382" s="408">
        <v>0</v>
      </c>
      <c r="AZ382" s="408">
        <v>0</v>
      </c>
      <c r="BA382" s="408"/>
      <c r="BB382" s="408">
        <v>0</v>
      </c>
      <c r="BC382" s="408">
        <v>0</v>
      </c>
      <c r="BD382" s="408">
        <v>7.6289497698612951</v>
      </c>
      <c r="BE382" s="408">
        <v>0</v>
      </c>
      <c r="BF382" s="408">
        <v>0</v>
      </c>
      <c r="BG382" s="408">
        <v>185.58116624493258</v>
      </c>
      <c r="BH382" s="408">
        <v>0</v>
      </c>
      <c r="BI382" s="408">
        <v>43.12</v>
      </c>
      <c r="BJ382" s="408">
        <v>43.16</v>
      </c>
      <c r="BK382" s="408">
        <v>1649.43</v>
      </c>
      <c r="BL382" s="408">
        <v>6</v>
      </c>
      <c r="BM382" s="408"/>
      <c r="BN382" s="408"/>
      <c r="BO382" s="408"/>
      <c r="BP382" s="408"/>
      <c r="BQ382" s="408"/>
      <c r="BR382" s="408"/>
      <c r="BS382" s="408"/>
      <c r="BT382" s="408"/>
      <c r="BU382" s="408"/>
      <c r="BV382" s="408">
        <v>1506.5024747611681</v>
      </c>
      <c r="BW382" s="408"/>
      <c r="BX382" s="408"/>
      <c r="BY382" s="408"/>
      <c r="BZ382" s="408"/>
      <c r="CA382" s="408"/>
      <c r="CB382" s="408"/>
      <c r="CC382" s="408"/>
      <c r="CD382" s="408"/>
      <c r="CE382" s="408"/>
      <c r="CF382" s="408"/>
      <c r="CG382" s="408"/>
      <c r="CH382" s="408"/>
      <c r="CI382" s="408">
        <v>3381.4016000000001</v>
      </c>
      <c r="CJ382" s="408">
        <v>-1571.0561399999997</v>
      </c>
      <c r="CK382" s="408"/>
      <c r="CL382" s="408"/>
      <c r="CM382" s="408"/>
      <c r="CN382" s="408"/>
      <c r="CO382" s="408">
        <v>-1653.5393799999999</v>
      </c>
      <c r="CP382" s="408">
        <v>81.852810000000048</v>
      </c>
      <c r="CQ382" s="408">
        <v>31</v>
      </c>
      <c r="CR382" s="408">
        <v>68.048331741988477</v>
      </c>
      <c r="CS382" s="408">
        <v>0</v>
      </c>
      <c r="CT382" s="408">
        <v>0</v>
      </c>
      <c r="CU382" s="408">
        <v>0</v>
      </c>
      <c r="CV382" s="408">
        <v>0</v>
      </c>
      <c r="CW382" s="408">
        <v>0</v>
      </c>
      <c r="CX382" s="408">
        <v>0</v>
      </c>
      <c r="CY382" s="408">
        <v>0</v>
      </c>
      <c r="CZ382" s="408">
        <v>-2.8479144483718528</v>
      </c>
      <c r="DA382" s="408">
        <v>0</v>
      </c>
      <c r="DB382" s="408">
        <v>0</v>
      </c>
      <c r="DC382" s="408">
        <v>81.816103519414582</v>
      </c>
      <c r="DD382" s="408">
        <v>0</v>
      </c>
      <c r="DE382" s="408">
        <v>0</v>
      </c>
      <c r="DF382" s="408">
        <v>0.47527189201893094</v>
      </c>
      <c r="DG382" s="408">
        <v>11.56142256339848</v>
      </c>
      <c r="DH382" s="408">
        <v>0</v>
      </c>
      <c r="DI382" s="408">
        <v>-19.568568094626301</v>
      </c>
      <c r="DJ382" s="408"/>
      <c r="DK382" s="408">
        <v>0</v>
      </c>
      <c r="DL382" s="408">
        <v>0</v>
      </c>
      <c r="DM382" s="408">
        <v>0</v>
      </c>
      <c r="DN382" s="408">
        <v>0</v>
      </c>
      <c r="DO382" s="408">
        <v>-2.6696840507457722</v>
      </c>
      <c r="DP382" s="408">
        <v>-0.71829963909971717</v>
      </c>
      <c r="DQ382" s="408">
        <v>0</v>
      </c>
      <c r="DR382" s="408">
        <v>0</v>
      </c>
      <c r="DS382" s="408"/>
      <c r="DT382" s="408"/>
      <c r="DU382" s="408"/>
      <c r="DV382" s="408">
        <v>2441.3026057670454</v>
      </c>
      <c r="DW382" s="408">
        <v>0</v>
      </c>
      <c r="DX382" s="408">
        <v>0</v>
      </c>
      <c r="DY382" s="408">
        <v>-1653.5393799999997</v>
      </c>
      <c r="DZ382" s="408">
        <v>81.85281000000009</v>
      </c>
      <c r="EA382" s="408">
        <v>0</v>
      </c>
      <c r="EB382" s="408">
        <v>0</v>
      </c>
      <c r="EC382" s="408">
        <v>-1639.7611184521759</v>
      </c>
      <c r="ED382" s="408">
        <v>0</v>
      </c>
      <c r="EE382" s="408">
        <v>0</v>
      </c>
      <c r="EF382" s="408">
        <v>0</v>
      </c>
      <c r="EG382" s="408">
        <v>0</v>
      </c>
      <c r="EH382" s="408">
        <v>0</v>
      </c>
      <c r="EI382" s="408">
        <v>0</v>
      </c>
      <c r="EJ382" s="408">
        <v>0</v>
      </c>
      <c r="EK382" s="408">
        <v>0</v>
      </c>
      <c r="EL382" s="408">
        <v>0</v>
      </c>
      <c r="EM382" s="408">
        <v>0</v>
      </c>
      <c r="EN382" s="408">
        <v>0</v>
      </c>
      <c r="EO382" s="408">
        <v>0</v>
      </c>
      <c r="EP382" s="408">
        <v>0</v>
      </c>
      <c r="EQ382" s="408">
        <v>0</v>
      </c>
      <c r="ER382" s="408">
        <v>0</v>
      </c>
      <c r="ES382" s="408">
        <v>0</v>
      </c>
      <c r="ET382" s="408">
        <v>0</v>
      </c>
      <c r="EU382" s="408">
        <v>0</v>
      </c>
      <c r="EV382" s="408">
        <v>257</v>
      </c>
      <c r="EW382" s="408">
        <v>0</v>
      </c>
      <c r="EX382" s="408">
        <v>0</v>
      </c>
      <c r="EY382" s="408">
        <v>0</v>
      </c>
      <c r="EZ382" s="408"/>
      <c r="FA382" s="408">
        <v>0</v>
      </c>
      <c r="FB382" s="408"/>
      <c r="FC382" s="408"/>
      <c r="FD382" s="408"/>
      <c r="FE382" s="408"/>
      <c r="FF382" s="408">
        <v>0</v>
      </c>
      <c r="FG382" s="408">
        <v>0</v>
      </c>
      <c r="FH382" s="408">
        <v>0</v>
      </c>
      <c r="FI382" s="408">
        <v>0</v>
      </c>
    </row>
    <row r="383" spans="1:165">
      <c r="A383" s="408">
        <v>381</v>
      </c>
      <c r="B383" s="408" t="s">
        <v>1035</v>
      </c>
      <c r="C383" s="408" t="s">
        <v>2241</v>
      </c>
      <c r="D383" s="408" t="s">
        <v>596</v>
      </c>
      <c r="E383" s="408" t="s">
        <v>969</v>
      </c>
      <c r="F383" s="408" t="s">
        <v>1321</v>
      </c>
      <c r="G383" s="408" t="s">
        <v>1321</v>
      </c>
      <c r="H383" s="408" t="s">
        <v>1321</v>
      </c>
      <c r="I383" s="408" t="s">
        <v>972</v>
      </c>
      <c r="J383" s="408" t="s">
        <v>2234</v>
      </c>
      <c r="K383" s="828">
        <v>44682</v>
      </c>
      <c r="L383" s="408">
        <v>0</v>
      </c>
      <c r="M383" s="408">
        <v>0</v>
      </c>
      <c r="N383" s="408">
        <v>4.6920000000000002</v>
      </c>
      <c r="O383" s="408">
        <v>4.6920000000000002</v>
      </c>
      <c r="P383" s="408">
        <v>4.6920000000000002</v>
      </c>
      <c r="Q383" s="408">
        <v>4.6920000000000002</v>
      </c>
      <c r="R383" s="408"/>
      <c r="S383" s="408">
        <v>3130.62</v>
      </c>
      <c r="T383" s="408">
        <v>256.55</v>
      </c>
      <c r="U383" s="408"/>
      <c r="V383" s="408">
        <v>15892.601639999999</v>
      </c>
      <c r="W383" s="408">
        <v>15892.601639999999</v>
      </c>
      <c r="X383" s="408">
        <v>8364.0999599999996</v>
      </c>
      <c r="Y383" s="408">
        <v>0</v>
      </c>
      <c r="Z383" s="408">
        <v>250.94210845374741</v>
      </c>
      <c r="AA383" s="408">
        <v>0</v>
      </c>
      <c r="AB383" s="408">
        <v>0</v>
      </c>
      <c r="AC383" s="408">
        <v>0</v>
      </c>
      <c r="AD383" s="408">
        <v>3022.6511837241837</v>
      </c>
      <c r="AE383" s="408">
        <v>11280.265526883224</v>
      </c>
      <c r="AF383" s="408">
        <v>1203.7444319667882</v>
      </c>
      <c r="AG383" s="408">
        <v>0</v>
      </c>
      <c r="AH383" s="408">
        <v>0</v>
      </c>
      <c r="AI383" s="408">
        <v>0</v>
      </c>
      <c r="AJ383" s="408">
        <v>0</v>
      </c>
      <c r="AK383" s="408">
        <v>0</v>
      </c>
      <c r="AL383" s="408">
        <v>44.594005540440122</v>
      </c>
      <c r="AM383" s="408"/>
      <c r="AN383" s="408">
        <v>6.3297660356707128</v>
      </c>
      <c r="AO383" s="408">
        <v>0</v>
      </c>
      <c r="AP383" s="408">
        <v>0</v>
      </c>
      <c r="AQ383" s="408">
        <v>0</v>
      </c>
      <c r="AR383" s="408">
        <v>0</v>
      </c>
      <c r="AS383" s="408">
        <v>0</v>
      </c>
      <c r="AT383" s="408">
        <v>0</v>
      </c>
      <c r="AU383" s="408">
        <v>0</v>
      </c>
      <c r="AV383" s="408">
        <v>0</v>
      </c>
      <c r="AW383" s="408">
        <v>0</v>
      </c>
      <c r="AX383" s="408">
        <v>0</v>
      </c>
      <c r="AY383" s="408">
        <v>0</v>
      </c>
      <c r="AZ383" s="408">
        <v>0</v>
      </c>
      <c r="BA383" s="408"/>
      <c r="BB383" s="408">
        <v>0</v>
      </c>
      <c r="BC383" s="408">
        <v>0</v>
      </c>
      <c r="BD383" s="408">
        <v>5.7806623191316788</v>
      </c>
      <c r="BE383" s="408">
        <v>0</v>
      </c>
      <c r="BF383" s="408">
        <v>0</v>
      </c>
      <c r="BG383" s="408">
        <v>78.306140223117154</v>
      </c>
      <c r="BH383" s="408">
        <v>0</v>
      </c>
      <c r="BI383" s="408">
        <v>0</v>
      </c>
      <c r="BJ383" s="408">
        <v>0</v>
      </c>
      <c r="BK383" s="408">
        <v>0</v>
      </c>
      <c r="BL383" s="408">
        <v>0</v>
      </c>
      <c r="BM383" s="408"/>
      <c r="BN383" s="408"/>
      <c r="BO383" s="408"/>
      <c r="BP383" s="408"/>
      <c r="BQ383" s="408"/>
      <c r="BR383" s="408"/>
      <c r="BS383" s="408"/>
      <c r="BT383" s="408"/>
      <c r="BU383" s="408"/>
      <c r="BV383" s="408">
        <v>1287.8312345090369</v>
      </c>
      <c r="BW383" s="408"/>
      <c r="BX383" s="408"/>
      <c r="BY383" s="408"/>
      <c r="BZ383" s="408"/>
      <c r="CA383" s="408"/>
      <c r="CB383" s="408"/>
      <c r="CC383" s="408"/>
      <c r="CD383" s="408"/>
      <c r="CE383" s="408"/>
      <c r="CF383" s="408"/>
      <c r="CG383" s="408"/>
      <c r="CH383" s="408"/>
      <c r="CI383" s="408">
        <v>8360.5347000000002</v>
      </c>
      <c r="CJ383" s="408">
        <v>-7532.0969399999994</v>
      </c>
      <c r="CK383" s="408"/>
      <c r="CL383" s="408"/>
      <c r="CM383" s="408"/>
      <c r="CN383" s="408"/>
      <c r="CO383" s="408">
        <v>-7603.5267599999997</v>
      </c>
      <c r="CP383" s="408">
        <v>75.025080000000045</v>
      </c>
      <c r="CQ383" s="408">
        <v>31</v>
      </c>
      <c r="CR383" s="408">
        <v>48.111304373901476</v>
      </c>
      <c r="CS383" s="408">
        <v>0</v>
      </c>
      <c r="CT383" s="408">
        <v>0</v>
      </c>
      <c r="CU383" s="408">
        <v>0</v>
      </c>
      <c r="CV383" s="408">
        <v>0</v>
      </c>
      <c r="CW383" s="408">
        <v>0</v>
      </c>
      <c r="CX383" s="408">
        <v>0</v>
      </c>
      <c r="CY383" s="408">
        <v>0</v>
      </c>
      <c r="CZ383" s="408">
        <v>-13.662573460859676</v>
      </c>
      <c r="DA383" s="408">
        <v>0</v>
      </c>
      <c r="DB383" s="408">
        <v>0</v>
      </c>
      <c r="DC383" s="408">
        <v>74.991435380561143</v>
      </c>
      <c r="DD383" s="408">
        <v>0</v>
      </c>
      <c r="DE383" s="408">
        <v>0</v>
      </c>
      <c r="DF383" s="408">
        <v>0.3601264132567854</v>
      </c>
      <c r="DG383" s="408">
        <v>4.8783526623241755</v>
      </c>
      <c r="DH383" s="408">
        <v>0</v>
      </c>
      <c r="DI383" s="408">
        <v>-15.604547314903073</v>
      </c>
      <c r="DJ383" s="408"/>
      <c r="DK383" s="408">
        <v>0</v>
      </c>
      <c r="DL383" s="408">
        <v>0</v>
      </c>
      <c r="DM383" s="408">
        <v>0</v>
      </c>
      <c r="DN383" s="408">
        <v>0</v>
      </c>
      <c r="DO383" s="408">
        <v>-2.4469930779642866</v>
      </c>
      <c r="DP383" s="408">
        <v>-0.40449622851411604</v>
      </c>
      <c r="DQ383" s="408">
        <v>0</v>
      </c>
      <c r="DR383" s="408">
        <v>0</v>
      </c>
      <c r="DS383" s="408"/>
      <c r="DT383" s="408"/>
      <c r="DU383" s="408"/>
      <c r="DV383" s="408">
        <v>11280.265526883224</v>
      </c>
      <c r="DW383" s="408">
        <v>0</v>
      </c>
      <c r="DX383" s="408">
        <v>0</v>
      </c>
      <c r="DY383" s="408">
        <v>-7603.5267599999997</v>
      </c>
      <c r="DZ383" s="408">
        <v>75.025080000000116</v>
      </c>
      <c r="EA383" s="408">
        <v>0</v>
      </c>
      <c r="EB383" s="408">
        <v>0</v>
      </c>
      <c r="EC383" s="408">
        <v>-7576.668608432461</v>
      </c>
      <c r="ED383" s="408">
        <v>0</v>
      </c>
      <c r="EE383" s="408">
        <v>0</v>
      </c>
      <c r="EF383" s="408">
        <v>0</v>
      </c>
      <c r="EG383" s="408">
        <v>0</v>
      </c>
      <c r="EH383" s="408">
        <v>0</v>
      </c>
      <c r="EI383" s="408">
        <v>0</v>
      </c>
      <c r="EJ383" s="408">
        <v>0</v>
      </c>
      <c r="EK383" s="408">
        <v>0</v>
      </c>
      <c r="EL383" s="408">
        <v>0</v>
      </c>
      <c r="EM383" s="408">
        <v>0</v>
      </c>
      <c r="EN383" s="408">
        <v>0</v>
      </c>
      <c r="EO383" s="408">
        <v>0</v>
      </c>
      <c r="EP383" s="408">
        <v>0</v>
      </c>
      <c r="EQ383" s="408">
        <v>0</v>
      </c>
      <c r="ER383" s="408">
        <v>0</v>
      </c>
      <c r="ES383" s="408">
        <v>0</v>
      </c>
      <c r="ET383" s="408">
        <v>0</v>
      </c>
      <c r="EU383" s="408">
        <v>0</v>
      </c>
      <c r="EV383" s="408">
        <v>257</v>
      </c>
      <c r="EW383" s="408">
        <v>0</v>
      </c>
      <c r="EX383" s="408">
        <v>0</v>
      </c>
      <c r="EY383" s="408">
        <v>0</v>
      </c>
      <c r="EZ383" s="408"/>
      <c r="FA383" s="408">
        <v>0</v>
      </c>
      <c r="FB383" s="408"/>
      <c r="FC383" s="408"/>
      <c r="FD383" s="408"/>
      <c r="FE383" s="408"/>
      <c r="FF383" s="408">
        <v>0</v>
      </c>
      <c r="FG383" s="408">
        <v>0</v>
      </c>
      <c r="FH383" s="408">
        <v>0</v>
      </c>
      <c r="FI383" s="408">
        <v>0</v>
      </c>
    </row>
    <row r="384" spans="1:165">
      <c r="A384" s="408">
        <v>382</v>
      </c>
      <c r="B384" s="408" t="s">
        <v>2236</v>
      </c>
      <c r="C384" s="408" t="s">
        <v>2241</v>
      </c>
      <c r="D384" s="408" t="s">
        <v>596</v>
      </c>
      <c r="E384" s="408" t="s">
        <v>969</v>
      </c>
      <c r="F384" s="408" t="s">
        <v>1321</v>
      </c>
      <c r="G384" s="408" t="s">
        <v>1321</v>
      </c>
      <c r="H384" s="408" t="s">
        <v>1321</v>
      </c>
      <c r="I384" s="408" t="s">
        <v>972</v>
      </c>
      <c r="J384" s="408" t="s">
        <v>2234</v>
      </c>
      <c r="K384" s="828">
        <v>44682</v>
      </c>
      <c r="L384" s="408">
        <v>0</v>
      </c>
      <c r="M384" s="408">
        <v>0</v>
      </c>
      <c r="N384" s="408">
        <v>1.206</v>
      </c>
      <c r="O384" s="408">
        <v>1.206</v>
      </c>
      <c r="P384" s="408">
        <v>1.206</v>
      </c>
      <c r="Q384" s="408">
        <v>1.206</v>
      </c>
      <c r="R384" s="408"/>
      <c r="S384" s="408">
        <v>3130.62</v>
      </c>
      <c r="T384" s="408">
        <v>256.55</v>
      </c>
      <c r="U384" s="408"/>
      <c r="V384" s="408">
        <v>4084.9270199999996</v>
      </c>
      <c r="W384" s="408">
        <v>4084.9270199999996</v>
      </c>
      <c r="X384" s="408">
        <v>2149.85178</v>
      </c>
      <c r="Y384" s="408">
        <v>0</v>
      </c>
      <c r="Z384" s="408">
        <v>64.500465216372419</v>
      </c>
      <c r="AA384" s="408">
        <v>0</v>
      </c>
      <c r="AB384" s="408">
        <v>0</v>
      </c>
      <c r="AC384" s="408">
        <v>0</v>
      </c>
      <c r="AD384" s="408">
        <v>776.92185157104973</v>
      </c>
      <c r="AE384" s="408">
        <v>2899.4032876004194</v>
      </c>
      <c r="AF384" s="408">
        <v>309.40234120885469</v>
      </c>
      <c r="AG384" s="408">
        <v>0</v>
      </c>
      <c r="AH384" s="408">
        <v>0</v>
      </c>
      <c r="AI384" s="408">
        <v>0</v>
      </c>
      <c r="AJ384" s="408">
        <v>0</v>
      </c>
      <c r="AK384" s="408">
        <v>0</v>
      </c>
      <c r="AL384" s="408">
        <v>11.462142089038956</v>
      </c>
      <c r="AM384" s="408"/>
      <c r="AN384" s="408">
        <v>1.6269603237465642</v>
      </c>
      <c r="AO384" s="408">
        <v>0</v>
      </c>
      <c r="AP384" s="408">
        <v>0</v>
      </c>
      <c r="AQ384" s="408">
        <v>0</v>
      </c>
      <c r="AR384" s="408">
        <v>0</v>
      </c>
      <c r="AS384" s="408">
        <v>0</v>
      </c>
      <c r="AT384" s="408">
        <v>0</v>
      </c>
      <c r="AU384" s="408">
        <v>0</v>
      </c>
      <c r="AV384" s="408">
        <v>0</v>
      </c>
      <c r="AW384" s="408">
        <v>0</v>
      </c>
      <c r="AX384" s="408">
        <v>0</v>
      </c>
      <c r="AY384" s="408">
        <v>0</v>
      </c>
      <c r="AZ384" s="408">
        <v>0</v>
      </c>
      <c r="BA384" s="408"/>
      <c r="BB384" s="408">
        <v>0</v>
      </c>
      <c r="BC384" s="408">
        <v>0</v>
      </c>
      <c r="BD384" s="408">
        <v>1.4858224119507255</v>
      </c>
      <c r="BE384" s="408">
        <v>0</v>
      </c>
      <c r="BF384" s="408">
        <v>0</v>
      </c>
      <c r="BG384" s="408">
        <v>20.127281566299931</v>
      </c>
      <c r="BH384" s="408">
        <v>0</v>
      </c>
      <c r="BI384" s="408">
        <v>0</v>
      </c>
      <c r="BJ384" s="408">
        <v>0</v>
      </c>
      <c r="BK384" s="408">
        <v>0</v>
      </c>
      <c r="BL384" s="408">
        <v>0</v>
      </c>
      <c r="BM384" s="408"/>
      <c r="BN384" s="408"/>
      <c r="BO384" s="408"/>
      <c r="BP384" s="408"/>
      <c r="BQ384" s="408"/>
      <c r="BR384" s="408"/>
      <c r="BS384" s="408"/>
      <c r="BT384" s="408"/>
      <c r="BU384" s="408"/>
      <c r="BV384" s="408">
        <v>331.01544518710534</v>
      </c>
      <c r="BW384" s="408"/>
      <c r="BX384" s="408"/>
      <c r="BY384" s="408"/>
      <c r="BZ384" s="408"/>
      <c r="CA384" s="408"/>
      <c r="CB384" s="408"/>
      <c r="CC384" s="408"/>
      <c r="CD384" s="408"/>
      <c r="CE384" s="408"/>
      <c r="CF384" s="408"/>
      <c r="CG384" s="408"/>
      <c r="CH384" s="408"/>
      <c r="CI384" s="408">
        <v>2156.9822999999997</v>
      </c>
      <c r="CJ384" s="408">
        <v>-1927.9747200000006</v>
      </c>
      <c r="CK384" s="408"/>
      <c r="CL384" s="408"/>
      <c r="CM384" s="408"/>
      <c r="CN384" s="408"/>
      <c r="CO384" s="408">
        <v>-1954.3591799999999</v>
      </c>
      <c r="CP384" s="408">
        <v>19.283940000000012</v>
      </c>
      <c r="CQ384" s="408">
        <v>31</v>
      </c>
      <c r="CR384" s="408">
        <v>12.366204832678022</v>
      </c>
      <c r="CS384" s="408">
        <v>0</v>
      </c>
      <c r="CT384" s="408">
        <v>0</v>
      </c>
      <c r="CU384" s="408">
        <v>0</v>
      </c>
      <c r="CV384" s="408">
        <v>0</v>
      </c>
      <c r="CW384" s="408">
        <v>0</v>
      </c>
      <c r="CX384" s="408">
        <v>0</v>
      </c>
      <c r="CY384" s="408">
        <v>0</v>
      </c>
      <c r="CZ384" s="408">
        <v>-3.5117356338014361</v>
      </c>
      <c r="DA384" s="408">
        <v>0</v>
      </c>
      <c r="DB384" s="408">
        <v>0</v>
      </c>
      <c r="DC384" s="408">
        <v>19.275292214185185</v>
      </c>
      <c r="DD384" s="408">
        <v>0</v>
      </c>
      <c r="DE384" s="408">
        <v>0</v>
      </c>
      <c r="DF384" s="408">
        <v>9.2564461719454982E-2</v>
      </c>
      <c r="DG384" s="408">
        <v>1.2538988300858804</v>
      </c>
      <c r="DH384" s="408">
        <v>0</v>
      </c>
      <c r="DI384" s="408">
        <v>-4.0108874811963204</v>
      </c>
      <c r="DJ384" s="408"/>
      <c r="DK384" s="408">
        <v>0</v>
      </c>
      <c r="DL384" s="408">
        <v>0</v>
      </c>
      <c r="DM384" s="408">
        <v>0</v>
      </c>
      <c r="DN384" s="408">
        <v>0</v>
      </c>
      <c r="DO384" s="408">
        <v>-0.62895857886294237</v>
      </c>
      <c r="DP384" s="408">
        <v>-0.10396897945183792</v>
      </c>
      <c r="DQ384" s="408">
        <v>0</v>
      </c>
      <c r="DR384" s="408">
        <v>0</v>
      </c>
      <c r="DS384" s="408"/>
      <c r="DT384" s="408"/>
      <c r="DU384" s="408"/>
      <c r="DV384" s="408">
        <v>2899.4032876004194</v>
      </c>
      <c r="DW384" s="408">
        <v>0</v>
      </c>
      <c r="DX384" s="408">
        <v>0</v>
      </c>
      <c r="DY384" s="408">
        <v>-1954.3591799999997</v>
      </c>
      <c r="DZ384" s="408">
        <v>19.28394000000003</v>
      </c>
      <c r="EA384" s="408">
        <v>0</v>
      </c>
      <c r="EB384" s="408">
        <v>0</v>
      </c>
      <c r="EC384" s="408">
        <v>-1947.4557420651208</v>
      </c>
      <c r="ED384" s="408">
        <v>0</v>
      </c>
      <c r="EE384" s="408">
        <v>0</v>
      </c>
      <c r="EF384" s="408">
        <v>0</v>
      </c>
      <c r="EG384" s="408">
        <v>0</v>
      </c>
      <c r="EH384" s="408">
        <v>0</v>
      </c>
      <c r="EI384" s="408">
        <v>0</v>
      </c>
      <c r="EJ384" s="408">
        <v>0</v>
      </c>
      <c r="EK384" s="408">
        <v>0</v>
      </c>
      <c r="EL384" s="408">
        <v>0</v>
      </c>
      <c r="EM384" s="408">
        <v>0</v>
      </c>
      <c r="EN384" s="408">
        <v>0</v>
      </c>
      <c r="EO384" s="408">
        <v>0</v>
      </c>
      <c r="EP384" s="408">
        <v>0</v>
      </c>
      <c r="EQ384" s="408">
        <v>0</v>
      </c>
      <c r="ER384" s="408">
        <v>0</v>
      </c>
      <c r="ES384" s="408">
        <v>0</v>
      </c>
      <c r="ET384" s="408">
        <v>0</v>
      </c>
      <c r="EU384" s="408">
        <v>0</v>
      </c>
      <c r="EV384" s="408">
        <v>257</v>
      </c>
      <c r="EW384" s="408">
        <v>0</v>
      </c>
      <c r="EX384" s="408">
        <v>0</v>
      </c>
      <c r="EY384" s="408">
        <v>0</v>
      </c>
      <c r="EZ384" s="408"/>
      <c r="FA384" s="408">
        <v>0</v>
      </c>
      <c r="FB384" s="408"/>
      <c r="FC384" s="408"/>
      <c r="FD384" s="408"/>
      <c r="FE384" s="408"/>
      <c r="FF384" s="408">
        <v>0</v>
      </c>
      <c r="FG384" s="408">
        <v>0</v>
      </c>
      <c r="FH384" s="408">
        <v>0</v>
      </c>
      <c r="FI384" s="408">
        <v>0</v>
      </c>
    </row>
    <row r="385" spans="1:165">
      <c r="A385" s="408">
        <v>383</v>
      </c>
      <c r="B385" s="408" t="s">
        <v>1035</v>
      </c>
      <c r="C385" s="408" t="s">
        <v>2241</v>
      </c>
      <c r="D385" s="408" t="s">
        <v>596</v>
      </c>
      <c r="E385" s="408" t="s">
        <v>969</v>
      </c>
      <c r="F385" s="408" t="s">
        <v>1321</v>
      </c>
      <c r="G385" s="408" t="s">
        <v>1321</v>
      </c>
      <c r="H385" s="408" t="s">
        <v>1321</v>
      </c>
      <c r="I385" s="408" t="s">
        <v>2242</v>
      </c>
      <c r="J385" s="408" t="s">
        <v>2234</v>
      </c>
      <c r="K385" s="828">
        <v>44682</v>
      </c>
      <c r="L385" s="408">
        <v>0</v>
      </c>
      <c r="M385" s="408">
        <v>0</v>
      </c>
      <c r="N385" s="408">
        <v>209.45400000000001</v>
      </c>
      <c r="O385" s="408">
        <v>209.45400000000001</v>
      </c>
      <c r="P385" s="408">
        <v>209.45400000000001</v>
      </c>
      <c r="Q385" s="408">
        <v>209.45400000000001</v>
      </c>
      <c r="R385" s="408"/>
      <c r="S385" s="408">
        <v>82.26</v>
      </c>
      <c r="T385" s="408">
        <v>256.55</v>
      </c>
      <c r="U385" s="408"/>
      <c r="V385" s="408">
        <v>70965.109740000014</v>
      </c>
      <c r="W385" s="408">
        <v>70965.109740000014</v>
      </c>
      <c r="X385" s="408">
        <v>73723.618920000008</v>
      </c>
      <c r="Y385" s="408">
        <v>0</v>
      </c>
      <c r="Z385" s="408">
        <v>11202.222588250472</v>
      </c>
      <c r="AA385" s="408">
        <v>0</v>
      </c>
      <c r="AB385" s="408">
        <v>0</v>
      </c>
      <c r="AC385" s="408">
        <v>0</v>
      </c>
      <c r="AD385" s="408">
        <v>0</v>
      </c>
      <c r="AE385" s="408">
        <v>0</v>
      </c>
      <c r="AF385" s="408">
        <v>53735.951886865223</v>
      </c>
      <c r="AG385" s="408">
        <v>0</v>
      </c>
      <c r="AH385" s="408">
        <v>0</v>
      </c>
      <c r="AI385" s="408">
        <v>0</v>
      </c>
      <c r="AJ385" s="408">
        <v>0</v>
      </c>
      <c r="AK385" s="408">
        <v>0</v>
      </c>
      <c r="AL385" s="408">
        <v>1990.7060606281639</v>
      </c>
      <c r="AM385" s="408"/>
      <c r="AN385" s="408">
        <v>282.56496488392446</v>
      </c>
      <c r="AO385" s="408">
        <v>0</v>
      </c>
      <c r="AP385" s="408">
        <v>0</v>
      </c>
      <c r="AQ385" s="408">
        <v>0</v>
      </c>
      <c r="AR385" s="408">
        <v>0</v>
      </c>
      <c r="AS385" s="408">
        <v>0</v>
      </c>
      <c r="AT385" s="408">
        <v>0</v>
      </c>
      <c r="AU385" s="408">
        <v>0</v>
      </c>
      <c r="AV385" s="408">
        <v>0</v>
      </c>
      <c r="AW385" s="408">
        <v>0</v>
      </c>
      <c r="AX385" s="408">
        <v>0</v>
      </c>
      <c r="AY385" s="408">
        <v>0</v>
      </c>
      <c r="AZ385" s="408">
        <v>0</v>
      </c>
      <c r="BA385" s="408"/>
      <c r="BB385" s="408">
        <v>0</v>
      </c>
      <c r="BC385" s="408">
        <v>0</v>
      </c>
      <c r="BD385" s="408">
        <v>258.05260984471579</v>
      </c>
      <c r="BE385" s="408">
        <v>0</v>
      </c>
      <c r="BF385" s="408">
        <v>0</v>
      </c>
      <c r="BG385" s="408">
        <v>3495.638170139126</v>
      </c>
      <c r="BH385" s="408">
        <v>0</v>
      </c>
      <c r="BI385" s="408">
        <v>0</v>
      </c>
      <c r="BJ385" s="408">
        <v>0</v>
      </c>
      <c r="BK385" s="408">
        <v>0</v>
      </c>
      <c r="BL385" s="408">
        <v>0</v>
      </c>
      <c r="BM385" s="408"/>
      <c r="BN385" s="408"/>
      <c r="BO385" s="408"/>
      <c r="BP385" s="408"/>
      <c r="BQ385" s="408"/>
      <c r="BR385" s="408"/>
      <c r="BS385" s="408"/>
      <c r="BT385" s="408"/>
      <c r="BU385" s="408"/>
      <c r="BV385" s="408">
        <v>57489.642666849068</v>
      </c>
      <c r="BW385" s="408"/>
      <c r="BX385" s="408"/>
      <c r="BY385" s="408"/>
      <c r="BZ385" s="408"/>
      <c r="CA385" s="408"/>
      <c r="CB385" s="408"/>
      <c r="CC385" s="408"/>
      <c r="CD385" s="408"/>
      <c r="CE385" s="408"/>
      <c r="CF385" s="408"/>
      <c r="CG385" s="408"/>
      <c r="CH385" s="408"/>
      <c r="CI385" s="408">
        <v>73722.21100000001</v>
      </c>
      <c r="CJ385" s="408">
        <v>2757.0712600000115</v>
      </c>
      <c r="CK385" s="408"/>
      <c r="CL385" s="408"/>
      <c r="CM385" s="408"/>
      <c r="CN385" s="408"/>
      <c r="CO385" s="408">
        <v>-590.66028000000153</v>
      </c>
      <c r="CP385" s="408">
        <v>3349.1694600000019</v>
      </c>
      <c r="CQ385" s="408">
        <v>31</v>
      </c>
      <c r="CR385" s="408">
        <v>2757.6269838026346</v>
      </c>
      <c r="CS385" s="408">
        <v>0</v>
      </c>
      <c r="CT385" s="408">
        <v>0</v>
      </c>
      <c r="CU385" s="408">
        <v>0</v>
      </c>
      <c r="CV385" s="408">
        <v>0</v>
      </c>
      <c r="CW385" s="408">
        <v>0</v>
      </c>
      <c r="CX385" s="408">
        <v>0</v>
      </c>
      <c r="CY385" s="408">
        <v>0</v>
      </c>
      <c r="CZ385" s="408">
        <v>0</v>
      </c>
      <c r="DA385" s="408">
        <v>0</v>
      </c>
      <c r="DB385" s="408">
        <v>0</v>
      </c>
      <c r="DC385" s="408">
        <v>3347.6675418158775</v>
      </c>
      <c r="DD385" s="408">
        <v>0</v>
      </c>
      <c r="DE385" s="408">
        <v>0</v>
      </c>
      <c r="DF385" s="408">
        <v>16.076282558032176</v>
      </c>
      <c r="DG385" s="408">
        <v>217.77290676352277</v>
      </c>
      <c r="DH385" s="408">
        <v>0</v>
      </c>
      <c r="DI385" s="408">
        <v>-696.59736856259769</v>
      </c>
      <c r="DJ385" s="408"/>
      <c r="DK385" s="408">
        <v>0</v>
      </c>
      <c r="DL385" s="408">
        <v>0</v>
      </c>
      <c r="DM385" s="408">
        <v>0</v>
      </c>
      <c r="DN385" s="408">
        <v>0</v>
      </c>
      <c r="DO385" s="408">
        <v>-109.23539815684808</v>
      </c>
      <c r="DP385" s="408">
        <v>-18.056980615344344</v>
      </c>
      <c r="DQ385" s="408">
        <v>0</v>
      </c>
      <c r="DR385" s="408">
        <v>0</v>
      </c>
      <c r="DS385" s="408"/>
      <c r="DT385" s="408"/>
      <c r="DU385" s="408"/>
      <c r="DV385" s="408">
        <v>0</v>
      </c>
      <c r="DW385" s="408">
        <v>0</v>
      </c>
      <c r="DX385" s="408">
        <v>0</v>
      </c>
      <c r="DY385" s="408">
        <v>-590.66028000000006</v>
      </c>
      <c r="DZ385" s="408">
        <v>3349.1694599999973</v>
      </c>
      <c r="EA385" s="408">
        <v>0</v>
      </c>
      <c r="EB385" s="408">
        <v>0</v>
      </c>
      <c r="EC385" s="408">
        <v>0</v>
      </c>
      <c r="ED385" s="408">
        <v>0</v>
      </c>
      <c r="EE385" s="408">
        <v>0</v>
      </c>
      <c r="EF385" s="408">
        <v>0</v>
      </c>
      <c r="EG385" s="408">
        <v>0</v>
      </c>
      <c r="EH385" s="408">
        <v>0</v>
      </c>
      <c r="EI385" s="408">
        <v>0</v>
      </c>
      <c r="EJ385" s="408">
        <v>0</v>
      </c>
      <c r="EK385" s="408">
        <v>0</v>
      </c>
      <c r="EL385" s="408">
        <v>0</v>
      </c>
      <c r="EM385" s="408">
        <v>0</v>
      </c>
      <c r="EN385" s="408">
        <v>0</v>
      </c>
      <c r="EO385" s="408">
        <v>0</v>
      </c>
      <c r="EP385" s="408">
        <v>0</v>
      </c>
      <c r="EQ385" s="408">
        <v>0</v>
      </c>
      <c r="ER385" s="408">
        <v>0</v>
      </c>
      <c r="ES385" s="408">
        <v>0</v>
      </c>
      <c r="ET385" s="408">
        <v>0</v>
      </c>
      <c r="EU385" s="408">
        <v>0</v>
      </c>
      <c r="EV385" s="408">
        <v>257</v>
      </c>
      <c r="EW385" s="408">
        <v>0</v>
      </c>
      <c r="EX385" s="408">
        <v>0</v>
      </c>
      <c r="EY385" s="408">
        <v>0</v>
      </c>
      <c r="EZ385" s="408"/>
      <c r="FA385" s="408">
        <v>0</v>
      </c>
      <c r="FB385" s="408"/>
      <c r="FC385" s="408"/>
      <c r="FD385" s="408"/>
      <c r="FE385" s="408"/>
      <c r="FF385" s="408">
        <v>0</v>
      </c>
      <c r="FG385" s="408">
        <v>0</v>
      </c>
      <c r="FH385" s="408">
        <v>0</v>
      </c>
      <c r="FI385" s="408">
        <v>0</v>
      </c>
    </row>
    <row r="386" spans="1:165">
      <c r="A386" s="408">
        <v>384</v>
      </c>
      <c r="B386" s="408" t="s">
        <v>2236</v>
      </c>
      <c r="C386" s="408" t="s">
        <v>2241</v>
      </c>
      <c r="D386" s="408" t="s">
        <v>596</v>
      </c>
      <c r="E386" s="408" t="s">
        <v>969</v>
      </c>
      <c r="F386" s="408" t="s">
        <v>1321</v>
      </c>
      <c r="G386" s="408" t="s">
        <v>1321</v>
      </c>
      <c r="H386" s="408" t="s">
        <v>1321</v>
      </c>
      <c r="I386" s="408" t="s">
        <v>2242</v>
      </c>
      <c r="J386" s="408" t="s">
        <v>2234</v>
      </c>
      <c r="K386" s="828">
        <v>44682</v>
      </c>
      <c r="L386" s="408">
        <v>0</v>
      </c>
      <c r="M386" s="408">
        <v>0</v>
      </c>
      <c r="N386" s="408">
        <v>19.434999999999999</v>
      </c>
      <c r="O386" s="408">
        <v>19.434999999999999</v>
      </c>
      <c r="P386" s="408">
        <v>19.434999999999999</v>
      </c>
      <c r="Q386" s="408">
        <v>19.434999999999999</v>
      </c>
      <c r="R386" s="408"/>
      <c r="S386" s="408">
        <v>82.26</v>
      </c>
      <c r="T386" s="408">
        <v>256.55</v>
      </c>
      <c r="U386" s="408"/>
      <c r="V386" s="408">
        <v>6584.7723500000002</v>
      </c>
      <c r="W386" s="408">
        <v>6584.7723500000002</v>
      </c>
      <c r="X386" s="408">
        <v>6840.7313000000004</v>
      </c>
      <c r="Y386" s="408">
        <v>0</v>
      </c>
      <c r="Z386" s="408">
        <v>1039.4415766834145</v>
      </c>
      <c r="AA386" s="408">
        <v>0</v>
      </c>
      <c r="AB386" s="408">
        <v>0</v>
      </c>
      <c r="AC386" s="408">
        <v>0</v>
      </c>
      <c r="AD386" s="408">
        <v>0</v>
      </c>
      <c r="AE386" s="408">
        <v>0</v>
      </c>
      <c r="AF386" s="408">
        <v>4986.0982598624305</v>
      </c>
      <c r="AG386" s="408">
        <v>0</v>
      </c>
      <c r="AH386" s="408">
        <v>0</v>
      </c>
      <c r="AI386" s="408">
        <v>0</v>
      </c>
      <c r="AJ386" s="408">
        <v>0</v>
      </c>
      <c r="AK386" s="408">
        <v>0</v>
      </c>
      <c r="AL386" s="408">
        <v>184.71536608662694</v>
      </c>
      <c r="AM386" s="408"/>
      <c r="AN386" s="408">
        <v>26.218883824224275</v>
      </c>
      <c r="AO386" s="408">
        <v>0</v>
      </c>
      <c r="AP386" s="408">
        <v>0</v>
      </c>
      <c r="AQ386" s="408">
        <v>0</v>
      </c>
      <c r="AR386" s="408">
        <v>0</v>
      </c>
      <c r="AS386" s="408">
        <v>0</v>
      </c>
      <c r="AT386" s="408">
        <v>0</v>
      </c>
      <c r="AU386" s="408">
        <v>0</v>
      </c>
      <c r="AV386" s="408">
        <v>0</v>
      </c>
      <c r="AW386" s="408">
        <v>0</v>
      </c>
      <c r="AX386" s="408">
        <v>0</v>
      </c>
      <c r="AY386" s="408">
        <v>0</v>
      </c>
      <c r="AZ386" s="408">
        <v>0</v>
      </c>
      <c r="BA386" s="408"/>
      <c r="BB386" s="408">
        <v>0</v>
      </c>
      <c r="BC386" s="408">
        <v>0</v>
      </c>
      <c r="BD386" s="408">
        <v>23.944410096403274</v>
      </c>
      <c r="BE386" s="408">
        <v>0</v>
      </c>
      <c r="BF386" s="408">
        <v>0</v>
      </c>
      <c r="BG386" s="408">
        <v>324.35631612026464</v>
      </c>
      <c r="BH386" s="408">
        <v>0</v>
      </c>
      <c r="BI386" s="408">
        <v>0</v>
      </c>
      <c r="BJ386" s="408">
        <v>0</v>
      </c>
      <c r="BK386" s="408">
        <v>0</v>
      </c>
      <c r="BL386" s="408">
        <v>0</v>
      </c>
      <c r="BM386" s="408"/>
      <c r="BN386" s="408"/>
      <c r="BO386" s="408"/>
      <c r="BP386" s="408"/>
      <c r="BQ386" s="408"/>
      <c r="BR386" s="408"/>
      <c r="BS386" s="408"/>
      <c r="BT386" s="408"/>
      <c r="BU386" s="408"/>
      <c r="BV386" s="408">
        <v>5334.398986079098</v>
      </c>
      <c r="BW386" s="408"/>
      <c r="BX386" s="408"/>
      <c r="BY386" s="408"/>
      <c r="BZ386" s="408"/>
      <c r="CA386" s="408"/>
      <c r="CB386" s="408"/>
      <c r="CC386" s="408"/>
      <c r="CD386" s="408"/>
      <c r="CE386" s="408"/>
      <c r="CF386" s="408"/>
      <c r="CG386" s="408"/>
      <c r="CH386" s="408"/>
      <c r="CI386" s="408">
        <v>6842.4912000000004</v>
      </c>
      <c r="CJ386" s="408">
        <v>257.68885000000046</v>
      </c>
      <c r="CK386" s="408"/>
      <c r="CL386" s="408"/>
      <c r="CM386" s="408"/>
      <c r="CN386" s="408"/>
      <c r="CO386" s="408">
        <v>-54.806700000000141</v>
      </c>
      <c r="CP386" s="408">
        <v>310.76565000000016</v>
      </c>
      <c r="CQ386" s="408">
        <v>31</v>
      </c>
      <c r="CR386" s="408">
        <v>255.87709201163216</v>
      </c>
      <c r="CS386" s="408">
        <v>0</v>
      </c>
      <c r="CT386" s="408">
        <v>0</v>
      </c>
      <c r="CU386" s="408">
        <v>0</v>
      </c>
      <c r="CV386" s="408">
        <v>0</v>
      </c>
      <c r="CW386" s="408">
        <v>0</v>
      </c>
      <c r="CX386" s="408">
        <v>0</v>
      </c>
      <c r="CY386" s="408">
        <v>0</v>
      </c>
      <c r="CZ386" s="408">
        <v>0</v>
      </c>
      <c r="DA386" s="408">
        <v>0</v>
      </c>
      <c r="DB386" s="408">
        <v>0</v>
      </c>
      <c r="DC386" s="408">
        <v>310.62628870869776</v>
      </c>
      <c r="DD386" s="408">
        <v>0</v>
      </c>
      <c r="DE386" s="408">
        <v>0</v>
      </c>
      <c r="DF386" s="408">
        <v>1.4917000941273706</v>
      </c>
      <c r="DG386" s="408">
        <v>20.206901959136928</v>
      </c>
      <c r="DH386" s="408">
        <v>0</v>
      </c>
      <c r="DI386" s="408">
        <v>-64.636482750456366</v>
      </c>
      <c r="DJ386" s="408"/>
      <c r="DK386" s="408">
        <v>0</v>
      </c>
      <c r="DL386" s="408">
        <v>0</v>
      </c>
      <c r="DM386" s="408">
        <v>0</v>
      </c>
      <c r="DN386" s="408">
        <v>0</v>
      </c>
      <c r="DO386" s="408">
        <v>-10.135829170979491</v>
      </c>
      <c r="DP386" s="408">
        <v>-1.6754868288942575</v>
      </c>
      <c r="DQ386" s="408">
        <v>0</v>
      </c>
      <c r="DR386" s="408">
        <v>0</v>
      </c>
      <c r="DS386" s="408"/>
      <c r="DT386" s="408"/>
      <c r="DU386" s="408"/>
      <c r="DV386" s="408">
        <v>0</v>
      </c>
      <c r="DW386" s="408">
        <v>0</v>
      </c>
      <c r="DX386" s="408">
        <v>0</v>
      </c>
      <c r="DY386" s="408">
        <v>-54.806700000000092</v>
      </c>
      <c r="DZ386" s="408">
        <v>310.76565000000028</v>
      </c>
      <c r="EA386" s="408">
        <v>0</v>
      </c>
      <c r="EB386" s="408">
        <v>0</v>
      </c>
      <c r="EC386" s="408">
        <v>0</v>
      </c>
      <c r="ED386" s="408">
        <v>0</v>
      </c>
      <c r="EE386" s="408">
        <v>0</v>
      </c>
      <c r="EF386" s="408">
        <v>0</v>
      </c>
      <c r="EG386" s="408">
        <v>0</v>
      </c>
      <c r="EH386" s="408">
        <v>0</v>
      </c>
      <c r="EI386" s="408">
        <v>0</v>
      </c>
      <c r="EJ386" s="408">
        <v>0</v>
      </c>
      <c r="EK386" s="408">
        <v>0</v>
      </c>
      <c r="EL386" s="408">
        <v>0</v>
      </c>
      <c r="EM386" s="408">
        <v>0</v>
      </c>
      <c r="EN386" s="408">
        <v>0</v>
      </c>
      <c r="EO386" s="408">
        <v>0</v>
      </c>
      <c r="EP386" s="408">
        <v>0</v>
      </c>
      <c r="EQ386" s="408">
        <v>0</v>
      </c>
      <c r="ER386" s="408">
        <v>0</v>
      </c>
      <c r="ES386" s="408">
        <v>0</v>
      </c>
      <c r="ET386" s="408">
        <v>0</v>
      </c>
      <c r="EU386" s="408">
        <v>0</v>
      </c>
      <c r="EV386" s="408">
        <v>257</v>
      </c>
      <c r="EW386" s="408">
        <v>0</v>
      </c>
      <c r="EX386" s="408">
        <v>0</v>
      </c>
      <c r="EY386" s="408">
        <v>0</v>
      </c>
      <c r="EZ386" s="408"/>
      <c r="FA386" s="408">
        <v>0</v>
      </c>
      <c r="FB386" s="408"/>
      <c r="FC386" s="408"/>
      <c r="FD386" s="408"/>
      <c r="FE386" s="408"/>
      <c r="FF386" s="408">
        <v>0</v>
      </c>
      <c r="FG386" s="408">
        <v>0</v>
      </c>
      <c r="FH386" s="408">
        <v>0</v>
      </c>
      <c r="FI386" s="408">
        <v>0</v>
      </c>
    </row>
    <row r="387" spans="1:165">
      <c r="A387" s="408">
        <v>385</v>
      </c>
      <c r="B387" s="408" t="s">
        <v>1035</v>
      </c>
      <c r="C387" s="408" t="s">
        <v>2241</v>
      </c>
      <c r="D387" s="408" t="s">
        <v>596</v>
      </c>
      <c r="E387" s="408" t="s">
        <v>969</v>
      </c>
      <c r="F387" s="408" t="s">
        <v>1321</v>
      </c>
      <c r="G387" s="408" t="s">
        <v>1321</v>
      </c>
      <c r="H387" s="408" t="s">
        <v>1321</v>
      </c>
      <c r="I387" s="408" t="s">
        <v>1321</v>
      </c>
      <c r="J387" s="408" t="s">
        <v>2234</v>
      </c>
      <c r="K387" s="828">
        <v>44682</v>
      </c>
      <c r="L387" s="408">
        <v>1545</v>
      </c>
      <c r="M387" s="408">
        <v>1545</v>
      </c>
      <c r="N387" s="408">
        <v>0</v>
      </c>
      <c r="O387" s="408">
        <v>0</v>
      </c>
      <c r="P387" s="408">
        <v>0</v>
      </c>
      <c r="Q387" s="408">
        <v>0</v>
      </c>
      <c r="R387" s="408">
        <v>47.39</v>
      </c>
      <c r="S387" s="408"/>
      <c r="T387" s="408"/>
      <c r="U387" s="408">
        <v>73217.55</v>
      </c>
      <c r="V387" s="408"/>
      <c r="W387" s="408">
        <v>73217.55</v>
      </c>
      <c r="X387" s="408">
        <v>49779.9</v>
      </c>
      <c r="Y387" s="408">
        <v>0</v>
      </c>
      <c r="Z387" s="408">
        <v>0</v>
      </c>
      <c r="AA387" s="408">
        <v>0</v>
      </c>
      <c r="AB387" s="408">
        <v>0</v>
      </c>
      <c r="AC387" s="408">
        <v>0</v>
      </c>
      <c r="AD387" s="408">
        <v>38578.804777274505</v>
      </c>
      <c r="AE387" s="408">
        <v>34638.694894652079</v>
      </c>
      <c r="AF387" s="408"/>
      <c r="AG387" s="408"/>
      <c r="AH387" s="408"/>
      <c r="AI387" s="408">
        <v>0</v>
      </c>
      <c r="AJ387" s="408">
        <v>0</v>
      </c>
      <c r="AK387" s="408">
        <v>0</v>
      </c>
      <c r="AL387" s="408">
        <v>0</v>
      </c>
      <c r="AM387" s="408"/>
      <c r="AN387" s="408">
        <v>0</v>
      </c>
      <c r="AO387" s="408">
        <v>0</v>
      </c>
      <c r="AP387" s="408">
        <v>0</v>
      </c>
      <c r="AQ387" s="408">
        <v>0</v>
      </c>
      <c r="AR387" s="408">
        <v>0</v>
      </c>
      <c r="AS387" s="408"/>
      <c r="AT387" s="408"/>
      <c r="AU387" s="408">
        <v>0</v>
      </c>
      <c r="AV387" s="408">
        <v>0</v>
      </c>
      <c r="AW387" s="408">
        <v>0</v>
      </c>
      <c r="AX387" s="408"/>
      <c r="AY387" s="408"/>
      <c r="AZ387" s="408">
        <v>0</v>
      </c>
      <c r="BA387" s="408"/>
      <c r="BB387" s="408">
        <v>0</v>
      </c>
      <c r="BC387" s="408">
        <v>0</v>
      </c>
      <c r="BD387" s="408">
        <v>0</v>
      </c>
      <c r="BE387" s="408">
        <v>0</v>
      </c>
      <c r="BF387" s="408"/>
      <c r="BG387" s="408">
        <v>0</v>
      </c>
      <c r="BH387" s="408">
        <v>0</v>
      </c>
      <c r="BI387" s="408">
        <v>1453.71</v>
      </c>
      <c r="BJ387" s="408">
        <v>1435.55</v>
      </c>
      <c r="BK387" s="408">
        <v>26068.720000000001</v>
      </c>
      <c r="BL387" s="408">
        <v>10</v>
      </c>
      <c r="BM387" s="408"/>
      <c r="BN387" s="408"/>
      <c r="BO387" s="408"/>
      <c r="BP387" s="408"/>
      <c r="BQ387" s="408"/>
      <c r="BR387" s="408"/>
      <c r="BS387" s="408"/>
      <c r="BT387" s="408"/>
      <c r="BU387" s="408"/>
      <c r="BV387" s="408">
        <v>0</v>
      </c>
      <c r="BW387" s="408"/>
      <c r="BX387" s="408"/>
      <c r="BY387" s="408"/>
      <c r="BZ387" s="408"/>
      <c r="CA387" s="408"/>
      <c r="CB387" s="408"/>
      <c r="CC387" s="408"/>
      <c r="CD387" s="408"/>
      <c r="CE387" s="408"/>
      <c r="CF387" s="408"/>
      <c r="CG387" s="408"/>
      <c r="CH387" s="408"/>
      <c r="CI387" s="408">
        <v>49779.9</v>
      </c>
      <c r="CJ387" s="408">
        <v>-23437.679999999986</v>
      </c>
      <c r="CK387" s="408"/>
      <c r="CL387" s="408"/>
      <c r="CM387" s="408"/>
      <c r="CN387" s="408"/>
      <c r="CO387" s="408">
        <v>-23437.65</v>
      </c>
      <c r="CP387" s="408">
        <v>0</v>
      </c>
      <c r="CQ387" s="408">
        <v>31</v>
      </c>
      <c r="CR387" s="408">
        <v>-174.3786240171903</v>
      </c>
      <c r="CS387" s="408">
        <v>0</v>
      </c>
      <c r="CT387" s="408">
        <v>0</v>
      </c>
      <c r="CU387" s="408">
        <v>0</v>
      </c>
      <c r="CV387" s="408">
        <v>0</v>
      </c>
      <c r="CW387" s="408"/>
      <c r="CX387" s="408"/>
      <c r="CY387" s="408"/>
      <c r="CZ387" s="408">
        <v>-174.3786240171903</v>
      </c>
      <c r="DA387" s="408">
        <v>0</v>
      </c>
      <c r="DB387" s="408">
        <v>0</v>
      </c>
      <c r="DC387" s="408"/>
      <c r="DD387" s="408"/>
      <c r="DE387" s="408">
        <v>0</v>
      </c>
      <c r="DF387" s="408">
        <v>0</v>
      </c>
      <c r="DG387" s="408">
        <v>0</v>
      </c>
      <c r="DH387" s="408">
        <v>0</v>
      </c>
      <c r="DI387" s="408">
        <v>0</v>
      </c>
      <c r="DJ387" s="408"/>
      <c r="DK387" s="408">
        <v>0</v>
      </c>
      <c r="DL387" s="408">
        <v>0</v>
      </c>
      <c r="DM387" s="408"/>
      <c r="DN387" s="408">
        <v>0</v>
      </c>
      <c r="DO387" s="408">
        <v>0</v>
      </c>
      <c r="DP387" s="408">
        <v>0</v>
      </c>
      <c r="DQ387" s="408">
        <v>0</v>
      </c>
      <c r="DR387" s="408">
        <v>0</v>
      </c>
      <c r="DS387" s="408"/>
      <c r="DT387" s="408"/>
      <c r="DU387" s="408">
        <v>34638.694894652079</v>
      </c>
      <c r="DV387" s="408"/>
      <c r="DW387" s="408">
        <v>0</v>
      </c>
      <c r="DX387" s="408">
        <v>0</v>
      </c>
      <c r="DY387" s="408">
        <v>-23437.65</v>
      </c>
      <c r="DZ387" s="408"/>
      <c r="EA387" s="408">
        <v>0</v>
      </c>
      <c r="EB387" s="408"/>
      <c r="EC387" s="408">
        <v>-23265.933910856711</v>
      </c>
      <c r="ED387" s="408"/>
      <c r="EE387" s="408">
        <v>0</v>
      </c>
      <c r="EF387" s="408">
        <v>0</v>
      </c>
      <c r="EG387" s="408"/>
      <c r="EH387" s="408">
        <v>0</v>
      </c>
      <c r="EI387" s="408">
        <v>0</v>
      </c>
      <c r="EJ387" s="408">
        <v>0</v>
      </c>
      <c r="EK387" s="408">
        <v>0</v>
      </c>
      <c r="EL387" s="408">
        <v>0</v>
      </c>
      <c r="EM387" s="408"/>
      <c r="EN387" s="408"/>
      <c r="EO387" s="408">
        <v>0</v>
      </c>
      <c r="EP387" s="408">
        <v>0</v>
      </c>
      <c r="EQ387" s="408"/>
      <c r="ER387" s="408">
        <v>0</v>
      </c>
      <c r="ES387" s="408"/>
      <c r="ET387" s="408">
        <v>0</v>
      </c>
      <c r="EU387" s="408"/>
      <c r="EV387" s="408">
        <v>257</v>
      </c>
      <c r="EW387" s="408"/>
      <c r="EX387" s="408"/>
      <c r="EY387" s="408"/>
      <c r="EZ387" s="408"/>
      <c r="FA387" s="408">
        <v>0</v>
      </c>
      <c r="FB387" s="408"/>
      <c r="FC387" s="408"/>
      <c r="FD387" s="408"/>
      <c r="FE387" s="408"/>
      <c r="FF387" s="408">
        <v>0</v>
      </c>
      <c r="FG387" s="408">
        <v>0</v>
      </c>
      <c r="FH387" s="408">
        <v>0</v>
      </c>
      <c r="FI387" s="408">
        <v>0</v>
      </c>
    </row>
    <row r="388" spans="1:165">
      <c r="A388" s="408">
        <v>386</v>
      </c>
      <c r="B388" s="408" t="s">
        <v>2236</v>
      </c>
      <c r="C388" s="408" t="s">
        <v>2241</v>
      </c>
      <c r="D388" s="408" t="s">
        <v>596</v>
      </c>
      <c r="E388" s="408" t="s">
        <v>969</v>
      </c>
      <c r="F388" s="408" t="s">
        <v>1321</v>
      </c>
      <c r="G388" s="408" t="s">
        <v>1321</v>
      </c>
      <c r="H388" s="408" t="s">
        <v>1321</v>
      </c>
      <c r="I388" s="408" t="s">
        <v>1321</v>
      </c>
      <c r="J388" s="408" t="s">
        <v>2234</v>
      </c>
      <c r="K388" s="828">
        <v>44682</v>
      </c>
      <c r="L388" s="408">
        <v>755</v>
      </c>
      <c r="M388" s="408">
        <v>755</v>
      </c>
      <c r="N388" s="408">
        <v>0</v>
      </c>
      <c r="O388" s="408">
        <v>0</v>
      </c>
      <c r="P388" s="408">
        <v>0</v>
      </c>
      <c r="Q388" s="408">
        <v>0</v>
      </c>
      <c r="R388" s="408">
        <v>47.39</v>
      </c>
      <c r="S388" s="408"/>
      <c r="T388" s="408"/>
      <c r="U388" s="408">
        <v>35779.449999999997</v>
      </c>
      <c r="V388" s="408"/>
      <c r="W388" s="408">
        <v>35779.449999999997</v>
      </c>
      <c r="X388" s="408">
        <v>24326.1</v>
      </c>
      <c r="Y388" s="408">
        <v>0</v>
      </c>
      <c r="Z388" s="408">
        <v>0</v>
      </c>
      <c r="AA388" s="408">
        <v>0</v>
      </c>
      <c r="AB388" s="408">
        <v>0</v>
      </c>
      <c r="AC388" s="408">
        <v>0</v>
      </c>
      <c r="AD388" s="408">
        <v>18852.425635496602</v>
      </c>
      <c r="AE388" s="408">
        <v>16926.99977052577</v>
      </c>
      <c r="AF388" s="408"/>
      <c r="AG388" s="408"/>
      <c r="AH388" s="408"/>
      <c r="AI388" s="408">
        <v>0</v>
      </c>
      <c r="AJ388" s="408">
        <v>0</v>
      </c>
      <c r="AK388" s="408">
        <v>0</v>
      </c>
      <c r="AL388" s="408">
        <v>0</v>
      </c>
      <c r="AM388" s="408"/>
      <c r="AN388" s="408">
        <v>0</v>
      </c>
      <c r="AO388" s="408">
        <v>0</v>
      </c>
      <c r="AP388" s="408">
        <v>0</v>
      </c>
      <c r="AQ388" s="408">
        <v>0</v>
      </c>
      <c r="AR388" s="408">
        <v>0</v>
      </c>
      <c r="AS388" s="408"/>
      <c r="AT388" s="408"/>
      <c r="AU388" s="408">
        <v>0</v>
      </c>
      <c r="AV388" s="408">
        <v>0</v>
      </c>
      <c r="AW388" s="408">
        <v>0</v>
      </c>
      <c r="AX388" s="408"/>
      <c r="AY388" s="408"/>
      <c r="AZ388" s="408">
        <v>0</v>
      </c>
      <c r="BA388" s="408"/>
      <c r="BB388" s="408">
        <v>0</v>
      </c>
      <c r="BC388" s="408">
        <v>0</v>
      </c>
      <c r="BD388" s="408">
        <v>0</v>
      </c>
      <c r="BE388" s="408">
        <v>0</v>
      </c>
      <c r="BF388" s="408"/>
      <c r="BG388" s="408">
        <v>0</v>
      </c>
      <c r="BH388" s="408">
        <v>0</v>
      </c>
      <c r="BI388" s="408">
        <v>387.91</v>
      </c>
      <c r="BJ388" s="408">
        <v>387.93</v>
      </c>
      <c r="BK388" s="408">
        <v>7467.67</v>
      </c>
      <c r="BL388" s="408">
        <v>5</v>
      </c>
      <c r="BM388" s="408"/>
      <c r="BN388" s="408"/>
      <c r="BO388" s="408"/>
      <c r="BP388" s="408"/>
      <c r="BQ388" s="408"/>
      <c r="BR388" s="408"/>
      <c r="BS388" s="408"/>
      <c r="BT388" s="408"/>
      <c r="BU388" s="408"/>
      <c r="BV388" s="408">
        <v>0</v>
      </c>
      <c r="BW388" s="408"/>
      <c r="BX388" s="408"/>
      <c r="BY388" s="408"/>
      <c r="BZ388" s="408"/>
      <c r="CA388" s="408"/>
      <c r="CB388" s="408"/>
      <c r="CC388" s="408"/>
      <c r="CD388" s="408"/>
      <c r="CE388" s="408"/>
      <c r="CF388" s="408"/>
      <c r="CG388" s="408"/>
      <c r="CH388" s="408"/>
      <c r="CI388" s="408">
        <v>24326.1</v>
      </c>
      <c r="CJ388" s="408">
        <v>-11453.380000000005</v>
      </c>
      <c r="CK388" s="408"/>
      <c r="CL388" s="408"/>
      <c r="CM388" s="408"/>
      <c r="CN388" s="408"/>
      <c r="CO388" s="408">
        <v>-11453.350000000002</v>
      </c>
      <c r="CP388" s="408">
        <v>0</v>
      </c>
      <c r="CQ388" s="408">
        <v>31</v>
      </c>
      <c r="CR388" s="408">
        <v>-85.214149600633391</v>
      </c>
      <c r="CS388" s="408">
        <v>0</v>
      </c>
      <c r="CT388" s="408">
        <v>0</v>
      </c>
      <c r="CU388" s="408">
        <v>0</v>
      </c>
      <c r="CV388" s="408">
        <v>0</v>
      </c>
      <c r="CW388" s="408"/>
      <c r="CX388" s="408"/>
      <c r="CY388" s="408"/>
      <c r="CZ388" s="408">
        <v>-85.214149600633391</v>
      </c>
      <c r="DA388" s="408">
        <v>0</v>
      </c>
      <c r="DB388" s="408">
        <v>0</v>
      </c>
      <c r="DC388" s="408"/>
      <c r="DD388" s="408"/>
      <c r="DE388" s="408">
        <v>0</v>
      </c>
      <c r="DF388" s="408">
        <v>0</v>
      </c>
      <c r="DG388" s="408">
        <v>0</v>
      </c>
      <c r="DH388" s="408">
        <v>0</v>
      </c>
      <c r="DI388" s="408">
        <v>0</v>
      </c>
      <c r="DJ388" s="408"/>
      <c r="DK388" s="408">
        <v>0</v>
      </c>
      <c r="DL388" s="408">
        <v>0</v>
      </c>
      <c r="DM388" s="408"/>
      <c r="DN388" s="408">
        <v>0</v>
      </c>
      <c r="DO388" s="408">
        <v>0</v>
      </c>
      <c r="DP388" s="408">
        <v>0</v>
      </c>
      <c r="DQ388" s="408">
        <v>0</v>
      </c>
      <c r="DR388" s="408">
        <v>0</v>
      </c>
      <c r="DS388" s="408"/>
      <c r="DT388" s="408"/>
      <c r="DU388" s="408">
        <v>16926.99977052577</v>
      </c>
      <c r="DV388" s="408"/>
      <c r="DW388" s="408">
        <v>0</v>
      </c>
      <c r="DX388" s="408">
        <v>0</v>
      </c>
      <c r="DY388" s="408">
        <v>-11453.349999999999</v>
      </c>
      <c r="DZ388" s="408"/>
      <c r="EA388" s="408">
        <v>0</v>
      </c>
      <c r="EB388" s="408"/>
      <c r="EC388" s="408">
        <v>-11369.436959674313</v>
      </c>
      <c r="ED388" s="408"/>
      <c r="EE388" s="408">
        <v>0</v>
      </c>
      <c r="EF388" s="408">
        <v>0</v>
      </c>
      <c r="EG388" s="408"/>
      <c r="EH388" s="408">
        <v>0</v>
      </c>
      <c r="EI388" s="408">
        <v>0</v>
      </c>
      <c r="EJ388" s="408">
        <v>0</v>
      </c>
      <c r="EK388" s="408">
        <v>0</v>
      </c>
      <c r="EL388" s="408">
        <v>0</v>
      </c>
      <c r="EM388" s="408"/>
      <c r="EN388" s="408"/>
      <c r="EO388" s="408">
        <v>0</v>
      </c>
      <c r="EP388" s="408">
        <v>0</v>
      </c>
      <c r="EQ388" s="408"/>
      <c r="ER388" s="408">
        <v>0</v>
      </c>
      <c r="ES388" s="408"/>
      <c r="ET388" s="408">
        <v>0</v>
      </c>
      <c r="EU388" s="408"/>
      <c r="EV388" s="408">
        <v>257</v>
      </c>
      <c r="EW388" s="408"/>
      <c r="EX388" s="408"/>
      <c r="EY388" s="408"/>
      <c r="EZ388" s="408"/>
      <c r="FA388" s="408">
        <v>0</v>
      </c>
      <c r="FB388" s="408"/>
      <c r="FC388" s="408"/>
      <c r="FD388" s="408"/>
      <c r="FE388" s="408"/>
      <c r="FF388" s="408">
        <v>0</v>
      </c>
      <c r="FG388" s="408">
        <v>0</v>
      </c>
      <c r="FH388" s="408">
        <v>0</v>
      </c>
      <c r="FI388" s="408">
        <v>0</v>
      </c>
    </row>
    <row r="389" spans="1:165">
      <c r="A389" s="408">
        <v>387</v>
      </c>
      <c r="B389" s="408" t="s">
        <v>1035</v>
      </c>
      <c r="C389" s="408" t="s">
        <v>2233</v>
      </c>
      <c r="D389" s="408" t="s">
        <v>1958</v>
      </c>
      <c r="E389" s="408" t="s">
        <v>997</v>
      </c>
      <c r="F389" s="408" t="s">
        <v>1321</v>
      </c>
      <c r="G389" s="408" t="s">
        <v>1321</v>
      </c>
      <c r="H389" s="408" t="s">
        <v>1321</v>
      </c>
      <c r="I389" s="408" t="s">
        <v>1321</v>
      </c>
      <c r="J389" s="408" t="s">
        <v>2234</v>
      </c>
      <c r="K389" s="828">
        <v>44682</v>
      </c>
      <c r="L389" s="408">
        <v>0</v>
      </c>
      <c r="M389" s="408">
        <v>0</v>
      </c>
      <c r="N389" s="408">
        <v>353.30799999999999</v>
      </c>
      <c r="O389" s="408">
        <v>353.30799999999999</v>
      </c>
      <c r="P389" s="408">
        <v>353.30799999999999</v>
      </c>
      <c r="Q389" s="408">
        <v>353.30799999999999</v>
      </c>
      <c r="R389" s="408"/>
      <c r="S389" s="408">
        <v>710.91</v>
      </c>
      <c r="T389" s="408">
        <v>256.55</v>
      </c>
      <c r="U389" s="408"/>
      <c r="V389" s="408">
        <v>341811.35768000002</v>
      </c>
      <c r="W389" s="408">
        <v>341811.35768000002</v>
      </c>
      <c r="X389" s="408">
        <v>233335.20244000002</v>
      </c>
      <c r="Y389" s="408">
        <v>0</v>
      </c>
      <c r="Z389" s="408">
        <v>21719.496735352077</v>
      </c>
      <c r="AA389" s="408">
        <v>0</v>
      </c>
      <c r="AB389" s="408">
        <v>0</v>
      </c>
      <c r="AC389" s="408">
        <v>0</v>
      </c>
      <c r="AD389" s="408">
        <v>43486.134299849749</v>
      </c>
      <c r="AE389" s="408">
        <v>168496.14007390963</v>
      </c>
      <c r="AF389" s="408">
        <v>90642.058348107836</v>
      </c>
      <c r="AG389" s="408">
        <v>0</v>
      </c>
      <c r="AH389" s="408">
        <v>0</v>
      </c>
      <c r="AI389" s="408">
        <v>0</v>
      </c>
      <c r="AJ389" s="408">
        <v>0</v>
      </c>
      <c r="AK389" s="408">
        <v>0</v>
      </c>
      <c r="AL389" s="408">
        <v>3357.9324189006429</v>
      </c>
      <c r="AM389" s="408"/>
      <c r="AN389" s="408">
        <v>775.79534798137297</v>
      </c>
      <c r="AO389" s="408">
        <v>0</v>
      </c>
      <c r="AP389" s="408">
        <v>0</v>
      </c>
      <c r="AQ389" s="408">
        <v>0</v>
      </c>
      <c r="AR389" s="408">
        <v>0</v>
      </c>
      <c r="AS389" s="408">
        <v>0</v>
      </c>
      <c r="AT389" s="408">
        <v>0</v>
      </c>
      <c r="AU389" s="408">
        <v>0</v>
      </c>
      <c r="AV389" s="408">
        <v>0</v>
      </c>
      <c r="AW389" s="408">
        <v>0</v>
      </c>
      <c r="AX389" s="408">
        <v>0</v>
      </c>
      <c r="AY389" s="408">
        <v>0</v>
      </c>
      <c r="AZ389" s="408">
        <v>0</v>
      </c>
      <c r="BA389" s="408"/>
      <c r="BB389" s="408">
        <v>0</v>
      </c>
      <c r="BC389" s="408">
        <v>0</v>
      </c>
      <c r="BD389" s="408">
        <v>526.54209519245057</v>
      </c>
      <c r="BE389" s="408">
        <v>0</v>
      </c>
      <c r="BF389" s="408">
        <v>0</v>
      </c>
      <c r="BG389" s="408">
        <v>12808.617050921008</v>
      </c>
      <c r="BH389" s="408">
        <v>0</v>
      </c>
      <c r="BI389" s="408">
        <v>2660.5</v>
      </c>
      <c r="BJ389" s="408">
        <v>2663.68</v>
      </c>
      <c r="BK389" s="408">
        <v>84304.97</v>
      </c>
      <c r="BL389" s="408">
        <v>960</v>
      </c>
      <c r="BM389" s="408"/>
      <c r="BN389" s="408"/>
      <c r="BO389" s="408"/>
      <c r="BP389" s="408"/>
      <c r="BQ389" s="408"/>
      <c r="BR389" s="408"/>
      <c r="BS389" s="408"/>
      <c r="BT389" s="408"/>
      <c r="BU389" s="408"/>
      <c r="BV389" s="408">
        <v>103977.21749422129</v>
      </c>
      <c r="BW389" s="408"/>
      <c r="BX389" s="408"/>
      <c r="BY389" s="408"/>
      <c r="BZ389" s="408"/>
      <c r="CA389" s="408"/>
      <c r="CB389" s="408"/>
      <c r="CC389" s="408"/>
      <c r="CD389" s="408"/>
      <c r="CE389" s="408"/>
      <c r="CF389" s="408"/>
      <c r="CG389" s="408"/>
      <c r="CH389" s="408"/>
      <c r="CI389" s="408">
        <v>233336.5233</v>
      </c>
      <c r="CJ389" s="408">
        <v>-108474.86438000004</v>
      </c>
      <c r="CK389" s="408"/>
      <c r="CL389" s="408"/>
      <c r="CM389" s="408"/>
      <c r="CN389" s="408"/>
      <c r="CO389" s="408">
        <v>-114125.55015999998</v>
      </c>
      <c r="CP389" s="408">
        <v>5649.3949200000034</v>
      </c>
      <c r="CQ389" s="408">
        <v>31</v>
      </c>
      <c r="CR389" s="408">
        <v>4696.6243389526499</v>
      </c>
      <c r="CS389" s="408">
        <v>0</v>
      </c>
      <c r="CT389" s="408">
        <v>0</v>
      </c>
      <c r="CU389" s="408">
        <v>0</v>
      </c>
      <c r="CV389" s="408">
        <v>0</v>
      </c>
      <c r="CW389" s="408">
        <v>0</v>
      </c>
      <c r="CX389" s="408">
        <v>0</v>
      </c>
      <c r="CY389" s="408">
        <v>0</v>
      </c>
      <c r="CZ389" s="408">
        <v>-196.56006210693158</v>
      </c>
      <c r="DA389" s="408">
        <v>0</v>
      </c>
      <c r="DB389" s="408">
        <v>0</v>
      </c>
      <c r="DC389" s="408">
        <v>5646.8614772880101</v>
      </c>
      <c r="DD389" s="408">
        <v>0</v>
      </c>
      <c r="DE389" s="408">
        <v>0</v>
      </c>
      <c r="DF389" s="408">
        <v>32.802766482794482</v>
      </c>
      <c r="DG389" s="408">
        <v>797.95723442648887</v>
      </c>
      <c r="DH389" s="408">
        <v>0</v>
      </c>
      <c r="DI389" s="408">
        <v>-1350.6020035898073</v>
      </c>
      <c r="DJ389" s="408"/>
      <c r="DK389" s="408">
        <v>0</v>
      </c>
      <c r="DL389" s="408">
        <v>0</v>
      </c>
      <c r="DM389" s="408">
        <v>0</v>
      </c>
      <c r="DN389" s="408">
        <v>0</v>
      </c>
      <c r="DO389" s="408">
        <v>-184.25878738052097</v>
      </c>
      <c r="DP389" s="408">
        <v>-49.576286167423973</v>
      </c>
      <c r="DQ389" s="408">
        <v>0</v>
      </c>
      <c r="DR389" s="408">
        <v>0</v>
      </c>
      <c r="DS389" s="408"/>
      <c r="DT389" s="408"/>
      <c r="DU389" s="408"/>
      <c r="DV389" s="408">
        <v>168496.14007390963</v>
      </c>
      <c r="DW389" s="408">
        <v>0</v>
      </c>
      <c r="DX389" s="408">
        <v>0</v>
      </c>
      <c r="DY389" s="408">
        <v>-114125.55015999998</v>
      </c>
      <c r="DZ389" s="408">
        <v>5649.3949200000061</v>
      </c>
      <c r="EA389" s="408">
        <v>0</v>
      </c>
      <c r="EB389" s="408">
        <v>0</v>
      </c>
      <c r="EC389" s="408">
        <v>-113174.58902873637</v>
      </c>
      <c r="ED389" s="408">
        <v>0</v>
      </c>
      <c r="EE389" s="408">
        <v>0</v>
      </c>
      <c r="EF389" s="408">
        <v>0</v>
      </c>
      <c r="EG389" s="408">
        <v>0</v>
      </c>
      <c r="EH389" s="408">
        <v>0</v>
      </c>
      <c r="EI389" s="408">
        <v>0</v>
      </c>
      <c r="EJ389" s="408">
        <v>0</v>
      </c>
      <c r="EK389" s="408">
        <v>0</v>
      </c>
      <c r="EL389" s="408">
        <v>0</v>
      </c>
      <c r="EM389" s="408">
        <v>0</v>
      </c>
      <c r="EN389" s="408">
        <v>0</v>
      </c>
      <c r="EO389" s="408">
        <v>0</v>
      </c>
      <c r="EP389" s="408">
        <v>0</v>
      </c>
      <c r="EQ389" s="408">
        <v>0</v>
      </c>
      <c r="ER389" s="408">
        <v>0</v>
      </c>
      <c r="ES389" s="408">
        <v>0</v>
      </c>
      <c r="ET389" s="408">
        <v>0</v>
      </c>
      <c r="EU389" s="408">
        <v>0</v>
      </c>
      <c r="EV389" s="408">
        <v>257</v>
      </c>
      <c r="EW389" s="408">
        <v>0</v>
      </c>
      <c r="EX389" s="408">
        <v>0</v>
      </c>
      <c r="EY389" s="408">
        <v>0</v>
      </c>
      <c r="EZ389" s="408"/>
      <c r="FA389" s="408">
        <v>0</v>
      </c>
      <c r="FB389" s="408"/>
      <c r="FC389" s="408"/>
      <c r="FD389" s="408"/>
      <c r="FE389" s="408"/>
      <c r="FF389" s="408">
        <v>0</v>
      </c>
      <c r="FG389" s="408">
        <v>0</v>
      </c>
      <c r="FH389" s="408">
        <v>0</v>
      </c>
      <c r="FI389" s="408">
        <v>0</v>
      </c>
    </row>
    <row r="390" spans="1:165">
      <c r="A390" s="408">
        <v>388</v>
      </c>
      <c r="B390" s="408" t="s">
        <v>2236</v>
      </c>
      <c r="C390" s="408" t="s">
        <v>2233</v>
      </c>
      <c r="D390" s="408" t="s">
        <v>1958</v>
      </c>
      <c r="E390" s="408" t="s">
        <v>997</v>
      </c>
      <c r="F390" s="408" t="s">
        <v>1321</v>
      </c>
      <c r="G390" s="408" t="s">
        <v>1321</v>
      </c>
      <c r="H390" s="408" t="s">
        <v>1321</v>
      </c>
      <c r="I390" s="408" t="s">
        <v>1321</v>
      </c>
      <c r="J390" s="408" t="s">
        <v>2234</v>
      </c>
      <c r="K390" s="828">
        <v>44682</v>
      </c>
      <c r="L390" s="408">
        <v>0</v>
      </c>
      <c r="M390" s="408">
        <v>0</v>
      </c>
      <c r="N390" s="408">
        <v>23.265000000000001</v>
      </c>
      <c r="O390" s="408">
        <v>23.265000000000001</v>
      </c>
      <c r="P390" s="408">
        <v>23.265000000000001</v>
      </c>
      <c r="Q390" s="408">
        <v>23.265000000000001</v>
      </c>
      <c r="R390" s="408"/>
      <c r="S390" s="408">
        <v>710.91</v>
      </c>
      <c r="T390" s="408">
        <v>256.55</v>
      </c>
      <c r="U390" s="408"/>
      <c r="V390" s="408">
        <v>22507.956900000001</v>
      </c>
      <c r="W390" s="408">
        <v>22507.956900000001</v>
      </c>
      <c r="X390" s="408">
        <v>15364.90395</v>
      </c>
      <c r="Y390" s="408">
        <v>0</v>
      </c>
      <c r="Z390" s="408">
        <v>1430.2084627236466</v>
      </c>
      <c r="AA390" s="408">
        <v>0</v>
      </c>
      <c r="AB390" s="408">
        <v>0</v>
      </c>
      <c r="AC390" s="408">
        <v>0</v>
      </c>
      <c r="AD390" s="408">
        <v>2863.5211047754497</v>
      </c>
      <c r="AE390" s="408">
        <v>11095.312585108482</v>
      </c>
      <c r="AF390" s="408">
        <v>5968.69441809619</v>
      </c>
      <c r="AG390" s="408">
        <v>0</v>
      </c>
      <c r="AH390" s="408">
        <v>0</v>
      </c>
      <c r="AI390" s="408">
        <v>0</v>
      </c>
      <c r="AJ390" s="408">
        <v>0</v>
      </c>
      <c r="AK390" s="408">
        <v>0</v>
      </c>
      <c r="AL390" s="408">
        <v>221.11669626989331</v>
      </c>
      <c r="AM390" s="408"/>
      <c r="AN390" s="408">
        <v>51.08539509659176</v>
      </c>
      <c r="AO390" s="408">
        <v>0</v>
      </c>
      <c r="AP390" s="408">
        <v>0</v>
      </c>
      <c r="AQ390" s="408">
        <v>0</v>
      </c>
      <c r="AR390" s="408">
        <v>0</v>
      </c>
      <c r="AS390" s="408">
        <v>0</v>
      </c>
      <c r="AT390" s="408">
        <v>0</v>
      </c>
      <c r="AU390" s="408">
        <v>0</v>
      </c>
      <c r="AV390" s="408">
        <v>0</v>
      </c>
      <c r="AW390" s="408">
        <v>0</v>
      </c>
      <c r="AX390" s="408">
        <v>0</v>
      </c>
      <c r="AY390" s="408">
        <v>0</v>
      </c>
      <c r="AZ390" s="408">
        <v>0</v>
      </c>
      <c r="BA390" s="408"/>
      <c r="BB390" s="408">
        <v>0</v>
      </c>
      <c r="BC390" s="408">
        <v>0</v>
      </c>
      <c r="BD390" s="408">
        <v>34.67230248013734</v>
      </c>
      <c r="BE390" s="408">
        <v>0</v>
      </c>
      <c r="BF390" s="408">
        <v>0</v>
      </c>
      <c r="BG390" s="408">
        <v>843.4354039242736</v>
      </c>
      <c r="BH390" s="408">
        <v>0</v>
      </c>
      <c r="BI390" s="408">
        <v>178.07</v>
      </c>
      <c r="BJ390" s="408">
        <v>178.33</v>
      </c>
      <c r="BK390" s="408">
        <v>10738.48</v>
      </c>
      <c r="BL390" s="408">
        <v>49</v>
      </c>
      <c r="BM390" s="408"/>
      <c r="BN390" s="408"/>
      <c r="BO390" s="408"/>
      <c r="BP390" s="408"/>
      <c r="BQ390" s="408"/>
      <c r="BR390" s="408"/>
      <c r="BS390" s="408"/>
      <c r="BT390" s="408"/>
      <c r="BU390" s="408"/>
      <c r="BV390" s="408">
        <v>6846.8021245006012</v>
      </c>
      <c r="BW390" s="408"/>
      <c r="BX390" s="408"/>
      <c r="BY390" s="408"/>
      <c r="BZ390" s="408"/>
      <c r="CA390" s="408"/>
      <c r="CB390" s="408"/>
      <c r="CC390" s="408"/>
      <c r="CD390" s="408"/>
      <c r="CE390" s="408"/>
      <c r="CF390" s="408"/>
      <c r="CG390" s="408"/>
      <c r="CH390" s="408"/>
      <c r="CI390" s="408">
        <v>15368.206099999999</v>
      </c>
      <c r="CJ390" s="408">
        <v>-7139.7807999999968</v>
      </c>
      <c r="CK390" s="408"/>
      <c r="CL390" s="408"/>
      <c r="CM390" s="408"/>
      <c r="CN390" s="408"/>
      <c r="CO390" s="408">
        <v>-7515.0603000000001</v>
      </c>
      <c r="CP390" s="408">
        <v>372.0073500000002</v>
      </c>
      <c r="CQ390" s="408">
        <v>31</v>
      </c>
      <c r="CR390" s="408">
        <v>309.26830200768927</v>
      </c>
      <c r="CS390" s="408">
        <v>0</v>
      </c>
      <c r="CT390" s="408">
        <v>0</v>
      </c>
      <c r="CU390" s="408">
        <v>0</v>
      </c>
      <c r="CV390" s="408">
        <v>0</v>
      </c>
      <c r="CW390" s="408">
        <v>0</v>
      </c>
      <c r="CX390" s="408">
        <v>0</v>
      </c>
      <c r="CY390" s="408">
        <v>0</v>
      </c>
      <c r="CZ390" s="408">
        <v>-12.943295495482289</v>
      </c>
      <c r="DA390" s="408">
        <v>0</v>
      </c>
      <c r="DB390" s="408">
        <v>0</v>
      </c>
      <c r="DC390" s="408">
        <v>371.84052517663258</v>
      </c>
      <c r="DD390" s="408">
        <v>0</v>
      </c>
      <c r="DE390" s="408">
        <v>0</v>
      </c>
      <c r="DF390" s="408">
        <v>2.1600313670288003</v>
      </c>
      <c r="DG390" s="408">
        <v>52.544734506244595</v>
      </c>
      <c r="DH390" s="408">
        <v>0</v>
      </c>
      <c r="DI390" s="408">
        <v>-88.935873553717784</v>
      </c>
      <c r="DJ390" s="408"/>
      <c r="DK390" s="408">
        <v>0</v>
      </c>
      <c r="DL390" s="408">
        <v>0</v>
      </c>
      <c r="DM390" s="408">
        <v>0</v>
      </c>
      <c r="DN390" s="408">
        <v>0</v>
      </c>
      <c r="DO390" s="408">
        <v>-12.133268107169471</v>
      </c>
      <c r="DP390" s="408">
        <v>-3.2645518858478084</v>
      </c>
      <c r="DQ390" s="408">
        <v>0</v>
      </c>
      <c r="DR390" s="408">
        <v>0</v>
      </c>
      <c r="DS390" s="408"/>
      <c r="DT390" s="408"/>
      <c r="DU390" s="408"/>
      <c r="DV390" s="408">
        <v>11095.312585108482</v>
      </c>
      <c r="DW390" s="408">
        <v>0</v>
      </c>
      <c r="DX390" s="408">
        <v>0</v>
      </c>
      <c r="DY390" s="408">
        <v>-7515.0602999999992</v>
      </c>
      <c r="DZ390" s="408">
        <v>372.00734999999986</v>
      </c>
      <c r="EA390" s="408">
        <v>0</v>
      </c>
      <c r="EB390" s="408">
        <v>0</v>
      </c>
      <c r="EC390" s="408">
        <v>-7452.4404025766516</v>
      </c>
      <c r="ED390" s="408">
        <v>0</v>
      </c>
      <c r="EE390" s="408">
        <v>0</v>
      </c>
      <c r="EF390" s="408">
        <v>0</v>
      </c>
      <c r="EG390" s="408">
        <v>0</v>
      </c>
      <c r="EH390" s="408">
        <v>0</v>
      </c>
      <c r="EI390" s="408">
        <v>0</v>
      </c>
      <c r="EJ390" s="408">
        <v>0</v>
      </c>
      <c r="EK390" s="408">
        <v>0</v>
      </c>
      <c r="EL390" s="408">
        <v>0</v>
      </c>
      <c r="EM390" s="408">
        <v>0</v>
      </c>
      <c r="EN390" s="408">
        <v>0</v>
      </c>
      <c r="EO390" s="408">
        <v>0</v>
      </c>
      <c r="EP390" s="408">
        <v>0</v>
      </c>
      <c r="EQ390" s="408">
        <v>0</v>
      </c>
      <c r="ER390" s="408">
        <v>0</v>
      </c>
      <c r="ES390" s="408">
        <v>0</v>
      </c>
      <c r="ET390" s="408">
        <v>0</v>
      </c>
      <c r="EU390" s="408">
        <v>0</v>
      </c>
      <c r="EV390" s="408">
        <v>257</v>
      </c>
      <c r="EW390" s="408">
        <v>0</v>
      </c>
      <c r="EX390" s="408">
        <v>0</v>
      </c>
      <c r="EY390" s="408">
        <v>0</v>
      </c>
      <c r="EZ390" s="408"/>
      <c r="FA390" s="408">
        <v>0</v>
      </c>
      <c r="FB390" s="408"/>
      <c r="FC390" s="408"/>
      <c r="FD390" s="408"/>
      <c r="FE390" s="408"/>
      <c r="FF390" s="408">
        <v>0</v>
      </c>
      <c r="FG390" s="408">
        <v>0</v>
      </c>
      <c r="FH390" s="408">
        <v>0</v>
      </c>
      <c r="FI390" s="408">
        <v>0</v>
      </c>
    </row>
    <row r="391" spans="1:165">
      <c r="A391" s="408">
        <v>389</v>
      </c>
      <c r="B391" s="408" t="s">
        <v>1035</v>
      </c>
      <c r="C391" s="408" t="s">
        <v>2241</v>
      </c>
      <c r="D391" s="408" t="s">
        <v>596</v>
      </c>
      <c r="E391" s="408" t="s">
        <v>997</v>
      </c>
      <c r="F391" s="408" t="s">
        <v>1321</v>
      </c>
      <c r="G391" s="408" t="s">
        <v>1321</v>
      </c>
      <c r="H391" s="408" t="s">
        <v>1321</v>
      </c>
      <c r="I391" s="408" t="s">
        <v>972</v>
      </c>
      <c r="J391" s="408" t="s">
        <v>2234</v>
      </c>
      <c r="K391" s="828">
        <v>44682</v>
      </c>
      <c r="L391" s="408">
        <v>0</v>
      </c>
      <c r="M391" s="408">
        <v>0</v>
      </c>
      <c r="N391" s="408">
        <v>13.712999999999999</v>
      </c>
      <c r="O391" s="408">
        <v>13.712999999999999</v>
      </c>
      <c r="P391" s="408">
        <v>13.712999999999999</v>
      </c>
      <c r="Q391" s="408">
        <v>13.712999999999999</v>
      </c>
      <c r="R391" s="408"/>
      <c r="S391" s="408">
        <v>3130.62</v>
      </c>
      <c r="T391" s="408">
        <v>256.55</v>
      </c>
      <c r="U391" s="408"/>
      <c r="V391" s="408">
        <v>46448.262209999994</v>
      </c>
      <c r="W391" s="408">
        <v>46448.262209999994</v>
      </c>
      <c r="X391" s="408">
        <v>24445.205189999997</v>
      </c>
      <c r="Y391" s="408">
        <v>0</v>
      </c>
      <c r="Z391" s="408">
        <v>733.41200622895099</v>
      </c>
      <c r="AA391" s="408">
        <v>0</v>
      </c>
      <c r="AB391" s="408">
        <v>0</v>
      </c>
      <c r="AC391" s="408">
        <v>0</v>
      </c>
      <c r="AD391" s="408">
        <v>8834.1039391325085</v>
      </c>
      <c r="AE391" s="408">
        <v>32968.090615973924</v>
      </c>
      <c r="AF391" s="408">
        <v>3518.104730511629</v>
      </c>
      <c r="AG391" s="408">
        <v>0</v>
      </c>
      <c r="AH391" s="408">
        <v>0</v>
      </c>
      <c r="AI391" s="408">
        <v>0</v>
      </c>
      <c r="AJ391" s="408">
        <v>0</v>
      </c>
      <c r="AK391" s="408">
        <v>0</v>
      </c>
      <c r="AL391" s="408">
        <v>130.33196887810215</v>
      </c>
      <c r="AM391" s="408"/>
      <c r="AN391" s="408">
        <v>18.499591143894389</v>
      </c>
      <c r="AO391" s="408">
        <v>0</v>
      </c>
      <c r="AP391" s="408">
        <v>0</v>
      </c>
      <c r="AQ391" s="408">
        <v>0</v>
      </c>
      <c r="AR391" s="408">
        <v>0</v>
      </c>
      <c r="AS391" s="408">
        <v>0</v>
      </c>
      <c r="AT391" s="408">
        <v>0</v>
      </c>
      <c r="AU391" s="408">
        <v>0</v>
      </c>
      <c r="AV391" s="408">
        <v>0</v>
      </c>
      <c r="AW391" s="408">
        <v>0</v>
      </c>
      <c r="AX391" s="408">
        <v>0</v>
      </c>
      <c r="AY391" s="408">
        <v>0</v>
      </c>
      <c r="AZ391" s="408">
        <v>0</v>
      </c>
      <c r="BA391" s="408"/>
      <c r="BB391" s="408">
        <v>0</v>
      </c>
      <c r="BC391" s="408">
        <v>0</v>
      </c>
      <c r="BD391" s="408">
        <v>16.894761803549169</v>
      </c>
      <c r="BE391" s="408">
        <v>0</v>
      </c>
      <c r="BF391" s="408">
        <v>0</v>
      </c>
      <c r="BG391" s="408">
        <v>228.86020905362432</v>
      </c>
      <c r="BH391" s="408">
        <v>0</v>
      </c>
      <c r="BI391" s="408">
        <v>0</v>
      </c>
      <c r="BJ391" s="408">
        <v>0</v>
      </c>
      <c r="BK391" s="408">
        <v>0</v>
      </c>
      <c r="BL391" s="408">
        <v>0</v>
      </c>
      <c r="BM391" s="408"/>
      <c r="BN391" s="408"/>
      <c r="BO391" s="408"/>
      <c r="BP391" s="408"/>
      <c r="BQ391" s="408"/>
      <c r="BR391" s="408"/>
      <c r="BS391" s="408"/>
      <c r="BT391" s="408"/>
      <c r="BU391" s="408"/>
      <c r="BV391" s="408">
        <v>3763.8597013688022</v>
      </c>
      <c r="BW391" s="408"/>
      <c r="BX391" s="408"/>
      <c r="BY391" s="408"/>
      <c r="BZ391" s="408"/>
      <c r="CA391" s="408"/>
      <c r="CB391" s="408"/>
      <c r="CC391" s="408"/>
      <c r="CD391" s="408"/>
      <c r="CE391" s="408"/>
      <c r="CF391" s="408"/>
      <c r="CG391" s="408"/>
      <c r="CH391" s="408"/>
      <c r="CI391" s="408">
        <v>24439.857300000003</v>
      </c>
      <c r="CJ391" s="408">
        <v>-22008.434909999996</v>
      </c>
      <c r="CK391" s="408"/>
      <c r="CL391" s="408"/>
      <c r="CM391" s="408"/>
      <c r="CN391" s="408"/>
      <c r="CO391" s="408">
        <v>-22222.327889999997</v>
      </c>
      <c r="CP391" s="408">
        <v>219.27087000000012</v>
      </c>
      <c r="CQ391" s="408">
        <v>31</v>
      </c>
      <c r="CR391" s="408">
        <v>140.61174699047115</v>
      </c>
      <c r="CS391" s="408">
        <v>0</v>
      </c>
      <c r="CT391" s="408">
        <v>0</v>
      </c>
      <c r="CU391" s="408">
        <v>0</v>
      </c>
      <c r="CV391" s="408">
        <v>0</v>
      </c>
      <c r="CW391" s="408">
        <v>0</v>
      </c>
      <c r="CX391" s="408">
        <v>0</v>
      </c>
      <c r="CY391" s="408">
        <v>0</v>
      </c>
      <c r="CZ391" s="408">
        <v>-39.930705428127112</v>
      </c>
      <c r="DA391" s="408">
        <v>0</v>
      </c>
      <c r="DB391" s="408">
        <v>0</v>
      </c>
      <c r="DC391" s="408">
        <v>219.17253908219027</v>
      </c>
      <c r="DD391" s="408">
        <v>0</v>
      </c>
      <c r="DE391" s="408">
        <v>0</v>
      </c>
      <c r="DF391" s="408">
        <v>1.052517797312511</v>
      </c>
      <c r="DG391" s="408">
        <v>14.257640677419346</v>
      </c>
      <c r="DH391" s="408">
        <v>0</v>
      </c>
      <c r="DI391" s="408">
        <v>-45.6063847675332</v>
      </c>
      <c r="DJ391" s="408"/>
      <c r="DK391" s="408">
        <v>0</v>
      </c>
      <c r="DL391" s="408">
        <v>0</v>
      </c>
      <c r="DM391" s="408">
        <v>0</v>
      </c>
      <c r="DN391" s="408">
        <v>0</v>
      </c>
      <c r="DO391" s="408">
        <v>-7.1516658308022585</v>
      </c>
      <c r="DP391" s="408">
        <v>-1.1821945399859466</v>
      </c>
      <c r="DQ391" s="408">
        <v>0</v>
      </c>
      <c r="DR391" s="408">
        <v>0</v>
      </c>
      <c r="DS391" s="408"/>
      <c r="DT391" s="408"/>
      <c r="DU391" s="408"/>
      <c r="DV391" s="408">
        <v>32968.090615973924</v>
      </c>
      <c r="DW391" s="408">
        <v>0</v>
      </c>
      <c r="DX391" s="408">
        <v>0</v>
      </c>
      <c r="DY391" s="408">
        <v>-22222.327889999997</v>
      </c>
      <c r="DZ391" s="408">
        <v>219.27086999999983</v>
      </c>
      <c r="EA391" s="408">
        <v>0</v>
      </c>
      <c r="EB391" s="408">
        <v>0</v>
      </c>
      <c r="EC391" s="408">
        <v>-22143.831335770319</v>
      </c>
      <c r="ED391" s="408">
        <v>0</v>
      </c>
      <c r="EE391" s="408">
        <v>0</v>
      </c>
      <c r="EF391" s="408">
        <v>0</v>
      </c>
      <c r="EG391" s="408">
        <v>0</v>
      </c>
      <c r="EH391" s="408">
        <v>0</v>
      </c>
      <c r="EI391" s="408">
        <v>0</v>
      </c>
      <c r="EJ391" s="408">
        <v>0</v>
      </c>
      <c r="EK391" s="408">
        <v>0</v>
      </c>
      <c r="EL391" s="408">
        <v>0</v>
      </c>
      <c r="EM391" s="408">
        <v>0</v>
      </c>
      <c r="EN391" s="408">
        <v>0</v>
      </c>
      <c r="EO391" s="408">
        <v>0</v>
      </c>
      <c r="EP391" s="408">
        <v>0</v>
      </c>
      <c r="EQ391" s="408">
        <v>0</v>
      </c>
      <c r="ER391" s="408">
        <v>0</v>
      </c>
      <c r="ES391" s="408">
        <v>0</v>
      </c>
      <c r="ET391" s="408">
        <v>0</v>
      </c>
      <c r="EU391" s="408">
        <v>0</v>
      </c>
      <c r="EV391" s="408">
        <v>257</v>
      </c>
      <c r="EW391" s="408">
        <v>0</v>
      </c>
      <c r="EX391" s="408">
        <v>0</v>
      </c>
      <c r="EY391" s="408">
        <v>0</v>
      </c>
      <c r="EZ391" s="408"/>
      <c r="FA391" s="408">
        <v>0</v>
      </c>
      <c r="FB391" s="408"/>
      <c r="FC391" s="408"/>
      <c r="FD391" s="408"/>
      <c r="FE391" s="408"/>
      <c r="FF391" s="408">
        <v>0</v>
      </c>
      <c r="FG391" s="408">
        <v>0</v>
      </c>
      <c r="FH391" s="408">
        <v>0</v>
      </c>
      <c r="FI391" s="408">
        <v>0</v>
      </c>
    </row>
    <row r="392" spans="1:165">
      <c r="A392" s="408">
        <v>390</v>
      </c>
      <c r="B392" s="408" t="s">
        <v>2236</v>
      </c>
      <c r="C392" s="408" t="s">
        <v>2241</v>
      </c>
      <c r="D392" s="408" t="s">
        <v>596</v>
      </c>
      <c r="E392" s="408" t="s">
        <v>997</v>
      </c>
      <c r="F392" s="408" t="s">
        <v>1321</v>
      </c>
      <c r="G392" s="408" t="s">
        <v>1321</v>
      </c>
      <c r="H392" s="408" t="s">
        <v>1321</v>
      </c>
      <c r="I392" s="408" t="s">
        <v>972</v>
      </c>
      <c r="J392" s="408" t="s">
        <v>2234</v>
      </c>
      <c r="K392" s="828">
        <v>44682</v>
      </c>
      <c r="L392" s="408">
        <v>0</v>
      </c>
      <c r="M392" s="408">
        <v>0</v>
      </c>
      <c r="N392" s="408">
        <v>0.88</v>
      </c>
      <c r="O392" s="408">
        <v>0.88</v>
      </c>
      <c r="P392" s="408">
        <v>0.88</v>
      </c>
      <c r="Q392" s="408">
        <v>0.88</v>
      </c>
      <c r="R392" s="408"/>
      <c r="S392" s="408">
        <v>3130.62</v>
      </c>
      <c r="T392" s="408">
        <v>256.55</v>
      </c>
      <c r="U392" s="408"/>
      <c r="V392" s="408">
        <v>2980.7096000000001</v>
      </c>
      <c r="W392" s="408">
        <v>2980.7096000000001</v>
      </c>
      <c r="X392" s="408">
        <v>1568.7143999999998</v>
      </c>
      <c r="Y392" s="408">
        <v>0</v>
      </c>
      <c r="Z392" s="408">
        <v>47.065016078281694</v>
      </c>
      <c r="AA392" s="408">
        <v>0</v>
      </c>
      <c r="AB392" s="408">
        <v>0</v>
      </c>
      <c r="AC392" s="408">
        <v>0</v>
      </c>
      <c r="AD392" s="408">
        <v>566.90815040010273</v>
      </c>
      <c r="AE392" s="408">
        <v>2115.6508234563594</v>
      </c>
      <c r="AF392" s="408">
        <v>225.76621912420578</v>
      </c>
      <c r="AG392" s="408">
        <v>0</v>
      </c>
      <c r="AH392" s="408">
        <v>0</v>
      </c>
      <c r="AI392" s="408">
        <v>0</v>
      </c>
      <c r="AJ392" s="408">
        <v>0</v>
      </c>
      <c r="AK392" s="408">
        <v>0</v>
      </c>
      <c r="AL392" s="408">
        <v>8.3637521047713772</v>
      </c>
      <c r="AM392" s="408"/>
      <c r="AN392" s="408">
        <v>1.1871683954369623</v>
      </c>
      <c r="AO392" s="408">
        <v>0</v>
      </c>
      <c r="AP392" s="408">
        <v>0</v>
      </c>
      <c r="AQ392" s="408">
        <v>0</v>
      </c>
      <c r="AR392" s="408">
        <v>0</v>
      </c>
      <c r="AS392" s="408">
        <v>0</v>
      </c>
      <c r="AT392" s="408">
        <v>0</v>
      </c>
      <c r="AU392" s="408">
        <v>0</v>
      </c>
      <c r="AV392" s="408">
        <v>0</v>
      </c>
      <c r="AW392" s="408">
        <v>0</v>
      </c>
      <c r="AX392" s="408">
        <v>0</v>
      </c>
      <c r="AY392" s="408">
        <v>0</v>
      </c>
      <c r="AZ392" s="408">
        <v>0</v>
      </c>
      <c r="BA392" s="408"/>
      <c r="BB392" s="408">
        <v>0</v>
      </c>
      <c r="BC392" s="408">
        <v>0</v>
      </c>
      <c r="BD392" s="408">
        <v>1.0841821911414913</v>
      </c>
      <c r="BE392" s="408">
        <v>0</v>
      </c>
      <c r="BF392" s="408">
        <v>0</v>
      </c>
      <c r="BG392" s="408">
        <v>14.686573613883864</v>
      </c>
      <c r="BH392" s="408">
        <v>0</v>
      </c>
      <c r="BI392" s="408">
        <v>0</v>
      </c>
      <c r="BJ392" s="408">
        <v>0</v>
      </c>
      <c r="BK392" s="408">
        <v>0</v>
      </c>
      <c r="BL392" s="408">
        <v>0</v>
      </c>
      <c r="BM392" s="408"/>
      <c r="BN392" s="408"/>
      <c r="BO392" s="408"/>
      <c r="BP392" s="408"/>
      <c r="BQ392" s="408"/>
      <c r="BR392" s="408"/>
      <c r="BS392" s="408"/>
      <c r="BT392" s="408"/>
      <c r="BU392" s="408"/>
      <c r="BV392" s="408">
        <v>241.53697492923112</v>
      </c>
      <c r="BW392" s="408"/>
      <c r="BX392" s="408"/>
      <c r="BY392" s="408"/>
      <c r="BZ392" s="408"/>
      <c r="CA392" s="408"/>
      <c r="CB392" s="408"/>
      <c r="CC392" s="408"/>
      <c r="CD392" s="408"/>
      <c r="CE392" s="408"/>
      <c r="CF392" s="408"/>
      <c r="CG392" s="408"/>
      <c r="CH392" s="408"/>
      <c r="CI392" s="408">
        <v>1568.7143999999998</v>
      </c>
      <c r="CJ392" s="408">
        <v>-1412.025200000001</v>
      </c>
      <c r="CK392" s="408"/>
      <c r="CL392" s="408"/>
      <c r="CM392" s="408"/>
      <c r="CN392" s="408"/>
      <c r="CO392" s="408">
        <v>-1426.0663999999999</v>
      </c>
      <c r="CP392" s="408">
        <v>14.071200000000008</v>
      </c>
      <c r="CQ392" s="408">
        <v>31</v>
      </c>
      <c r="CR392" s="408">
        <v>9.0234330454032943</v>
      </c>
      <c r="CS392" s="408">
        <v>0</v>
      </c>
      <c r="CT392" s="408">
        <v>0</v>
      </c>
      <c r="CU392" s="408">
        <v>0</v>
      </c>
      <c r="CV392" s="408">
        <v>0</v>
      </c>
      <c r="CW392" s="408">
        <v>0</v>
      </c>
      <c r="CX392" s="408">
        <v>0</v>
      </c>
      <c r="CY392" s="408">
        <v>0</v>
      </c>
      <c r="CZ392" s="408">
        <v>-2.5624604956429948</v>
      </c>
      <c r="DA392" s="408">
        <v>0</v>
      </c>
      <c r="DB392" s="408">
        <v>0</v>
      </c>
      <c r="DC392" s="408">
        <v>14.064889841196475</v>
      </c>
      <c r="DD392" s="408">
        <v>0</v>
      </c>
      <c r="DE392" s="408">
        <v>0</v>
      </c>
      <c r="DF392" s="408">
        <v>6.7542890806899125E-2</v>
      </c>
      <c r="DG392" s="408">
        <v>0.9149510534623353</v>
      </c>
      <c r="DH392" s="408">
        <v>0</v>
      </c>
      <c r="DI392" s="408">
        <v>-2.9266840658812185</v>
      </c>
      <c r="DJ392" s="408"/>
      <c r="DK392" s="408">
        <v>0</v>
      </c>
      <c r="DL392" s="408">
        <v>0</v>
      </c>
      <c r="DM392" s="408">
        <v>0</v>
      </c>
      <c r="DN392" s="408">
        <v>0</v>
      </c>
      <c r="DO392" s="408">
        <v>-0.45894158324990819</v>
      </c>
      <c r="DP392" s="408">
        <v>-7.5864595288239967E-2</v>
      </c>
      <c r="DQ392" s="408">
        <v>0</v>
      </c>
      <c r="DR392" s="408">
        <v>0</v>
      </c>
      <c r="DS392" s="408"/>
      <c r="DT392" s="408"/>
      <c r="DU392" s="408"/>
      <c r="DV392" s="408">
        <v>2115.6508234563594</v>
      </c>
      <c r="DW392" s="408">
        <v>0</v>
      </c>
      <c r="DX392" s="408">
        <v>0</v>
      </c>
      <c r="DY392" s="408">
        <v>-1426.0664000000002</v>
      </c>
      <c r="DZ392" s="408">
        <v>14.071200000000005</v>
      </c>
      <c r="EA392" s="408">
        <v>0</v>
      </c>
      <c r="EB392" s="408">
        <v>0</v>
      </c>
      <c r="EC392" s="408">
        <v>-1421.0290655201547</v>
      </c>
      <c r="ED392" s="408">
        <v>0</v>
      </c>
      <c r="EE392" s="408">
        <v>0</v>
      </c>
      <c r="EF392" s="408">
        <v>0</v>
      </c>
      <c r="EG392" s="408">
        <v>0</v>
      </c>
      <c r="EH392" s="408">
        <v>0</v>
      </c>
      <c r="EI392" s="408">
        <v>0</v>
      </c>
      <c r="EJ392" s="408">
        <v>0</v>
      </c>
      <c r="EK392" s="408">
        <v>0</v>
      </c>
      <c r="EL392" s="408">
        <v>0</v>
      </c>
      <c r="EM392" s="408">
        <v>0</v>
      </c>
      <c r="EN392" s="408">
        <v>0</v>
      </c>
      <c r="EO392" s="408">
        <v>0</v>
      </c>
      <c r="EP392" s="408">
        <v>0</v>
      </c>
      <c r="EQ392" s="408">
        <v>0</v>
      </c>
      <c r="ER392" s="408">
        <v>0</v>
      </c>
      <c r="ES392" s="408">
        <v>0</v>
      </c>
      <c r="ET392" s="408">
        <v>0</v>
      </c>
      <c r="EU392" s="408">
        <v>0</v>
      </c>
      <c r="EV392" s="408">
        <v>257</v>
      </c>
      <c r="EW392" s="408">
        <v>0</v>
      </c>
      <c r="EX392" s="408">
        <v>0</v>
      </c>
      <c r="EY392" s="408">
        <v>0</v>
      </c>
      <c r="EZ392" s="408"/>
      <c r="FA392" s="408">
        <v>0</v>
      </c>
      <c r="FB392" s="408"/>
      <c r="FC392" s="408"/>
      <c r="FD392" s="408"/>
      <c r="FE392" s="408"/>
      <c r="FF392" s="408">
        <v>0</v>
      </c>
      <c r="FG392" s="408">
        <v>0</v>
      </c>
      <c r="FH392" s="408">
        <v>0</v>
      </c>
      <c r="FI392" s="408">
        <v>0</v>
      </c>
    </row>
    <row r="393" spans="1:165">
      <c r="A393" s="408">
        <v>391</v>
      </c>
      <c r="B393" s="408" t="s">
        <v>1035</v>
      </c>
      <c r="C393" s="408" t="s">
        <v>2241</v>
      </c>
      <c r="D393" s="408" t="s">
        <v>596</v>
      </c>
      <c r="E393" s="408" t="s">
        <v>997</v>
      </c>
      <c r="F393" s="408" t="s">
        <v>1321</v>
      </c>
      <c r="G393" s="408" t="s">
        <v>1321</v>
      </c>
      <c r="H393" s="408" t="s">
        <v>1321</v>
      </c>
      <c r="I393" s="408" t="s">
        <v>2242</v>
      </c>
      <c r="J393" s="408" t="s">
        <v>2234</v>
      </c>
      <c r="K393" s="828">
        <v>44682</v>
      </c>
      <c r="L393" s="408">
        <v>0</v>
      </c>
      <c r="M393" s="408">
        <v>0</v>
      </c>
      <c r="N393" s="408">
        <v>112.327</v>
      </c>
      <c r="O393" s="408">
        <v>112.327</v>
      </c>
      <c r="P393" s="408">
        <v>112.327</v>
      </c>
      <c r="Q393" s="408">
        <v>112.327</v>
      </c>
      <c r="R393" s="408"/>
      <c r="S393" s="408">
        <v>82.26</v>
      </c>
      <c r="T393" s="408">
        <v>256.55</v>
      </c>
      <c r="U393" s="408"/>
      <c r="V393" s="408">
        <v>38057.510869999998</v>
      </c>
      <c r="W393" s="408">
        <v>38057.510869999998</v>
      </c>
      <c r="X393" s="408">
        <v>39536.857459999999</v>
      </c>
      <c r="Y393" s="408">
        <v>0</v>
      </c>
      <c r="Z393" s="408">
        <v>6007.5818875285777</v>
      </c>
      <c r="AA393" s="408">
        <v>0</v>
      </c>
      <c r="AB393" s="408">
        <v>0</v>
      </c>
      <c r="AC393" s="408">
        <v>0</v>
      </c>
      <c r="AD393" s="408">
        <v>0</v>
      </c>
      <c r="AE393" s="408">
        <v>0</v>
      </c>
      <c r="AF393" s="408">
        <v>28817.775108596205</v>
      </c>
      <c r="AG393" s="408">
        <v>0</v>
      </c>
      <c r="AH393" s="408">
        <v>0</v>
      </c>
      <c r="AI393" s="408">
        <v>0</v>
      </c>
      <c r="AJ393" s="408">
        <v>0</v>
      </c>
      <c r="AK393" s="408">
        <v>0</v>
      </c>
      <c r="AL393" s="408">
        <v>1067.5854348552891</v>
      </c>
      <c r="AM393" s="408"/>
      <c r="AN393" s="408">
        <v>151.53530040255416</v>
      </c>
      <c r="AO393" s="408">
        <v>0</v>
      </c>
      <c r="AP393" s="408">
        <v>0</v>
      </c>
      <c r="AQ393" s="408">
        <v>0</v>
      </c>
      <c r="AR393" s="408">
        <v>0</v>
      </c>
      <c r="AS393" s="408">
        <v>0</v>
      </c>
      <c r="AT393" s="408">
        <v>0</v>
      </c>
      <c r="AU393" s="408">
        <v>0</v>
      </c>
      <c r="AV393" s="408">
        <v>0</v>
      </c>
      <c r="AW393" s="408">
        <v>0</v>
      </c>
      <c r="AX393" s="408">
        <v>0</v>
      </c>
      <c r="AY393" s="408">
        <v>0</v>
      </c>
      <c r="AZ393" s="408">
        <v>0</v>
      </c>
      <c r="BA393" s="408"/>
      <c r="BB393" s="408">
        <v>0</v>
      </c>
      <c r="BC393" s="408">
        <v>0</v>
      </c>
      <c r="BD393" s="408">
        <v>138.38969657312532</v>
      </c>
      <c r="BE393" s="408">
        <v>0</v>
      </c>
      <c r="BF393" s="408">
        <v>0</v>
      </c>
      <c r="BG393" s="408">
        <v>1874.6576753712873</v>
      </c>
      <c r="BH393" s="408">
        <v>0</v>
      </c>
      <c r="BI393" s="408">
        <v>0</v>
      </c>
      <c r="BJ393" s="408">
        <v>0</v>
      </c>
      <c r="BK393" s="408">
        <v>0</v>
      </c>
      <c r="BL393" s="408">
        <v>0</v>
      </c>
      <c r="BM393" s="408"/>
      <c r="BN393" s="408"/>
      <c r="BO393" s="408"/>
      <c r="BP393" s="408"/>
      <c r="BQ393" s="408"/>
      <c r="BR393" s="408"/>
      <c r="BS393" s="408"/>
      <c r="BT393" s="408"/>
      <c r="BU393" s="408"/>
      <c r="BV393" s="408">
        <v>30830.822480540617</v>
      </c>
      <c r="BW393" s="408"/>
      <c r="BX393" s="408"/>
      <c r="BY393" s="408"/>
      <c r="BZ393" s="408"/>
      <c r="CA393" s="408"/>
      <c r="CB393" s="408"/>
      <c r="CC393" s="408"/>
      <c r="CD393" s="408"/>
      <c r="CE393" s="408"/>
      <c r="CF393" s="408"/>
      <c r="CG393" s="408"/>
      <c r="CH393" s="408"/>
      <c r="CI393" s="408">
        <v>39537.913399999998</v>
      </c>
      <c r="CJ393" s="408">
        <v>1480.3725299999933</v>
      </c>
      <c r="CK393" s="408"/>
      <c r="CL393" s="408"/>
      <c r="CM393" s="408"/>
      <c r="CN393" s="408"/>
      <c r="CO393" s="408">
        <v>-316.76214000000084</v>
      </c>
      <c r="CP393" s="408">
        <v>1796.1087300000011</v>
      </c>
      <c r="CQ393" s="408">
        <v>31</v>
      </c>
      <c r="CR393" s="408">
        <v>1478.8734815739954</v>
      </c>
      <c r="CS393" s="408">
        <v>0</v>
      </c>
      <c r="CT393" s="408">
        <v>0</v>
      </c>
      <c r="CU393" s="408">
        <v>0</v>
      </c>
      <c r="CV393" s="408">
        <v>0</v>
      </c>
      <c r="CW393" s="408">
        <v>0</v>
      </c>
      <c r="CX393" s="408">
        <v>0</v>
      </c>
      <c r="CY393" s="408">
        <v>0</v>
      </c>
      <c r="CZ393" s="408">
        <v>0</v>
      </c>
      <c r="DA393" s="408">
        <v>0</v>
      </c>
      <c r="DB393" s="408">
        <v>0</v>
      </c>
      <c r="DC393" s="408">
        <v>1795.3032740819071</v>
      </c>
      <c r="DD393" s="408">
        <v>0</v>
      </c>
      <c r="DE393" s="408">
        <v>0</v>
      </c>
      <c r="DF393" s="408">
        <v>8.6214662450756521</v>
      </c>
      <c r="DG393" s="408">
        <v>116.7883033889359</v>
      </c>
      <c r="DH393" s="408">
        <v>0</v>
      </c>
      <c r="DI393" s="408">
        <v>-373.57459212300091</v>
      </c>
      <c r="DJ393" s="408"/>
      <c r="DK393" s="408">
        <v>0</v>
      </c>
      <c r="DL393" s="408">
        <v>0</v>
      </c>
      <c r="DM393" s="408">
        <v>0</v>
      </c>
      <c r="DN393" s="408">
        <v>0</v>
      </c>
      <c r="DO393" s="408">
        <v>-58.581285479218536</v>
      </c>
      <c r="DP393" s="408">
        <v>-9.6836845397069737</v>
      </c>
      <c r="DQ393" s="408">
        <v>0</v>
      </c>
      <c r="DR393" s="408">
        <v>0</v>
      </c>
      <c r="DS393" s="408"/>
      <c r="DT393" s="408"/>
      <c r="DU393" s="408"/>
      <c r="DV393" s="408">
        <v>0</v>
      </c>
      <c r="DW393" s="408">
        <v>0</v>
      </c>
      <c r="DX393" s="408">
        <v>0</v>
      </c>
      <c r="DY393" s="408">
        <v>-316.76214000000073</v>
      </c>
      <c r="DZ393" s="408">
        <v>1796.1087299999999</v>
      </c>
      <c r="EA393" s="408">
        <v>0</v>
      </c>
      <c r="EB393" s="408">
        <v>0</v>
      </c>
      <c r="EC393" s="408">
        <v>0</v>
      </c>
      <c r="ED393" s="408">
        <v>0</v>
      </c>
      <c r="EE393" s="408">
        <v>0</v>
      </c>
      <c r="EF393" s="408">
        <v>0</v>
      </c>
      <c r="EG393" s="408">
        <v>0</v>
      </c>
      <c r="EH393" s="408">
        <v>0</v>
      </c>
      <c r="EI393" s="408">
        <v>0</v>
      </c>
      <c r="EJ393" s="408">
        <v>0</v>
      </c>
      <c r="EK393" s="408">
        <v>0</v>
      </c>
      <c r="EL393" s="408">
        <v>0</v>
      </c>
      <c r="EM393" s="408">
        <v>0</v>
      </c>
      <c r="EN393" s="408">
        <v>0</v>
      </c>
      <c r="EO393" s="408">
        <v>0</v>
      </c>
      <c r="EP393" s="408">
        <v>0</v>
      </c>
      <c r="EQ393" s="408">
        <v>0</v>
      </c>
      <c r="ER393" s="408">
        <v>0</v>
      </c>
      <c r="ES393" s="408">
        <v>0</v>
      </c>
      <c r="ET393" s="408">
        <v>0</v>
      </c>
      <c r="EU393" s="408">
        <v>0</v>
      </c>
      <c r="EV393" s="408">
        <v>257</v>
      </c>
      <c r="EW393" s="408">
        <v>0</v>
      </c>
      <c r="EX393" s="408">
        <v>0</v>
      </c>
      <c r="EY393" s="408">
        <v>0</v>
      </c>
      <c r="EZ393" s="408"/>
      <c r="FA393" s="408">
        <v>0</v>
      </c>
      <c r="FB393" s="408"/>
      <c r="FC393" s="408"/>
      <c r="FD393" s="408"/>
      <c r="FE393" s="408"/>
      <c r="FF393" s="408">
        <v>0</v>
      </c>
      <c r="FG393" s="408">
        <v>0</v>
      </c>
      <c r="FH393" s="408">
        <v>0</v>
      </c>
      <c r="FI393" s="408">
        <v>0</v>
      </c>
    </row>
    <row r="394" spans="1:165">
      <c r="A394" s="408">
        <v>392</v>
      </c>
      <c r="B394" s="408" t="s">
        <v>2236</v>
      </c>
      <c r="C394" s="408" t="s">
        <v>2241</v>
      </c>
      <c r="D394" s="408" t="s">
        <v>596</v>
      </c>
      <c r="E394" s="408" t="s">
        <v>997</v>
      </c>
      <c r="F394" s="408" t="s">
        <v>1321</v>
      </c>
      <c r="G394" s="408" t="s">
        <v>1321</v>
      </c>
      <c r="H394" s="408" t="s">
        <v>1321</v>
      </c>
      <c r="I394" s="408" t="s">
        <v>2242</v>
      </c>
      <c r="J394" s="408" t="s">
        <v>2234</v>
      </c>
      <c r="K394" s="828">
        <v>44682</v>
      </c>
      <c r="L394" s="408">
        <v>0</v>
      </c>
      <c r="M394" s="408">
        <v>0</v>
      </c>
      <c r="N394" s="408">
        <v>3.4729999999999999</v>
      </c>
      <c r="O394" s="408">
        <v>3.4729999999999999</v>
      </c>
      <c r="P394" s="408">
        <v>3.4729999999999999</v>
      </c>
      <c r="Q394" s="408">
        <v>3.4729999999999999</v>
      </c>
      <c r="R394" s="408"/>
      <c r="S394" s="408">
        <v>82.26</v>
      </c>
      <c r="T394" s="408">
        <v>256.55</v>
      </c>
      <c r="U394" s="408"/>
      <c r="V394" s="408">
        <v>1176.68713</v>
      </c>
      <c r="W394" s="408">
        <v>1176.68713</v>
      </c>
      <c r="X394" s="408">
        <v>1222.4265399999999</v>
      </c>
      <c r="Y394" s="408">
        <v>0</v>
      </c>
      <c r="Z394" s="408">
        <v>185.74636459076402</v>
      </c>
      <c r="AA394" s="408">
        <v>0</v>
      </c>
      <c r="AB394" s="408">
        <v>0</v>
      </c>
      <c r="AC394" s="408">
        <v>0</v>
      </c>
      <c r="AD394" s="408">
        <v>0</v>
      </c>
      <c r="AE394" s="408">
        <v>0</v>
      </c>
      <c r="AF394" s="408">
        <v>891.00690797541665</v>
      </c>
      <c r="AG394" s="408">
        <v>0</v>
      </c>
      <c r="AH394" s="408">
        <v>0</v>
      </c>
      <c r="AI394" s="408">
        <v>0</v>
      </c>
      <c r="AJ394" s="408">
        <v>0</v>
      </c>
      <c r="AK394" s="408">
        <v>0</v>
      </c>
      <c r="AL394" s="408">
        <v>33.008308022580671</v>
      </c>
      <c r="AM394" s="408"/>
      <c r="AN394" s="408">
        <v>4.6852679969915565</v>
      </c>
      <c r="AO394" s="408">
        <v>0</v>
      </c>
      <c r="AP394" s="408">
        <v>0</v>
      </c>
      <c r="AQ394" s="408">
        <v>0</v>
      </c>
      <c r="AR394" s="408">
        <v>0</v>
      </c>
      <c r="AS394" s="408">
        <v>0</v>
      </c>
      <c r="AT394" s="408">
        <v>0</v>
      </c>
      <c r="AU394" s="408">
        <v>0</v>
      </c>
      <c r="AV394" s="408">
        <v>0</v>
      </c>
      <c r="AW394" s="408">
        <v>0</v>
      </c>
      <c r="AX394" s="408">
        <v>0</v>
      </c>
      <c r="AY394" s="408">
        <v>0</v>
      </c>
      <c r="AZ394" s="408">
        <v>0</v>
      </c>
      <c r="BA394" s="408"/>
      <c r="BB394" s="408">
        <v>0</v>
      </c>
      <c r="BC394" s="408">
        <v>0</v>
      </c>
      <c r="BD394" s="408">
        <v>4.2788235793572715</v>
      </c>
      <c r="BE394" s="408">
        <v>0</v>
      </c>
      <c r="BF394" s="408">
        <v>0</v>
      </c>
      <c r="BG394" s="408">
        <v>57.961897910248474</v>
      </c>
      <c r="BH394" s="408">
        <v>0</v>
      </c>
      <c r="BI394" s="408">
        <v>0</v>
      </c>
      <c r="BJ394" s="408">
        <v>0</v>
      </c>
      <c r="BK394" s="408">
        <v>0</v>
      </c>
      <c r="BL394" s="408">
        <v>0</v>
      </c>
      <c r="BM394" s="408"/>
      <c r="BN394" s="408"/>
      <c r="BO394" s="408"/>
      <c r="BP394" s="408"/>
      <c r="BQ394" s="408"/>
      <c r="BR394" s="408"/>
      <c r="BS394" s="408"/>
      <c r="BT394" s="408"/>
      <c r="BU394" s="408"/>
      <c r="BV394" s="408">
        <v>953.24762946502244</v>
      </c>
      <c r="BW394" s="408"/>
      <c r="BX394" s="408"/>
      <c r="BY394" s="408"/>
      <c r="BZ394" s="408"/>
      <c r="CA394" s="408"/>
      <c r="CB394" s="408"/>
      <c r="CC394" s="408"/>
      <c r="CD394" s="408"/>
      <c r="CE394" s="408"/>
      <c r="CF394" s="408"/>
      <c r="CG394" s="408"/>
      <c r="CH394" s="408"/>
      <c r="CI394" s="408">
        <v>1221.3706000000002</v>
      </c>
      <c r="CJ394" s="408">
        <v>44.653470000000198</v>
      </c>
      <c r="CK394" s="408"/>
      <c r="CL394" s="408"/>
      <c r="CM394" s="408"/>
      <c r="CN394" s="408"/>
      <c r="CO394" s="408">
        <v>-9.7938600000000253</v>
      </c>
      <c r="CP394" s="408">
        <v>55.53327000000003</v>
      </c>
      <c r="CQ394" s="408">
        <v>31</v>
      </c>
      <c r="CR394" s="408">
        <v>45.724782122788383</v>
      </c>
      <c r="CS394" s="408">
        <v>0</v>
      </c>
      <c r="CT394" s="408">
        <v>0</v>
      </c>
      <c r="CU394" s="408">
        <v>0</v>
      </c>
      <c r="CV394" s="408">
        <v>0</v>
      </c>
      <c r="CW394" s="408">
        <v>0</v>
      </c>
      <c r="CX394" s="408">
        <v>0</v>
      </c>
      <c r="CY394" s="408">
        <v>0</v>
      </c>
      <c r="CZ394" s="408">
        <v>0</v>
      </c>
      <c r="DA394" s="408">
        <v>0</v>
      </c>
      <c r="DB394" s="408">
        <v>0</v>
      </c>
      <c r="DC394" s="408">
        <v>55.508366384631131</v>
      </c>
      <c r="DD394" s="408">
        <v>0</v>
      </c>
      <c r="DE394" s="408">
        <v>0</v>
      </c>
      <c r="DF394" s="408">
        <v>0.26656415883222806</v>
      </c>
      <c r="DG394" s="408">
        <v>3.6109375098575995</v>
      </c>
      <c r="DH394" s="408">
        <v>0</v>
      </c>
      <c r="DI394" s="408">
        <v>-11.550424728188062</v>
      </c>
      <c r="DJ394" s="408"/>
      <c r="DK394" s="408">
        <v>0</v>
      </c>
      <c r="DL394" s="408">
        <v>0</v>
      </c>
      <c r="DM394" s="408">
        <v>0</v>
      </c>
      <c r="DN394" s="408">
        <v>0</v>
      </c>
      <c r="DO394" s="408">
        <v>-1.8112546802578748</v>
      </c>
      <c r="DP394" s="408">
        <v>-0.29940652208642859</v>
      </c>
      <c r="DQ394" s="408">
        <v>0</v>
      </c>
      <c r="DR394" s="408">
        <v>0</v>
      </c>
      <c r="DS394" s="408"/>
      <c r="DT394" s="408"/>
      <c r="DU394" s="408"/>
      <c r="DV394" s="408">
        <v>0</v>
      </c>
      <c r="DW394" s="408">
        <v>0</v>
      </c>
      <c r="DX394" s="408">
        <v>0</v>
      </c>
      <c r="DY394" s="408">
        <v>-9.793860000000052</v>
      </c>
      <c r="DZ394" s="408">
        <v>55.533270000000016</v>
      </c>
      <c r="EA394" s="408">
        <v>0</v>
      </c>
      <c r="EB394" s="408">
        <v>0</v>
      </c>
      <c r="EC394" s="408">
        <v>0</v>
      </c>
      <c r="ED394" s="408">
        <v>0</v>
      </c>
      <c r="EE394" s="408">
        <v>0</v>
      </c>
      <c r="EF394" s="408">
        <v>0</v>
      </c>
      <c r="EG394" s="408">
        <v>0</v>
      </c>
      <c r="EH394" s="408">
        <v>0</v>
      </c>
      <c r="EI394" s="408">
        <v>0</v>
      </c>
      <c r="EJ394" s="408">
        <v>0</v>
      </c>
      <c r="EK394" s="408">
        <v>0</v>
      </c>
      <c r="EL394" s="408">
        <v>0</v>
      </c>
      <c r="EM394" s="408">
        <v>0</v>
      </c>
      <c r="EN394" s="408">
        <v>0</v>
      </c>
      <c r="EO394" s="408">
        <v>0</v>
      </c>
      <c r="EP394" s="408">
        <v>0</v>
      </c>
      <c r="EQ394" s="408">
        <v>0</v>
      </c>
      <c r="ER394" s="408">
        <v>0</v>
      </c>
      <c r="ES394" s="408">
        <v>0</v>
      </c>
      <c r="ET394" s="408">
        <v>0</v>
      </c>
      <c r="EU394" s="408">
        <v>0</v>
      </c>
      <c r="EV394" s="408">
        <v>257</v>
      </c>
      <c r="EW394" s="408">
        <v>0</v>
      </c>
      <c r="EX394" s="408">
        <v>0</v>
      </c>
      <c r="EY394" s="408">
        <v>0</v>
      </c>
      <c r="EZ394" s="408"/>
      <c r="FA394" s="408">
        <v>0</v>
      </c>
      <c r="FB394" s="408"/>
      <c r="FC394" s="408"/>
      <c r="FD394" s="408"/>
      <c r="FE394" s="408"/>
      <c r="FF394" s="408">
        <v>0</v>
      </c>
      <c r="FG394" s="408">
        <v>0</v>
      </c>
      <c r="FH394" s="408">
        <v>0</v>
      </c>
      <c r="FI394" s="408">
        <v>0</v>
      </c>
    </row>
    <row r="395" spans="1:165">
      <c r="A395" s="408">
        <v>393</v>
      </c>
      <c r="B395" s="408" t="s">
        <v>1035</v>
      </c>
      <c r="C395" s="408" t="s">
        <v>2241</v>
      </c>
      <c r="D395" s="408" t="s">
        <v>596</v>
      </c>
      <c r="E395" s="408" t="s">
        <v>997</v>
      </c>
      <c r="F395" s="408" t="s">
        <v>1321</v>
      </c>
      <c r="G395" s="408" t="s">
        <v>1321</v>
      </c>
      <c r="H395" s="408" t="s">
        <v>1321</v>
      </c>
      <c r="I395" s="408" t="s">
        <v>1321</v>
      </c>
      <c r="J395" s="408" t="s">
        <v>2234</v>
      </c>
      <c r="K395" s="828">
        <v>44682</v>
      </c>
      <c r="L395" s="408">
        <v>807</v>
      </c>
      <c r="M395" s="408">
        <v>807</v>
      </c>
      <c r="N395" s="408">
        <v>0</v>
      </c>
      <c r="O395" s="408">
        <v>0</v>
      </c>
      <c r="P395" s="408">
        <v>0</v>
      </c>
      <c r="Q395" s="408">
        <v>0</v>
      </c>
      <c r="R395" s="408">
        <v>47.39</v>
      </c>
      <c r="S395" s="408"/>
      <c r="T395" s="408"/>
      <c r="U395" s="408">
        <v>38243.730000000003</v>
      </c>
      <c r="V395" s="408"/>
      <c r="W395" s="408">
        <v>38243.730000000003</v>
      </c>
      <c r="X395" s="408">
        <v>26001.54</v>
      </c>
      <c r="Y395" s="408">
        <v>0</v>
      </c>
      <c r="Z395" s="408">
        <v>0</v>
      </c>
      <c r="AA395" s="408">
        <v>0</v>
      </c>
      <c r="AB395" s="408">
        <v>0</v>
      </c>
      <c r="AC395" s="408">
        <v>0</v>
      </c>
      <c r="AD395" s="408">
        <v>20150.87084482882</v>
      </c>
      <c r="AE395" s="408">
        <v>18092.832867303707</v>
      </c>
      <c r="AF395" s="408"/>
      <c r="AG395" s="408"/>
      <c r="AH395" s="408"/>
      <c r="AI395" s="408">
        <v>0</v>
      </c>
      <c r="AJ395" s="408">
        <v>0</v>
      </c>
      <c r="AK395" s="408">
        <v>0</v>
      </c>
      <c r="AL395" s="408">
        <v>0</v>
      </c>
      <c r="AM395" s="408"/>
      <c r="AN395" s="408">
        <v>0</v>
      </c>
      <c r="AO395" s="408">
        <v>0</v>
      </c>
      <c r="AP395" s="408">
        <v>0</v>
      </c>
      <c r="AQ395" s="408">
        <v>0</v>
      </c>
      <c r="AR395" s="408">
        <v>0</v>
      </c>
      <c r="AS395" s="408"/>
      <c r="AT395" s="408"/>
      <c r="AU395" s="408">
        <v>0</v>
      </c>
      <c r="AV395" s="408">
        <v>0</v>
      </c>
      <c r="AW395" s="408">
        <v>0</v>
      </c>
      <c r="AX395" s="408"/>
      <c r="AY395" s="408"/>
      <c r="AZ395" s="408">
        <v>0</v>
      </c>
      <c r="BA395" s="408"/>
      <c r="BB395" s="408">
        <v>0</v>
      </c>
      <c r="BC395" s="408">
        <v>0</v>
      </c>
      <c r="BD395" s="408">
        <v>0</v>
      </c>
      <c r="BE395" s="408">
        <v>0</v>
      </c>
      <c r="BF395" s="408"/>
      <c r="BG395" s="408">
        <v>0</v>
      </c>
      <c r="BH395" s="408">
        <v>0</v>
      </c>
      <c r="BI395" s="408">
        <v>1073.49</v>
      </c>
      <c r="BJ395" s="408">
        <v>1047.04</v>
      </c>
      <c r="BK395" s="408">
        <v>31776.49</v>
      </c>
      <c r="BL395" s="408">
        <v>10</v>
      </c>
      <c r="BM395" s="408"/>
      <c r="BN395" s="408"/>
      <c r="BO395" s="408"/>
      <c r="BP395" s="408"/>
      <c r="BQ395" s="408"/>
      <c r="BR395" s="408"/>
      <c r="BS395" s="408"/>
      <c r="BT395" s="408"/>
      <c r="BU395" s="408"/>
      <c r="BV395" s="408">
        <v>0</v>
      </c>
      <c r="BW395" s="408"/>
      <c r="BX395" s="408"/>
      <c r="BY395" s="408"/>
      <c r="BZ395" s="408"/>
      <c r="CA395" s="408"/>
      <c r="CB395" s="408"/>
      <c r="CC395" s="408"/>
      <c r="CD395" s="408"/>
      <c r="CE395" s="408"/>
      <c r="CF395" s="408"/>
      <c r="CG395" s="408"/>
      <c r="CH395" s="408"/>
      <c r="CI395" s="408">
        <v>26001.54</v>
      </c>
      <c r="CJ395" s="408">
        <v>-12242.220000000008</v>
      </c>
      <c r="CK395" s="408"/>
      <c r="CL395" s="408"/>
      <c r="CM395" s="408"/>
      <c r="CN395" s="408"/>
      <c r="CO395" s="408">
        <v>-12242.19</v>
      </c>
      <c r="CP395" s="408">
        <v>0</v>
      </c>
      <c r="CQ395" s="408">
        <v>31</v>
      </c>
      <c r="CR395" s="408">
        <v>-91.083203612863144</v>
      </c>
      <c r="CS395" s="408">
        <v>0</v>
      </c>
      <c r="CT395" s="408">
        <v>0</v>
      </c>
      <c r="CU395" s="408">
        <v>0</v>
      </c>
      <c r="CV395" s="408">
        <v>0</v>
      </c>
      <c r="CW395" s="408"/>
      <c r="CX395" s="408"/>
      <c r="CY395" s="408"/>
      <c r="CZ395" s="408">
        <v>-91.083203612863144</v>
      </c>
      <c r="DA395" s="408">
        <v>0</v>
      </c>
      <c r="DB395" s="408">
        <v>0</v>
      </c>
      <c r="DC395" s="408"/>
      <c r="DD395" s="408"/>
      <c r="DE395" s="408">
        <v>0</v>
      </c>
      <c r="DF395" s="408">
        <v>0</v>
      </c>
      <c r="DG395" s="408">
        <v>0</v>
      </c>
      <c r="DH395" s="408">
        <v>0</v>
      </c>
      <c r="DI395" s="408">
        <v>0</v>
      </c>
      <c r="DJ395" s="408"/>
      <c r="DK395" s="408">
        <v>0</v>
      </c>
      <c r="DL395" s="408">
        <v>0</v>
      </c>
      <c r="DM395" s="408"/>
      <c r="DN395" s="408">
        <v>0</v>
      </c>
      <c r="DO395" s="408">
        <v>0</v>
      </c>
      <c r="DP395" s="408">
        <v>0</v>
      </c>
      <c r="DQ395" s="408">
        <v>0</v>
      </c>
      <c r="DR395" s="408">
        <v>0</v>
      </c>
      <c r="DS395" s="408"/>
      <c r="DT395" s="408"/>
      <c r="DU395" s="408">
        <v>18092.832867303707</v>
      </c>
      <c r="DV395" s="408"/>
      <c r="DW395" s="408">
        <v>0</v>
      </c>
      <c r="DX395" s="408">
        <v>0</v>
      </c>
      <c r="DY395" s="408">
        <v>-12242.190000000002</v>
      </c>
      <c r="DZ395" s="408"/>
      <c r="EA395" s="408">
        <v>0</v>
      </c>
      <c r="EB395" s="408"/>
      <c r="EC395" s="408">
        <v>-12152.497518486321</v>
      </c>
      <c r="ED395" s="408"/>
      <c r="EE395" s="408">
        <v>0</v>
      </c>
      <c r="EF395" s="408">
        <v>0</v>
      </c>
      <c r="EG395" s="408"/>
      <c r="EH395" s="408">
        <v>0</v>
      </c>
      <c r="EI395" s="408">
        <v>0</v>
      </c>
      <c r="EJ395" s="408">
        <v>0</v>
      </c>
      <c r="EK395" s="408">
        <v>0</v>
      </c>
      <c r="EL395" s="408">
        <v>0</v>
      </c>
      <c r="EM395" s="408"/>
      <c r="EN395" s="408"/>
      <c r="EO395" s="408">
        <v>0</v>
      </c>
      <c r="EP395" s="408">
        <v>0</v>
      </c>
      <c r="EQ395" s="408"/>
      <c r="ER395" s="408">
        <v>0</v>
      </c>
      <c r="ES395" s="408"/>
      <c r="ET395" s="408">
        <v>0</v>
      </c>
      <c r="EU395" s="408"/>
      <c r="EV395" s="408">
        <v>257</v>
      </c>
      <c r="EW395" s="408"/>
      <c r="EX395" s="408"/>
      <c r="EY395" s="408"/>
      <c r="EZ395" s="408"/>
      <c r="FA395" s="408">
        <v>0</v>
      </c>
      <c r="FB395" s="408"/>
      <c r="FC395" s="408"/>
      <c r="FD395" s="408"/>
      <c r="FE395" s="408"/>
      <c r="FF395" s="408">
        <v>0</v>
      </c>
      <c r="FG395" s="408">
        <v>0</v>
      </c>
      <c r="FH395" s="408">
        <v>0</v>
      </c>
      <c r="FI395" s="408">
        <v>0</v>
      </c>
    </row>
    <row r="396" spans="1:165">
      <c r="A396" s="408">
        <v>394</v>
      </c>
      <c r="B396" s="408" t="s">
        <v>2236</v>
      </c>
      <c r="C396" s="408" t="s">
        <v>2241</v>
      </c>
      <c r="D396" s="408" t="s">
        <v>596</v>
      </c>
      <c r="E396" s="408" t="s">
        <v>997</v>
      </c>
      <c r="F396" s="408" t="s">
        <v>1321</v>
      </c>
      <c r="G396" s="408" t="s">
        <v>1321</v>
      </c>
      <c r="H396" s="408" t="s">
        <v>1321</v>
      </c>
      <c r="I396" s="408" t="s">
        <v>1321</v>
      </c>
      <c r="J396" s="408" t="s">
        <v>2234</v>
      </c>
      <c r="K396" s="828">
        <v>44682</v>
      </c>
      <c r="L396" s="408">
        <v>45</v>
      </c>
      <c r="M396" s="408">
        <v>45</v>
      </c>
      <c r="N396" s="408">
        <v>0</v>
      </c>
      <c r="O396" s="408">
        <v>0</v>
      </c>
      <c r="P396" s="408">
        <v>0</v>
      </c>
      <c r="Q396" s="408">
        <v>0</v>
      </c>
      <c r="R396" s="408">
        <v>47.39</v>
      </c>
      <c r="S396" s="408"/>
      <c r="T396" s="408"/>
      <c r="U396" s="408">
        <v>2132.5500000000002</v>
      </c>
      <c r="V396" s="408"/>
      <c r="W396" s="408">
        <v>2132.5500000000002</v>
      </c>
      <c r="X396" s="408">
        <v>1449.8999999999999</v>
      </c>
      <c r="Y396" s="408">
        <v>0</v>
      </c>
      <c r="Z396" s="408">
        <v>0</v>
      </c>
      <c r="AA396" s="408">
        <v>0</v>
      </c>
      <c r="AB396" s="408">
        <v>0</v>
      </c>
      <c r="AC396" s="408">
        <v>0</v>
      </c>
      <c r="AD396" s="408">
        <v>1123.6545080759565</v>
      </c>
      <c r="AE396" s="408">
        <v>1008.8940260578274</v>
      </c>
      <c r="AF396" s="408"/>
      <c r="AG396" s="408"/>
      <c r="AH396" s="408"/>
      <c r="AI396" s="408">
        <v>0</v>
      </c>
      <c r="AJ396" s="408">
        <v>0</v>
      </c>
      <c r="AK396" s="408">
        <v>0</v>
      </c>
      <c r="AL396" s="408">
        <v>0</v>
      </c>
      <c r="AM396" s="408"/>
      <c r="AN396" s="408">
        <v>0</v>
      </c>
      <c r="AO396" s="408">
        <v>0</v>
      </c>
      <c r="AP396" s="408">
        <v>0</v>
      </c>
      <c r="AQ396" s="408">
        <v>0</v>
      </c>
      <c r="AR396" s="408">
        <v>0</v>
      </c>
      <c r="AS396" s="408"/>
      <c r="AT396" s="408"/>
      <c r="AU396" s="408">
        <v>0</v>
      </c>
      <c r="AV396" s="408">
        <v>0</v>
      </c>
      <c r="AW396" s="408">
        <v>0</v>
      </c>
      <c r="AX396" s="408"/>
      <c r="AY396" s="408"/>
      <c r="AZ396" s="408">
        <v>0</v>
      </c>
      <c r="BA396" s="408"/>
      <c r="BB396" s="408">
        <v>0</v>
      </c>
      <c r="BC396" s="408">
        <v>0</v>
      </c>
      <c r="BD396" s="408">
        <v>0</v>
      </c>
      <c r="BE396" s="408">
        <v>0</v>
      </c>
      <c r="BF396" s="408"/>
      <c r="BG396" s="408">
        <v>0</v>
      </c>
      <c r="BH396" s="408">
        <v>0</v>
      </c>
      <c r="BI396" s="408">
        <v>46.49</v>
      </c>
      <c r="BJ396" s="408">
        <v>46.49</v>
      </c>
      <c r="BK396" s="408">
        <v>1354.64</v>
      </c>
      <c r="BL396" s="408">
        <v>1</v>
      </c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>
        <v>0</v>
      </c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>
        <v>1449.8999999999999</v>
      </c>
      <c r="CJ396" s="408">
        <v>-682.68000000000097</v>
      </c>
      <c r="CK396" s="408"/>
      <c r="CL396" s="408"/>
      <c r="CM396" s="408"/>
      <c r="CN396" s="408"/>
      <c r="CO396" s="408">
        <v>-682.65000000000009</v>
      </c>
      <c r="CP396" s="408">
        <v>0</v>
      </c>
      <c r="CQ396" s="408">
        <v>31</v>
      </c>
      <c r="CR396" s="408">
        <v>-5.0789890490445941</v>
      </c>
      <c r="CS396" s="408">
        <v>0</v>
      </c>
      <c r="CT396" s="408">
        <v>0</v>
      </c>
      <c r="CU396" s="408">
        <v>0</v>
      </c>
      <c r="CV396" s="408">
        <v>0</v>
      </c>
      <c r="CW396" s="408"/>
      <c r="CX396" s="408"/>
      <c r="CY396" s="408"/>
      <c r="CZ396" s="408">
        <v>-5.0789890490445941</v>
      </c>
      <c r="DA396" s="408">
        <v>0</v>
      </c>
      <c r="DB396" s="408">
        <v>0</v>
      </c>
      <c r="DC396" s="408"/>
      <c r="DD396" s="408"/>
      <c r="DE396" s="408">
        <v>0</v>
      </c>
      <c r="DF396" s="408">
        <v>0</v>
      </c>
      <c r="DG396" s="408">
        <v>0</v>
      </c>
      <c r="DH396" s="408">
        <v>0</v>
      </c>
      <c r="DI396" s="408">
        <v>0</v>
      </c>
      <c r="DJ396" s="408"/>
      <c r="DK396" s="408">
        <v>0</v>
      </c>
      <c r="DL396" s="408">
        <v>0</v>
      </c>
      <c r="DM396" s="408"/>
      <c r="DN396" s="408">
        <v>0</v>
      </c>
      <c r="DO396" s="408">
        <v>0</v>
      </c>
      <c r="DP396" s="408">
        <v>0</v>
      </c>
      <c r="DQ396" s="408">
        <v>0</v>
      </c>
      <c r="DR396" s="408">
        <v>0</v>
      </c>
      <c r="DS396" s="408"/>
      <c r="DT396" s="408"/>
      <c r="DU396" s="408">
        <v>1008.8940260578274</v>
      </c>
      <c r="DV396" s="408"/>
      <c r="DW396" s="408">
        <v>0</v>
      </c>
      <c r="DX396" s="408">
        <v>0</v>
      </c>
      <c r="DY396" s="408">
        <v>-682.65000000000032</v>
      </c>
      <c r="DZ396" s="408"/>
      <c r="EA396" s="408">
        <v>0</v>
      </c>
      <c r="EB396" s="408"/>
      <c r="EC396" s="408">
        <v>-677.64856051038953</v>
      </c>
      <c r="ED396" s="408"/>
      <c r="EE396" s="408">
        <v>0</v>
      </c>
      <c r="EF396" s="408">
        <v>0</v>
      </c>
      <c r="EG396" s="408"/>
      <c r="EH396" s="408">
        <v>0</v>
      </c>
      <c r="EI396" s="408">
        <v>0</v>
      </c>
      <c r="EJ396" s="408">
        <v>0</v>
      </c>
      <c r="EK396" s="408">
        <v>0</v>
      </c>
      <c r="EL396" s="408">
        <v>0</v>
      </c>
      <c r="EM396" s="408"/>
      <c r="EN396" s="408"/>
      <c r="EO396" s="408">
        <v>0</v>
      </c>
      <c r="EP396" s="408">
        <v>0</v>
      </c>
      <c r="EQ396" s="408"/>
      <c r="ER396" s="408">
        <v>0</v>
      </c>
      <c r="ES396" s="408"/>
      <c r="ET396" s="408">
        <v>0</v>
      </c>
      <c r="EU396" s="408"/>
      <c r="EV396" s="408">
        <v>257</v>
      </c>
      <c r="EW396" s="408"/>
      <c r="EX396" s="408"/>
      <c r="EY396" s="408"/>
      <c r="EZ396" s="408"/>
      <c r="FA396" s="408">
        <v>0</v>
      </c>
      <c r="FB396" s="408"/>
      <c r="FC396" s="408"/>
      <c r="FD396" s="408"/>
      <c r="FE396" s="408"/>
      <c r="FF396" s="408">
        <v>0</v>
      </c>
      <c r="FG396" s="408">
        <v>0</v>
      </c>
      <c r="FH396" s="408">
        <v>0</v>
      </c>
      <c r="FI396" s="408">
        <v>0</v>
      </c>
    </row>
    <row r="397" spans="1:165">
      <c r="A397" s="408">
        <v>395</v>
      </c>
      <c r="B397" s="408" t="s">
        <v>1035</v>
      </c>
      <c r="C397" s="408" t="s">
        <v>2233</v>
      </c>
      <c r="D397" s="408" t="s">
        <v>2243</v>
      </c>
      <c r="E397" s="408" t="s">
        <v>973</v>
      </c>
      <c r="F397" s="408" t="s">
        <v>1321</v>
      </c>
      <c r="G397" s="408" t="s">
        <v>1321</v>
      </c>
      <c r="H397" s="408" t="s">
        <v>1321</v>
      </c>
      <c r="I397" s="408" t="s">
        <v>1321</v>
      </c>
      <c r="J397" s="408" t="s">
        <v>2234</v>
      </c>
      <c r="K397" s="828">
        <v>44682</v>
      </c>
      <c r="L397" s="408">
        <v>0</v>
      </c>
      <c r="M397" s="408">
        <v>0</v>
      </c>
      <c r="N397" s="408">
        <v>2507.0859999999998</v>
      </c>
      <c r="O397" s="408">
        <v>2507.0859999999998</v>
      </c>
      <c r="P397" s="408">
        <v>2507.0859999999998</v>
      </c>
      <c r="Q397" s="408">
        <v>2507.0859999999998</v>
      </c>
      <c r="R397" s="408"/>
      <c r="S397" s="408">
        <v>710.91</v>
      </c>
      <c r="T397" s="408">
        <v>256.55</v>
      </c>
      <c r="U397" s="408"/>
      <c r="V397" s="408">
        <v>2425505.4215599997</v>
      </c>
      <c r="W397" s="408">
        <v>2425505.4215599997</v>
      </c>
      <c r="X397" s="408">
        <v>1655754.8069799999</v>
      </c>
      <c r="Y397" s="408">
        <v>0</v>
      </c>
      <c r="Z397" s="408">
        <v>154122.31308729746</v>
      </c>
      <c r="AA397" s="408">
        <v>0</v>
      </c>
      <c r="AB397" s="408">
        <v>0</v>
      </c>
      <c r="AC397" s="408">
        <v>0</v>
      </c>
      <c r="AD397" s="408">
        <v>308579.13915697666</v>
      </c>
      <c r="AE397" s="408">
        <v>1195654.5389103494</v>
      </c>
      <c r="AF397" s="408">
        <v>643199.23549912334</v>
      </c>
      <c r="AG397" s="408">
        <v>0</v>
      </c>
      <c r="AH397" s="408">
        <v>0</v>
      </c>
      <c r="AI397" s="408">
        <v>0</v>
      </c>
      <c r="AJ397" s="408">
        <v>0</v>
      </c>
      <c r="AK397" s="408">
        <v>0</v>
      </c>
      <c r="AL397" s="408">
        <v>23828.006601525969</v>
      </c>
      <c r="AM397" s="408"/>
      <c r="AN397" s="408">
        <v>5505.0710875191853</v>
      </c>
      <c r="AO397" s="408">
        <v>0</v>
      </c>
      <c r="AP397" s="408">
        <v>0</v>
      </c>
      <c r="AQ397" s="408">
        <v>0</v>
      </c>
      <c r="AR397" s="408">
        <v>0</v>
      </c>
      <c r="AS397" s="408">
        <v>0</v>
      </c>
      <c r="AT397" s="408">
        <v>0</v>
      </c>
      <c r="AU397" s="408">
        <v>0</v>
      </c>
      <c r="AV397" s="408">
        <v>0</v>
      </c>
      <c r="AW397" s="408">
        <v>0</v>
      </c>
      <c r="AX397" s="408">
        <v>0</v>
      </c>
      <c r="AY397" s="408">
        <v>0</v>
      </c>
      <c r="AZ397" s="408">
        <v>0</v>
      </c>
      <c r="BA397" s="408"/>
      <c r="BB397" s="408">
        <v>0</v>
      </c>
      <c r="BC397" s="408">
        <v>0</v>
      </c>
      <c r="BD397" s="408">
        <v>3736.3612351479728</v>
      </c>
      <c r="BE397" s="408">
        <v>0</v>
      </c>
      <c r="BF397" s="408">
        <v>0</v>
      </c>
      <c r="BG397" s="408">
        <v>90890.397295632545</v>
      </c>
      <c r="BH397" s="408">
        <v>0</v>
      </c>
      <c r="BI397" s="408">
        <v>16896.93</v>
      </c>
      <c r="BJ397" s="408">
        <v>16900.28</v>
      </c>
      <c r="BK397" s="408">
        <v>117118.62</v>
      </c>
      <c r="BL397" s="408">
        <v>8846</v>
      </c>
      <c r="BM397" s="408"/>
      <c r="BN397" s="408"/>
      <c r="BO397" s="408"/>
      <c r="BP397" s="408"/>
      <c r="BQ397" s="408"/>
      <c r="BR397" s="408">
        <v>198686.56549999991</v>
      </c>
      <c r="BS397" s="408"/>
      <c r="BT397" s="408"/>
      <c r="BU397" s="408"/>
      <c r="BV397" s="408">
        <v>737825.99402990378</v>
      </c>
      <c r="BW397" s="408"/>
      <c r="BX397" s="408"/>
      <c r="BY397" s="408"/>
      <c r="BZ397" s="408"/>
      <c r="CA397" s="408"/>
      <c r="CB397" s="408"/>
      <c r="CC397" s="408"/>
      <c r="CD397" s="408"/>
      <c r="CE397" s="408"/>
      <c r="CF397" s="408"/>
      <c r="CG397" s="408"/>
      <c r="CH397" s="408"/>
      <c r="CI397" s="408">
        <v>1457070.5662000002</v>
      </c>
      <c r="CJ397" s="408">
        <v>-677387.27161999932</v>
      </c>
      <c r="CK397" s="408"/>
      <c r="CL397" s="408"/>
      <c r="CM397" s="408"/>
      <c r="CN397" s="408"/>
      <c r="CO397" s="408">
        <v>-809838.91971999989</v>
      </c>
      <c r="CP397" s="408">
        <v>40088.305140000019</v>
      </c>
      <c r="CQ397" s="408">
        <v>31</v>
      </c>
      <c r="CR397" s="408">
        <v>33327.411571341101</v>
      </c>
      <c r="CS397" s="408">
        <v>0</v>
      </c>
      <c r="CT397" s="408">
        <v>0</v>
      </c>
      <c r="CU397" s="408">
        <v>0</v>
      </c>
      <c r="CV397" s="408">
        <v>0</v>
      </c>
      <c r="CW397" s="408">
        <v>0</v>
      </c>
      <c r="CX397" s="408">
        <v>0</v>
      </c>
      <c r="CY397" s="408">
        <v>0</v>
      </c>
      <c r="CZ397" s="408">
        <v>-1394.7971171539393</v>
      </c>
      <c r="DA397" s="408">
        <v>0</v>
      </c>
      <c r="DB397" s="408">
        <v>0</v>
      </c>
      <c r="DC397" s="408">
        <v>40070.327741370304</v>
      </c>
      <c r="DD397" s="408">
        <v>0</v>
      </c>
      <c r="DE397" s="408">
        <v>0</v>
      </c>
      <c r="DF397" s="408">
        <v>232.76958520691096</v>
      </c>
      <c r="DG397" s="408">
        <v>5662.3326135535171</v>
      </c>
      <c r="DH397" s="408">
        <v>0</v>
      </c>
      <c r="DI397" s="408">
        <v>-9583.9193416847556</v>
      </c>
      <c r="DJ397" s="408"/>
      <c r="DK397" s="408">
        <v>0</v>
      </c>
      <c r="DL397" s="408">
        <v>0</v>
      </c>
      <c r="DM397" s="408">
        <v>0</v>
      </c>
      <c r="DN397" s="408">
        <v>0</v>
      </c>
      <c r="DO397" s="408">
        <v>-1307.5068388450927</v>
      </c>
      <c r="DP397" s="408">
        <v>-351.79507110606664</v>
      </c>
      <c r="DQ397" s="408">
        <v>0</v>
      </c>
      <c r="DR397" s="408">
        <v>0</v>
      </c>
      <c r="DS397" s="408"/>
      <c r="DT397" s="408"/>
      <c r="DU397" s="408"/>
      <c r="DV397" s="408">
        <v>1195654.5389103494</v>
      </c>
      <c r="DW397" s="408">
        <v>0</v>
      </c>
      <c r="DX397" s="408">
        <v>0</v>
      </c>
      <c r="DY397" s="408">
        <v>-809838.91971999989</v>
      </c>
      <c r="DZ397" s="408">
        <v>40088.305139999953</v>
      </c>
      <c r="EA397" s="408">
        <v>0</v>
      </c>
      <c r="EB397" s="408">
        <v>0</v>
      </c>
      <c r="EC397" s="408">
        <v>-803090.86607067613</v>
      </c>
      <c r="ED397" s="408">
        <v>0</v>
      </c>
      <c r="EE397" s="408">
        <v>0</v>
      </c>
      <c r="EF397" s="408">
        <v>0</v>
      </c>
      <c r="EG397" s="408">
        <v>0</v>
      </c>
      <c r="EH397" s="408">
        <v>0</v>
      </c>
      <c r="EI397" s="408">
        <v>0</v>
      </c>
      <c r="EJ397" s="408">
        <v>0</v>
      </c>
      <c r="EK397" s="408">
        <v>0</v>
      </c>
      <c r="EL397" s="408">
        <v>0</v>
      </c>
      <c r="EM397" s="408">
        <v>0</v>
      </c>
      <c r="EN397" s="408">
        <v>0</v>
      </c>
      <c r="EO397" s="408">
        <v>0</v>
      </c>
      <c r="EP397" s="408">
        <v>0</v>
      </c>
      <c r="EQ397" s="408">
        <v>0</v>
      </c>
      <c r="ER397" s="408">
        <v>0</v>
      </c>
      <c r="ES397" s="408">
        <v>0</v>
      </c>
      <c r="ET397" s="408">
        <v>0</v>
      </c>
      <c r="EU397" s="408">
        <v>0</v>
      </c>
      <c r="EV397" s="408">
        <v>257</v>
      </c>
      <c r="EW397" s="408">
        <v>0</v>
      </c>
      <c r="EX397" s="408">
        <v>0</v>
      </c>
      <c r="EY397" s="408">
        <v>0</v>
      </c>
      <c r="EZ397" s="408"/>
      <c r="FA397" s="408">
        <v>0</v>
      </c>
      <c r="FB397" s="408"/>
      <c r="FC397" s="408"/>
      <c r="FD397" s="408"/>
      <c r="FE397" s="408"/>
      <c r="FF397" s="408">
        <v>0</v>
      </c>
      <c r="FG397" s="408">
        <v>0</v>
      </c>
      <c r="FH397" s="408">
        <v>0</v>
      </c>
      <c r="FI397" s="408">
        <v>0</v>
      </c>
    </row>
    <row r="398" spans="1:165">
      <c r="A398" s="408">
        <v>396</v>
      </c>
      <c r="B398" s="408" t="s">
        <v>2235</v>
      </c>
      <c r="C398" s="408" t="s">
        <v>2233</v>
      </c>
      <c r="D398" s="408" t="s">
        <v>2243</v>
      </c>
      <c r="E398" s="408" t="s">
        <v>973</v>
      </c>
      <c r="F398" s="408" t="s">
        <v>1321</v>
      </c>
      <c r="G398" s="408" t="s">
        <v>1321</v>
      </c>
      <c r="H398" s="408" t="s">
        <v>1321</v>
      </c>
      <c r="I398" s="408" t="s">
        <v>1321</v>
      </c>
      <c r="J398" s="408" t="s">
        <v>2234</v>
      </c>
      <c r="K398" s="828">
        <v>44682</v>
      </c>
      <c r="L398" s="408">
        <v>0</v>
      </c>
      <c r="M398" s="408">
        <v>0</v>
      </c>
      <c r="N398" s="408">
        <v>-28.065000000000001</v>
      </c>
      <c r="O398" s="408">
        <v>-28.065000000000001</v>
      </c>
      <c r="P398" s="408">
        <v>-28.065000000000001</v>
      </c>
      <c r="Q398" s="408">
        <v>-28.065000000000001</v>
      </c>
      <c r="R398" s="408"/>
      <c r="S398" s="408">
        <v>710.91</v>
      </c>
      <c r="T398" s="408">
        <v>256.55</v>
      </c>
      <c r="U398" s="408"/>
      <c r="V398" s="408">
        <v>-27151.764899999998</v>
      </c>
      <c r="W398" s="408">
        <v>-27151.764899999998</v>
      </c>
      <c r="X398" s="408">
        <v>-18534.967950000002</v>
      </c>
      <c r="Y398" s="408">
        <v>0</v>
      </c>
      <c r="Z398" s="408">
        <v>-1725.2869334338766</v>
      </c>
      <c r="AA398" s="408">
        <v>0</v>
      </c>
      <c r="AB398" s="408">
        <v>0</v>
      </c>
      <c r="AC398" s="408">
        <v>0</v>
      </c>
      <c r="AD398" s="408">
        <v>-3454.3184958316351</v>
      </c>
      <c r="AE398" s="408">
        <v>-13384.480881197918</v>
      </c>
      <c r="AF398" s="408">
        <v>-7200.1465224100402</v>
      </c>
      <c r="AG398" s="408">
        <v>0</v>
      </c>
      <c r="AH398" s="408">
        <v>0</v>
      </c>
      <c r="AI398" s="408">
        <v>0</v>
      </c>
      <c r="AJ398" s="408">
        <v>0</v>
      </c>
      <c r="AK398" s="408">
        <v>0</v>
      </c>
      <c r="AL398" s="408">
        <v>-266.73716229591901</v>
      </c>
      <c r="AM398" s="408"/>
      <c r="AN398" s="408">
        <v>-61.625257398918883</v>
      </c>
      <c r="AO398" s="408">
        <v>0</v>
      </c>
      <c r="AP398" s="408">
        <v>0</v>
      </c>
      <c r="AQ398" s="408">
        <v>0</v>
      </c>
      <c r="AR398" s="408">
        <v>0</v>
      </c>
      <c r="AS398" s="408">
        <v>0</v>
      </c>
      <c r="AT398" s="408">
        <v>0</v>
      </c>
      <c r="AU398" s="408">
        <v>0</v>
      </c>
      <c r="AV398" s="408">
        <v>0</v>
      </c>
      <c r="AW398" s="408">
        <v>0</v>
      </c>
      <c r="AX398" s="408">
        <v>0</v>
      </c>
      <c r="AY398" s="408">
        <v>0</v>
      </c>
      <c r="AZ398" s="408">
        <v>0</v>
      </c>
      <c r="BA398" s="408"/>
      <c r="BB398" s="408">
        <v>0</v>
      </c>
      <c r="BC398" s="408">
        <v>0</v>
      </c>
      <c r="BD398" s="408">
        <v>-41.825840064691789</v>
      </c>
      <c r="BE398" s="408">
        <v>0</v>
      </c>
      <c r="BF398" s="408">
        <v>0</v>
      </c>
      <c r="BG398" s="408">
        <v>-1017.4517348435306</v>
      </c>
      <c r="BH398" s="408">
        <v>0</v>
      </c>
      <c r="BI398" s="408">
        <v>-50.64</v>
      </c>
      <c r="BJ398" s="408">
        <v>-234.61</v>
      </c>
      <c r="BK398" s="408">
        <v>-346.42</v>
      </c>
      <c r="BL398" s="408">
        <v>0</v>
      </c>
      <c r="BM398" s="408"/>
      <c r="BN398" s="408"/>
      <c r="BO398" s="408"/>
      <c r="BP398" s="408"/>
      <c r="BQ398" s="408"/>
      <c r="BR398" s="408">
        <v>-2224.1512499999994</v>
      </c>
      <c r="BS398" s="408"/>
      <c r="BT398" s="408"/>
      <c r="BU398" s="408"/>
      <c r="BV398" s="408">
        <v>-8259.4240973182623</v>
      </c>
      <c r="BW398" s="408"/>
      <c r="BX398" s="408"/>
      <c r="BY398" s="408"/>
      <c r="BZ398" s="408"/>
      <c r="CA398" s="408"/>
      <c r="CB398" s="408"/>
      <c r="CC398" s="408"/>
      <c r="CD398" s="408"/>
      <c r="CE398" s="408"/>
      <c r="CF398" s="408"/>
      <c r="CG398" s="408"/>
      <c r="CH398" s="408"/>
      <c r="CI398" s="408">
        <v>-16313.722600000001</v>
      </c>
      <c r="CJ398" s="408">
        <v>7579.9464500000031</v>
      </c>
      <c r="CK398" s="408"/>
      <c r="CL398" s="408"/>
      <c r="CM398" s="408"/>
      <c r="CN398" s="408"/>
      <c r="CO398" s="408">
        <v>9065.5563000000002</v>
      </c>
      <c r="CP398" s="408">
        <v>-448.75935000000027</v>
      </c>
      <c r="CQ398" s="408">
        <v>31</v>
      </c>
      <c r="CR398" s="408">
        <v>-373.07607547155931</v>
      </c>
      <c r="CS398" s="408">
        <v>0</v>
      </c>
      <c r="CT398" s="408">
        <v>0</v>
      </c>
      <c r="CU398" s="408">
        <v>0</v>
      </c>
      <c r="CV398" s="408">
        <v>0</v>
      </c>
      <c r="CW398" s="408">
        <v>0</v>
      </c>
      <c r="CX398" s="408">
        <v>0</v>
      </c>
      <c r="CY398" s="408">
        <v>0</v>
      </c>
      <c r="CZ398" s="408">
        <v>15.613736861409961</v>
      </c>
      <c r="DA398" s="408">
        <v>0</v>
      </c>
      <c r="DB398" s="408">
        <v>0</v>
      </c>
      <c r="DC398" s="408">
        <v>-448.55810612861296</v>
      </c>
      <c r="DD398" s="408">
        <v>0</v>
      </c>
      <c r="DE398" s="408">
        <v>0</v>
      </c>
      <c r="DF398" s="408">
        <v>-2.6056858076794924</v>
      </c>
      <c r="DG398" s="408">
        <v>-63.385685532678053</v>
      </c>
      <c r="DH398" s="408">
        <v>0</v>
      </c>
      <c r="DI398" s="408">
        <v>107.28498995422683</v>
      </c>
      <c r="DJ398" s="408"/>
      <c r="DK398" s="408">
        <v>0</v>
      </c>
      <c r="DL398" s="408">
        <v>0</v>
      </c>
      <c r="DM398" s="408">
        <v>0</v>
      </c>
      <c r="DN398" s="408">
        <v>0</v>
      </c>
      <c r="DO398" s="408">
        <v>14.636585833987141</v>
      </c>
      <c r="DP398" s="408">
        <v>3.9380893477893295</v>
      </c>
      <c r="DQ398" s="408">
        <v>0</v>
      </c>
      <c r="DR398" s="408">
        <v>0</v>
      </c>
      <c r="DS398" s="408"/>
      <c r="DT398" s="408"/>
      <c r="DU398" s="408"/>
      <c r="DV398" s="408">
        <v>-13384.480881197918</v>
      </c>
      <c r="DW398" s="408">
        <v>0</v>
      </c>
      <c r="DX398" s="408">
        <v>0</v>
      </c>
      <c r="DY398" s="408">
        <v>9065.5562999999984</v>
      </c>
      <c r="DZ398" s="408">
        <v>-448.75935000000027</v>
      </c>
      <c r="EA398" s="408">
        <v>0</v>
      </c>
      <c r="EB398" s="408">
        <v>0</v>
      </c>
      <c r="EC398" s="408">
        <v>8990.0167590076817</v>
      </c>
      <c r="ED398" s="408">
        <v>0</v>
      </c>
      <c r="EE398" s="408">
        <v>0</v>
      </c>
      <c r="EF398" s="408">
        <v>0</v>
      </c>
      <c r="EG398" s="408">
        <v>0</v>
      </c>
      <c r="EH398" s="408">
        <v>0</v>
      </c>
      <c r="EI398" s="408">
        <v>0</v>
      </c>
      <c r="EJ398" s="408">
        <v>0</v>
      </c>
      <c r="EK398" s="408">
        <v>0</v>
      </c>
      <c r="EL398" s="408">
        <v>0</v>
      </c>
      <c r="EM398" s="408">
        <v>0</v>
      </c>
      <c r="EN398" s="408">
        <v>0</v>
      </c>
      <c r="EO398" s="408">
        <v>0</v>
      </c>
      <c r="EP398" s="408">
        <v>0</v>
      </c>
      <c r="EQ398" s="408">
        <v>0</v>
      </c>
      <c r="ER398" s="408">
        <v>0</v>
      </c>
      <c r="ES398" s="408">
        <v>0</v>
      </c>
      <c r="ET398" s="408">
        <v>0</v>
      </c>
      <c r="EU398" s="408">
        <v>0</v>
      </c>
      <c r="EV398" s="408">
        <v>257</v>
      </c>
      <c r="EW398" s="408">
        <v>0</v>
      </c>
      <c r="EX398" s="408">
        <v>0</v>
      </c>
      <c r="EY398" s="408">
        <v>0</v>
      </c>
      <c r="EZ398" s="408"/>
      <c r="FA398" s="408">
        <v>0</v>
      </c>
      <c r="FB398" s="408"/>
      <c r="FC398" s="408"/>
      <c r="FD398" s="408"/>
      <c r="FE398" s="408"/>
      <c r="FF398" s="408">
        <v>0</v>
      </c>
      <c r="FG398" s="408">
        <v>0</v>
      </c>
      <c r="FH398" s="408">
        <v>0</v>
      </c>
      <c r="FI398" s="408">
        <v>0</v>
      </c>
    </row>
    <row r="399" spans="1:165">
      <c r="A399" s="408">
        <v>397</v>
      </c>
      <c r="B399" s="408" t="s">
        <v>2236</v>
      </c>
      <c r="C399" s="408" t="s">
        <v>2233</v>
      </c>
      <c r="D399" s="408" t="s">
        <v>2243</v>
      </c>
      <c r="E399" s="408" t="s">
        <v>973</v>
      </c>
      <c r="F399" s="408" t="s">
        <v>1321</v>
      </c>
      <c r="G399" s="408" t="s">
        <v>1321</v>
      </c>
      <c r="H399" s="408" t="s">
        <v>1321</v>
      </c>
      <c r="I399" s="408" t="s">
        <v>1321</v>
      </c>
      <c r="J399" s="408" t="s">
        <v>2234</v>
      </c>
      <c r="K399" s="828">
        <v>44682</v>
      </c>
      <c r="L399" s="408">
        <v>0</v>
      </c>
      <c r="M399" s="408">
        <v>0</v>
      </c>
      <c r="N399" s="408">
        <v>167.48</v>
      </c>
      <c r="O399" s="408">
        <v>167.48</v>
      </c>
      <c r="P399" s="408">
        <v>167.48</v>
      </c>
      <c r="Q399" s="408">
        <v>167.48</v>
      </c>
      <c r="R399" s="408"/>
      <c r="S399" s="408">
        <v>710.91</v>
      </c>
      <c r="T399" s="408">
        <v>256.55</v>
      </c>
      <c r="U399" s="408"/>
      <c r="V399" s="408">
        <v>162030.20079999999</v>
      </c>
      <c r="W399" s="408">
        <v>162030.20079999999</v>
      </c>
      <c r="X399" s="408">
        <v>110608.81639999998</v>
      </c>
      <c r="Y399" s="408">
        <v>0</v>
      </c>
      <c r="Z399" s="408">
        <v>10295.779640531111</v>
      </c>
      <c r="AA399" s="408">
        <v>0</v>
      </c>
      <c r="AB399" s="408">
        <v>0</v>
      </c>
      <c r="AC399" s="408">
        <v>0</v>
      </c>
      <c r="AD399" s="408">
        <v>20613.905636268741</v>
      </c>
      <c r="AE399" s="408">
        <v>79872.897131053876</v>
      </c>
      <c r="AF399" s="408">
        <v>42967.416339684067</v>
      </c>
      <c r="AG399" s="408">
        <v>0</v>
      </c>
      <c r="AH399" s="408">
        <v>0</v>
      </c>
      <c r="AI399" s="408">
        <v>0</v>
      </c>
      <c r="AJ399" s="408">
        <v>0</v>
      </c>
      <c r="AK399" s="408">
        <v>0</v>
      </c>
      <c r="AL399" s="408">
        <v>1591.7740937580797</v>
      </c>
      <c r="AM399" s="408"/>
      <c r="AN399" s="408">
        <v>367.75336216536374</v>
      </c>
      <c r="AO399" s="408">
        <v>0</v>
      </c>
      <c r="AP399" s="408">
        <v>0</v>
      </c>
      <c r="AQ399" s="408">
        <v>0</v>
      </c>
      <c r="AR399" s="408">
        <v>0</v>
      </c>
      <c r="AS399" s="408">
        <v>0</v>
      </c>
      <c r="AT399" s="408">
        <v>0</v>
      </c>
      <c r="AU399" s="408">
        <v>0</v>
      </c>
      <c r="AV399" s="408">
        <v>0</v>
      </c>
      <c r="AW399" s="408">
        <v>0</v>
      </c>
      <c r="AX399" s="408">
        <v>0</v>
      </c>
      <c r="AY399" s="408">
        <v>0</v>
      </c>
      <c r="AZ399" s="408">
        <v>0</v>
      </c>
      <c r="BA399" s="408"/>
      <c r="BB399" s="408">
        <v>0</v>
      </c>
      <c r="BC399" s="408">
        <v>0</v>
      </c>
      <c r="BD399" s="408">
        <v>249.59884888774559</v>
      </c>
      <c r="BE399" s="408">
        <v>0</v>
      </c>
      <c r="BF399" s="408">
        <v>0</v>
      </c>
      <c r="BG399" s="408">
        <v>6071.7198129910739</v>
      </c>
      <c r="BH399" s="408">
        <v>0</v>
      </c>
      <c r="BI399" s="408">
        <v>1100.8800000000001</v>
      </c>
      <c r="BJ399" s="408">
        <v>1101.51</v>
      </c>
      <c r="BK399" s="408">
        <v>3151.6</v>
      </c>
      <c r="BL399" s="408">
        <v>219</v>
      </c>
      <c r="BM399" s="408"/>
      <c r="BN399" s="408"/>
      <c r="BO399" s="408"/>
      <c r="BP399" s="408"/>
      <c r="BQ399" s="408"/>
      <c r="BR399" s="408">
        <v>13272.789999999994</v>
      </c>
      <c r="BS399" s="408"/>
      <c r="BT399" s="408"/>
      <c r="BU399" s="408"/>
      <c r="BV399" s="408">
        <v>49288.735001562891</v>
      </c>
      <c r="BW399" s="408"/>
      <c r="BX399" s="408"/>
      <c r="BY399" s="408"/>
      <c r="BZ399" s="408"/>
      <c r="CA399" s="408"/>
      <c r="CB399" s="408"/>
      <c r="CC399" s="408"/>
      <c r="CD399" s="408"/>
      <c r="CE399" s="408"/>
      <c r="CF399" s="408"/>
      <c r="CG399" s="408"/>
      <c r="CH399" s="408"/>
      <c r="CI399" s="408">
        <v>97336.026400000002</v>
      </c>
      <c r="CJ399" s="408">
        <v>-45251.451199999981</v>
      </c>
      <c r="CK399" s="408"/>
      <c r="CL399" s="408"/>
      <c r="CM399" s="408"/>
      <c r="CN399" s="408"/>
      <c r="CO399" s="408">
        <v>-54099.389599999995</v>
      </c>
      <c r="CP399" s="408">
        <v>2678.0052000000014</v>
      </c>
      <c r="CQ399" s="408">
        <v>31</v>
      </c>
      <c r="CR399" s="408">
        <v>2226.359562443482</v>
      </c>
      <c r="CS399" s="408">
        <v>0</v>
      </c>
      <c r="CT399" s="408">
        <v>0</v>
      </c>
      <c r="CU399" s="408">
        <v>0</v>
      </c>
      <c r="CV399" s="408">
        <v>0</v>
      </c>
      <c r="CW399" s="408">
        <v>0</v>
      </c>
      <c r="CX399" s="408">
        <v>0</v>
      </c>
      <c r="CY399" s="408">
        <v>0</v>
      </c>
      <c r="CZ399" s="408">
        <v>-93.176149992836145</v>
      </c>
      <c r="DA399" s="408">
        <v>0</v>
      </c>
      <c r="DB399" s="408">
        <v>0</v>
      </c>
      <c r="DC399" s="408">
        <v>2676.8042620495326</v>
      </c>
      <c r="DD399" s="408">
        <v>0</v>
      </c>
      <c r="DE399" s="408">
        <v>0</v>
      </c>
      <c r="DF399" s="408">
        <v>15.549626191703567</v>
      </c>
      <c r="DG399" s="408">
        <v>378.25884956397294</v>
      </c>
      <c r="DH399" s="408">
        <v>0</v>
      </c>
      <c r="DI399" s="408">
        <v>-640.23125307443115</v>
      </c>
      <c r="DJ399" s="408"/>
      <c r="DK399" s="408">
        <v>0</v>
      </c>
      <c r="DL399" s="408">
        <v>0</v>
      </c>
      <c r="DM399" s="408">
        <v>0</v>
      </c>
      <c r="DN399" s="408">
        <v>0</v>
      </c>
      <c r="DO399" s="408">
        <v>-87.344927684880304</v>
      </c>
      <c r="DP399" s="408">
        <v>-23.500844609576234</v>
      </c>
      <c r="DQ399" s="408">
        <v>0</v>
      </c>
      <c r="DR399" s="408">
        <v>0</v>
      </c>
      <c r="DS399" s="408"/>
      <c r="DT399" s="408"/>
      <c r="DU399" s="408"/>
      <c r="DV399" s="408">
        <v>79872.897131053876</v>
      </c>
      <c r="DW399" s="408">
        <v>0</v>
      </c>
      <c r="DX399" s="408">
        <v>0</v>
      </c>
      <c r="DY399" s="408">
        <v>-54099.389599999995</v>
      </c>
      <c r="DZ399" s="408">
        <v>2678.0051999999996</v>
      </c>
      <c r="EA399" s="408">
        <v>0</v>
      </c>
      <c r="EB399" s="408">
        <v>0</v>
      </c>
      <c r="EC399" s="408">
        <v>-53648.601703139371</v>
      </c>
      <c r="ED399" s="408">
        <v>0</v>
      </c>
      <c r="EE399" s="408">
        <v>0</v>
      </c>
      <c r="EF399" s="408">
        <v>0</v>
      </c>
      <c r="EG399" s="408">
        <v>0</v>
      </c>
      <c r="EH399" s="408">
        <v>0</v>
      </c>
      <c r="EI399" s="408">
        <v>0</v>
      </c>
      <c r="EJ399" s="408">
        <v>0</v>
      </c>
      <c r="EK399" s="408">
        <v>0</v>
      </c>
      <c r="EL399" s="408">
        <v>0</v>
      </c>
      <c r="EM399" s="408">
        <v>0</v>
      </c>
      <c r="EN399" s="408">
        <v>0</v>
      </c>
      <c r="EO399" s="408">
        <v>0</v>
      </c>
      <c r="EP399" s="408">
        <v>0</v>
      </c>
      <c r="EQ399" s="408">
        <v>0</v>
      </c>
      <c r="ER399" s="408">
        <v>0</v>
      </c>
      <c r="ES399" s="408">
        <v>0</v>
      </c>
      <c r="ET399" s="408">
        <v>0</v>
      </c>
      <c r="EU399" s="408">
        <v>0</v>
      </c>
      <c r="EV399" s="408">
        <v>257</v>
      </c>
      <c r="EW399" s="408">
        <v>0</v>
      </c>
      <c r="EX399" s="408">
        <v>0</v>
      </c>
      <c r="EY399" s="408">
        <v>0</v>
      </c>
      <c r="EZ399" s="408"/>
      <c r="FA399" s="408">
        <v>0</v>
      </c>
      <c r="FB399" s="408"/>
      <c r="FC399" s="408"/>
      <c r="FD399" s="408"/>
      <c r="FE399" s="408"/>
      <c r="FF399" s="408">
        <v>0</v>
      </c>
      <c r="FG399" s="408">
        <v>0</v>
      </c>
      <c r="FH399" s="408">
        <v>0</v>
      </c>
      <c r="FI399" s="408">
        <v>0</v>
      </c>
    </row>
    <row r="400" spans="1:165">
      <c r="A400" s="408">
        <v>398</v>
      </c>
      <c r="B400" s="408" t="s">
        <v>1035</v>
      </c>
      <c r="C400" s="408" t="s">
        <v>2241</v>
      </c>
      <c r="D400" s="408" t="s">
        <v>596</v>
      </c>
      <c r="E400" s="408" t="s">
        <v>973</v>
      </c>
      <c r="F400" s="408" t="s">
        <v>1321</v>
      </c>
      <c r="G400" s="408" t="s">
        <v>1321</v>
      </c>
      <c r="H400" s="408" t="s">
        <v>1321</v>
      </c>
      <c r="I400" s="408" t="s">
        <v>972</v>
      </c>
      <c r="J400" s="408" t="s">
        <v>2234</v>
      </c>
      <c r="K400" s="828">
        <v>44682</v>
      </c>
      <c r="L400" s="408">
        <v>0</v>
      </c>
      <c r="M400" s="408">
        <v>0</v>
      </c>
      <c r="N400" s="408">
        <v>15.243</v>
      </c>
      <c r="O400" s="408">
        <v>14.633279999999999</v>
      </c>
      <c r="P400" s="408">
        <v>15.243</v>
      </c>
      <c r="Q400" s="408">
        <v>14.633279999999999</v>
      </c>
      <c r="R400" s="408"/>
      <c r="S400" s="408">
        <v>3130.62</v>
      </c>
      <c r="T400" s="408">
        <v>256.55</v>
      </c>
      <c r="U400" s="408"/>
      <c r="V400" s="408">
        <v>51630.632310000001</v>
      </c>
      <c r="W400" s="408">
        <v>51630.632310000001</v>
      </c>
      <c r="X400" s="408">
        <v>27172.629089999999</v>
      </c>
      <c r="Y400" s="408">
        <v>0</v>
      </c>
      <c r="Z400" s="408">
        <v>815.24095463778167</v>
      </c>
      <c r="AA400" s="408">
        <v>0</v>
      </c>
      <c r="AB400" s="408">
        <v>0</v>
      </c>
      <c r="AC400" s="408">
        <v>0</v>
      </c>
      <c r="AD400" s="408">
        <v>9819.7510642599609</v>
      </c>
      <c r="AE400" s="408">
        <v>36646.438070392367</v>
      </c>
      <c r="AF400" s="408">
        <v>3910.630088761669</v>
      </c>
      <c r="AG400" s="408">
        <v>0</v>
      </c>
      <c r="AH400" s="408">
        <v>0</v>
      </c>
      <c r="AI400" s="408">
        <v>0</v>
      </c>
      <c r="AJ400" s="408">
        <v>0</v>
      </c>
      <c r="AK400" s="408">
        <v>0</v>
      </c>
      <c r="AL400" s="408">
        <v>144.87349242389786</v>
      </c>
      <c r="AM400" s="408"/>
      <c r="AN400" s="408">
        <v>20.563645285960927</v>
      </c>
      <c r="AO400" s="408">
        <v>0</v>
      </c>
      <c r="AP400" s="408">
        <v>0</v>
      </c>
      <c r="AQ400" s="408">
        <v>0</v>
      </c>
      <c r="AR400" s="408">
        <v>0</v>
      </c>
      <c r="AS400" s="408">
        <v>0</v>
      </c>
      <c r="AT400" s="408">
        <v>0</v>
      </c>
      <c r="AU400" s="408">
        <v>0</v>
      </c>
      <c r="AV400" s="408">
        <v>0</v>
      </c>
      <c r="AW400" s="408">
        <v>0</v>
      </c>
      <c r="AX400" s="408">
        <v>0</v>
      </c>
      <c r="AY400" s="408">
        <v>0</v>
      </c>
      <c r="AZ400" s="408">
        <v>0</v>
      </c>
      <c r="BA400" s="408"/>
      <c r="BB400" s="408">
        <v>0</v>
      </c>
      <c r="BC400" s="408">
        <v>0</v>
      </c>
      <c r="BD400" s="408">
        <v>18.779760385874717</v>
      </c>
      <c r="BE400" s="408">
        <v>0</v>
      </c>
      <c r="BF400" s="408">
        <v>0</v>
      </c>
      <c r="BG400" s="408">
        <v>254.39481999594517</v>
      </c>
      <c r="BH400" s="408">
        <v>0</v>
      </c>
      <c r="BI400" s="408">
        <v>0</v>
      </c>
      <c r="BJ400" s="408">
        <v>0</v>
      </c>
      <c r="BK400" s="408">
        <v>0</v>
      </c>
      <c r="BL400" s="408">
        <v>0</v>
      </c>
      <c r="BM400" s="408"/>
      <c r="BN400" s="408"/>
      <c r="BO400" s="408"/>
      <c r="BP400" s="408"/>
      <c r="BQ400" s="408"/>
      <c r="BR400" s="408">
        <v>1086.905163600002</v>
      </c>
      <c r="BS400" s="408"/>
      <c r="BT400" s="408"/>
      <c r="BU400" s="408"/>
      <c r="BV400" s="408">
        <v>4183.8046691434893</v>
      </c>
      <c r="BW400" s="408"/>
      <c r="BX400" s="408"/>
      <c r="BY400" s="408"/>
      <c r="BZ400" s="408"/>
      <c r="CA400" s="408"/>
      <c r="CB400" s="408"/>
      <c r="CC400" s="408"/>
      <c r="CD400" s="408"/>
      <c r="CE400" s="408"/>
      <c r="CF400" s="408"/>
      <c r="CG400" s="408"/>
      <c r="CH400" s="408"/>
      <c r="CI400" s="408">
        <v>26079.876899999999</v>
      </c>
      <c r="CJ400" s="408">
        <v>-23485.560117600002</v>
      </c>
      <c r="CK400" s="408"/>
      <c r="CL400" s="408"/>
      <c r="CM400" s="408"/>
      <c r="CN400" s="408"/>
      <c r="CO400" s="408">
        <v>-24701.738789999999</v>
      </c>
      <c r="CP400" s="408">
        <v>243.73557000000014</v>
      </c>
      <c r="CQ400" s="408">
        <v>31</v>
      </c>
      <c r="CR400" s="408">
        <v>156.30021580805078</v>
      </c>
      <c r="CS400" s="408">
        <v>0</v>
      </c>
      <c r="CT400" s="408">
        <v>0</v>
      </c>
      <c r="CU400" s="408">
        <v>0</v>
      </c>
      <c r="CV400" s="408">
        <v>0</v>
      </c>
      <c r="CW400" s="408">
        <v>0</v>
      </c>
      <c r="CX400" s="408">
        <v>0</v>
      </c>
      <c r="CY400" s="408">
        <v>0</v>
      </c>
      <c r="CZ400" s="408">
        <v>-44.385892426233113</v>
      </c>
      <c r="DA400" s="408">
        <v>0</v>
      </c>
      <c r="DB400" s="408">
        <v>0</v>
      </c>
      <c r="DC400" s="408">
        <v>243.62626801063379</v>
      </c>
      <c r="DD400" s="408">
        <v>0</v>
      </c>
      <c r="DE400" s="408">
        <v>0</v>
      </c>
      <c r="DF400" s="408">
        <v>1.1699503233745077</v>
      </c>
      <c r="DG400" s="408">
        <v>15.848407849916327</v>
      </c>
      <c r="DH400" s="408">
        <v>0</v>
      </c>
      <c r="DI400" s="408">
        <v>-50.694824109349383</v>
      </c>
      <c r="DJ400" s="408"/>
      <c r="DK400" s="408">
        <v>0</v>
      </c>
      <c r="DL400" s="408">
        <v>0</v>
      </c>
      <c r="DM400" s="408">
        <v>0</v>
      </c>
      <c r="DN400" s="408">
        <v>0</v>
      </c>
      <c r="DO400" s="408">
        <v>-7.9495983562254082</v>
      </c>
      <c r="DP400" s="408">
        <v>-1.3140954840666375</v>
      </c>
      <c r="DQ400" s="408">
        <v>0</v>
      </c>
      <c r="DR400" s="408">
        <v>0</v>
      </c>
      <c r="DS400" s="408"/>
      <c r="DT400" s="408"/>
      <c r="DU400" s="408"/>
      <c r="DV400" s="408">
        <v>36646.438070392367</v>
      </c>
      <c r="DW400" s="408">
        <v>0</v>
      </c>
      <c r="DX400" s="408">
        <v>0</v>
      </c>
      <c r="DY400" s="408">
        <v>-24701.738789999999</v>
      </c>
      <c r="DZ400" s="408">
        <v>243.73556999999983</v>
      </c>
      <c r="EA400" s="408">
        <v>0</v>
      </c>
      <c r="EB400" s="408">
        <v>0</v>
      </c>
      <c r="EC400" s="408">
        <v>-24614.484142867863</v>
      </c>
      <c r="ED400" s="408">
        <v>0</v>
      </c>
      <c r="EE400" s="408">
        <v>0</v>
      </c>
      <c r="EF400" s="408">
        <v>0</v>
      </c>
      <c r="EG400" s="408">
        <v>0</v>
      </c>
      <c r="EH400" s="408">
        <v>0</v>
      </c>
      <c r="EI400" s="408">
        <v>0</v>
      </c>
      <c r="EJ400" s="408">
        <v>0</v>
      </c>
      <c r="EK400" s="408">
        <v>0</v>
      </c>
      <c r="EL400" s="408">
        <v>0</v>
      </c>
      <c r="EM400" s="408">
        <v>0</v>
      </c>
      <c r="EN400" s="408">
        <v>0</v>
      </c>
      <c r="EO400" s="408">
        <v>0</v>
      </c>
      <c r="EP400" s="408">
        <v>0</v>
      </c>
      <c r="EQ400" s="408">
        <v>0</v>
      </c>
      <c r="ER400" s="408">
        <v>0</v>
      </c>
      <c r="ES400" s="408">
        <v>0</v>
      </c>
      <c r="ET400" s="408">
        <v>0</v>
      </c>
      <c r="EU400" s="408">
        <v>0</v>
      </c>
      <c r="EV400" s="408">
        <v>257</v>
      </c>
      <c r="EW400" s="408">
        <v>0</v>
      </c>
      <c r="EX400" s="408">
        <v>0</v>
      </c>
      <c r="EY400" s="408">
        <v>0</v>
      </c>
      <c r="EZ400" s="408"/>
      <c r="FA400" s="408">
        <v>0</v>
      </c>
      <c r="FB400" s="408"/>
      <c r="FC400" s="408"/>
      <c r="FD400" s="408"/>
      <c r="FE400" s="408"/>
      <c r="FF400" s="408">
        <v>0</v>
      </c>
      <c r="FG400" s="408">
        <v>0</v>
      </c>
      <c r="FH400" s="408">
        <v>0</v>
      </c>
      <c r="FI400" s="408">
        <v>0</v>
      </c>
    </row>
    <row r="401" spans="1:165">
      <c r="A401" s="408">
        <v>399</v>
      </c>
      <c r="B401" s="408" t="s">
        <v>2236</v>
      </c>
      <c r="C401" s="408" t="s">
        <v>2241</v>
      </c>
      <c r="D401" s="408" t="s">
        <v>596</v>
      </c>
      <c r="E401" s="408" t="s">
        <v>973</v>
      </c>
      <c r="F401" s="408" t="s">
        <v>1321</v>
      </c>
      <c r="G401" s="408" t="s">
        <v>1321</v>
      </c>
      <c r="H401" s="408" t="s">
        <v>1321</v>
      </c>
      <c r="I401" s="408" t="s">
        <v>972</v>
      </c>
      <c r="J401" s="408" t="s">
        <v>2234</v>
      </c>
      <c r="K401" s="828">
        <v>44682</v>
      </c>
      <c r="L401" s="408">
        <v>0</v>
      </c>
      <c r="M401" s="408">
        <v>0</v>
      </c>
      <c r="N401" s="408">
        <v>2.2080000000000002</v>
      </c>
      <c r="O401" s="408">
        <v>2.1196800000000002</v>
      </c>
      <c r="P401" s="408">
        <v>2.2080000000000002</v>
      </c>
      <c r="Q401" s="408">
        <v>2.1196800000000002</v>
      </c>
      <c r="R401" s="408"/>
      <c r="S401" s="408">
        <v>3130.62</v>
      </c>
      <c r="T401" s="408">
        <v>256.55</v>
      </c>
      <c r="U401" s="408"/>
      <c r="V401" s="408">
        <v>7478.871360000001</v>
      </c>
      <c r="W401" s="408">
        <v>7478.871360000001</v>
      </c>
      <c r="X401" s="408">
        <v>3936.0470400000004</v>
      </c>
      <c r="Y401" s="408">
        <v>0</v>
      </c>
      <c r="Z401" s="408">
        <v>118.09040397823408</v>
      </c>
      <c r="AA401" s="408">
        <v>0</v>
      </c>
      <c r="AB401" s="408">
        <v>0</v>
      </c>
      <c r="AC401" s="408">
        <v>0</v>
      </c>
      <c r="AD401" s="408">
        <v>1422.4240864584397</v>
      </c>
      <c r="AE401" s="408">
        <v>5308.3602479450474</v>
      </c>
      <c r="AF401" s="408">
        <v>566.46796798437094</v>
      </c>
      <c r="AG401" s="408">
        <v>0</v>
      </c>
      <c r="AH401" s="408">
        <v>0</v>
      </c>
      <c r="AI401" s="408">
        <v>0</v>
      </c>
      <c r="AJ401" s="408">
        <v>0</v>
      </c>
      <c r="AK401" s="408">
        <v>0</v>
      </c>
      <c r="AL401" s="408">
        <v>20.985414371971821</v>
      </c>
      <c r="AM401" s="408"/>
      <c r="AN401" s="408">
        <v>2.978713428550924</v>
      </c>
      <c r="AO401" s="408">
        <v>0</v>
      </c>
      <c r="AP401" s="408">
        <v>0</v>
      </c>
      <c r="AQ401" s="408">
        <v>0</v>
      </c>
      <c r="AR401" s="408">
        <v>0</v>
      </c>
      <c r="AS401" s="408">
        <v>0</v>
      </c>
      <c r="AT401" s="408">
        <v>0</v>
      </c>
      <c r="AU401" s="408">
        <v>0</v>
      </c>
      <c r="AV401" s="408">
        <v>0</v>
      </c>
      <c r="AW401" s="408">
        <v>0</v>
      </c>
      <c r="AX401" s="408">
        <v>0</v>
      </c>
      <c r="AY401" s="408">
        <v>0</v>
      </c>
      <c r="AZ401" s="408">
        <v>0</v>
      </c>
      <c r="BA401" s="408"/>
      <c r="BB401" s="408">
        <v>0</v>
      </c>
      <c r="BC401" s="408">
        <v>0</v>
      </c>
      <c r="BD401" s="408">
        <v>2.7203116795913784</v>
      </c>
      <c r="BE401" s="408">
        <v>0</v>
      </c>
      <c r="BF401" s="408">
        <v>0</v>
      </c>
      <c r="BG401" s="408">
        <v>36.849948340290425</v>
      </c>
      <c r="BH401" s="408">
        <v>0</v>
      </c>
      <c r="BI401" s="408">
        <v>0</v>
      </c>
      <c r="BJ401" s="408">
        <v>0</v>
      </c>
      <c r="BK401" s="408">
        <v>0</v>
      </c>
      <c r="BL401" s="408">
        <v>0</v>
      </c>
      <c r="BM401" s="408"/>
      <c r="BN401" s="408"/>
      <c r="BO401" s="408"/>
      <c r="BP401" s="408"/>
      <c r="BQ401" s="408"/>
      <c r="BR401" s="408">
        <v>157.44188159999993</v>
      </c>
      <c r="BS401" s="408"/>
      <c r="BT401" s="408"/>
      <c r="BU401" s="408"/>
      <c r="BV401" s="408">
        <v>606.0382280042528</v>
      </c>
      <c r="BW401" s="408"/>
      <c r="BX401" s="408"/>
      <c r="BY401" s="408"/>
      <c r="BZ401" s="408"/>
      <c r="CA401" s="408"/>
      <c r="CB401" s="408"/>
      <c r="CC401" s="408"/>
      <c r="CD401" s="408"/>
      <c r="CE401" s="408"/>
      <c r="CF401" s="408"/>
      <c r="CG401" s="408"/>
      <c r="CH401" s="408"/>
      <c r="CI401" s="408">
        <v>3779.1756</v>
      </c>
      <c r="CJ401" s="408">
        <v>-3400.5709056000019</v>
      </c>
      <c r="CK401" s="408"/>
      <c r="CL401" s="408"/>
      <c r="CM401" s="408"/>
      <c r="CN401" s="408"/>
      <c r="CO401" s="408">
        <v>-3578.1302400000004</v>
      </c>
      <c r="CP401" s="408">
        <v>35.305920000000022</v>
      </c>
      <c r="CQ401" s="408">
        <v>31</v>
      </c>
      <c r="CR401" s="408">
        <v>22.640613823012245</v>
      </c>
      <c r="CS401" s="408">
        <v>0</v>
      </c>
      <c r="CT401" s="408">
        <v>0</v>
      </c>
      <c r="CU401" s="408">
        <v>0</v>
      </c>
      <c r="CV401" s="408">
        <v>0</v>
      </c>
      <c r="CW401" s="408">
        <v>0</v>
      </c>
      <c r="CX401" s="408">
        <v>0</v>
      </c>
      <c r="CY401" s="408">
        <v>0</v>
      </c>
      <c r="CZ401" s="408">
        <v>-6.4294463345222539</v>
      </c>
      <c r="DA401" s="408">
        <v>0</v>
      </c>
      <c r="DB401" s="408">
        <v>0</v>
      </c>
      <c r="DC401" s="408">
        <v>35.290087237911166</v>
      </c>
      <c r="DD401" s="408">
        <v>0</v>
      </c>
      <c r="DE401" s="408">
        <v>0</v>
      </c>
      <c r="DF401" s="408">
        <v>0.16947125329731083</v>
      </c>
      <c r="DG401" s="408">
        <v>2.2956953705054985</v>
      </c>
      <c r="DH401" s="408">
        <v>0</v>
      </c>
      <c r="DI401" s="408">
        <v>-7.3433163834837956</v>
      </c>
      <c r="DJ401" s="408"/>
      <c r="DK401" s="408">
        <v>0</v>
      </c>
      <c r="DL401" s="408">
        <v>0</v>
      </c>
      <c r="DM401" s="408">
        <v>0</v>
      </c>
      <c r="DN401" s="408">
        <v>0</v>
      </c>
      <c r="DO401" s="408">
        <v>-1.1515261543361319</v>
      </c>
      <c r="DP401" s="408">
        <v>-0.19035116635958405</v>
      </c>
      <c r="DQ401" s="408">
        <v>0</v>
      </c>
      <c r="DR401" s="408">
        <v>0</v>
      </c>
      <c r="DS401" s="408"/>
      <c r="DT401" s="408"/>
      <c r="DU401" s="408"/>
      <c r="DV401" s="408">
        <v>5308.3602479450474</v>
      </c>
      <c r="DW401" s="408">
        <v>0</v>
      </c>
      <c r="DX401" s="408">
        <v>0</v>
      </c>
      <c r="DY401" s="408">
        <v>-3578.1302400000004</v>
      </c>
      <c r="DZ401" s="408">
        <v>35.305920000000015</v>
      </c>
      <c r="EA401" s="408">
        <v>0</v>
      </c>
      <c r="EB401" s="408">
        <v>0</v>
      </c>
      <c r="EC401" s="408">
        <v>-3565.4911098505704</v>
      </c>
      <c r="ED401" s="408">
        <v>0</v>
      </c>
      <c r="EE401" s="408">
        <v>0</v>
      </c>
      <c r="EF401" s="408">
        <v>0</v>
      </c>
      <c r="EG401" s="408">
        <v>0</v>
      </c>
      <c r="EH401" s="408">
        <v>0</v>
      </c>
      <c r="EI401" s="408">
        <v>0</v>
      </c>
      <c r="EJ401" s="408">
        <v>0</v>
      </c>
      <c r="EK401" s="408">
        <v>0</v>
      </c>
      <c r="EL401" s="408">
        <v>0</v>
      </c>
      <c r="EM401" s="408">
        <v>0</v>
      </c>
      <c r="EN401" s="408">
        <v>0</v>
      </c>
      <c r="EO401" s="408">
        <v>0</v>
      </c>
      <c r="EP401" s="408">
        <v>0</v>
      </c>
      <c r="EQ401" s="408">
        <v>0</v>
      </c>
      <c r="ER401" s="408">
        <v>0</v>
      </c>
      <c r="ES401" s="408">
        <v>0</v>
      </c>
      <c r="ET401" s="408">
        <v>0</v>
      </c>
      <c r="EU401" s="408">
        <v>0</v>
      </c>
      <c r="EV401" s="408">
        <v>257</v>
      </c>
      <c r="EW401" s="408">
        <v>0</v>
      </c>
      <c r="EX401" s="408">
        <v>0</v>
      </c>
      <c r="EY401" s="408">
        <v>0</v>
      </c>
      <c r="EZ401" s="408"/>
      <c r="FA401" s="408">
        <v>0</v>
      </c>
      <c r="FB401" s="408"/>
      <c r="FC401" s="408"/>
      <c r="FD401" s="408"/>
      <c r="FE401" s="408"/>
      <c r="FF401" s="408">
        <v>0</v>
      </c>
      <c r="FG401" s="408">
        <v>0</v>
      </c>
      <c r="FH401" s="408">
        <v>0</v>
      </c>
      <c r="FI401" s="408">
        <v>0</v>
      </c>
    </row>
    <row r="402" spans="1:165">
      <c r="A402" s="408">
        <v>400</v>
      </c>
      <c r="B402" s="408" t="s">
        <v>1035</v>
      </c>
      <c r="C402" s="408" t="s">
        <v>2241</v>
      </c>
      <c r="D402" s="408" t="s">
        <v>596</v>
      </c>
      <c r="E402" s="408" t="s">
        <v>973</v>
      </c>
      <c r="F402" s="408" t="s">
        <v>1321</v>
      </c>
      <c r="G402" s="408" t="s">
        <v>1321</v>
      </c>
      <c r="H402" s="408" t="s">
        <v>1321</v>
      </c>
      <c r="I402" s="408" t="s">
        <v>2242</v>
      </c>
      <c r="J402" s="408" t="s">
        <v>2234</v>
      </c>
      <c r="K402" s="828">
        <v>44682</v>
      </c>
      <c r="L402" s="408">
        <v>0</v>
      </c>
      <c r="M402" s="408">
        <v>0</v>
      </c>
      <c r="N402" s="408">
        <v>200.6</v>
      </c>
      <c r="O402" s="408">
        <v>192.57599999999999</v>
      </c>
      <c r="P402" s="408">
        <v>200.6</v>
      </c>
      <c r="Q402" s="408">
        <v>192.57599999999999</v>
      </c>
      <c r="R402" s="408"/>
      <c r="S402" s="408">
        <v>82.26</v>
      </c>
      <c r="T402" s="408">
        <v>256.55</v>
      </c>
      <c r="U402" s="408"/>
      <c r="V402" s="408">
        <v>67965.285999999993</v>
      </c>
      <c r="W402" s="408">
        <v>67965.285999999993</v>
      </c>
      <c r="X402" s="408">
        <v>70607.188000000009</v>
      </c>
      <c r="Y402" s="408">
        <v>0</v>
      </c>
      <c r="Z402" s="408">
        <v>10728.684346935577</v>
      </c>
      <c r="AA402" s="408">
        <v>0</v>
      </c>
      <c r="AB402" s="408">
        <v>0</v>
      </c>
      <c r="AC402" s="408">
        <v>0</v>
      </c>
      <c r="AD402" s="408">
        <v>0</v>
      </c>
      <c r="AE402" s="408">
        <v>0</v>
      </c>
      <c r="AF402" s="408">
        <v>51464.43585944963</v>
      </c>
      <c r="AG402" s="408">
        <v>0</v>
      </c>
      <c r="AH402" s="408">
        <v>0</v>
      </c>
      <c r="AI402" s="408">
        <v>0</v>
      </c>
      <c r="AJ402" s="408">
        <v>0</v>
      </c>
      <c r="AK402" s="408">
        <v>0</v>
      </c>
      <c r="AL402" s="408">
        <v>1906.555309337657</v>
      </c>
      <c r="AM402" s="408"/>
      <c r="AN402" s="408">
        <v>270.62043195983483</v>
      </c>
      <c r="AO402" s="408">
        <v>0</v>
      </c>
      <c r="AP402" s="408">
        <v>0</v>
      </c>
      <c r="AQ402" s="408">
        <v>0</v>
      </c>
      <c r="AR402" s="408">
        <v>0</v>
      </c>
      <c r="AS402" s="408">
        <v>0</v>
      </c>
      <c r="AT402" s="408">
        <v>0</v>
      </c>
      <c r="AU402" s="408">
        <v>0</v>
      </c>
      <c r="AV402" s="408">
        <v>0</v>
      </c>
      <c r="AW402" s="408">
        <v>0</v>
      </c>
      <c r="AX402" s="408">
        <v>0</v>
      </c>
      <c r="AY402" s="408">
        <v>0</v>
      </c>
      <c r="AZ402" s="408">
        <v>0</v>
      </c>
      <c r="BA402" s="408"/>
      <c r="BB402" s="408">
        <v>0</v>
      </c>
      <c r="BC402" s="408">
        <v>0</v>
      </c>
      <c r="BD402" s="408">
        <v>247.14425857157175</v>
      </c>
      <c r="BE402" s="408">
        <v>0</v>
      </c>
      <c r="BF402" s="408">
        <v>0</v>
      </c>
      <c r="BG402" s="408">
        <v>3347.871212437617</v>
      </c>
      <c r="BH402" s="408">
        <v>0</v>
      </c>
      <c r="BI402" s="408">
        <v>0</v>
      </c>
      <c r="BJ402" s="408">
        <v>0</v>
      </c>
      <c r="BK402" s="408">
        <v>0</v>
      </c>
      <c r="BL402" s="408">
        <v>0</v>
      </c>
      <c r="BM402" s="408"/>
      <c r="BN402" s="408"/>
      <c r="BO402" s="408"/>
      <c r="BP402" s="408"/>
      <c r="BQ402" s="408"/>
      <c r="BR402" s="408">
        <v>2824.2875200000008</v>
      </c>
      <c r="BS402" s="408"/>
      <c r="BT402" s="408"/>
      <c r="BU402" s="408"/>
      <c r="BV402" s="408">
        <v>55059.451330458818</v>
      </c>
      <c r="BW402" s="408"/>
      <c r="BX402" s="408"/>
      <c r="BY402" s="408"/>
      <c r="BZ402" s="408"/>
      <c r="CA402" s="408"/>
      <c r="CB402" s="408"/>
      <c r="CC402" s="408"/>
      <c r="CD402" s="408"/>
      <c r="CE402" s="408"/>
      <c r="CF402" s="408"/>
      <c r="CG402" s="408"/>
      <c r="CH402" s="408"/>
      <c r="CI402" s="408">
        <v>67784.308400000009</v>
      </c>
      <c r="CJ402" s="408">
        <v>2537.6038400000107</v>
      </c>
      <c r="CK402" s="408"/>
      <c r="CL402" s="408"/>
      <c r="CM402" s="408"/>
      <c r="CN402" s="408"/>
      <c r="CO402" s="408">
        <v>-565.69200000000149</v>
      </c>
      <c r="CP402" s="408">
        <v>3207.5940000000019</v>
      </c>
      <c r="CQ402" s="408">
        <v>31</v>
      </c>
      <c r="CR402" s="408">
        <v>2641.0570958339958</v>
      </c>
      <c r="CS402" s="408">
        <v>0</v>
      </c>
      <c r="CT402" s="408">
        <v>0</v>
      </c>
      <c r="CU402" s="408">
        <v>0</v>
      </c>
      <c r="CV402" s="408">
        <v>0</v>
      </c>
      <c r="CW402" s="408">
        <v>0</v>
      </c>
      <c r="CX402" s="408">
        <v>0</v>
      </c>
      <c r="CY402" s="408">
        <v>0</v>
      </c>
      <c r="CZ402" s="408">
        <v>0</v>
      </c>
      <c r="DA402" s="408">
        <v>0</v>
      </c>
      <c r="DB402" s="408">
        <v>0</v>
      </c>
      <c r="DC402" s="408">
        <v>3206.1555706182044</v>
      </c>
      <c r="DD402" s="408">
        <v>0</v>
      </c>
      <c r="DE402" s="408">
        <v>0</v>
      </c>
      <c r="DF402" s="408">
        <v>15.396708972572696</v>
      </c>
      <c r="DG402" s="408">
        <v>208.56725150516422</v>
      </c>
      <c r="DH402" s="408">
        <v>0</v>
      </c>
      <c r="DI402" s="408">
        <v>-667.15093592701487</v>
      </c>
      <c r="DJ402" s="408"/>
      <c r="DK402" s="408">
        <v>0</v>
      </c>
      <c r="DL402" s="408">
        <v>0</v>
      </c>
      <c r="DM402" s="408">
        <v>0</v>
      </c>
      <c r="DN402" s="408">
        <v>0</v>
      </c>
      <c r="DO402" s="408">
        <v>-104.61781999992218</v>
      </c>
      <c r="DP402" s="408">
        <v>-17.293679335023825</v>
      </c>
      <c r="DQ402" s="408">
        <v>0</v>
      </c>
      <c r="DR402" s="408">
        <v>0</v>
      </c>
      <c r="DS402" s="408"/>
      <c r="DT402" s="408"/>
      <c r="DU402" s="408"/>
      <c r="DV402" s="408">
        <v>0</v>
      </c>
      <c r="DW402" s="408">
        <v>0</v>
      </c>
      <c r="DX402" s="408">
        <v>0</v>
      </c>
      <c r="DY402" s="408">
        <v>-565.69200000000092</v>
      </c>
      <c r="DZ402" s="408">
        <v>3207.5940000000046</v>
      </c>
      <c r="EA402" s="408">
        <v>0</v>
      </c>
      <c r="EB402" s="408">
        <v>0</v>
      </c>
      <c r="EC402" s="408">
        <v>0</v>
      </c>
      <c r="ED402" s="408">
        <v>0</v>
      </c>
      <c r="EE402" s="408">
        <v>0</v>
      </c>
      <c r="EF402" s="408">
        <v>0</v>
      </c>
      <c r="EG402" s="408">
        <v>0</v>
      </c>
      <c r="EH402" s="408">
        <v>0</v>
      </c>
      <c r="EI402" s="408">
        <v>0</v>
      </c>
      <c r="EJ402" s="408">
        <v>0</v>
      </c>
      <c r="EK402" s="408">
        <v>0</v>
      </c>
      <c r="EL402" s="408">
        <v>0</v>
      </c>
      <c r="EM402" s="408">
        <v>0</v>
      </c>
      <c r="EN402" s="408">
        <v>0</v>
      </c>
      <c r="EO402" s="408">
        <v>0</v>
      </c>
      <c r="EP402" s="408">
        <v>0</v>
      </c>
      <c r="EQ402" s="408">
        <v>0</v>
      </c>
      <c r="ER402" s="408">
        <v>0</v>
      </c>
      <c r="ES402" s="408">
        <v>0</v>
      </c>
      <c r="ET402" s="408">
        <v>0</v>
      </c>
      <c r="EU402" s="408">
        <v>0</v>
      </c>
      <c r="EV402" s="408">
        <v>257</v>
      </c>
      <c r="EW402" s="408">
        <v>0</v>
      </c>
      <c r="EX402" s="408">
        <v>0</v>
      </c>
      <c r="EY402" s="408">
        <v>0</v>
      </c>
      <c r="EZ402" s="408"/>
      <c r="FA402" s="408">
        <v>0</v>
      </c>
      <c r="FB402" s="408"/>
      <c r="FC402" s="408"/>
      <c r="FD402" s="408"/>
      <c r="FE402" s="408"/>
      <c r="FF402" s="408">
        <v>0</v>
      </c>
      <c r="FG402" s="408">
        <v>0</v>
      </c>
      <c r="FH402" s="408">
        <v>0</v>
      </c>
      <c r="FI402" s="408">
        <v>0</v>
      </c>
    </row>
    <row r="403" spans="1:165">
      <c r="A403" s="408">
        <v>401</v>
      </c>
      <c r="B403" s="408" t="s">
        <v>2236</v>
      </c>
      <c r="C403" s="408" t="s">
        <v>2241</v>
      </c>
      <c r="D403" s="408" t="s">
        <v>596</v>
      </c>
      <c r="E403" s="408" t="s">
        <v>973</v>
      </c>
      <c r="F403" s="408" t="s">
        <v>1321</v>
      </c>
      <c r="G403" s="408" t="s">
        <v>1321</v>
      </c>
      <c r="H403" s="408" t="s">
        <v>1321</v>
      </c>
      <c r="I403" s="408" t="s">
        <v>2242</v>
      </c>
      <c r="J403" s="408" t="s">
        <v>2234</v>
      </c>
      <c r="K403" s="828">
        <v>44682</v>
      </c>
      <c r="L403" s="408">
        <v>0</v>
      </c>
      <c r="M403" s="408">
        <v>0</v>
      </c>
      <c r="N403" s="408">
        <v>21.032</v>
      </c>
      <c r="O403" s="408">
        <v>20.190719999999999</v>
      </c>
      <c r="P403" s="408">
        <v>21.032</v>
      </c>
      <c r="Q403" s="408">
        <v>20.190719999999999</v>
      </c>
      <c r="R403" s="408"/>
      <c r="S403" s="408">
        <v>82.26</v>
      </c>
      <c r="T403" s="408">
        <v>256.55</v>
      </c>
      <c r="U403" s="408"/>
      <c r="V403" s="408">
        <v>7125.851920000001</v>
      </c>
      <c r="W403" s="408">
        <v>7125.851920000001</v>
      </c>
      <c r="X403" s="408">
        <v>7402.8433600000008</v>
      </c>
      <c r="Y403" s="408">
        <v>0</v>
      </c>
      <c r="Z403" s="408">
        <v>1124.8538842709324</v>
      </c>
      <c r="AA403" s="408">
        <v>0</v>
      </c>
      <c r="AB403" s="408">
        <v>0</v>
      </c>
      <c r="AC403" s="408">
        <v>0</v>
      </c>
      <c r="AD403" s="408">
        <v>0</v>
      </c>
      <c r="AE403" s="408">
        <v>0</v>
      </c>
      <c r="AF403" s="408">
        <v>5395.8126370685177</v>
      </c>
      <c r="AG403" s="408">
        <v>0</v>
      </c>
      <c r="AH403" s="408">
        <v>0</v>
      </c>
      <c r="AI403" s="408">
        <v>0</v>
      </c>
      <c r="AJ403" s="408">
        <v>0</v>
      </c>
      <c r="AK403" s="408">
        <v>0</v>
      </c>
      <c r="AL403" s="408">
        <v>199.89367530403592</v>
      </c>
      <c r="AM403" s="408"/>
      <c r="AN403" s="408">
        <v>28.373324650943399</v>
      </c>
      <c r="AO403" s="408">
        <v>0</v>
      </c>
      <c r="AP403" s="408">
        <v>0</v>
      </c>
      <c r="AQ403" s="408">
        <v>0</v>
      </c>
      <c r="AR403" s="408">
        <v>0</v>
      </c>
      <c r="AS403" s="408">
        <v>0</v>
      </c>
      <c r="AT403" s="408">
        <v>0</v>
      </c>
      <c r="AU403" s="408">
        <v>0</v>
      </c>
      <c r="AV403" s="408">
        <v>0</v>
      </c>
      <c r="AW403" s="408">
        <v>0</v>
      </c>
      <c r="AX403" s="408">
        <v>0</v>
      </c>
      <c r="AY403" s="408">
        <v>0</v>
      </c>
      <c r="AZ403" s="408">
        <v>0</v>
      </c>
      <c r="BA403" s="408"/>
      <c r="BB403" s="408">
        <v>0</v>
      </c>
      <c r="BC403" s="408">
        <v>0</v>
      </c>
      <c r="BD403" s="408">
        <v>25.911954368281641</v>
      </c>
      <c r="BE403" s="408">
        <v>0</v>
      </c>
      <c r="BF403" s="408">
        <v>0</v>
      </c>
      <c r="BG403" s="408">
        <v>351.00910937182437</v>
      </c>
      <c r="BH403" s="408">
        <v>0</v>
      </c>
      <c r="BI403" s="408">
        <v>0</v>
      </c>
      <c r="BJ403" s="408">
        <v>0</v>
      </c>
      <c r="BK403" s="408">
        <v>0</v>
      </c>
      <c r="BL403" s="408">
        <v>0</v>
      </c>
      <c r="BM403" s="408"/>
      <c r="BN403" s="408"/>
      <c r="BO403" s="408"/>
      <c r="BP403" s="408"/>
      <c r="BQ403" s="408"/>
      <c r="BR403" s="408">
        <v>296.11373440000045</v>
      </c>
      <c r="BS403" s="408"/>
      <c r="BT403" s="408"/>
      <c r="BU403" s="408"/>
      <c r="BV403" s="408">
        <v>5772.7337008086242</v>
      </c>
      <c r="BW403" s="408"/>
      <c r="BX403" s="408"/>
      <c r="BY403" s="408"/>
      <c r="BZ403" s="408"/>
      <c r="CA403" s="408"/>
      <c r="CB403" s="408"/>
      <c r="CC403" s="408"/>
      <c r="CD403" s="408"/>
      <c r="CE403" s="408"/>
      <c r="CF403" s="408"/>
      <c r="CG403" s="408"/>
      <c r="CH403" s="408"/>
      <c r="CI403" s="408">
        <v>7106.476200000001</v>
      </c>
      <c r="CJ403" s="408">
        <v>265.62835680000171</v>
      </c>
      <c r="CK403" s="408"/>
      <c r="CL403" s="408"/>
      <c r="CM403" s="408"/>
      <c r="CN403" s="408"/>
      <c r="CO403" s="408">
        <v>-59.310240000000157</v>
      </c>
      <c r="CP403" s="408">
        <v>336.3016800000002</v>
      </c>
      <c r="CQ403" s="408">
        <v>31</v>
      </c>
      <c r="CR403" s="408">
        <v>276.9028556310077</v>
      </c>
      <c r="CS403" s="408">
        <v>0</v>
      </c>
      <c r="CT403" s="408">
        <v>0</v>
      </c>
      <c r="CU403" s="408">
        <v>0</v>
      </c>
      <c r="CV403" s="408">
        <v>0</v>
      </c>
      <c r="CW403" s="408">
        <v>0</v>
      </c>
      <c r="CX403" s="408">
        <v>0</v>
      </c>
      <c r="CY403" s="408">
        <v>0</v>
      </c>
      <c r="CZ403" s="408">
        <v>0</v>
      </c>
      <c r="DA403" s="408">
        <v>0</v>
      </c>
      <c r="DB403" s="408">
        <v>0</v>
      </c>
      <c r="DC403" s="408">
        <v>336.15086720459658</v>
      </c>
      <c r="DD403" s="408">
        <v>0</v>
      </c>
      <c r="DE403" s="408">
        <v>0</v>
      </c>
      <c r="DF403" s="408">
        <v>1.6142750902848917</v>
      </c>
      <c r="DG403" s="408">
        <v>21.867330177749807</v>
      </c>
      <c r="DH403" s="408">
        <v>0</v>
      </c>
      <c r="DI403" s="408">
        <v>-69.947749174561068</v>
      </c>
      <c r="DJ403" s="408"/>
      <c r="DK403" s="408">
        <v>0</v>
      </c>
      <c r="DL403" s="408">
        <v>0</v>
      </c>
      <c r="DM403" s="408">
        <v>0</v>
      </c>
      <c r="DN403" s="408">
        <v>0</v>
      </c>
      <c r="DO403" s="408">
        <v>-10.968703839672798</v>
      </c>
      <c r="DP403" s="408">
        <v>-1.8131638273889372</v>
      </c>
      <c r="DQ403" s="408">
        <v>0</v>
      </c>
      <c r="DR403" s="408">
        <v>0</v>
      </c>
      <c r="DS403" s="408"/>
      <c r="DT403" s="408"/>
      <c r="DU403" s="408"/>
      <c r="DV403" s="408">
        <v>0</v>
      </c>
      <c r="DW403" s="408">
        <v>0</v>
      </c>
      <c r="DX403" s="408">
        <v>0</v>
      </c>
      <c r="DY403" s="408">
        <v>-59.310240000000249</v>
      </c>
      <c r="DZ403" s="408">
        <v>336.30168000000049</v>
      </c>
      <c r="EA403" s="408">
        <v>0</v>
      </c>
      <c r="EB403" s="408">
        <v>0</v>
      </c>
      <c r="EC403" s="408">
        <v>0</v>
      </c>
      <c r="ED403" s="408">
        <v>0</v>
      </c>
      <c r="EE403" s="408">
        <v>0</v>
      </c>
      <c r="EF403" s="408">
        <v>0</v>
      </c>
      <c r="EG403" s="408">
        <v>0</v>
      </c>
      <c r="EH403" s="408">
        <v>0</v>
      </c>
      <c r="EI403" s="408">
        <v>0</v>
      </c>
      <c r="EJ403" s="408">
        <v>0</v>
      </c>
      <c r="EK403" s="408">
        <v>0</v>
      </c>
      <c r="EL403" s="408">
        <v>0</v>
      </c>
      <c r="EM403" s="408">
        <v>0</v>
      </c>
      <c r="EN403" s="408">
        <v>0</v>
      </c>
      <c r="EO403" s="408">
        <v>0</v>
      </c>
      <c r="EP403" s="408">
        <v>0</v>
      </c>
      <c r="EQ403" s="408">
        <v>0</v>
      </c>
      <c r="ER403" s="408">
        <v>0</v>
      </c>
      <c r="ES403" s="408">
        <v>0</v>
      </c>
      <c r="ET403" s="408">
        <v>0</v>
      </c>
      <c r="EU403" s="408">
        <v>0</v>
      </c>
      <c r="EV403" s="408">
        <v>257</v>
      </c>
      <c r="EW403" s="408">
        <v>0</v>
      </c>
      <c r="EX403" s="408">
        <v>0</v>
      </c>
      <c r="EY403" s="408">
        <v>0</v>
      </c>
      <c r="EZ403" s="408"/>
      <c r="FA403" s="408">
        <v>0</v>
      </c>
      <c r="FB403" s="408"/>
      <c r="FC403" s="408"/>
      <c r="FD403" s="408"/>
      <c r="FE403" s="408"/>
      <c r="FF403" s="408">
        <v>0</v>
      </c>
      <c r="FG403" s="408">
        <v>0</v>
      </c>
      <c r="FH403" s="408">
        <v>0</v>
      </c>
      <c r="FI403" s="408">
        <v>0</v>
      </c>
    </row>
    <row r="404" spans="1:165">
      <c r="A404" s="408">
        <v>402</v>
      </c>
      <c r="B404" s="408" t="s">
        <v>1035</v>
      </c>
      <c r="C404" s="408" t="s">
        <v>2241</v>
      </c>
      <c r="D404" s="408" t="s">
        <v>596</v>
      </c>
      <c r="E404" s="408" t="s">
        <v>973</v>
      </c>
      <c r="F404" s="408" t="s">
        <v>1321</v>
      </c>
      <c r="G404" s="408" t="s">
        <v>1321</v>
      </c>
      <c r="H404" s="408" t="s">
        <v>1321</v>
      </c>
      <c r="I404" s="408" t="s">
        <v>1321</v>
      </c>
      <c r="J404" s="408" t="s">
        <v>2234</v>
      </c>
      <c r="K404" s="828">
        <v>44682</v>
      </c>
      <c r="L404" s="408">
        <v>835</v>
      </c>
      <c r="M404" s="408">
        <v>801.6</v>
      </c>
      <c r="N404" s="408">
        <v>0</v>
      </c>
      <c r="O404" s="408">
        <v>0</v>
      </c>
      <c r="P404" s="408">
        <v>0</v>
      </c>
      <c r="Q404" s="408">
        <v>0</v>
      </c>
      <c r="R404" s="408">
        <v>47.39</v>
      </c>
      <c r="S404" s="408"/>
      <c r="T404" s="408"/>
      <c r="U404" s="408">
        <v>39570.65</v>
      </c>
      <c r="V404" s="408"/>
      <c r="W404" s="408">
        <v>39570.65</v>
      </c>
      <c r="X404" s="408">
        <v>26903.7</v>
      </c>
      <c r="Y404" s="408">
        <v>0</v>
      </c>
      <c r="Z404" s="408">
        <v>0</v>
      </c>
      <c r="AA404" s="408">
        <v>0</v>
      </c>
      <c r="AB404" s="408">
        <v>0</v>
      </c>
      <c r="AC404" s="408">
        <v>0</v>
      </c>
      <c r="AD404" s="408">
        <v>20850.03364985386</v>
      </c>
      <c r="AE404" s="408">
        <v>18720.589150184132</v>
      </c>
      <c r="AF404" s="408"/>
      <c r="AG404" s="408"/>
      <c r="AH404" s="408"/>
      <c r="AI404" s="408">
        <v>0</v>
      </c>
      <c r="AJ404" s="408">
        <v>0</v>
      </c>
      <c r="AK404" s="408">
        <v>0</v>
      </c>
      <c r="AL404" s="408">
        <v>0</v>
      </c>
      <c r="AM404" s="408"/>
      <c r="AN404" s="408">
        <v>0</v>
      </c>
      <c r="AO404" s="408">
        <v>0</v>
      </c>
      <c r="AP404" s="408">
        <v>0</v>
      </c>
      <c r="AQ404" s="408">
        <v>0</v>
      </c>
      <c r="AR404" s="408">
        <v>0</v>
      </c>
      <c r="AS404" s="408"/>
      <c r="AT404" s="408"/>
      <c r="AU404" s="408">
        <v>0</v>
      </c>
      <c r="AV404" s="408">
        <v>0</v>
      </c>
      <c r="AW404" s="408">
        <v>0</v>
      </c>
      <c r="AX404" s="408"/>
      <c r="AY404" s="408"/>
      <c r="AZ404" s="408">
        <v>0</v>
      </c>
      <c r="BA404" s="408"/>
      <c r="BB404" s="408">
        <v>0</v>
      </c>
      <c r="BC404" s="408">
        <v>0</v>
      </c>
      <c r="BD404" s="408">
        <v>0</v>
      </c>
      <c r="BE404" s="408">
        <v>0</v>
      </c>
      <c r="BF404" s="408"/>
      <c r="BG404" s="408">
        <v>0</v>
      </c>
      <c r="BH404" s="408">
        <v>0</v>
      </c>
      <c r="BI404" s="408">
        <v>1330.75</v>
      </c>
      <c r="BJ404" s="408">
        <v>1329.45</v>
      </c>
      <c r="BK404" s="408">
        <v>4799.33</v>
      </c>
      <c r="BL404" s="408">
        <v>8</v>
      </c>
      <c r="BM404" s="408"/>
      <c r="BN404" s="408"/>
      <c r="BO404" s="408"/>
      <c r="BP404" s="408"/>
      <c r="BQ404" s="408"/>
      <c r="BR404" s="408">
        <v>1076.1479999999992</v>
      </c>
      <c r="BS404" s="408"/>
      <c r="BT404" s="408"/>
      <c r="BU404" s="408"/>
      <c r="BV404" s="408">
        <v>0</v>
      </c>
      <c r="BW404" s="408"/>
      <c r="BX404" s="408"/>
      <c r="BY404" s="408"/>
      <c r="BZ404" s="408"/>
      <c r="CA404" s="408"/>
      <c r="CB404" s="408"/>
      <c r="CC404" s="408"/>
      <c r="CD404" s="408"/>
      <c r="CE404" s="408"/>
      <c r="CF404" s="408"/>
      <c r="CG404" s="408"/>
      <c r="CH404" s="408"/>
      <c r="CI404" s="408">
        <v>25827.552</v>
      </c>
      <c r="CJ404" s="408">
        <v>-12160.302000000007</v>
      </c>
      <c r="CK404" s="408"/>
      <c r="CL404" s="408"/>
      <c r="CM404" s="408"/>
      <c r="CN404" s="408"/>
      <c r="CO404" s="408">
        <v>-12666.95</v>
      </c>
      <c r="CP404" s="408">
        <v>0</v>
      </c>
      <c r="CQ404" s="408">
        <v>31</v>
      </c>
      <c r="CR404" s="408">
        <v>-94.243463465601963</v>
      </c>
      <c r="CS404" s="408">
        <v>0</v>
      </c>
      <c r="CT404" s="408">
        <v>0</v>
      </c>
      <c r="CU404" s="408">
        <v>0</v>
      </c>
      <c r="CV404" s="408">
        <v>0</v>
      </c>
      <c r="CW404" s="408"/>
      <c r="CX404" s="408"/>
      <c r="CY404" s="408"/>
      <c r="CZ404" s="408">
        <v>-94.243463465601963</v>
      </c>
      <c r="DA404" s="408">
        <v>0</v>
      </c>
      <c r="DB404" s="408">
        <v>0</v>
      </c>
      <c r="DC404" s="408"/>
      <c r="DD404" s="408"/>
      <c r="DE404" s="408">
        <v>0</v>
      </c>
      <c r="DF404" s="408">
        <v>0</v>
      </c>
      <c r="DG404" s="408">
        <v>0</v>
      </c>
      <c r="DH404" s="408">
        <v>0</v>
      </c>
      <c r="DI404" s="408">
        <v>0</v>
      </c>
      <c r="DJ404" s="408"/>
      <c r="DK404" s="408">
        <v>0</v>
      </c>
      <c r="DL404" s="408">
        <v>0</v>
      </c>
      <c r="DM404" s="408"/>
      <c r="DN404" s="408">
        <v>0</v>
      </c>
      <c r="DO404" s="408">
        <v>0</v>
      </c>
      <c r="DP404" s="408">
        <v>0</v>
      </c>
      <c r="DQ404" s="408">
        <v>0</v>
      </c>
      <c r="DR404" s="408">
        <v>0</v>
      </c>
      <c r="DS404" s="408"/>
      <c r="DT404" s="408"/>
      <c r="DU404" s="408">
        <v>18720.589150184132</v>
      </c>
      <c r="DV404" s="408"/>
      <c r="DW404" s="408">
        <v>0</v>
      </c>
      <c r="DX404" s="408">
        <v>0</v>
      </c>
      <c r="DY404" s="408">
        <v>-12666.95</v>
      </c>
      <c r="DZ404" s="408"/>
      <c r="EA404" s="408">
        <v>0</v>
      </c>
      <c r="EB404" s="408"/>
      <c r="EC404" s="408">
        <v>-12574.145511692785</v>
      </c>
      <c r="ED404" s="408"/>
      <c r="EE404" s="408">
        <v>0</v>
      </c>
      <c r="EF404" s="408">
        <v>0</v>
      </c>
      <c r="EG404" s="408"/>
      <c r="EH404" s="408">
        <v>0</v>
      </c>
      <c r="EI404" s="408">
        <v>0</v>
      </c>
      <c r="EJ404" s="408">
        <v>0</v>
      </c>
      <c r="EK404" s="408">
        <v>0</v>
      </c>
      <c r="EL404" s="408">
        <v>0</v>
      </c>
      <c r="EM404" s="408"/>
      <c r="EN404" s="408"/>
      <c r="EO404" s="408">
        <v>0</v>
      </c>
      <c r="EP404" s="408">
        <v>0</v>
      </c>
      <c r="EQ404" s="408"/>
      <c r="ER404" s="408">
        <v>0</v>
      </c>
      <c r="ES404" s="408"/>
      <c r="ET404" s="408">
        <v>0</v>
      </c>
      <c r="EU404" s="408"/>
      <c r="EV404" s="408">
        <v>257</v>
      </c>
      <c r="EW404" s="408"/>
      <c r="EX404" s="408"/>
      <c r="EY404" s="408"/>
      <c r="EZ404" s="408"/>
      <c r="FA404" s="408">
        <v>0</v>
      </c>
      <c r="FB404" s="408"/>
      <c r="FC404" s="408"/>
      <c r="FD404" s="408"/>
      <c r="FE404" s="408"/>
      <c r="FF404" s="408">
        <v>0</v>
      </c>
      <c r="FG404" s="408">
        <v>0</v>
      </c>
      <c r="FH404" s="408">
        <v>0</v>
      </c>
      <c r="FI404" s="408">
        <v>0</v>
      </c>
    </row>
    <row r="405" spans="1:165">
      <c r="A405" s="408">
        <v>403</v>
      </c>
      <c r="B405" s="408" t="s">
        <v>2236</v>
      </c>
      <c r="C405" s="408" t="s">
        <v>2241</v>
      </c>
      <c r="D405" s="408" t="s">
        <v>596</v>
      </c>
      <c r="E405" s="408" t="s">
        <v>973</v>
      </c>
      <c r="F405" s="408" t="s">
        <v>1321</v>
      </c>
      <c r="G405" s="408" t="s">
        <v>1321</v>
      </c>
      <c r="H405" s="408" t="s">
        <v>1321</v>
      </c>
      <c r="I405" s="408" t="s">
        <v>1321</v>
      </c>
      <c r="J405" s="408" t="s">
        <v>2234</v>
      </c>
      <c r="K405" s="828">
        <v>44682</v>
      </c>
      <c r="L405" s="408">
        <v>175</v>
      </c>
      <c r="M405" s="408">
        <v>168</v>
      </c>
      <c r="N405" s="408">
        <v>0</v>
      </c>
      <c r="O405" s="408">
        <v>0</v>
      </c>
      <c r="P405" s="408">
        <v>0</v>
      </c>
      <c r="Q405" s="408">
        <v>0</v>
      </c>
      <c r="R405" s="408">
        <v>47.39</v>
      </c>
      <c r="S405" s="408"/>
      <c r="T405" s="408"/>
      <c r="U405" s="408">
        <v>8293.25</v>
      </c>
      <c r="V405" s="408"/>
      <c r="W405" s="408">
        <v>8293.25</v>
      </c>
      <c r="X405" s="408">
        <v>5638.5</v>
      </c>
      <c r="Y405" s="408">
        <v>0</v>
      </c>
      <c r="Z405" s="408">
        <v>0</v>
      </c>
      <c r="AA405" s="408">
        <v>0</v>
      </c>
      <c r="AB405" s="408">
        <v>0</v>
      </c>
      <c r="AC405" s="408">
        <v>0</v>
      </c>
      <c r="AD405" s="408">
        <v>4369.7675314064973</v>
      </c>
      <c r="AE405" s="408">
        <v>3923.4767680026625</v>
      </c>
      <c r="AF405" s="408"/>
      <c r="AG405" s="408"/>
      <c r="AH405" s="408"/>
      <c r="AI405" s="408">
        <v>0</v>
      </c>
      <c r="AJ405" s="408">
        <v>0</v>
      </c>
      <c r="AK405" s="408">
        <v>0</v>
      </c>
      <c r="AL405" s="408">
        <v>0</v>
      </c>
      <c r="AM405" s="408"/>
      <c r="AN405" s="408">
        <v>0</v>
      </c>
      <c r="AO405" s="408">
        <v>0</v>
      </c>
      <c r="AP405" s="408">
        <v>0</v>
      </c>
      <c r="AQ405" s="408">
        <v>0</v>
      </c>
      <c r="AR405" s="408">
        <v>0</v>
      </c>
      <c r="AS405" s="408"/>
      <c r="AT405" s="408"/>
      <c r="AU405" s="408">
        <v>0</v>
      </c>
      <c r="AV405" s="408">
        <v>0</v>
      </c>
      <c r="AW405" s="408">
        <v>0</v>
      </c>
      <c r="AX405" s="408"/>
      <c r="AY405" s="408"/>
      <c r="AZ405" s="408">
        <v>0</v>
      </c>
      <c r="BA405" s="408"/>
      <c r="BB405" s="408">
        <v>0</v>
      </c>
      <c r="BC405" s="408">
        <v>0</v>
      </c>
      <c r="BD405" s="408">
        <v>0</v>
      </c>
      <c r="BE405" s="408">
        <v>0</v>
      </c>
      <c r="BF405" s="408"/>
      <c r="BG405" s="408">
        <v>0</v>
      </c>
      <c r="BH405" s="408">
        <v>0</v>
      </c>
      <c r="BI405" s="408">
        <v>221.7</v>
      </c>
      <c r="BJ405" s="408">
        <v>221.7</v>
      </c>
      <c r="BK405" s="408">
        <v>6.89</v>
      </c>
      <c r="BL405" s="408">
        <v>1</v>
      </c>
      <c r="BM405" s="408"/>
      <c r="BN405" s="408"/>
      <c r="BO405" s="408"/>
      <c r="BP405" s="408"/>
      <c r="BQ405" s="408"/>
      <c r="BR405" s="408">
        <v>225.54</v>
      </c>
      <c r="BS405" s="408"/>
      <c r="BT405" s="408"/>
      <c r="BU405" s="408"/>
      <c r="BV405" s="408">
        <v>0</v>
      </c>
      <c r="BW405" s="408"/>
      <c r="BX405" s="408"/>
      <c r="BY405" s="408"/>
      <c r="BZ405" s="408"/>
      <c r="CA405" s="408"/>
      <c r="CB405" s="408"/>
      <c r="CC405" s="408"/>
      <c r="CD405" s="408"/>
      <c r="CE405" s="408"/>
      <c r="CF405" s="408"/>
      <c r="CG405" s="408"/>
      <c r="CH405" s="408"/>
      <c r="CI405" s="408">
        <v>5412.96</v>
      </c>
      <c r="CJ405" s="408">
        <v>-2548.5900000000011</v>
      </c>
      <c r="CK405" s="408"/>
      <c r="CL405" s="408"/>
      <c r="CM405" s="408"/>
      <c r="CN405" s="408"/>
      <c r="CO405" s="408">
        <v>-2654.7500000000005</v>
      </c>
      <c r="CP405" s="408">
        <v>0</v>
      </c>
      <c r="CQ405" s="408">
        <v>31</v>
      </c>
      <c r="CR405" s="408">
        <v>-19.751624079616704</v>
      </c>
      <c r="CS405" s="408">
        <v>0</v>
      </c>
      <c r="CT405" s="408">
        <v>0</v>
      </c>
      <c r="CU405" s="408">
        <v>0</v>
      </c>
      <c r="CV405" s="408">
        <v>0</v>
      </c>
      <c r="CW405" s="408"/>
      <c r="CX405" s="408"/>
      <c r="CY405" s="408"/>
      <c r="CZ405" s="408">
        <v>-19.751624079616704</v>
      </c>
      <c r="DA405" s="408">
        <v>0</v>
      </c>
      <c r="DB405" s="408">
        <v>0</v>
      </c>
      <c r="DC405" s="408"/>
      <c r="DD405" s="408"/>
      <c r="DE405" s="408">
        <v>0</v>
      </c>
      <c r="DF405" s="408">
        <v>0</v>
      </c>
      <c r="DG405" s="408">
        <v>0</v>
      </c>
      <c r="DH405" s="408">
        <v>0</v>
      </c>
      <c r="DI405" s="408">
        <v>0</v>
      </c>
      <c r="DJ405" s="408"/>
      <c r="DK405" s="408">
        <v>0</v>
      </c>
      <c r="DL405" s="408">
        <v>0</v>
      </c>
      <c r="DM405" s="408"/>
      <c r="DN405" s="408">
        <v>0</v>
      </c>
      <c r="DO405" s="408">
        <v>0</v>
      </c>
      <c r="DP405" s="408">
        <v>0</v>
      </c>
      <c r="DQ405" s="408">
        <v>0</v>
      </c>
      <c r="DR405" s="408">
        <v>0</v>
      </c>
      <c r="DS405" s="408"/>
      <c r="DT405" s="408"/>
      <c r="DU405" s="408">
        <v>3923.4767680026625</v>
      </c>
      <c r="DV405" s="408"/>
      <c r="DW405" s="408">
        <v>0</v>
      </c>
      <c r="DX405" s="408">
        <v>0</v>
      </c>
      <c r="DY405" s="408">
        <v>-2654.75</v>
      </c>
      <c r="DZ405" s="408"/>
      <c r="EA405" s="408">
        <v>0</v>
      </c>
      <c r="EB405" s="408"/>
      <c r="EC405" s="408">
        <v>-2635.2999575404037</v>
      </c>
      <c r="ED405" s="408"/>
      <c r="EE405" s="408">
        <v>0</v>
      </c>
      <c r="EF405" s="408">
        <v>0</v>
      </c>
      <c r="EG405" s="408"/>
      <c r="EH405" s="408">
        <v>0</v>
      </c>
      <c r="EI405" s="408">
        <v>0</v>
      </c>
      <c r="EJ405" s="408">
        <v>0</v>
      </c>
      <c r="EK405" s="408">
        <v>0</v>
      </c>
      <c r="EL405" s="408">
        <v>0</v>
      </c>
      <c r="EM405" s="408"/>
      <c r="EN405" s="408"/>
      <c r="EO405" s="408">
        <v>0</v>
      </c>
      <c r="EP405" s="408">
        <v>0</v>
      </c>
      <c r="EQ405" s="408"/>
      <c r="ER405" s="408">
        <v>0</v>
      </c>
      <c r="ES405" s="408"/>
      <c r="ET405" s="408">
        <v>0</v>
      </c>
      <c r="EU405" s="408"/>
      <c r="EV405" s="408">
        <v>257</v>
      </c>
      <c r="EW405" s="408"/>
      <c r="EX405" s="408"/>
      <c r="EY405" s="408"/>
      <c r="EZ405" s="408"/>
      <c r="FA405" s="408">
        <v>0</v>
      </c>
      <c r="FB405" s="408"/>
      <c r="FC405" s="408"/>
      <c r="FD405" s="408"/>
      <c r="FE405" s="408"/>
      <c r="FF405" s="408">
        <v>0</v>
      </c>
      <c r="FG405" s="408">
        <v>0</v>
      </c>
      <c r="FH405" s="408">
        <v>0</v>
      </c>
      <c r="FI405" s="408">
        <v>0</v>
      </c>
    </row>
    <row r="406" spans="1:165">
      <c r="A406" s="408">
        <v>404</v>
      </c>
      <c r="B406" s="408" t="s">
        <v>1035</v>
      </c>
      <c r="C406" s="408" t="s">
        <v>2233</v>
      </c>
      <c r="D406" s="408" t="s">
        <v>1958</v>
      </c>
      <c r="E406" s="408" t="s">
        <v>2244</v>
      </c>
      <c r="F406" s="408" t="s">
        <v>1321</v>
      </c>
      <c r="G406" s="408" t="s">
        <v>1321</v>
      </c>
      <c r="H406" s="408" t="s">
        <v>1321</v>
      </c>
      <c r="I406" s="408" t="s">
        <v>1321</v>
      </c>
      <c r="J406" s="408" t="s">
        <v>2234</v>
      </c>
      <c r="K406" s="828">
        <v>44682</v>
      </c>
      <c r="L406" s="408">
        <v>0</v>
      </c>
      <c r="M406" s="408">
        <v>0</v>
      </c>
      <c r="N406" s="408">
        <v>187.58099999999999</v>
      </c>
      <c r="O406" s="408">
        <v>187.58099999999999</v>
      </c>
      <c r="P406" s="408">
        <v>187.58099999999999</v>
      </c>
      <c r="Q406" s="408">
        <v>187.58099999999999</v>
      </c>
      <c r="R406" s="408"/>
      <c r="S406" s="408">
        <v>710.91</v>
      </c>
      <c r="T406" s="408">
        <v>256.55</v>
      </c>
      <c r="U406" s="408"/>
      <c r="V406" s="408">
        <v>181477.11425999997</v>
      </c>
      <c r="W406" s="408">
        <v>181477.11425999997</v>
      </c>
      <c r="X406" s="408">
        <v>123884.11983</v>
      </c>
      <c r="Y406" s="408">
        <v>0</v>
      </c>
      <c r="Z406" s="408">
        <v>11531.482211311597</v>
      </c>
      <c r="AA406" s="408">
        <v>0</v>
      </c>
      <c r="AB406" s="408">
        <v>0</v>
      </c>
      <c r="AC406" s="408">
        <v>0</v>
      </c>
      <c r="AD406" s="408">
        <v>23087.992794106322</v>
      </c>
      <c r="AE406" s="408">
        <v>89459.266280990065</v>
      </c>
      <c r="AF406" s="408">
        <v>48124.378579020049</v>
      </c>
      <c r="AG406" s="408">
        <v>0</v>
      </c>
      <c r="AH406" s="408">
        <v>0</v>
      </c>
      <c r="AI406" s="408">
        <v>0</v>
      </c>
      <c r="AJ406" s="408">
        <v>0</v>
      </c>
      <c r="AK406" s="408">
        <v>0</v>
      </c>
      <c r="AL406" s="408">
        <v>1782.8192995058178</v>
      </c>
      <c r="AM406" s="408"/>
      <c r="AN406" s="408">
        <v>411.89123136100488</v>
      </c>
      <c r="AO406" s="408">
        <v>0</v>
      </c>
      <c r="AP406" s="408">
        <v>0</v>
      </c>
      <c r="AQ406" s="408">
        <v>0</v>
      </c>
      <c r="AR406" s="408">
        <v>0</v>
      </c>
      <c r="AS406" s="408">
        <v>0</v>
      </c>
      <c r="AT406" s="408">
        <v>0</v>
      </c>
      <c r="AU406" s="408">
        <v>0</v>
      </c>
      <c r="AV406" s="408">
        <v>0</v>
      </c>
      <c r="AW406" s="408">
        <v>0</v>
      </c>
      <c r="AX406" s="408">
        <v>0</v>
      </c>
      <c r="AY406" s="408">
        <v>0</v>
      </c>
      <c r="AZ406" s="408">
        <v>0</v>
      </c>
      <c r="BA406" s="408"/>
      <c r="BB406" s="408">
        <v>0</v>
      </c>
      <c r="BC406" s="408">
        <v>0</v>
      </c>
      <c r="BD406" s="408">
        <v>279.55577784339744</v>
      </c>
      <c r="BE406" s="408">
        <v>0</v>
      </c>
      <c r="BF406" s="408">
        <v>0</v>
      </c>
      <c r="BG406" s="408">
        <v>6800.4494521177376</v>
      </c>
      <c r="BH406" s="408">
        <v>0</v>
      </c>
      <c r="BI406" s="408">
        <v>1421.21</v>
      </c>
      <c r="BJ406" s="408">
        <v>1422.63</v>
      </c>
      <c r="BK406" s="408">
        <v>42236.17</v>
      </c>
      <c r="BL406" s="408">
        <v>306</v>
      </c>
      <c r="BM406" s="408"/>
      <c r="BN406" s="408"/>
      <c r="BO406" s="408"/>
      <c r="BP406" s="408"/>
      <c r="BQ406" s="408"/>
      <c r="BR406" s="408"/>
      <c r="BS406" s="408"/>
      <c r="BT406" s="408"/>
      <c r="BU406" s="408"/>
      <c r="BV406" s="408">
        <v>55204.383808981183</v>
      </c>
      <c r="BW406" s="408"/>
      <c r="BX406" s="408"/>
      <c r="BY406" s="408"/>
      <c r="BZ406" s="408"/>
      <c r="CA406" s="408"/>
      <c r="CB406" s="408"/>
      <c r="CC406" s="408"/>
      <c r="CD406" s="408"/>
      <c r="CE406" s="408"/>
      <c r="CF406" s="408"/>
      <c r="CG406" s="408"/>
      <c r="CH406" s="408"/>
      <c r="CI406" s="408">
        <v>123883.45940000001</v>
      </c>
      <c r="CJ406" s="408">
        <v>-57593.684859999994</v>
      </c>
      <c r="CK406" s="408"/>
      <c r="CL406" s="408"/>
      <c r="CM406" s="408"/>
      <c r="CN406" s="408"/>
      <c r="CO406" s="408">
        <v>-60592.414619999996</v>
      </c>
      <c r="CP406" s="408">
        <v>2999.4201900000016</v>
      </c>
      <c r="CQ406" s="408">
        <v>31</v>
      </c>
      <c r="CR406" s="408">
        <v>2493.5679071095801</v>
      </c>
      <c r="CS406" s="408">
        <v>0</v>
      </c>
      <c r="CT406" s="408">
        <v>0</v>
      </c>
      <c r="CU406" s="408">
        <v>0</v>
      </c>
      <c r="CV406" s="408">
        <v>0</v>
      </c>
      <c r="CW406" s="408">
        <v>0</v>
      </c>
      <c r="CX406" s="408">
        <v>0</v>
      </c>
      <c r="CY406" s="408">
        <v>0</v>
      </c>
      <c r="CZ406" s="408">
        <v>-104.35917955461264</v>
      </c>
      <c r="DA406" s="408">
        <v>0</v>
      </c>
      <c r="DB406" s="408">
        <v>0</v>
      </c>
      <c r="DC406" s="408">
        <v>2998.0751151153163</v>
      </c>
      <c r="DD406" s="408">
        <v>0</v>
      </c>
      <c r="DE406" s="408">
        <v>0</v>
      </c>
      <c r="DF406" s="408">
        <v>17.415897006603473</v>
      </c>
      <c r="DG406" s="408">
        <v>423.65759051862642</v>
      </c>
      <c r="DH406" s="408">
        <v>0</v>
      </c>
      <c r="DI406" s="408">
        <v>-717.07200073414606</v>
      </c>
      <c r="DJ406" s="408"/>
      <c r="DK406" s="408">
        <v>0</v>
      </c>
      <c r="DL406" s="408">
        <v>0</v>
      </c>
      <c r="DM406" s="408">
        <v>0</v>
      </c>
      <c r="DN406" s="408">
        <v>0</v>
      </c>
      <c r="DO406" s="408">
        <v>-97.828092190455664</v>
      </c>
      <c r="DP406" s="408">
        <v>-26.321423051760917</v>
      </c>
      <c r="DQ406" s="408">
        <v>0</v>
      </c>
      <c r="DR406" s="408">
        <v>0</v>
      </c>
      <c r="DS406" s="408"/>
      <c r="DT406" s="408"/>
      <c r="DU406" s="408"/>
      <c r="DV406" s="408">
        <v>89459.266280990065</v>
      </c>
      <c r="DW406" s="408">
        <v>0</v>
      </c>
      <c r="DX406" s="408">
        <v>0</v>
      </c>
      <c r="DY406" s="408">
        <v>-60592.414619999981</v>
      </c>
      <c r="DZ406" s="408">
        <v>2999.4201900000044</v>
      </c>
      <c r="EA406" s="408">
        <v>0</v>
      </c>
      <c r="EB406" s="408">
        <v>0</v>
      </c>
      <c r="EC406" s="408">
        <v>-60087.523024101894</v>
      </c>
      <c r="ED406" s="408">
        <v>0</v>
      </c>
      <c r="EE406" s="408">
        <v>0</v>
      </c>
      <c r="EF406" s="408">
        <v>0</v>
      </c>
      <c r="EG406" s="408">
        <v>0</v>
      </c>
      <c r="EH406" s="408">
        <v>0</v>
      </c>
      <c r="EI406" s="408">
        <v>0</v>
      </c>
      <c r="EJ406" s="408">
        <v>0</v>
      </c>
      <c r="EK406" s="408">
        <v>0</v>
      </c>
      <c r="EL406" s="408">
        <v>0</v>
      </c>
      <c r="EM406" s="408">
        <v>0</v>
      </c>
      <c r="EN406" s="408">
        <v>0</v>
      </c>
      <c r="EO406" s="408">
        <v>0</v>
      </c>
      <c r="EP406" s="408">
        <v>0</v>
      </c>
      <c r="EQ406" s="408">
        <v>0</v>
      </c>
      <c r="ER406" s="408">
        <v>0</v>
      </c>
      <c r="ES406" s="408">
        <v>0</v>
      </c>
      <c r="ET406" s="408">
        <v>0</v>
      </c>
      <c r="EU406" s="408">
        <v>0</v>
      </c>
      <c r="EV406" s="408">
        <v>257</v>
      </c>
      <c r="EW406" s="408">
        <v>0</v>
      </c>
      <c r="EX406" s="408">
        <v>0</v>
      </c>
      <c r="EY406" s="408">
        <v>0</v>
      </c>
      <c r="EZ406" s="408"/>
      <c r="FA406" s="408">
        <v>0</v>
      </c>
      <c r="FB406" s="408"/>
      <c r="FC406" s="408"/>
      <c r="FD406" s="408"/>
      <c r="FE406" s="408"/>
      <c r="FF406" s="408">
        <v>0</v>
      </c>
      <c r="FG406" s="408">
        <v>0</v>
      </c>
      <c r="FH406" s="408">
        <v>0</v>
      </c>
      <c r="FI406" s="408">
        <v>0</v>
      </c>
    </row>
    <row r="407" spans="1:165">
      <c r="A407" s="408">
        <v>405</v>
      </c>
      <c r="B407" s="408" t="s">
        <v>2235</v>
      </c>
      <c r="C407" s="408" t="s">
        <v>2233</v>
      </c>
      <c r="D407" s="408" t="s">
        <v>1958</v>
      </c>
      <c r="E407" s="408" t="s">
        <v>2244</v>
      </c>
      <c r="F407" s="408" t="s">
        <v>1321</v>
      </c>
      <c r="G407" s="408" t="s">
        <v>1321</v>
      </c>
      <c r="H407" s="408" t="s">
        <v>1321</v>
      </c>
      <c r="I407" s="408" t="s">
        <v>1321</v>
      </c>
      <c r="J407" s="408" t="s">
        <v>2234</v>
      </c>
      <c r="K407" s="828">
        <v>44682</v>
      </c>
      <c r="L407" s="408">
        <v>0</v>
      </c>
      <c r="M407" s="408">
        <v>0</v>
      </c>
      <c r="N407" s="408">
        <v>-2.0369999999999999</v>
      </c>
      <c r="O407" s="408">
        <v>-2.0369999999999999</v>
      </c>
      <c r="P407" s="408">
        <v>-2.0369999999999999</v>
      </c>
      <c r="Q407" s="408">
        <v>-2.0369999999999999</v>
      </c>
      <c r="R407" s="408"/>
      <c r="S407" s="408">
        <v>710.91</v>
      </c>
      <c r="T407" s="408">
        <v>256.55</v>
      </c>
      <c r="U407" s="408"/>
      <c r="V407" s="408">
        <v>-1970.7160199999998</v>
      </c>
      <c r="W407" s="408">
        <v>-1970.7160199999998</v>
      </c>
      <c r="X407" s="408">
        <v>-1345.2959099999998</v>
      </c>
      <c r="Y407" s="408">
        <v>0</v>
      </c>
      <c r="Z407" s="408">
        <v>-125.22392600765389</v>
      </c>
      <c r="AA407" s="408">
        <v>0</v>
      </c>
      <c r="AB407" s="408">
        <v>0</v>
      </c>
      <c r="AC407" s="408">
        <v>0</v>
      </c>
      <c r="AD407" s="408">
        <v>-250.71964282946874</v>
      </c>
      <c r="AE407" s="408">
        <v>-971.46579565295406</v>
      </c>
      <c r="AF407" s="408">
        <v>-522.59748676818992</v>
      </c>
      <c r="AG407" s="408">
        <v>0</v>
      </c>
      <c r="AH407" s="408">
        <v>0</v>
      </c>
      <c r="AI407" s="408">
        <v>0</v>
      </c>
      <c r="AJ407" s="408">
        <v>0</v>
      </c>
      <c r="AK407" s="408">
        <v>0</v>
      </c>
      <c r="AL407" s="408">
        <v>-19.360185269794655</v>
      </c>
      <c r="AM407" s="408"/>
      <c r="AN407" s="408">
        <v>-4.472854064550071</v>
      </c>
      <c r="AO407" s="408">
        <v>0</v>
      </c>
      <c r="AP407" s="408">
        <v>0</v>
      </c>
      <c r="AQ407" s="408">
        <v>0</v>
      </c>
      <c r="AR407" s="408">
        <v>0</v>
      </c>
      <c r="AS407" s="408">
        <v>0</v>
      </c>
      <c r="AT407" s="408">
        <v>0</v>
      </c>
      <c r="AU407" s="408">
        <v>0</v>
      </c>
      <c r="AV407" s="408">
        <v>0</v>
      </c>
      <c r="AW407" s="408">
        <v>0</v>
      </c>
      <c r="AX407" s="408">
        <v>0</v>
      </c>
      <c r="AY407" s="408">
        <v>0</v>
      </c>
      <c r="AZ407" s="408">
        <v>0</v>
      </c>
      <c r="BA407" s="408"/>
      <c r="BB407" s="408">
        <v>0</v>
      </c>
      <c r="BC407" s="408">
        <v>0</v>
      </c>
      <c r="BD407" s="408">
        <v>-3.0357825124452935</v>
      </c>
      <c r="BE407" s="408">
        <v>0</v>
      </c>
      <c r="BF407" s="408">
        <v>0</v>
      </c>
      <c r="BG407" s="408">
        <v>-73.848180433859667</v>
      </c>
      <c r="BH407" s="408">
        <v>0</v>
      </c>
      <c r="BI407" s="408">
        <v>-4.17</v>
      </c>
      <c r="BJ407" s="408">
        <v>-19.309999999999999</v>
      </c>
      <c r="BK407" s="408">
        <v>-552.67999999999995</v>
      </c>
      <c r="BL407" s="408">
        <v>0</v>
      </c>
      <c r="BM407" s="408"/>
      <c r="BN407" s="408"/>
      <c r="BO407" s="408"/>
      <c r="BP407" s="408"/>
      <c r="BQ407" s="408"/>
      <c r="BR407" s="408"/>
      <c r="BS407" s="408"/>
      <c r="BT407" s="408"/>
      <c r="BU407" s="408"/>
      <c r="BV407" s="408">
        <v>-599.48144971449483</v>
      </c>
      <c r="BW407" s="408"/>
      <c r="BX407" s="408"/>
      <c r="BY407" s="408"/>
      <c r="BZ407" s="408"/>
      <c r="CA407" s="408"/>
      <c r="CB407" s="408"/>
      <c r="CC407" s="408"/>
      <c r="CD407" s="408"/>
      <c r="CE407" s="408"/>
      <c r="CF407" s="408"/>
      <c r="CG407" s="408"/>
      <c r="CH407" s="408"/>
      <c r="CI407" s="408">
        <v>-1347.2772</v>
      </c>
      <c r="CJ407" s="408">
        <v>623.40881999999988</v>
      </c>
      <c r="CK407" s="408"/>
      <c r="CL407" s="408"/>
      <c r="CM407" s="408"/>
      <c r="CN407" s="408"/>
      <c r="CO407" s="408">
        <v>657.99173999999994</v>
      </c>
      <c r="CP407" s="408">
        <v>-32.57163000000002</v>
      </c>
      <c r="CQ407" s="408">
        <v>31</v>
      </c>
      <c r="CR407" s="408">
        <v>-27.07842386372954</v>
      </c>
      <c r="CS407" s="408">
        <v>0</v>
      </c>
      <c r="CT407" s="408">
        <v>0</v>
      </c>
      <c r="CU407" s="408">
        <v>0</v>
      </c>
      <c r="CV407" s="408">
        <v>0</v>
      </c>
      <c r="CW407" s="408">
        <v>0</v>
      </c>
      <c r="CX407" s="408">
        <v>0</v>
      </c>
      <c r="CY407" s="408">
        <v>0</v>
      </c>
      <c r="CZ407" s="408">
        <v>1.1332685546656762</v>
      </c>
      <c r="DA407" s="408">
        <v>0</v>
      </c>
      <c r="DB407" s="408">
        <v>0</v>
      </c>
      <c r="DC407" s="408">
        <v>-32.557023416496918</v>
      </c>
      <c r="DD407" s="408">
        <v>0</v>
      </c>
      <c r="DE407" s="408">
        <v>0</v>
      </c>
      <c r="DF407" s="408">
        <v>-0.18912460325113578</v>
      </c>
      <c r="DG407" s="408">
        <v>-4.6006285918426926</v>
      </c>
      <c r="DH407" s="408">
        <v>0</v>
      </c>
      <c r="DI407" s="408">
        <v>7.7869062724660694</v>
      </c>
      <c r="DJ407" s="408"/>
      <c r="DK407" s="408">
        <v>0</v>
      </c>
      <c r="DL407" s="408">
        <v>0</v>
      </c>
      <c r="DM407" s="408">
        <v>0</v>
      </c>
      <c r="DN407" s="408">
        <v>0</v>
      </c>
      <c r="DO407" s="408">
        <v>1.0623454603182552</v>
      </c>
      <c r="DP407" s="408">
        <v>0.28583246041143262</v>
      </c>
      <c r="DQ407" s="408">
        <v>0</v>
      </c>
      <c r="DR407" s="408">
        <v>0</v>
      </c>
      <c r="DS407" s="408"/>
      <c r="DT407" s="408"/>
      <c r="DU407" s="408"/>
      <c r="DV407" s="408">
        <v>-971.46579565295406</v>
      </c>
      <c r="DW407" s="408">
        <v>0</v>
      </c>
      <c r="DX407" s="408">
        <v>0</v>
      </c>
      <c r="DY407" s="408">
        <v>657.99174000000005</v>
      </c>
      <c r="DZ407" s="408">
        <v>-32.571630000000027</v>
      </c>
      <c r="EA407" s="408">
        <v>0</v>
      </c>
      <c r="EB407" s="408">
        <v>0</v>
      </c>
      <c r="EC407" s="408">
        <v>652.50896626041856</v>
      </c>
      <c r="ED407" s="408">
        <v>0</v>
      </c>
      <c r="EE407" s="408">
        <v>0</v>
      </c>
      <c r="EF407" s="408">
        <v>0</v>
      </c>
      <c r="EG407" s="408">
        <v>0</v>
      </c>
      <c r="EH407" s="408">
        <v>0</v>
      </c>
      <c r="EI407" s="408">
        <v>0</v>
      </c>
      <c r="EJ407" s="408">
        <v>0</v>
      </c>
      <c r="EK407" s="408">
        <v>0</v>
      </c>
      <c r="EL407" s="408">
        <v>0</v>
      </c>
      <c r="EM407" s="408">
        <v>0</v>
      </c>
      <c r="EN407" s="408">
        <v>0</v>
      </c>
      <c r="EO407" s="408">
        <v>0</v>
      </c>
      <c r="EP407" s="408">
        <v>0</v>
      </c>
      <c r="EQ407" s="408">
        <v>0</v>
      </c>
      <c r="ER407" s="408">
        <v>0</v>
      </c>
      <c r="ES407" s="408">
        <v>0</v>
      </c>
      <c r="ET407" s="408">
        <v>0</v>
      </c>
      <c r="EU407" s="408">
        <v>0</v>
      </c>
      <c r="EV407" s="408">
        <v>257</v>
      </c>
      <c r="EW407" s="408">
        <v>0</v>
      </c>
      <c r="EX407" s="408">
        <v>0</v>
      </c>
      <c r="EY407" s="408">
        <v>0</v>
      </c>
      <c r="EZ407" s="408"/>
      <c r="FA407" s="408">
        <v>0</v>
      </c>
      <c r="FB407" s="408"/>
      <c r="FC407" s="408"/>
      <c r="FD407" s="408"/>
      <c r="FE407" s="408"/>
      <c r="FF407" s="408">
        <v>0</v>
      </c>
      <c r="FG407" s="408">
        <v>0</v>
      </c>
      <c r="FH407" s="408">
        <v>0</v>
      </c>
      <c r="FI407" s="408">
        <v>0</v>
      </c>
    </row>
    <row r="408" spans="1:165">
      <c r="A408" s="408">
        <v>406</v>
      </c>
      <c r="B408" s="408" t="s">
        <v>2236</v>
      </c>
      <c r="C408" s="408" t="s">
        <v>2233</v>
      </c>
      <c r="D408" s="408" t="s">
        <v>1958</v>
      </c>
      <c r="E408" s="408" t="s">
        <v>2244</v>
      </c>
      <c r="F408" s="408" t="s">
        <v>1321</v>
      </c>
      <c r="G408" s="408" t="s">
        <v>1321</v>
      </c>
      <c r="H408" s="408" t="s">
        <v>1321</v>
      </c>
      <c r="I408" s="408" t="s">
        <v>1321</v>
      </c>
      <c r="J408" s="408" t="s">
        <v>2234</v>
      </c>
      <c r="K408" s="828">
        <v>44682</v>
      </c>
      <c r="L408" s="408">
        <v>0</v>
      </c>
      <c r="M408" s="408">
        <v>0</v>
      </c>
      <c r="N408" s="408">
        <v>0.1</v>
      </c>
      <c r="O408" s="408">
        <v>0.1</v>
      </c>
      <c r="P408" s="408">
        <v>0.1</v>
      </c>
      <c r="Q408" s="408">
        <v>0.1</v>
      </c>
      <c r="R408" s="408"/>
      <c r="S408" s="408">
        <v>710.91</v>
      </c>
      <c r="T408" s="408">
        <v>256.55</v>
      </c>
      <c r="U408" s="408"/>
      <c r="V408" s="408">
        <v>96.745999999999995</v>
      </c>
      <c r="W408" s="408">
        <v>96.745999999999995</v>
      </c>
      <c r="X408" s="408">
        <v>66.043000000000006</v>
      </c>
      <c r="Y408" s="408">
        <v>0</v>
      </c>
      <c r="Z408" s="408">
        <v>6.1474681397964606</v>
      </c>
      <c r="AA408" s="408">
        <v>0</v>
      </c>
      <c r="AB408" s="408">
        <v>0</v>
      </c>
      <c r="AC408" s="408">
        <v>0</v>
      </c>
      <c r="AD408" s="408">
        <v>12.308278980337199</v>
      </c>
      <c r="AE408" s="408">
        <v>47.691006168529903</v>
      </c>
      <c r="AF408" s="408">
        <v>25.655252173205202</v>
      </c>
      <c r="AG408" s="408">
        <v>0</v>
      </c>
      <c r="AH408" s="408">
        <v>0</v>
      </c>
      <c r="AI408" s="408">
        <v>0</v>
      </c>
      <c r="AJ408" s="408">
        <v>0</v>
      </c>
      <c r="AK408" s="408">
        <v>0</v>
      </c>
      <c r="AL408" s="408">
        <v>0.950426375542202</v>
      </c>
      <c r="AM408" s="408"/>
      <c r="AN408" s="408">
        <v>0.21958046463181502</v>
      </c>
      <c r="AO408" s="408">
        <v>0</v>
      </c>
      <c r="AP408" s="408">
        <v>0</v>
      </c>
      <c r="AQ408" s="408">
        <v>0</v>
      </c>
      <c r="AR408" s="408">
        <v>0</v>
      </c>
      <c r="AS408" s="408">
        <v>0</v>
      </c>
      <c r="AT408" s="408">
        <v>0</v>
      </c>
      <c r="AU408" s="408">
        <v>0</v>
      </c>
      <c r="AV408" s="408">
        <v>0</v>
      </c>
      <c r="AW408" s="408">
        <v>0</v>
      </c>
      <c r="AX408" s="408">
        <v>0</v>
      </c>
      <c r="AY408" s="408">
        <v>0</v>
      </c>
      <c r="AZ408" s="408">
        <v>0</v>
      </c>
      <c r="BA408" s="408"/>
      <c r="BB408" s="408">
        <v>0</v>
      </c>
      <c r="BC408" s="408">
        <v>0</v>
      </c>
      <c r="BD408" s="408">
        <v>0.14903203301155099</v>
      </c>
      <c r="BE408" s="408">
        <v>0</v>
      </c>
      <c r="BF408" s="408">
        <v>0</v>
      </c>
      <c r="BG408" s="408">
        <v>3.6253402274845201</v>
      </c>
      <c r="BH408" s="408">
        <v>0</v>
      </c>
      <c r="BI408" s="408">
        <v>0.75</v>
      </c>
      <c r="BJ408" s="408">
        <v>0.75</v>
      </c>
      <c r="BK408" s="408">
        <v>0</v>
      </c>
      <c r="BL408" s="408">
        <v>1</v>
      </c>
      <c r="BM408" s="408"/>
      <c r="BN408" s="408"/>
      <c r="BO408" s="408"/>
      <c r="BP408" s="408"/>
      <c r="BQ408" s="408"/>
      <c r="BR408" s="408"/>
      <c r="BS408" s="408"/>
      <c r="BT408" s="408"/>
      <c r="BU408" s="408"/>
      <c r="BV408" s="408">
        <v>29.429624433701274</v>
      </c>
      <c r="BW408" s="408"/>
      <c r="BX408" s="408"/>
      <c r="BY408" s="408"/>
      <c r="BZ408" s="408"/>
      <c r="CA408" s="408"/>
      <c r="CB408" s="408"/>
      <c r="CC408" s="408"/>
      <c r="CD408" s="408"/>
      <c r="CE408" s="408"/>
      <c r="CF408" s="408"/>
      <c r="CG408" s="408"/>
      <c r="CH408" s="408"/>
      <c r="CI408" s="408">
        <v>66.043000000000006</v>
      </c>
      <c r="CJ408" s="408">
        <v>-30.733000000000004</v>
      </c>
      <c r="CK408" s="408"/>
      <c r="CL408" s="408"/>
      <c r="CM408" s="408"/>
      <c r="CN408" s="408"/>
      <c r="CO408" s="408">
        <v>-32.302</v>
      </c>
      <c r="CP408" s="408">
        <v>1.5990000000000011</v>
      </c>
      <c r="CQ408" s="408">
        <v>31</v>
      </c>
      <c r="CR408" s="408">
        <v>1.3293286138305902</v>
      </c>
      <c r="CS408" s="408">
        <v>0</v>
      </c>
      <c r="CT408" s="408">
        <v>0</v>
      </c>
      <c r="CU408" s="408">
        <v>0</v>
      </c>
      <c r="CV408" s="408">
        <v>0</v>
      </c>
      <c r="CW408" s="408">
        <v>0</v>
      </c>
      <c r="CX408" s="408">
        <v>0</v>
      </c>
      <c r="CY408" s="408">
        <v>0</v>
      </c>
      <c r="CZ408" s="408">
        <v>-5.5634195123499097E-2</v>
      </c>
      <c r="DA408" s="408">
        <v>0</v>
      </c>
      <c r="DB408" s="408">
        <v>0</v>
      </c>
      <c r="DC408" s="408">
        <v>1.5982829364996007</v>
      </c>
      <c r="DD408" s="408">
        <v>0</v>
      </c>
      <c r="DE408" s="408">
        <v>0</v>
      </c>
      <c r="DF408" s="408">
        <v>9.2844675135560217E-3</v>
      </c>
      <c r="DG408" s="408">
        <v>0.22585314638403009</v>
      </c>
      <c r="DH408" s="408">
        <v>0</v>
      </c>
      <c r="DI408" s="408">
        <v>-0.38227325834394055</v>
      </c>
      <c r="DJ408" s="408"/>
      <c r="DK408" s="408">
        <v>0</v>
      </c>
      <c r="DL408" s="408">
        <v>0</v>
      </c>
      <c r="DM408" s="408">
        <v>0</v>
      </c>
      <c r="DN408" s="408">
        <v>0</v>
      </c>
      <c r="DO408" s="408">
        <v>-5.2152452642034941E-2</v>
      </c>
      <c r="DP408" s="408">
        <v>-1.4032030457115013E-2</v>
      </c>
      <c r="DQ408" s="408">
        <v>0</v>
      </c>
      <c r="DR408" s="408">
        <v>0</v>
      </c>
      <c r="DS408" s="408"/>
      <c r="DT408" s="408"/>
      <c r="DU408" s="408"/>
      <c r="DV408" s="408">
        <v>47.691006168529903</v>
      </c>
      <c r="DW408" s="408">
        <v>0</v>
      </c>
      <c r="DX408" s="408">
        <v>0</v>
      </c>
      <c r="DY408" s="408">
        <v>-32.301999999999992</v>
      </c>
      <c r="DZ408" s="408">
        <v>1.5990000000000038</v>
      </c>
      <c r="EA408" s="408">
        <v>0</v>
      </c>
      <c r="EB408" s="408">
        <v>0</v>
      </c>
      <c r="EC408" s="408">
        <v>-32.032840758979802</v>
      </c>
      <c r="ED408" s="408">
        <v>0</v>
      </c>
      <c r="EE408" s="408">
        <v>0</v>
      </c>
      <c r="EF408" s="408">
        <v>0</v>
      </c>
      <c r="EG408" s="408">
        <v>0</v>
      </c>
      <c r="EH408" s="408">
        <v>0</v>
      </c>
      <c r="EI408" s="408">
        <v>0</v>
      </c>
      <c r="EJ408" s="408">
        <v>0</v>
      </c>
      <c r="EK408" s="408">
        <v>0</v>
      </c>
      <c r="EL408" s="408">
        <v>0</v>
      </c>
      <c r="EM408" s="408">
        <v>0</v>
      </c>
      <c r="EN408" s="408">
        <v>0</v>
      </c>
      <c r="EO408" s="408">
        <v>0</v>
      </c>
      <c r="EP408" s="408">
        <v>0</v>
      </c>
      <c r="EQ408" s="408">
        <v>0</v>
      </c>
      <c r="ER408" s="408">
        <v>0</v>
      </c>
      <c r="ES408" s="408">
        <v>0</v>
      </c>
      <c r="ET408" s="408">
        <v>0</v>
      </c>
      <c r="EU408" s="408">
        <v>0</v>
      </c>
      <c r="EV408" s="408">
        <v>257</v>
      </c>
      <c r="EW408" s="408">
        <v>0</v>
      </c>
      <c r="EX408" s="408">
        <v>0</v>
      </c>
      <c r="EY408" s="408">
        <v>0</v>
      </c>
      <c r="EZ408" s="408"/>
      <c r="FA408" s="408">
        <v>0</v>
      </c>
      <c r="FB408" s="408"/>
      <c r="FC408" s="408"/>
      <c r="FD408" s="408"/>
      <c r="FE408" s="408"/>
      <c r="FF408" s="408">
        <v>0</v>
      </c>
      <c r="FG408" s="408">
        <v>0</v>
      </c>
      <c r="FH408" s="408">
        <v>0</v>
      </c>
      <c r="FI408" s="408">
        <v>0</v>
      </c>
    </row>
    <row r="409" spans="1:165">
      <c r="A409" s="408">
        <v>407</v>
      </c>
      <c r="B409" s="408" t="s">
        <v>1035</v>
      </c>
      <c r="C409" s="408" t="s">
        <v>2233</v>
      </c>
      <c r="D409" s="408" t="s">
        <v>2245</v>
      </c>
      <c r="E409" s="408" t="s">
        <v>2246</v>
      </c>
      <c r="F409" s="408" t="s">
        <v>2247</v>
      </c>
      <c r="G409" s="408" t="s">
        <v>1321</v>
      </c>
      <c r="H409" s="408" t="s">
        <v>1321</v>
      </c>
      <c r="I409" s="408" t="s">
        <v>1321</v>
      </c>
      <c r="J409" s="408" t="s">
        <v>2234</v>
      </c>
      <c r="K409" s="828">
        <v>44682</v>
      </c>
      <c r="L409" s="408">
        <v>0</v>
      </c>
      <c r="M409" s="408">
        <v>0</v>
      </c>
      <c r="N409" s="408">
        <v>222.03</v>
      </c>
      <c r="O409" s="408">
        <v>222.03</v>
      </c>
      <c r="P409" s="408">
        <v>222.03</v>
      </c>
      <c r="Q409" s="408">
        <v>222.03</v>
      </c>
      <c r="R409" s="408"/>
      <c r="S409" s="408">
        <v>391</v>
      </c>
      <c r="T409" s="408">
        <v>141.1</v>
      </c>
      <c r="U409" s="408"/>
      <c r="V409" s="408">
        <v>118142.163</v>
      </c>
      <c r="W409" s="408">
        <v>118142.163</v>
      </c>
      <c r="X409" s="408">
        <v>80647.95689999999</v>
      </c>
      <c r="Y409" s="408">
        <v>0</v>
      </c>
      <c r="Z409" s="408">
        <v>7507.0729309345597</v>
      </c>
      <c r="AA409" s="408">
        <v>0</v>
      </c>
      <c r="AB409" s="408">
        <v>0</v>
      </c>
      <c r="AC409" s="408">
        <v>0</v>
      </c>
      <c r="AD409" s="408">
        <v>15030.439501023475</v>
      </c>
      <c r="AE409" s="408">
        <v>58238.587547792718</v>
      </c>
      <c r="AF409" s="408">
        <v>31329.296020092221</v>
      </c>
      <c r="AG409" s="408">
        <v>0</v>
      </c>
      <c r="AH409" s="408">
        <v>0</v>
      </c>
      <c r="AI409" s="408">
        <v>0</v>
      </c>
      <c r="AJ409" s="408">
        <v>0</v>
      </c>
      <c r="AK409" s="408">
        <v>0</v>
      </c>
      <c r="AL409" s="408">
        <v>1160.6274248889929</v>
      </c>
      <c r="AM409" s="408"/>
      <c r="AN409" s="408">
        <v>268.14397809211204</v>
      </c>
      <c r="AO409" s="408">
        <v>0</v>
      </c>
      <c r="AP409" s="408">
        <v>0</v>
      </c>
      <c r="AQ409" s="408">
        <v>0</v>
      </c>
      <c r="AR409" s="408">
        <v>0</v>
      </c>
      <c r="AS409" s="408">
        <v>0</v>
      </c>
      <c r="AT409" s="408">
        <v>0</v>
      </c>
      <c r="AU409" s="408">
        <v>0</v>
      </c>
      <c r="AV409" s="408">
        <v>0</v>
      </c>
      <c r="AW409" s="408">
        <v>0</v>
      </c>
      <c r="AX409" s="408">
        <v>0</v>
      </c>
      <c r="AY409" s="408">
        <v>0</v>
      </c>
      <c r="AZ409" s="408">
        <v>0</v>
      </c>
      <c r="BA409" s="408"/>
      <c r="BB409" s="408">
        <v>0</v>
      </c>
      <c r="BC409" s="408">
        <v>0</v>
      </c>
      <c r="BD409" s="408">
        <v>181.99270259255078</v>
      </c>
      <c r="BE409" s="408">
        <v>0</v>
      </c>
      <c r="BF409" s="408">
        <v>0</v>
      </c>
      <c r="BG409" s="408">
        <v>4427.1385988961429</v>
      </c>
      <c r="BH409" s="408">
        <v>0</v>
      </c>
      <c r="BI409" s="408">
        <v>875.98</v>
      </c>
      <c r="BJ409" s="408">
        <v>876.14</v>
      </c>
      <c r="BK409" s="408">
        <v>20599.87</v>
      </c>
      <c r="BL409" s="408">
        <v>28</v>
      </c>
      <c r="BM409" s="408"/>
      <c r="BN409" s="408"/>
      <c r="BO409" s="408"/>
      <c r="BP409" s="408"/>
      <c r="BQ409" s="408"/>
      <c r="BR409" s="408"/>
      <c r="BS409" s="408"/>
      <c r="BT409" s="408"/>
      <c r="BU409" s="408"/>
      <c r="BV409" s="408">
        <v>35938.427321580915</v>
      </c>
      <c r="BW409" s="408"/>
      <c r="BX409" s="408"/>
      <c r="BY409" s="408"/>
      <c r="BZ409" s="408"/>
      <c r="CA409" s="408"/>
      <c r="CB409" s="408"/>
      <c r="CC409" s="408"/>
      <c r="CD409" s="408"/>
      <c r="CE409" s="408"/>
      <c r="CF409" s="408"/>
      <c r="CG409" s="408"/>
      <c r="CH409" s="408"/>
      <c r="CI409" s="408">
        <v>80647.95689999999</v>
      </c>
      <c r="CJ409" s="408">
        <v>-37494.236099999995</v>
      </c>
      <c r="CK409" s="408"/>
      <c r="CL409" s="408"/>
      <c r="CM409" s="408"/>
      <c r="CN409" s="408"/>
      <c r="CO409" s="408">
        <v>-39445.849799999996</v>
      </c>
      <c r="CP409" s="408">
        <v>1951.6436999999983</v>
      </c>
      <c r="CQ409" s="408">
        <v>31</v>
      </c>
      <c r="CR409" s="408">
        <v>1623.3295767084564</v>
      </c>
      <c r="CS409" s="408">
        <v>0</v>
      </c>
      <c r="CT409" s="408">
        <v>0</v>
      </c>
      <c r="CU409" s="408">
        <v>0</v>
      </c>
      <c r="CV409" s="408">
        <v>0</v>
      </c>
      <c r="CW409" s="408">
        <v>0</v>
      </c>
      <c r="CX409" s="408">
        <v>0</v>
      </c>
      <c r="CY409" s="408">
        <v>0</v>
      </c>
      <c r="CZ409" s="408">
        <v>-67.938531887997669</v>
      </c>
      <c r="DA409" s="408">
        <v>0</v>
      </c>
      <c r="DB409" s="408">
        <v>0</v>
      </c>
      <c r="DC409" s="408">
        <v>1951.7671821505755</v>
      </c>
      <c r="DD409" s="408">
        <v>0</v>
      </c>
      <c r="DE409" s="408">
        <v>0</v>
      </c>
      <c r="DF409" s="408">
        <v>11.337866771191415</v>
      </c>
      <c r="DG409" s="408">
        <v>275.80395750403932</v>
      </c>
      <c r="DH409" s="408">
        <v>0</v>
      </c>
      <c r="DI409" s="408">
        <v>-466.81872352558457</v>
      </c>
      <c r="DJ409" s="408"/>
      <c r="DK409" s="408">
        <v>0</v>
      </c>
      <c r="DL409" s="408">
        <v>0</v>
      </c>
      <c r="DM409" s="408">
        <v>0</v>
      </c>
      <c r="DN409" s="408">
        <v>0</v>
      </c>
      <c r="DO409" s="408">
        <v>-63.686749830610097</v>
      </c>
      <c r="DP409" s="408">
        <v>-17.135424473164505</v>
      </c>
      <c r="DQ409" s="408">
        <v>0</v>
      </c>
      <c r="DR409" s="408">
        <v>0</v>
      </c>
      <c r="DS409" s="408"/>
      <c r="DT409" s="408"/>
      <c r="DU409" s="408"/>
      <c r="DV409" s="408">
        <v>58238.587547792718</v>
      </c>
      <c r="DW409" s="408">
        <v>0</v>
      </c>
      <c r="DX409" s="408">
        <v>0</v>
      </c>
      <c r="DY409" s="408">
        <v>-39445.849799999996</v>
      </c>
      <c r="DZ409" s="408">
        <v>1951.6437000000005</v>
      </c>
      <c r="EA409" s="408">
        <v>0</v>
      </c>
      <c r="EB409" s="408">
        <v>0</v>
      </c>
      <c r="EC409" s="408">
        <v>-39117.383985439483</v>
      </c>
      <c r="ED409" s="408">
        <v>0</v>
      </c>
      <c r="EE409" s="408">
        <v>0</v>
      </c>
      <c r="EF409" s="408">
        <v>0</v>
      </c>
      <c r="EG409" s="408">
        <v>0</v>
      </c>
      <c r="EH409" s="408">
        <v>0</v>
      </c>
      <c r="EI409" s="408">
        <v>0</v>
      </c>
      <c r="EJ409" s="408">
        <v>0</v>
      </c>
      <c r="EK409" s="408">
        <v>0</v>
      </c>
      <c r="EL409" s="408">
        <v>0</v>
      </c>
      <c r="EM409" s="408">
        <v>0</v>
      </c>
      <c r="EN409" s="408">
        <v>0</v>
      </c>
      <c r="EO409" s="408">
        <v>0</v>
      </c>
      <c r="EP409" s="408">
        <v>0</v>
      </c>
      <c r="EQ409" s="408">
        <v>0</v>
      </c>
      <c r="ER409" s="408">
        <v>0</v>
      </c>
      <c r="ES409" s="408">
        <v>0</v>
      </c>
      <c r="ET409" s="408">
        <v>0</v>
      </c>
      <c r="EU409" s="408">
        <v>0</v>
      </c>
      <c r="EV409" s="408">
        <v>257</v>
      </c>
      <c r="EW409" s="408">
        <v>0</v>
      </c>
      <c r="EX409" s="408">
        <v>0</v>
      </c>
      <c r="EY409" s="408">
        <v>0</v>
      </c>
      <c r="EZ409" s="408"/>
      <c r="FA409" s="408">
        <v>0</v>
      </c>
      <c r="FB409" s="408"/>
      <c r="FC409" s="408"/>
      <c r="FD409" s="408"/>
      <c r="FE409" s="408"/>
      <c r="FF409" s="408">
        <v>0</v>
      </c>
      <c r="FG409" s="408">
        <v>0</v>
      </c>
      <c r="FH409" s="408">
        <v>0</v>
      </c>
      <c r="FI409" s="408">
        <v>0</v>
      </c>
    </row>
    <row r="410" spans="1:165">
      <c r="A410" s="408">
        <v>408</v>
      </c>
      <c r="B410" s="408" t="s">
        <v>1035</v>
      </c>
      <c r="C410" s="408" t="s">
        <v>2233</v>
      </c>
      <c r="D410" s="408" t="s">
        <v>1958</v>
      </c>
      <c r="E410" s="408" t="s">
        <v>1000</v>
      </c>
      <c r="F410" s="408" t="s">
        <v>2248</v>
      </c>
      <c r="G410" s="408" t="s">
        <v>1321</v>
      </c>
      <c r="H410" s="408" t="s">
        <v>1321</v>
      </c>
      <c r="I410" s="408" t="s">
        <v>1321</v>
      </c>
      <c r="J410" s="408" t="s">
        <v>2234</v>
      </c>
      <c r="K410" s="828">
        <v>44682</v>
      </c>
      <c r="L410" s="408">
        <v>0</v>
      </c>
      <c r="M410" s="408">
        <v>0</v>
      </c>
      <c r="N410" s="408">
        <v>40.457999999999998</v>
      </c>
      <c r="O410" s="408">
        <v>38.030520000000003</v>
      </c>
      <c r="P410" s="408">
        <v>40.457999999999998</v>
      </c>
      <c r="Q410" s="408">
        <v>38.030520000000003</v>
      </c>
      <c r="R410" s="408"/>
      <c r="S410" s="408">
        <v>710.91</v>
      </c>
      <c r="T410" s="408">
        <v>256.55</v>
      </c>
      <c r="U410" s="408"/>
      <c r="V410" s="408">
        <v>39141.496679999997</v>
      </c>
      <c r="W410" s="408">
        <v>39141.496679999997</v>
      </c>
      <c r="X410" s="408">
        <v>26719.676939999998</v>
      </c>
      <c r="Y410" s="408">
        <v>0</v>
      </c>
      <c r="Z410" s="408">
        <v>2487.1426599988517</v>
      </c>
      <c r="AA410" s="408">
        <v>0</v>
      </c>
      <c r="AB410" s="408">
        <v>0</v>
      </c>
      <c r="AC410" s="408">
        <v>0</v>
      </c>
      <c r="AD410" s="408">
        <v>4979.6835098648244</v>
      </c>
      <c r="AE410" s="408">
        <v>19294.827275663825</v>
      </c>
      <c r="AF410" s="408">
        <v>10379.60192423536</v>
      </c>
      <c r="AG410" s="408">
        <v>0</v>
      </c>
      <c r="AH410" s="408">
        <v>0</v>
      </c>
      <c r="AI410" s="408">
        <v>0</v>
      </c>
      <c r="AJ410" s="408">
        <v>0</v>
      </c>
      <c r="AK410" s="408">
        <v>0</v>
      </c>
      <c r="AL410" s="408">
        <v>384.52350301686408</v>
      </c>
      <c r="AM410" s="408"/>
      <c r="AN410" s="408">
        <v>88.837864380739703</v>
      </c>
      <c r="AO410" s="408">
        <v>0</v>
      </c>
      <c r="AP410" s="408">
        <v>0</v>
      </c>
      <c r="AQ410" s="408">
        <v>0</v>
      </c>
      <c r="AR410" s="408">
        <v>0</v>
      </c>
      <c r="AS410" s="408">
        <v>0</v>
      </c>
      <c r="AT410" s="408">
        <v>0</v>
      </c>
      <c r="AU410" s="408">
        <v>0</v>
      </c>
      <c r="AV410" s="408">
        <v>0</v>
      </c>
      <c r="AW410" s="408">
        <v>0</v>
      </c>
      <c r="AX410" s="408">
        <v>0</v>
      </c>
      <c r="AY410" s="408">
        <v>0</v>
      </c>
      <c r="AZ410" s="408">
        <v>0</v>
      </c>
      <c r="BA410" s="408"/>
      <c r="BB410" s="408">
        <v>0</v>
      </c>
      <c r="BC410" s="408">
        <v>0</v>
      </c>
      <c r="BD410" s="408">
        <v>60.295379915813299</v>
      </c>
      <c r="BE410" s="408">
        <v>0</v>
      </c>
      <c r="BF410" s="408">
        <v>0</v>
      </c>
      <c r="BG410" s="408">
        <v>1466.7401492356871</v>
      </c>
      <c r="BH410" s="408">
        <v>0</v>
      </c>
      <c r="BI410" s="408">
        <v>284.37</v>
      </c>
      <c r="BJ410" s="408">
        <v>284.41000000000003</v>
      </c>
      <c r="BK410" s="408">
        <v>9461.17</v>
      </c>
      <c r="BL410" s="408">
        <v>10</v>
      </c>
      <c r="BM410" s="408"/>
      <c r="BN410" s="408"/>
      <c r="BO410" s="408"/>
      <c r="BP410" s="408"/>
      <c r="BQ410" s="408">
        <v>1603.1806163999972</v>
      </c>
      <c r="BR410" s="408"/>
      <c r="BS410" s="408"/>
      <c r="BT410" s="408"/>
      <c r="BU410" s="408"/>
      <c r="BV410" s="408">
        <v>11906.63745338686</v>
      </c>
      <c r="BW410" s="408"/>
      <c r="BX410" s="408"/>
      <c r="BY410" s="408"/>
      <c r="BZ410" s="408"/>
      <c r="CA410" s="408"/>
      <c r="CB410" s="408"/>
      <c r="CC410" s="408"/>
      <c r="CD410" s="408"/>
      <c r="CE410" s="408"/>
      <c r="CF410" s="408"/>
      <c r="CG410" s="408"/>
      <c r="CH410" s="408"/>
      <c r="CI410" s="408">
        <v>25116.152900000001</v>
      </c>
      <c r="CJ410" s="408">
        <v>-11676.8839792</v>
      </c>
      <c r="CK410" s="408"/>
      <c r="CL410" s="408"/>
      <c r="CM410" s="408"/>
      <c r="CN410" s="408"/>
      <c r="CO410" s="408">
        <v>-13068.743159999998</v>
      </c>
      <c r="CP410" s="408">
        <v>646.92342000000031</v>
      </c>
      <c r="CQ410" s="408">
        <v>31</v>
      </c>
      <c r="CR410" s="408">
        <v>537.81977058358461</v>
      </c>
      <c r="CS410" s="408">
        <v>0</v>
      </c>
      <c r="CT410" s="408">
        <v>0</v>
      </c>
      <c r="CU410" s="408">
        <v>0</v>
      </c>
      <c r="CV410" s="408">
        <v>0</v>
      </c>
      <c r="CW410" s="408">
        <v>0</v>
      </c>
      <c r="CX410" s="408">
        <v>0</v>
      </c>
      <c r="CY410" s="408">
        <v>0</v>
      </c>
      <c r="CZ410" s="408">
        <v>-22.508482663066388</v>
      </c>
      <c r="DA410" s="408">
        <v>0</v>
      </c>
      <c r="DB410" s="408">
        <v>0</v>
      </c>
      <c r="DC410" s="408">
        <v>646.63331044900951</v>
      </c>
      <c r="DD410" s="408">
        <v>0</v>
      </c>
      <c r="DE410" s="408">
        <v>0</v>
      </c>
      <c r="DF410" s="408">
        <v>3.7563098666344814</v>
      </c>
      <c r="DG410" s="408">
        <v>91.375665964050768</v>
      </c>
      <c r="DH410" s="408">
        <v>0</v>
      </c>
      <c r="DI410" s="408">
        <v>-154.66011486079151</v>
      </c>
      <c r="DJ410" s="408"/>
      <c r="DK410" s="408">
        <v>0</v>
      </c>
      <c r="DL410" s="408">
        <v>0</v>
      </c>
      <c r="DM410" s="408">
        <v>0</v>
      </c>
      <c r="DN410" s="408">
        <v>0</v>
      </c>
      <c r="DO410" s="408">
        <v>-21.099839289914541</v>
      </c>
      <c r="DP410" s="408">
        <v>-5.6770788823395861</v>
      </c>
      <c r="DQ410" s="408">
        <v>0</v>
      </c>
      <c r="DR410" s="408">
        <v>0</v>
      </c>
      <c r="DS410" s="408"/>
      <c r="DT410" s="408"/>
      <c r="DU410" s="408"/>
      <c r="DV410" s="408">
        <v>19294.827275663825</v>
      </c>
      <c r="DW410" s="408">
        <v>0</v>
      </c>
      <c r="DX410" s="408">
        <v>0</v>
      </c>
      <c r="DY410" s="408">
        <v>-13068.743159999998</v>
      </c>
      <c r="DZ410" s="408">
        <v>646.92341999999917</v>
      </c>
      <c r="EA410" s="408">
        <v>0</v>
      </c>
      <c r="EB410" s="408">
        <v>0</v>
      </c>
      <c r="EC410" s="408">
        <v>-12959.846714268046</v>
      </c>
      <c r="ED410" s="408">
        <v>0</v>
      </c>
      <c r="EE410" s="408">
        <v>0</v>
      </c>
      <c r="EF410" s="408">
        <v>0</v>
      </c>
      <c r="EG410" s="408">
        <v>0</v>
      </c>
      <c r="EH410" s="408">
        <v>0</v>
      </c>
      <c r="EI410" s="408">
        <v>0</v>
      </c>
      <c r="EJ410" s="408">
        <v>0</v>
      </c>
      <c r="EK410" s="408">
        <v>0</v>
      </c>
      <c r="EL410" s="408">
        <v>0</v>
      </c>
      <c r="EM410" s="408">
        <v>0</v>
      </c>
      <c r="EN410" s="408">
        <v>0</v>
      </c>
      <c r="EO410" s="408">
        <v>0</v>
      </c>
      <c r="EP410" s="408">
        <v>0</v>
      </c>
      <c r="EQ410" s="408">
        <v>0</v>
      </c>
      <c r="ER410" s="408">
        <v>0</v>
      </c>
      <c r="ES410" s="408">
        <v>0</v>
      </c>
      <c r="ET410" s="408">
        <v>0</v>
      </c>
      <c r="EU410" s="408">
        <v>0</v>
      </c>
      <c r="EV410" s="408">
        <v>257</v>
      </c>
      <c r="EW410" s="408">
        <v>0</v>
      </c>
      <c r="EX410" s="408">
        <v>0</v>
      </c>
      <c r="EY410" s="408">
        <v>0</v>
      </c>
      <c r="EZ410" s="408"/>
      <c r="FA410" s="408">
        <v>0</v>
      </c>
      <c r="FB410" s="408"/>
      <c r="FC410" s="408"/>
      <c r="FD410" s="408"/>
      <c r="FE410" s="408"/>
      <c r="FF410" s="408">
        <v>0</v>
      </c>
      <c r="FG410" s="408">
        <v>0</v>
      </c>
      <c r="FH410" s="408">
        <v>0</v>
      </c>
      <c r="FI410" s="408">
        <v>0</v>
      </c>
    </row>
    <row r="411" spans="1:165">
      <c r="A411" s="408">
        <v>409</v>
      </c>
      <c r="B411" s="408" t="s">
        <v>1035</v>
      </c>
      <c r="C411" s="408" t="s">
        <v>2241</v>
      </c>
      <c r="D411" s="408" t="s">
        <v>596</v>
      </c>
      <c r="E411" s="408" t="s">
        <v>1000</v>
      </c>
      <c r="F411" s="408" t="s">
        <v>2248</v>
      </c>
      <c r="G411" s="408" t="s">
        <v>1321</v>
      </c>
      <c r="H411" s="408" t="s">
        <v>1321</v>
      </c>
      <c r="I411" s="408" t="s">
        <v>972</v>
      </c>
      <c r="J411" s="408" t="s">
        <v>2234</v>
      </c>
      <c r="K411" s="828">
        <v>44682</v>
      </c>
      <c r="L411" s="408">
        <v>0</v>
      </c>
      <c r="M411" s="408">
        <v>0</v>
      </c>
      <c r="N411" s="408">
        <v>0.94899999999999995</v>
      </c>
      <c r="O411" s="408">
        <v>0.89205999999999996</v>
      </c>
      <c r="P411" s="408">
        <v>0.94899999999999995</v>
      </c>
      <c r="Q411" s="408">
        <v>0.89205999999999996</v>
      </c>
      <c r="R411" s="408"/>
      <c r="S411" s="408">
        <v>3130.62</v>
      </c>
      <c r="T411" s="408">
        <v>256.55</v>
      </c>
      <c r="U411" s="408"/>
      <c r="V411" s="408">
        <v>3214.4243299999994</v>
      </c>
      <c r="W411" s="408">
        <v>3214.4243299999994</v>
      </c>
      <c r="X411" s="408">
        <v>1691.71587</v>
      </c>
      <c r="Y411" s="408">
        <v>0</v>
      </c>
      <c r="Z411" s="408">
        <v>50.755341202601507</v>
      </c>
      <c r="AA411" s="408">
        <v>0</v>
      </c>
      <c r="AB411" s="408">
        <v>0</v>
      </c>
      <c r="AC411" s="408">
        <v>0</v>
      </c>
      <c r="AD411" s="408">
        <v>611.35890310192883</v>
      </c>
      <c r="AE411" s="408">
        <v>2281.5370812046417</v>
      </c>
      <c r="AF411" s="408">
        <v>243.46834312371735</v>
      </c>
      <c r="AG411" s="408">
        <v>0</v>
      </c>
      <c r="AH411" s="408">
        <v>0</v>
      </c>
      <c r="AI411" s="408">
        <v>0</v>
      </c>
      <c r="AJ411" s="408">
        <v>0</v>
      </c>
      <c r="AK411" s="408">
        <v>0</v>
      </c>
      <c r="AL411" s="408">
        <v>9.0195463038954973</v>
      </c>
      <c r="AM411" s="408"/>
      <c r="AN411" s="408">
        <v>1.2802531900791787</v>
      </c>
      <c r="AO411" s="408">
        <v>0</v>
      </c>
      <c r="AP411" s="408">
        <v>0</v>
      </c>
      <c r="AQ411" s="408">
        <v>0</v>
      </c>
      <c r="AR411" s="408">
        <v>0</v>
      </c>
      <c r="AS411" s="408">
        <v>0</v>
      </c>
      <c r="AT411" s="408">
        <v>0</v>
      </c>
      <c r="AU411" s="408">
        <v>0</v>
      </c>
      <c r="AV411" s="408">
        <v>0</v>
      </c>
      <c r="AW411" s="408">
        <v>0</v>
      </c>
      <c r="AX411" s="408">
        <v>0</v>
      </c>
      <c r="AY411" s="408">
        <v>0</v>
      </c>
      <c r="AZ411" s="408">
        <v>0</v>
      </c>
      <c r="BA411" s="408"/>
      <c r="BB411" s="408">
        <v>0</v>
      </c>
      <c r="BC411" s="408">
        <v>0</v>
      </c>
      <c r="BD411" s="408">
        <v>1.1691919311287218</v>
      </c>
      <c r="BE411" s="408">
        <v>0</v>
      </c>
      <c r="BF411" s="408">
        <v>0</v>
      </c>
      <c r="BG411" s="408">
        <v>15.838134499517938</v>
      </c>
      <c r="BH411" s="408">
        <v>0</v>
      </c>
      <c r="BI411" s="408">
        <v>0</v>
      </c>
      <c r="BJ411" s="408">
        <v>0</v>
      </c>
      <c r="BK411" s="408">
        <v>0</v>
      </c>
      <c r="BL411" s="408">
        <v>0</v>
      </c>
      <c r="BM411" s="408"/>
      <c r="BN411" s="408"/>
      <c r="BO411" s="408"/>
      <c r="BP411" s="408"/>
      <c r="BQ411" s="408">
        <v>101.50295219999998</v>
      </c>
      <c r="BR411" s="408"/>
      <c r="BS411" s="408"/>
      <c r="BT411" s="408"/>
      <c r="BU411" s="408"/>
      <c r="BV411" s="408">
        <v>260.475669554364</v>
      </c>
      <c r="BW411" s="408"/>
      <c r="BX411" s="408"/>
      <c r="BY411" s="408"/>
      <c r="BZ411" s="408"/>
      <c r="CA411" s="408"/>
      <c r="CB411" s="408"/>
      <c r="CC411" s="408"/>
      <c r="CD411" s="408"/>
      <c r="CE411" s="408"/>
      <c r="CF411" s="408"/>
      <c r="CG411" s="408"/>
      <c r="CH411" s="408"/>
      <c r="CI411" s="408">
        <v>1586.5407</v>
      </c>
      <c r="CJ411" s="408">
        <v>-1435.0481702000006</v>
      </c>
      <c r="CK411" s="408"/>
      <c r="CL411" s="408"/>
      <c r="CM411" s="408"/>
      <c r="CN411" s="408"/>
      <c r="CO411" s="408">
        <v>-1537.8829699999999</v>
      </c>
      <c r="CP411" s="408">
        <v>15.174510000000009</v>
      </c>
      <c r="CQ411" s="408">
        <v>31</v>
      </c>
      <c r="CR411" s="408">
        <v>9.7309522273726543</v>
      </c>
      <c r="CS411" s="408">
        <v>0</v>
      </c>
      <c r="CT411" s="408">
        <v>0</v>
      </c>
      <c r="CU411" s="408">
        <v>0</v>
      </c>
      <c r="CV411" s="408">
        <v>0</v>
      </c>
      <c r="CW411" s="408">
        <v>0</v>
      </c>
      <c r="CX411" s="408">
        <v>0</v>
      </c>
      <c r="CY411" s="408">
        <v>0</v>
      </c>
      <c r="CZ411" s="408">
        <v>-2.7633806935966732</v>
      </c>
      <c r="DA411" s="408">
        <v>0</v>
      </c>
      <c r="DB411" s="408">
        <v>0</v>
      </c>
      <c r="DC411" s="408">
        <v>15.167705067381206</v>
      </c>
      <c r="DD411" s="408">
        <v>0</v>
      </c>
      <c r="DE411" s="408">
        <v>0</v>
      </c>
      <c r="DF411" s="408">
        <v>7.2838867472440283E-2</v>
      </c>
      <c r="DG411" s="408">
        <v>0.98669153379063346</v>
      </c>
      <c r="DH411" s="408">
        <v>0</v>
      </c>
      <c r="DI411" s="408">
        <v>-3.1561627028650889</v>
      </c>
      <c r="DJ411" s="408"/>
      <c r="DK411" s="408">
        <v>0</v>
      </c>
      <c r="DL411" s="408">
        <v>0</v>
      </c>
      <c r="DM411" s="408">
        <v>0</v>
      </c>
      <c r="DN411" s="408">
        <v>0</v>
      </c>
      <c r="DO411" s="408">
        <v>-0.49492677557291387</v>
      </c>
      <c r="DP411" s="408">
        <v>-8.1813069236977176E-2</v>
      </c>
      <c r="DQ411" s="408">
        <v>0</v>
      </c>
      <c r="DR411" s="408">
        <v>0</v>
      </c>
      <c r="DS411" s="408"/>
      <c r="DT411" s="408"/>
      <c r="DU411" s="408"/>
      <c r="DV411" s="408">
        <v>2281.5370812046417</v>
      </c>
      <c r="DW411" s="408">
        <v>0</v>
      </c>
      <c r="DX411" s="408">
        <v>0</v>
      </c>
      <c r="DY411" s="408">
        <v>-1537.8829699999997</v>
      </c>
      <c r="DZ411" s="408">
        <v>15.174510000000026</v>
      </c>
      <c r="EA411" s="408">
        <v>0</v>
      </c>
      <c r="EB411" s="408">
        <v>0</v>
      </c>
      <c r="EC411" s="408">
        <v>-1532.4506627029848</v>
      </c>
      <c r="ED411" s="408">
        <v>0</v>
      </c>
      <c r="EE411" s="408">
        <v>0</v>
      </c>
      <c r="EF411" s="408">
        <v>0</v>
      </c>
      <c r="EG411" s="408">
        <v>0</v>
      </c>
      <c r="EH411" s="408">
        <v>0</v>
      </c>
      <c r="EI411" s="408">
        <v>0</v>
      </c>
      <c r="EJ411" s="408">
        <v>0</v>
      </c>
      <c r="EK411" s="408">
        <v>0</v>
      </c>
      <c r="EL411" s="408">
        <v>0</v>
      </c>
      <c r="EM411" s="408">
        <v>0</v>
      </c>
      <c r="EN411" s="408">
        <v>0</v>
      </c>
      <c r="EO411" s="408">
        <v>0</v>
      </c>
      <c r="EP411" s="408">
        <v>0</v>
      </c>
      <c r="EQ411" s="408">
        <v>0</v>
      </c>
      <c r="ER411" s="408">
        <v>0</v>
      </c>
      <c r="ES411" s="408">
        <v>0</v>
      </c>
      <c r="ET411" s="408">
        <v>0</v>
      </c>
      <c r="EU411" s="408">
        <v>0</v>
      </c>
      <c r="EV411" s="408">
        <v>257</v>
      </c>
      <c r="EW411" s="408">
        <v>0</v>
      </c>
      <c r="EX411" s="408">
        <v>0</v>
      </c>
      <c r="EY411" s="408">
        <v>0</v>
      </c>
      <c r="EZ411" s="408"/>
      <c r="FA411" s="408">
        <v>0</v>
      </c>
      <c r="FB411" s="408"/>
      <c r="FC411" s="408"/>
      <c r="FD411" s="408"/>
      <c r="FE411" s="408"/>
      <c r="FF411" s="408">
        <v>0</v>
      </c>
      <c r="FG411" s="408">
        <v>0</v>
      </c>
      <c r="FH411" s="408">
        <v>0</v>
      </c>
      <c r="FI411" s="408">
        <v>0</v>
      </c>
    </row>
    <row r="412" spans="1:165">
      <c r="A412" s="408">
        <v>410</v>
      </c>
      <c r="B412" s="408" t="s">
        <v>1035</v>
      </c>
      <c r="C412" s="408" t="s">
        <v>2241</v>
      </c>
      <c r="D412" s="408" t="s">
        <v>596</v>
      </c>
      <c r="E412" s="408" t="s">
        <v>1000</v>
      </c>
      <c r="F412" s="408" t="s">
        <v>2248</v>
      </c>
      <c r="G412" s="408" t="s">
        <v>1321</v>
      </c>
      <c r="H412" s="408" t="s">
        <v>1321</v>
      </c>
      <c r="I412" s="408" t="s">
        <v>2242</v>
      </c>
      <c r="J412" s="408" t="s">
        <v>2234</v>
      </c>
      <c r="K412" s="828">
        <v>44682</v>
      </c>
      <c r="L412" s="408">
        <v>0</v>
      </c>
      <c r="M412" s="408">
        <v>0</v>
      </c>
      <c r="N412" s="408">
        <v>20.306000000000001</v>
      </c>
      <c r="O412" s="408">
        <v>19.08764</v>
      </c>
      <c r="P412" s="408">
        <v>20.306000000000001</v>
      </c>
      <c r="Q412" s="408">
        <v>19.08764</v>
      </c>
      <c r="R412" s="408"/>
      <c r="S412" s="408">
        <v>82.26</v>
      </c>
      <c r="T412" s="408">
        <v>256.55</v>
      </c>
      <c r="U412" s="408"/>
      <c r="V412" s="408">
        <v>6879.875860000001</v>
      </c>
      <c r="W412" s="408">
        <v>6879.875860000001</v>
      </c>
      <c r="X412" s="408">
        <v>7147.3058799999999</v>
      </c>
      <c r="Y412" s="408">
        <v>0</v>
      </c>
      <c r="Z412" s="408">
        <v>1086.0252460063502</v>
      </c>
      <c r="AA412" s="408">
        <v>0</v>
      </c>
      <c r="AB412" s="408">
        <v>0</v>
      </c>
      <c r="AC412" s="408">
        <v>0</v>
      </c>
      <c r="AD412" s="408">
        <v>0</v>
      </c>
      <c r="AE412" s="408">
        <v>0</v>
      </c>
      <c r="AF412" s="408">
        <v>5209.555506291048</v>
      </c>
      <c r="AG412" s="408">
        <v>0</v>
      </c>
      <c r="AH412" s="408">
        <v>0</v>
      </c>
      <c r="AI412" s="408">
        <v>0</v>
      </c>
      <c r="AJ412" s="408">
        <v>0</v>
      </c>
      <c r="AK412" s="408">
        <v>0</v>
      </c>
      <c r="AL412" s="408">
        <v>192.99357981759954</v>
      </c>
      <c r="AM412" s="408"/>
      <c r="AN412" s="408">
        <v>27.393910724707908</v>
      </c>
      <c r="AO412" s="408">
        <v>0</v>
      </c>
      <c r="AP412" s="408">
        <v>0</v>
      </c>
      <c r="AQ412" s="408">
        <v>0</v>
      </c>
      <c r="AR412" s="408">
        <v>0</v>
      </c>
      <c r="AS412" s="408">
        <v>0</v>
      </c>
      <c r="AT412" s="408">
        <v>0</v>
      </c>
      <c r="AU412" s="408">
        <v>0</v>
      </c>
      <c r="AV412" s="408">
        <v>0</v>
      </c>
      <c r="AW412" s="408">
        <v>0</v>
      </c>
      <c r="AX412" s="408">
        <v>0</v>
      </c>
      <c r="AY412" s="408">
        <v>0</v>
      </c>
      <c r="AZ412" s="408">
        <v>0</v>
      </c>
      <c r="BA412" s="408"/>
      <c r="BB412" s="408">
        <v>0</v>
      </c>
      <c r="BC412" s="408">
        <v>0</v>
      </c>
      <c r="BD412" s="408">
        <v>25.017504060589911</v>
      </c>
      <c r="BE412" s="408">
        <v>0</v>
      </c>
      <c r="BF412" s="408">
        <v>0</v>
      </c>
      <c r="BG412" s="408">
        <v>338.89268614037019</v>
      </c>
      <c r="BH412" s="408">
        <v>0</v>
      </c>
      <c r="BI412" s="408">
        <v>0</v>
      </c>
      <c r="BJ412" s="408">
        <v>0</v>
      </c>
      <c r="BK412" s="408">
        <v>0</v>
      </c>
      <c r="BL412" s="408">
        <v>0</v>
      </c>
      <c r="BM412" s="408"/>
      <c r="BN412" s="408"/>
      <c r="BO412" s="408"/>
      <c r="BP412" s="408"/>
      <c r="BQ412" s="408">
        <v>428.83835280000022</v>
      </c>
      <c r="BR412" s="408"/>
      <c r="BS412" s="408"/>
      <c r="BT412" s="408"/>
      <c r="BU412" s="408"/>
      <c r="BV412" s="408">
        <v>5573.4656964920086</v>
      </c>
      <c r="BW412" s="408"/>
      <c r="BX412" s="408"/>
      <c r="BY412" s="408"/>
      <c r="BZ412" s="408"/>
      <c r="CA412" s="408"/>
      <c r="CB412" s="408"/>
      <c r="CC412" s="408"/>
      <c r="CD412" s="408"/>
      <c r="CE412" s="408"/>
      <c r="CF412" s="408"/>
      <c r="CG412" s="408"/>
      <c r="CH412" s="408"/>
      <c r="CI412" s="408">
        <v>6719.2982000000011</v>
      </c>
      <c r="CJ412" s="408">
        <v>252.18489160000081</v>
      </c>
      <c r="CK412" s="408"/>
      <c r="CL412" s="408"/>
      <c r="CM412" s="408"/>
      <c r="CN412" s="408"/>
      <c r="CO412" s="408">
        <v>-57.26292000000015</v>
      </c>
      <c r="CP412" s="408">
        <v>324.69294000000019</v>
      </c>
      <c r="CQ412" s="408">
        <v>31</v>
      </c>
      <c r="CR412" s="408">
        <v>267.34449345964549</v>
      </c>
      <c r="CS412" s="408">
        <v>0</v>
      </c>
      <c r="CT412" s="408">
        <v>0</v>
      </c>
      <c r="CU412" s="408">
        <v>0</v>
      </c>
      <c r="CV412" s="408">
        <v>0</v>
      </c>
      <c r="CW412" s="408">
        <v>0</v>
      </c>
      <c r="CX412" s="408">
        <v>0</v>
      </c>
      <c r="CY412" s="408">
        <v>0</v>
      </c>
      <c r="CZ412" s="408">
        <v>0</v>
      </c>
      <c r="DA412" s="408">
        <v>0</v>
      </c>
      <c r="DB412" s="408">
        <v>0</v>
      </c>
      <c r="DC412" s="408">
        <v>324.54733308560935</v>
      </c>
      <c r="DD412" s="408">
        <v>0</v>
      </c>
      <c r="DE412" s="408">
        <v>0</v>
      </c>
      <c r="DF412" s="408">
        <v>1.5585522053691996</v>
      </c>
      <c r="DG412" s="408">
        <v>21.112495558643388</v>
      </c>
      <c r="DH412" s="408">
        <v>0</v>
      </c>
      <c r="DI412" s="408">
        <v>-67.533234820209259</v>
      </c>
      <c r="DJ412" s="408"/>
      <c r="DK412" s="408">
        <v>0</v>
      </c>
      <c r="DL412" s="408">
        <v>0</v>
      </c>
      <c r="DM412" s="408">
        <v>0</v>
      </c>
      <c r="DN412" s="408">
        <v>0</v>
      </c>
      <c r="DO412" s="408">
        <v>-10.590077033491639</v>
      </c>
      <c r="DP412" s="408">
        <v>-1.7505755362761413</v>
      </c>
      <c r="DQ412" s="408">
        <v>0</v>
      </c>
      <c r="DR412" s="408">
        <v>0</v>
      </c>
      <c r="DS412" s="408"/>
      <c r="DT412" s="408"/>
      <c r="DU412" s="408"/>
      <c r="DV412" s="408">
        <v>0</v>
      </c>
      <c r="DW412" s="408">
        <v>0</v>
      </c>
      <c r="DX412" s="408">
        <v>0</v>
      </c>
      <c r="DY412" s="408">
        <v>-57.262920000000349</v>
      </c>
      <c r="DZ412" s="408">
        <v>324.69293999999991</v>
      </c>
      <c r="EA412" s="408">
        <v>0</v>
      </c>
      <c r="EB412" s="408">
        <v>0</v>
      </c>
      <c r="EC412" s="408">
        <v>0</v>
      </c>
      <c r="ED412" s="408">
        <v>0</v>
      </c>
      <c r="EE412" s="408">
        <v>0</v>
      </c>
      <c r="EF412" s="408">
        <v>0</v>
      </c>
      <c r="EG412" s="408">
        <v>0</v>
      </c>
      <c r="EH412" s="408">
        <v>0</v>
      </c>
      <c r="EI412" s="408">
        <v>0</v>
      </c>
      <c r="EJ412" s="408">
        <v>0</v>
      </c>
      <c r="EK412" s="408">
        <v>0</v>
      </c>
      <c r="EL412" s="408">
        <v>0</v>
      </c>
      <c r="EM412" s="408">
        <v>0</v>
      </c>
      <c r="EN412" s="408">
        <v>0</v>
      </c>
      <c r="EO412" s="408">
        <v>0</v>
      </c>
      <c r="EP412" s="408">
        <v>0</v>
      </c>
      <c r="EQ412" s="408">
        <v>0</v>
      </c>
      <c r="ER412" s="408">
        <v>0</v>
      </c>
      <c r="ES412" s="408">
        <v>0</v>
      </c>
      <c r="ET412" s="408">
        <v>0</v>
      </c>
      <c r="EU412" s="408">
        <v>0</v>
      </c>
      <c r="EV412" s="408">
        <v>257</v>
      </c>
      <c r="EW412" s="408">
        <v>0</v>
      </c>
      <c r="EX412" s="408">
        <v>0</v>
      </c>
      <c r="EY412" s="408">
        <v>0</v>
      </c>
      <c r="EZ412" s="408"/>
      <c r="FA412" s="408">
        <v>0</v>
      </c>
      <c r="FB412" s="408"/>
      <c r="FC412" s="408"/>
      <c r="FD412" s="408"/>
      <c r="FE412" s="408"/>
      <c r="FF412" s="408">
        <v>0</v>
      </c>
      <c r="FG412" s="408">
        <v>0</v>
      </c>
      <c r="FH412" s="408">
        <v>0</v>
      </c>
      <c r="FI412" s="408">
        <v>0</v>
      </c>
    </row>
    <row r="413" spans="1:165">
      <c r="A413" s="408">
        <v>411</v>
      </c>
      <c r="B413" s="408" t="s">
        <v>1035</v>
      </c>
      <c r="C413" s="408" t="s">
        <v>2241</v>
      </c>
      <c r="D413" s="408" t="s">
        <v>596</v>
      </c>
      <c r="E413" s="408" t="s">
        <v>1000</v>
      </c>
      <c r="F413" s="408" t="s">
        <v>2248</v>
      </c>
      <c r="G413" s="408" t="s">
        <v>1321</v>
      </c>
      <c r="H413" s="408" t="s">
        <v>1321</v>
      </c>
      <c r="I413" s="408" t="s">
        <v>1321</v>
      </c>
      <c r="J413" s="408" t="s">
        <v>2234</v>
      </c>
      <c r="K413" s="828">
        <v>44682</v>
      </c>
      <c r="L413" s="408">
        <v>79</v>
      </c>
      <c r="M413" s="408">
        <v>74.260000000000005</v>
      </c>
      <c r="N413" s="408">
        <v>0</v>
      </c>
      <c r="O413" s="408">
        <v>0</v>
      </c>
      <c r="P413" s="408">
        <v>0</v>
      </c>
      <c r="Q413" s="408">
        <v>0</v>
      </c>
      <c r="R413" s="408">
        <v>47.39</v>
      </c>
      <c r="S413" s="408"/>
      <c r="T413" s="408"/>
      <c r="U413" s="408">
        <v>3743.81</v>
      </c>
      <c r="V413" s="408"/>
      <c r="W413" s="408">
        <v>3743.81</v>
      </c>
      <c r="X413" s="408">
        <v>2545.38</v>
      </c>
      <c r="Y413" s="408">
        <v>0</v>
      </c>
      <c r="Z413" s="408">
        <v>0</v>
      </c>
      <c r="AA413" s="408">
        <v>0</v>
      </c>
      <c r="AB413" s="408">
        <v>0</v>
      </c>
      <c r="AC413" s="408">
        <v>0</v>
      </c>
      <c r="AD413" s="408">
        <v>1972.6379141777902</v>
      </c>
      <c r="AE413" s="408">
        <v>1771.1695124126304</v>
      </c>
      <c r="AF413" s="408"/>
      <c r="AG413" s="408"/>
      <c r="AH413" s="408"/>
      <c r="AI413" s="408">
        <v>0</v>
      </c>
      <c r="AJ413" s="408">
        <v>0</v>
      </c>
      <c r="AK413" s="408">
        <v>0</v>
      </c>
      <c r="AL413" s="408">
        <v>0</v>
      </c>
      <c r="AM413" s="408"/>
      <c r="AN413" s="408">
        <v>0</v>
      </c>
      <c r="AO413" s="408">
        <v>0</v>
      </c>
      <c r="AP413" s="408">
        <v>0</v>
      </c>
      <c r="AQ413" s="408">
        <v>0</v>
      </c>
      <c r="AR413" s="408">
        <v>0</v>
      </c>
      <c r="AS413" s="408"/>
      <c r="AT413" s="408"/>
      <c r="AU413" s="408">
        <v>0</v>
      </c>
      <c r="AV413" s="408">
        <v>0</v>
      </c>
      <c r="AW413" s="408">
        <v>0</v>
      </c>
      <c r="AX413" s="408"/>
      <c r="AY413" s="408"/>
      <c r="AZ413" s="408">
        <v>0</v>
      </c>
      <c r="BA413" s="408"/>
      <c r="BB413" s="408">
        <v>0</v>
      </c>
      <c r="BC413" s="408">
        <v>0</v>
      </c>
      <c r="BD413" s="408">
        <v>0</v>
      </c>
      <c r="BE413" s="408">
        <v>0</v>
      </c>
      <c r="BF413" s="408"/>
      <c r="BG413" s="408">
        <v>0</v>
      </c>
      <c r="BH413" s="408">
        <v>0</v>
      </c>
      <c r="BI413" s="408">
        <v>116.5</v>
      </c>
      <c r="BJ413" s="408">
        <v>116.04</v>
      </c>
      <c r="BK413" s="408">
        <v>3756.54</v>
      </c>
      <c r="BL413" s="408">
        <v>1</v>
      </c>
      <c r="BM413" s="408"/>
      <c r="BN413" s="408"/>
      <c r="BO413" s="408"/>
      <c r="BP413" s="408"/>
      <c r="BQ413" s="408">
        <v>152.72279999999984</v>
      </c>
      <c r="BR413" s="408"/>
      <c r="BS413" s="408"/>
      <c r="BT413" s="408"/>
      <c r="BU413" s="408"/>
      <c r="BV413" s="408">
        <v>0</v>
      </c>
      <c r="BW413" s="408"/>
      <c r="BX413" s="408"/>
      <c r="BY413" s="408"/>
      <c r="BZ413" s="408"/>
      <c r="CA413" s="408"/>
      <c r="CB413" s="408"/>
      <c r="CC413" s="408"/>
      <c r="CD413" s="408"/>
      <c r="CE413" s="408"/>
      <c r="CF413" s="408"/>
      <c r="CG413" s="408"/>
      <c r="CH413" s="408"/>
      <c r="CI413" s="408">
        <v>2392.6572000000001</v>
      </c>
      <c r="CJ413" s="408">
        <v>-1126.5542000000009</v>
      </c>
      <c r="CK413" s="408"/>
      <c r="CL413" s="408"/>
      <c r="CM413" s="408"/>
      <c r="CN413" s="408"/>
      <c r="CO413" s="408">
        <v>-1198.43</v>
      </c>
      <c r="CP413" s="408">
        <v>0</v>
      </c>
      <c r="CQ413" s="408">
        <v>31</v>
      </c>
      <c r="CR413" s="408">
        <v>-8.9164474416556914</v>
      </c>
      <c r="CS413" s="408">
        <v>0</v>
      </c>
      <c r="CT413" s="408">
        <v>0</v>
      </c>
      <c r="CU413" s="408">
        <v>0</v>
      </c>
      <c r="CV413" s="408">
        <v>0</v>
      </c>
      <c r="CW413" s="408"/>
      <c r="CX413" s="408"/>
      <c r="CY413" s="408"/>
      <c r="CZ413" s="408">
        <v>-8.9164474416556914</v>
      </c>
      <c r="DA413" s="408">
        <v>0</v>
      </c>
      <c r="DB413" s="408">
        <v>0</v>
      </c>
      <c r="DC413" s="408"/>
      <c r="DD413" s="408"/>
      <c r="DE413" s="408">
        <v>0</v>
      </c>
      <c r="DF413" s="408">
        <v>0</v>
      </c>
      <c r="DG413" s="408">
        <v>0</v>
      </c>
      <c r="DH413" s="408">
        <v>0</v>
      </c>
      <c r="DI413" s="408">
        <v>0</v>
      </c>
      <c r="DJ413" s="408"/>
      <c r="DK413" s="408">
        <v>0</v>
      </c>
      <c r="DL413" s="408">
        <v>0</v>
      </c>
      <c r="DM413" s="408"/>
      <c r="DN413" s="408">
        <v>0</v>
      </c>
      <c r="DO413" s="408">
        <v>0</v>
      </c>
      <c r="DP413" s="408">
        <v>0</v>
      </c>
      <c r="DQ413" s="408">
        <v>0</v>
      </c>
      <c r="DR413" s="408">
        <v>0</v>
      </c>
      <c r="DS413" s="408"/>
      <c r="DT413" s="408"/>
      <c r="DU413" s="408">
        <v>1771.1695124126304</v>
      </c>
      <c r="DV413" s="408"/>
      <c r="DW413" s="408">
        <v>0</v>
      </c>
      <c r="DX413" s="408">
        <v>0</v>
      </c>
      <c r="DY413" s="408">
        <v>-1198.4299999999998</v>
      </c>
      <c r="DZ413" s="408"/>
      <c r="EA413" s="408">
        <v>0</v>
      </c>
      <c r="EB413" s="408"/>
      <c r="EC413" s="408">
        <v>-1189.6496951182394</v>
      </c>
      <c r="ED413" s="408"/>
      <c r="EE413" s="408">
        <v>0</v>
      </c>
      <c r="EF413" s="408">
        <v>0</v>
      </c>
      <c r="EG413" s="408"/>
      <c r="EH413" s="408">
        <v>0</v>
      </c>
      <c r="EI413" s="408">
        <v>0</v>
      </c>
      <c r="EJ413" s="408">
        <v>0</v>
      </c>
      <c r="EK413" s="408">
        <v>0</v>
      </c>
      <c r="EL413" s="408">
        <v>0</v>
      </c>
      <c r="EM413" s="408"/>
      <c r="EN413" s="408"/>
      <c r="EO413" s="408">
        <v>0</v>
      </c>
      <c r="EP413" s="408">
        <v>0</v>
      </c>
      <c r="EQ413" s="408"/>
      <c r="ER413" s="408">
        <v>0</v>
      </c>
      <c r="ES413" s="408"/>
      <c r="ET413" s="408">
        <v>0</v>
      </c>
      <c r="EU413" s="408"/>
      <c r="EV413" s="408">
        <v>257</v>
      </c>
      <c r="EW413" s="408"/>
      <c r="EX413" s="408"/>
      <c r="EY413" s="408"/>
      <c r="EZ413" s="408"/>
      <c r="FA413" s="408">
        <v>0</v>
      </c>
      <c r="FB413" s="408"/>
      <c r="FC413" s="408"/>
      <c r="FD413" s="408"/>
      <c r="FE413" s="408"/>
      <c r="FF413" s="408">
        <v>0</v>
      </c>
      <c r="FG413" s="408">
        <v>0</v>
      </c>
      <c r="FH413" s="408">
        <v>0</v>
      </c>
      <c r="FI413" s="408">
        <v>0</v>
      </c>
    </row>
    <row r="414" spans="1:165">
      <c r="A414" s="408">
        <v>412</v>
      </c>
      <c r="B414" s="408" t="s">
        <v>1035</v>
      </c>
      <c r="C414" s="408" t="s">
        <v>2233</v>
      </c>
      <c r="D414" s="408" t="s">
        <v>1958</v>
      </c>
      <c r="E414" s="408" t="s">
        <v>2249</v>
      </c>
      <c r="F414" s="408" t="s">
        <v>1321</v>
      </c>
      <c r="G414" s="408" t="s">
        <v>1321</v>
      </c>
      <c r="H414" s="408" t="s">
        <v>1321</v>
      </c>
      <c r="I414" s="408" t="s">
        <v>1321</v>
      </c>
      <c r="J414" s="408" t="s">
        <v>2234</v>
      </c>
      <c r="K414" s="828">
        <v>44682</v>
      </c>
      <c r="L414" s="408">
        <v>0</v>
      </c>
      <c r="M414" s="408">
        <v>0</v>
      </c>
      <c r="N414" s="408">
        <v>0.55300000000000005</v>
      </c>
      <c r="O414" s="408">
        <v>0.55300000000000005</v>
      </c>
      <c r="P414" s="408">
        <v>0.55300000000000005</v>
      </c>
      <c r="Q414" s="408">
        <v>0.55300000000000005</v>
      </c>
      <c r="R414" s="408"/>
      <c r="S414" s="408">
        <v>710.91</v>
      </c>
      <c r="T414" s="408">
        <v>256.55</v>
      </c>
      <c r="U414" s="408"/>
      <c r="V414" s="408">
        <v>535.00538000000006</v>
      </c>
      <c r="W414" s="408">
        <v>535.00538000000006</v>
      </c>
      <c r="X414" s="408">
        <v>365.21779000000004</v>
      </c>
      <c r="Y414" s="408">
        <v>0</v>
      </c>
      <c r="Z414" s="408">
        <v>33.995498813074427</v>
      </c>
      <c r="AA414" s="408">
        <v>0</v>
      </c>
      <c r="AB414" s="408">
        <v>0</v>
      </c>
      <c r="AC414" s="408">
        <v>0</v>
      </c>
      <c r="AD414" s="408">
        <v>68.064782761264723</v>
      </c>
      <c r="AE414" s="408">
        <v>263.7312641119704</v>
      </c>
      <c r="AF414" s="408">
        <v>141.87354451782477</v>
      </c>
      <c r="AG414" s="408">
        <v>0</v>
      </c>
      <c r="AH414" s="408">
        <v>0</v>
      </c>
      <c r="AI414" s="408">
        <v>0</v>
      </c>
      <c r="AJ414" s="408">
        <v>0</v>
      </c>
      <c r="AK414" s="408">
        <v>0</v>
      </c>
      <c r="AL414" s="408">
        <v>5.2558578567483778</v>
      </c>
      <c r="AM414" s="408"/>
      <c r="AN414" s="408">
        <v>1.214279969413937</v>
      </c>
      <c r="AO414" s="408">
        <v>0</v>
      </c>
      <c r="AP414" s="408">
        <v>0</v>
      </c>
      <c r="AQ414" s="408">
        <v>0</v>
      </c>
      <c r="AR414" s="408">
        <v>0</v>
      </c>
      <c r="AS414" s="408">
        <v>0</v>
      </c>
      <c r="AT414" s="408">
        <v>0</v>
      </c>
      <c r="AU414" s="408">
        <v>0</v>
      </c>
      <c r="AV414" s="408">
        <v>0</v>
      </c>
      <c r="AW414" s="408">
        <v>0</v>
      </c>
      <c r="AX414" s="408">
        <v>0</v>
      </c>
      <c r="AY414" s="408">
        <v>0</v>
      </c>
      <c r="AZ414" s="408">
        <v>0</v>
      </c>
      <c r="BA414" s="408"/>
      <c r="BB414" s="408">
        <v>0</v>
      </c>
      <c r="BC414" s="408">
        <v>0</v>
      </c>
      <c r="BD414" s="408">
        <v>0.824147142553877</v>
      </c>
      <c r="BE414" s="408">
        <v>0</v>
      </c>
      <c r="BF414" s="408">
        <v>0</v>
      </c>
      <c r="BG414" s="408">
        <v>20.048131457989399</v>
      </c>
      <c r="BH414" s="408">
        <v>0</v>
      </c>
      <c r="BI414" s="408">
        <v>1.03</v>
      </c>
      <c r="BJ414" s="408">
        <v>1.07</v>
      </c>
      <c r="BK414" s="408">
        <v>130.02000000000001</v>
      </c>
      <c r="BL414" s="408">
        <v>5</v>
      </c>
      <c r="BM414" s="408"/>
      <c r="BN414" s="408"/>
      <c r="BO414" s="408"/>
      <c r="BP414" s="408"/>
      <c r="BQ414" s="408"/>
      <c r="BR414" s="408"/>
      <c r="BS414" s="408"/>
      <c r="BT414" s="408"/>
      <c r="BU414" s="408"/>
      <c r="BV414" s="408">
        <v>162.74582311836804</v>
      </c>
      <c r="BW414" s="408"/>
      <c r="BX414" s="408"/>
      <c r="BY414" s="408"/>
      <c r="BZ414" s="408"/>
      <c r="CA414" s="408"/>
      <c r="CB414" s="408"/>
      <c r="CC414" s="408"/>
      <c r="CD414" s="408"/>
      <c r="CE414" s="408"/>
      <c r="CF414" s="408"/>
      <c r="CG414" s="408"/>
      <c r="CH414" s="408"/>
      <c r="CI414" s="408">
        <v>363.23650000000004</v>
      </c>
      <c r="CJ414" s="408">
        <v>-171.79888</v>
      </c>
      <c r="CK414" s="408"/>
      <c r="CL414" s="408"/>
      <c r="CM414" s="408"/>
      <c r="CN414" s="408"/>
      <c r="CO414" s="408">
        <v>-178.63006000000001</v>
      </c>
      <c r="CP414" s="408">
        <v>8.8424700000000058</v>
      </c>
      <c r="CQ414" s="408">
        <v>31</v>
      </c>
      <c r="CR414" s="408">
        <v>7.3511872344831772</v>
      </c>
      <c r="CS414" s="408">
        <v>0</v>
      </c>
      <c r="CT414" s="408">
        <v>0</v>
      </c>
      <c r="CU414" s="408">
        <v>0</v>
      </c>
      <c r="CV414" s="408">
        <v>0</v>
      </c>
      <c r="CW414" s="408">
        <v>0</v>
      </c>
      <c r="CX414" s="408">
        <v>0</v>
      </c>
      <c r="CY414" s="408">
        <v>0</v>
      </c>
      <c r="CZ414" s="408">
        <v>-0.30765709903295146</v>
      </c>
      <c r="DA414" s="408">
        <v>0</v>
      </c>
      <c r="DB414" s="408">
        <v>0</v>
      </c>
      <c r="DC414" s="408">
        <v>8.8385046388428066</v>
      </c>
      <c r="DD414" s="408">
        <v>0</v>
      </c>
      <c r="DE414" s="408">
        <v>0</v>
      </c>
      <c r="DF414" s="408">
        <v>5.1343105349964779E-2</v>
      </c>
      <c r="DG414" s="408">
        <v>1.2489678995036826</v>
      </c>
      <c r="DH414" s="408">
        <v>0</v>
      </c>
      <c r="DI414" s="408">
        <v>-2.1139711186419881</v>
      </c>
      <c r="DJ414" s="408"/>
      <c r="DK414" s="408">
        <v>0</v>
      </c>
      <c r="DL414" s="408">
        <v>0</v>
      </c>
      <c r="DM414" s="408">
        <v>0</v>
      </c>
      <c r="DN414" s="408">
        <v>0</v>
      </c>
      <c r="DO414" s="408">
        <v>-0.28840306311045438</v>
      </c>
      <c r="DP414" s="408">
        <v>-7.7597128427846052E-2</v>
      </c>
      <c r="DQ414" s="408">
        <v>0</v>
      </c>
      <c r="DR414" s="408">
        <v>0</v>
      </c>
      <c r="DS414" s="408"/>
      <c r="DT414" s="408"/>
      <c r="DU414" s="408"/>
      <c r="DV414" s="408">
        <v>263.7312641119704</v>
      </c>
      <c r="DW414" s="408">
        <v>0</v>
      </c>
      <c r="DX414" s="408">
        <v>0</v>
      </c>
      <c r="DY414" s="408">
        <v>-178.63006000000001</v>
      </c>
      <c r="DZ414" s="408">
        <v>8.84247000000002</v>
      </c>
      <c r="EA414" s="408">
        <v>0</v>
      </c>
      <c r="EB414" s="408">
        <v>0</v>
      </c>
      <c r="EC414" s="408">
        <v>-177.14160939715833</v>
      </c>
      <c r="ED414" s="408">
        <v>0</v>
      </c>
      <c r="EE414" s="408">
        <v>0</v>
      </c>
      <c r="EF414" s="408">
        <v>0</v>
      </c>
      <c r="EG414" s="408">
        <v>0</v>
      </c>
      <c r="EH414" s="408">
        <v>0</v>
      </c>
      <c r="EI414" s="408">
        <v>0</v>
      </c>
      <c r="EJ414" s="408">
        <v>0</v>
      </c>
      <c r="EK414" s="408">
        <v>0</v>
      </c>
      <c r="EL414" s="408">
        <v>0</v>
      </c>
      <c r="EM414" s="408">
        <v>0</v>
      </c>
      <c r="EN414" s="408">
        <v>0</v>
      </c>
      <c r="EO414" s="408">
        <v>0</v>
      </c>
      <c r="EP414" s="408">
        <v>0</v>
      </c>
      <c r="EQ414" s="408">
        <v>0</v>
      </c>
      <c r="ER414" s="408">
        <v>0</v>
      </c>
      <c r="ES414" s="408">
        <v>0</v>
      </c>
      <c r="ET414" s="408">
        <v>0</v>
      </c>
      <c r="EU414" s="408">
        <v>0</v>
      </c>
      <c r="EV414" s="408">
        <v>257</v>
      </c>
      <c r="EW414" s="408">
        <v>0</v>
      </c>
      <c r="EX414" s="408">
        <v>0</v>
      </c>
      <c r="EY414" s="408">
        <v>0</v>
      </c>
      <c r="EZ414" s="408"/>
      <c r="FA414" s="408">
        <v>0</v>
      </c>
      <c r="FB414" s="408"/>
      <c r="FC414" s="408"/>
      <c r="FD414" s="408"/>
      <c r="FE414" s="408"/>
      <c r="FF414" s="408">
        <v>0</v>
      </c>
      <c r="FG414" s="408">
        <v>0</v>
      </c>
      <c r="FH414" s="408">
        <v>0</v>
      </c>
      <c r="FI414" s="408">
        <v>0</v>
      </c>
    </row>
    <row r="415" spans="1:165">
      <c r="A415" s="408">
        <v>413</v>
      </c>
      <c r="B415" s="408" t="s">
        <v>1035</v>
      </c>
      <c r="C415" s="408" t="s">
        <v>2233</v>
      </c>
      <c r="D415" s="408" t="s">
        <v>1955</v>
      </c>
      <c r="E415" s="408" t="s">
        <v>968</v>
      </c>
      <c r="F415" s="408" t="s">
        <v>968</v>
      </c>
      <c r="G415" s="408" t="s">
        <v>1321</v>
      </c>
      <c r="H415" s="408" t="s">
        <v>1321</v>
      </c>
      <c r="I415" s="408" t="s">
        <v>1321</v>
      </c>
      <c r="J415" s="408" t="s">
        <v>2234</v>
      </c>
      <c r="K415" s="828">
        <v>44713</v>
      </c>
      <c r="L415" s="408">
        <v>0</v>
      </c>
      <c r="M415" s="408">
        <v>0</v>
      </c>
      <c r="N415" s="408">
        <v>883.60400000000004</v>
      </c>
      <c r="O415" s="408">
        <v>883.60400000000004</v>
      </c>
      <c r="P415" s="408">
        <v>883.60400000000004</v>
      </c>
      <c r="Q415" s="408">
        <v>883.60400000000004</v>
      </c>
      <c r="R415" s="408"/>
      <c r="S415" s="408">
        <v>710.91</v>
      </c>
      <c r="T415" s="408">
        <v>256.55</v>
      </c>
      <c r="U415" s="408"/>
      <c r="V415" s="408">
        <v>854851.52584000002</v>
      </c>
      <c r="W415" s="408">
        <v>854851.52584000002</v>
      </c>
      <c r="X415" s="408">
        <v>583558.58972000005</v>
      </c>
      <c r="Y415" s="408">
        <v>0</v>
      </c>
      <c r="Z415" s="408">
        <v>54319.274381967116</v>
      </c>
      <c r="AA415" s="408">
        <v>0</v>
      </c>
      <c r="AB415" s="408">
        <v>0</v>
      </c>
      <c r="AC415" s="408">
        <v>0</v>
      </c>
      <c r="AD415" s="408">
        <v>108756.44540141871</v>
      </c>
      <c r="AE415" s="408">
        <v>421399.63814537699</v>
      </c>
      <c r="AF415" s="408">
        <v>226690.83441252809</v>
      </c>
      <c r="AG415" s="408">
        <v>0</v>
      </c>
      <c r="AH415" s="408">
        <v>0</v>
      </c>
      <c r="AI415" s="408">
        <v>0</v>
      </c>
      <c r="AJ415" s="408">
        <v>0</v>
      </c>
      <c r="AK415" s="408">
        <v>0</v>
      </c>
      <c r="AL415" s="408">
        <v>8398.0054713459194</v>
      </c>
      <c r="AM415" s="408"/>
      <c r="AN415" s="408">
        <v>1940.2217687053028</v>
      </c>
      <c r="AO415" s="408">
        <v>0</v>
      </c>
      <c r="AP415" s="408">
        <v>0</v>
      </c>
      <c r="AQ415" s="408">
        <v>0</v>
      </c>
      <c r="AR415" s="408">
        <v>0</v>
      </c>
      <c r="AS415" s="408">
        <v>0</v>
      </c>
      <c r="AT415" s="408">
        <v>0</v>
      </c>
      <c r="AU415" s="408">
        <v>0</v>
      </c>
      <c r="AV415" s="408">
        <v>0</v>
      </c>
      <c r="AW415" s="408">
        <v>0</v>
      </c>
      <c r="AX415" s="408">
        <v>0</v>
      </c>
      <c r="AY415" s="408">
        <v>0</v>
      </c>
      <c r="AZ415" s="408">
        <v>0</v>
      </c>
      <c r="BA415" s="408"/>
      <c r="BB415" s="408">
        <v>0</v>
      </c>
      <c r="BC415" s="408">
        <v>0</v>
      </c>
      <c r="BD415" s="408">
        <v>1316.8530049713852</v>
      </c>
      <c r="BE415" s="408">
        <v>0</v>
      </c>
      <c r="BF415" s="408">
        <v>0</v>
      </c>
      <c r="BG415" s="408">
        <v>32033.651263662319</v>
      </c>
      <c r="BH415" s="408">
        <v>0</v>
      </c>
      <c r="BI415" s="408">
        <v>1443.8</v>
      </c>
      <c r="BJ415" s="408">
        <v>5709.58</v>
      </c>
      <c r="BK415" s="408">
        <v>191719.72</v>
      </c>
      <c r="BL415" s="408">
        <v>5224</v>
      </c>
      <c r="BM415" s="408"/>
      <c r="BN415" s="408"/>
      <c r="BO415" s="408"/>
      <c r="BP415" s="408"/>
      <c r="BQ415" s="408"/>
      <c r="BR415" s="408"/>
      <c r="BS415" s="408"/>
      <c r="BT415" s="408"/>
      <c r="BU415" s="408"/>
      <c r="BV415" s="408">
        <v>260041.33868116178</v>
      </c>
      <c r="BW415" s="408"/>
      <c r="BX415" s="408"/>
      <c r="BY415" s="408"/>
      <c r="BZ415" s="408"/>
      <c r="CA415" s="408"/>
      <c r="CB415" s="408"/>
      <c r="CC415" s="408"/>
      <c r="CD415" s="408"/>
      <c r="CE415" s="408"/>
      <c r="CF415" s="408"/>
      <c r="CG415" s="408"/>
      <c r="CH415" s="408"/>
      <c r="CI415" s="408">
        <v>583555.94799999997</v>
      </c>
      <c r="CJ415" s="408">
        <v>-271295.60784000007</v>
      </c>
      <c r="CK415" s="408"/>
      <c r="CL415" s="408"/>
      <c r="CM415" s="408"/>
      <c r="CN415" s="408"/>
      <c r="CO415" s="408">
        <v>-285421.76407999999</v>
      </c>
      <c r="CP415" s="408">
        <v>14128.827960000008</v>
      </c>
      <c r="CQ415" s="408">
        <v>30</v>
      </c>
      <c r="CR415" s="408">
        <v>11746.000804951764</v>
      </c>
      <c r="CS415" s="408">
        <v>0</v>
      </c>
      <c r="CT415" s="408">
        <v>0</v>
      </c>
      <c r="CU415" s="408">
        <v>0</v>
      </c>
      <c r="CV415" s="408">
        <v>0</v>
      </c>
      <c r="CW415" s="408">
        <v>0</v>
      </c>
      <c r="CX415" s="408">
        <v>0</v>
      </c>
      <c r="CY415" s="408">
        <v>0</v>
      </c>
      <c r="CZ415" s="408">
        <v>-491.58597347904288</v>
      </c>
      <c r="DA415" s="408">
        <v>0</v>
      </c>
      <c r="DB415" s="408">
        <v>0</v>
      </c>
      <c r="DC415" s="408">
        <v>14122.49195822794</v>
      </c>
      <c r="DD415" s="408">
        <v>0</v>
      </c>
      <c r="DE415" s="408">
        <v>0</v>
      </c>
      <c r="DF415" s="408">
        <v>82.037926328481262</v>
      </c>
      <c r="DG415" s="408">
        <v>1995.6474355751452</v>
      </c>
      <c r="DH415" s="408">
        <v>0</v>
      </c>
      <c r="DI415" s="408">
        <v>-3377.7818016573874</v>
      </c>
      <c r="DJ415" s="408"/>
      <c r="DK415" s="408">
        <v>0</v>
      </c>
      <c r="DL415" s="408">
        <v>0</v>
      </c>
      <c r="DM415" s="408">
        <v>0</v>
      </c>
      <c r="DN415" s="408">
        <v>0</v>
      </c>
      <c r="DO415" s="408">
        <v>-460.82115764312766</v>
      </c>
      <c r="DP415" s="408">
        <v>-123.98758240028656</v>
      </c>
      <c r="DQ415" s="408">
        <v>0</v>
      </c>
      <c r="DR415" s="408">
        <v>0</v>
      </c>
      <c r="DS415" s="408"/>
      <c r="DT415" s="408"/>
      <c r="DU415" s="408"/>
      <c r="DV415" s="408">
        <v>421399.63814537699</v>
      </c>
      <c r="DW415" s="408">
        <v>0</v>
      </c>
      <c r="DX415" s="408">
        <v>0</v>
      </c>
      <c r="DY415" s="408">
        <v>-285421.76407999999</v>
      </c>
      <c r="DZ415" s="408">
        <v>14128.827960000024</v>
      </c>
      <c r="EA415" s="408">
        <v>0</v>
      </c>
      <c r="EB415" s="408">
        <v>0</v>
      </c>
      <c r="EC415" s="408">
        <v>-283043.46225997596</v>
      </c>
      <c r="ED415" s="408">
        <v>0</v>
      </c>
      <c r="EE415" s="408">
        <v>0</v>
      </c>
      <c r="EF415" s="408">
        <v>0</v>
      </c>
      <c r="EG415" s="408">
        <v>0</v>
      </c>
      <c r="EH415" s="408">
        <v>0</v>
      </c>
      <c r="EI415" s="408">
        <v>0</v>
      </c>
      <c r="EJ415" s="408">
        <v>0</v>
      </c>
      <c r="EK415" s="408">
        <v>0</v>
      </c>
      <c r="EL415" s="408">
        <v>0</v>
      </c>
      <c r="EM415" s="408">
        <v>0</v>
      </c>
      <c r="EN415" s="408">
        <v>0</v>
      </c>
      <c r="EO415" s="408">
        <v>0</v>
      </c>
      <c r="EP415" s="408">
        <v>0</v>
      </c>
      <c r="EQ415" s="408">
        <v>0</v>
      </c>
      <c r="ER415" s="408">
        <v>0</v>
      </c>
      <c r="ES415" s="408">
        <v>0</v>
      </c>
      <c r="ET415" s="408">
        <v>0</v>
      </c>
      <c r="EU415" s="408">
        <v>0</v>
      </c>
      <c r="EV415" s="408">
        <v>257</v>
      </c>
      <c r="EW415" s="408">
        <v>0</v>
      </c>
      <c r="EX415" s="408">
        <v>0</v>
      </c>
      <c r="EY415" s="408">
        <v>0</v>
      </c>
      <c r="EZ415" s="408"/>
      <c r="FA415" s="408">
        <v>0</v>
      </c>
      <c r="FB415" s="408"/>
      <c r="FC415" s="408"/>
      <c r="FD415" s="408"/>
      <c r="FE415" s="408"/>
      <c r="FF415" s="408">
        <v>0</v>
      </c>
      <c r="FG415" s="408">
        <v>0</v>
      </c>
      <c r="FH415" s="408">
        <v>0</v>
      </c>
      <c r="FI415" s="408">
        <v>0</v>
      </c>
    </row>
    <row r="416" spans="1:165">
      <c r="A416" s="408">
        <v>414</v>
      </c>
      <c r="B416" s="408" t="s">
        <v>2235</v>
      </c>
      <c r="C416" s="408" t="s">
        <v>2233</v>
      </c>
      <c r="D416" s="408" t="s">
        <v>1955</v>
      </c>
      <c r="E416" s="408" t="s">
        <v>968</v>
      </c>
      <c r="F416" s="408" t="s">
        <v>968</v>
      </c>
      <c r="G416" s="408" t="s">
        <v>1321</v>
      </c>
      <c r="H416" s="408" t="s">
        <v>1321</v>
      </c>
      <c r="I416" s="408" t="s">
        <v>1321</v>
      </c>
      <c r="J416" s="408" t="s">
        <v>2234</v>
      </c>
      <c r="K416" s="828">
        <v>44713</v>
      </c>
      <c r="L416" s="408">
        <v>0</v>
      </c>
      <c r="M416" s="408">
        <v>0</v>
      </c>
      <c r="N416" s="408">
        <v>-2.694</v>
      </c>
      <c r="O416" s="408">
        <v>-2.694</v>
      </c>
      <c r="P416" s="408">
        <v>-2.694</v>
      </c>
      <c r="Q416" s="408">
        <v>-2.694</v>
      </c>
      <c r="R416" s="408"/>
      <c r="S416" s="408">
        <v>710.91</v>
      </c>
      <c r="T416" s="408">
        <v>256.55</v>
      </c>
      <c r="U416" s="408"/>
      <c r="V416" s="408">
        <v>-2606.3372399999998</v>
      </c>
      <c r="W416" s="408">
        <v>-2606.3372399999998</v>
      </c>
      <c r="X416" s="408">
        <v>-1779.1984199999997</v>
      </c>
      <c r="Y416" s="408">
        <v>0</v>
      </c>
      <c r="Z416" s="408">
        <v>-165.61279168611662</v>
      </c>
      <c r="AA416" s="408">
        <v>0</v>
      </c>
      <c r="AB416" s="408">
        <v>0</v>
      </c>
      <c r="AC416" s="408">
        <v>0</v>
      </c>
      <c r="AD416" s="408">
        <v>-331.58503573028418</v>
      </c>
      <c r="AE416" s="408">
        <v>-1284.7957061801956</v>
      </c>
      <c r="AF416" s="408">
        <v>-691.15249354614809</v>
      </c>
      <c r="AG416" s="408">
        <v>0</v>
      </c>
      <c r="AH416" s="408">
        <v>0</v>
      </c>
      <c r="AI416" s="408">
        <v>0</v>
      </c>
      <c r="AJ416" s="408">
        <v>0</v>
      </c>
      <c r="AK416" s="408">
        <v>0</v>
      </c>
      <c r="AL416" s="408">
        <v>-25.60448655710692</v>
      </c>
      <c r="AM416" s="408"/>
      <c r="AN416" s="408">
        <v>-5.9154977171810961</v>
      </c>
      <c r="AO416" s="408">
        <v>0</v>
      </c>
      <c r="AP416" s="408">
        <v>0</v>
      </c>
      <c r="AQ416" s="408">
        <v>0</v>
      </c>
      <c r="AR416" s="408">
        <v>0</v>
      </c>
      <c r="AS416" s="408">
        <v>0</v>
      </c>
      <c r="AT416" s="408">
        <v>0</v>
      </c>
      <c r="AU416" s="408">
        <v>0</v>
      </c>
      <c r="AV416" s="408">
        <v>0</v>
      </c>
      <c r="AW416" s="408">
        <v>0</v>
      </c>
      <c r="AX416" s="408">
        <v>0</v>
      </c>
      <c r="AY416" s="408">
        <v>0</v>
      </c>
      <c r="AZ416" s="408">
        <v>0</v>
      </c>
      <c r="BA416" s="408"/>
      <c r="BB416" s="408">
        <v>0</v>
      </c>
      <c r="BC416" s="408">
        <v>0</v>
      </c>
      <c r="BD416" s="408">
        <v>-4.0149229693311836</v>
      </c>
      <c r="BE416" s="408">
        <v>0</v>
      </c>
      <c r="BF416" s="408">
        <v>0</v>
      </c>
      <c r="BG416" s="408">
        <v>-97.666665728432974</v>
      </c>
      <c r="BH416" s="408">
        <v>0</v>
      </c>
      <c r="BI416" s="408">
        <v>-16.57</v>
      </c>
      <c r="BJ416" s="408">
        <v>-26.39</v>
      </c>
      <c r="BK416" s="408">
        <v>-683.56</v>
      </c>
      <c r="BL416" s="408">
        <v>0</v>
      </c>
      <c r="BM416" s="408"/>
      <c r="BN416" s="408"/>
      <c r="BO416" s="408"/>
      <c r="BP416" s="408"/>
      <c r="BQ416" s="408"/>
      <c r="BR416" s="408"/>
      <c r="BS416" s="408"/>
      <c r="BT416" s="408"/>
      <c r="BU416" s="408"/>
      <c r="BV416" s="408">
        <v>-792.83408224391223</v>
      </c>
      <c r="BW416" s="408"/>
      <c r="BX416" s="408"/>
      <c r="BY416" s="408"/>
      <c r="BZ416" s="408"/>
      <c r="CA416" s="408"/>
      <c r="CB416" s="408"/>
      <c r="CC416" s="408"/>
      <c r="CD416" s="408"/>
      <c r="CE416" s="408"/>
      <c r="CF416" s="408"/>
      <c r="CG416" s="408"/>
      <c r="CH416" s="408"/>
      <c r="CI416" s="408">
        <v>-1776.5567000000001</v>
      </c>
      <c r="CJ416" s="408">
        <v>829.75053999999955</v>
      </c>
      <c r="CK416" s="408"/>
      <c r="CL416" s="408"/>
      <c r="CM416" s="408"/>
      <c r="CN416" s="408"/>
      <c r="CO416" s="408">
        <v>870.21587999999997</v>
      </c>
      <c r="CP416" s="408">
        <v>-43.077060000000024</v>
      </c>
      <c r="CQ416" s="408">
        <v>30</v>
      </c>
      <c r="CR416" s="408">
        <v>-35.812112856596514</v>
      </c>
      <c r="CS416" s="408">
        <v>0</v>
      </c>
      <c r="CT416" s="408">
        <v>0</v>
      </c>
      <c r="CU416" s="408">
        <v>0</v>
      </c>
      <c r="CV416" s="408">
        <v>0</v>
      </c>
      <c r="CW416" s="408">
        <v>0</v>
      </c>
      <c r="CX416" s="408">
        <v>0</v>
      </c>
      <c r="CY416" s="408">
        <v>0</v>
      </c>
      <c r="CZ416" s="408">
        <v>1.4987852166271409</v>
      </c>
      <c r="DA416" s="408">
        <v>0</v>
      </c>
      <c r="DB416" s="408">
        <v>0</v>
      </c>
      <c r="DC416" s="408">
        <v>-43.057742309299215</v>
      </c>
      <c r="DD416" s="408">
        <v>0</v>
      </c>
      <c r="DE416" s="408">
        <v>0</v>
      </c>
      <c r="DF416" s="408">
        <v>-0.25012355481519855</v>
      </c>
      <c r="DG416" s="408">
        <v>-6.0844837635857658</v>
      </c>
      <c r="DH416" s="408">
        <v>0</v>
      </c>
      <c r="DI416" s="408">
        <v>10.298441579785731</v>
      </c>
      <c r="DJ416" s="408"/>
      <c r="DK416" s="408">
        <v>0</v>
      </c>
      <c r="DL416" s="408">
        <v>0</v>
      </c>
      <c r="DM416" s="408">
        <v>0</v>
      </c>
      <c r="DN416" s="408">
        <v>0</v>
      </c>
      <c r="DO416" s="408">
        <v>1.4049870741764217</v>
      </c>
      <c r="DP416" s="408">
        <v>0.37802290051467846</v>
      </c>
      <c r="DQ416" s="408">
        <v>0</v>
      </c>
      <c r="DR416" s="408">
        <v>0</v>
      </c>
      <c r="DS416" s="408"/>
      <c r="DT416" s="408"/>
      <c r="DU416" s="408"/>
      <c r="DV416" s="408">
        <v>-1284.7957061801956</v>
      </c>
      <c r="DW416" s="408">
        <v>0</v>
      </c>
      <c r="DX416" s="408">
        <v>0</v>
      </c>
      <c r="DY416" s="408">
        <v>870.21587999999997</v>
      </c>
      <c r="DZ416" s="408">
        <v>-43.07705999999996</v>
      </c>
      <c r="EA416" s="408">
        <v>0</v>
      </c>
      <c r="EB416" s="408">
        <v>0</v>
      </c>
      <c r="EC416" s="408">
        <v>862.96473004691597</v>
      </c>
      <c r="ED416" s="408">
        <v>0</v>
      </c>
      <c r="EE416" s="408">
        <v>0</v>
      </c>
      <c r="EF416" s="408">
        <v>0</v>
      </c>
      <c r="EG416" s="408">
        <v>0</v>
      </c>
      <c r="EH416" s="408">
        <v>0</v>
      </c>
      <c r="EI416" s="408">
        <v>0</v>
      </c>
      <c r="EJ416" s="408">
        <v>0</v>
      </c>
      <c r="EK416" s="408">
        <v>0</v>
      </c>
      <c r="EL416" s="408">
        <v>0</v>
      </c>
      <c r="EM416" s="408">
        <v>0</v>
      </c>
      <c r="EN416" s="408">
        <v>0</v>
      </c>
      <c r="EO416" s="408">
        <v>0</v>
      </c>
      <c r="EP416" s="408">
        <v>0</v>
      </c>
      <c r="EQ416" s="408">
        <v>0</v>
      </c>
      <c r="ER416" s="408">
        <v>0</v>
      </c>
      <c r="ES416" s="408">
        <v>0</v>
      </c>
      <c r="ET416" s="408">
        <v>0</v>
      </c>
      <c r="EU416" s="408">
        <v>0</v>
      </c>
      <c r="EV416" s="408">
        <v>257</v>
      </c>
      <c r="EW416" s="408">
        <v>0</v>
      </c>
      <c r="EX416" s="408">
        <v>0</v>
      </c>
      <c r="EY416" s="408">
        <v>0</v>
      </c>
      <c r="EZ416" s="408"/>
      <c r="FA416" s="408">
        <v>0</v>
      </c>
      <c r="FB416" s="408"/>
      <c r="FC416" s="408"/>
      <c r="FD416" s="408"/>
      <c r="FE416" s="408"/>
      <c r="FF416" s="408">
        <v>0</v>
      </c>
      <c r="FG416" s="408">
        <v>0</v>
      </c>
      <c r="FH416" s="408">
        <v>0</v>
      </c>
      <c r="FI416" s="408">
        <v>0</v>
      </c>
    </row>
    <row r="417" spans="1:165">
      <c r="A417" s="408">
        <v>415</v>
      </c>
      <c r="B417" s="408" t="s">
        <v>2236</v>
      </c>
      <c r="C417" s="408" t="s">
        <v>2233</v>
      </c>
      <c r="D417" s="408" t="s">
        <v>1955</v>
      </c>
      <c r="E417" s="408" t="s">
        <v>968</v>
      </c>
      <c r="F417" s="408" t="s">
        <v>968</v>
      </c>
      <c r="G417" s="408" t="s">
        <v>1321</v>
      </c>
      <c r="H417" s="408" t="s">
        <v>1321</v>
      </c>
      <c r="I417" s="408" t="s">
        <v>1321</v>
      </c>
      <c r="J417" s="408" t="s">
        <v>2234</v>
      </c>
      <c r="K417" s="828">
        <v>44713</v>
      </c>
      <c r="L417" s="408">
        <v>0</v>
      </c>
      <c r="M417" s="408">
        <v>0</v>
      </c>
      <c r="N417" s="408">
        <v>19.734000000000002</v>
      </c>
      <c r="O417" s="408">
        <v>19.734000000000002</v>
      </c>
      <c r="P417" s="408">
        <v>19.734000000000002</v>
      </c>
      <c r="Q417" s="408">
        <v>19.734000000000002</v>
      </c>
      <c r="R417" s="408"/>
      <c r="S417" s="408">
        <v>710.91</v>
      </c>
      <c r="T417" s="408">
        <v>256.55</v>
      </c>
      <c r="U417" s="408"/>
      <c r="V417" s="408">
        <v>19091.855640000002</v>
      </c>
      <c r="W417" s="408">
        <v>19091.855640000002</v>
      </c>
      <c r="X417" s="408">
        <v>13032.925620000002</v>
      </c>
      <c r="Y417" s="408">
        <v>0</v>
      </c>
      <c r="Z417" s="408">
        <v>1213.1413627074335</v>
      </c>
      <c r="AA417" s="408">
        <v>0</v>
      </c>
      <c r="AB417" s="408">
        <v>0</v>
      </c>
      <c r="AC417" s="408">
        <v>0</v>
      </c>
      <c r="AD417" s="408">
        <v>2428.9157739797433</v>
      </c>
      <c r="AE417" s="408">
        <v>9411.3431572976915</v>
      </c>
      <c r="AF417" s="408">
        <v>5062.8074638603148</v>
      </c>
      <c r="AG417" s="408">
        <v>0</v>
      </c>
      <c r="AH417" s="408">
        <v>0</v>
      </c>
      <c r="AI417" s="408">
        <v>0</v>
      </c>
      <c r="AJ417" s="408">
        <v>0</v>
      </c>
      <c r="AK417" s="408">
        <v>0</v>
      </c>
      <c r="AL417" s="408">
        <v>187.55714094949815</v>
      </c>
      <c r="AM417" s="408"/>
      <c r="AN417" s="408">
        <v>43.332008890442374</v>
      </c>
      <c r="AO417" s="408">
        <v>0</v>
      </c>
      <c r="AP417" s="408">
        <v>0</v>
      </c>
      <c r="AQ417" s="408">
        <v>0</v>
      </c>
      <c r="AR417" s="408">
        <v>0</v>
      </c>
      <c r="AS417" s="408">
        <v>0</v>
      </c>
      <c r="AT417" s="408">
        <v>0</v>
      </c>
      <c r="AU417" s="408">
        <v>0</v>
      </c>
      <c r="AV417" s="408">
        <v>0</v>
      </c>
      <c r="AW417" s="408">
        <v>0</v>
      </c>
      <c r="AX417" s="408">
        <v>0</v>
      </c>
      <c r="AY417" s="408">
        <v>0</v>
      </c>
      <c r="AZ417" s="408">
        <v>0</v>
      </c>
      <c r="BA417" s="408"/>
      <c r="BB417" s="408">
        <v>0</v>
      </c>
      <c r="BC417" s="408">
        <v>0</v>
      </c>
      <c r="BD417" s="408">
        <v>29.409981394499475</v>
      </c>
      <c r="BE417" s="408">
        <v>0</v>
      </c>
      <c r="BF417" s="408">
        <v>0</v>
      </c>
      <c r="BG417" s="408">
        <v>715.42464049179523</v>
      </c>
      <c r="BH417" s="408">
        <v>0</v>
      </c>
      <c r="BI417" s="408">
        <v>35.56</v>
      </c>
      <c r="BJ417" s="408">
        <v>140.15</v>
      </c>
      <c r="BK417" s="408">
        <v>8425.36</v>
      </c>
      <c r="BL417" s="408">
        <v>125</v>
      </c>
      <c r="BM417" s="408"/>
      <c r="BN417" s="408"/>
      <c r="BO417" s="408"/>
      <c r="BP417" s="408"/>
      <c r="BQ417" s="408"/>
      <c r="BR417" s="408"/>
      <c r="BS417" s="408"/>
      <c r="BT417" s="408"/>
      <c r="BU417" s="408"/>
      <c r="BV417" s="408">
        <v>5807.6420857466092</v>
      </c>
      <c r="BW417" s="408"/>
      <c r="BX417" s="408"/>
      <c r="BY417" s="408"/>
      <c r="BZ417" s="408"/>
      <c r="CA417" s="408"/>
      <c r="CB417" s="408"/>
      <c r="CC417" s="408"/>
      <c r="CD417" s="408"/>
      <c r="CE417" s="408"/>
      <c r="CF417" s="408"/>
      <c r="CG417" s="408"/>
      <c r="CH417" s="408"/>
      <c r="CI417" s="408">
        <v>13030.2839</v>
      </c>
      <c r="CJ417" s="408">
        <v>-6061.6017400000001</v>
      </c>
      <c r="CK417" s="408"/>
      <c r="CL417" s="408"/>
      <c r="CM417" s="408"/>
      <c r="CN417" s="408"/>
      <c r="CO417" s="408">
        <v>-6374.4766799999998</v>
      </c>
      <c r="CP417" s="408">
        <v>315.5466600000002</v>
      </c>
      <c r="CQ417" s="408">
        <v>30</v>
      </c>
      <c r="CR417" s="408">
        <v>262.32970865332936</v>
      </c>
      <c r="CS417" s="408">
        <v>0</v>
      </c>
      <c r="CT417" s="408">
        <v>0</v>
      </c>
      <c r="CU417" s="408">
        <v>0</v>
      </c>
      <c r="CV417" s="408">
        <v>0</v>
      </c>
      <c r="CW417" s="408">
        <v>0</v>
      </c>
      <c r="CX417" s="408">
        <v>0</v>
      </c>
      <c r="CY417" s="408">
        <v>0</v>
      </c>
      <c r="CZ417" s="408">
        <v>-10.978852065671617</v>
      </c>
      <c r="DA417" s="408">
        <v>0</v>
      </c>
      <c r="DB417" s="408">
        <v>0</v>
      </c>
      <c r="DC417" s="408">
        <v>315.40515468883132</v>
      </c>
      <c r="DD417" s="408">
        <v>0</v>
      </c>
      <c r="DE417" s="408">
        <v>0</v>
      </c>
      <c r="DF417" s="408">
        <v>1.8321968191251408</v>
      </c>
      <c r="DG417" s="408">
        <v>44.569859907424529</v>
      </c>
      <c r="DH417" s="408">
        <v>0</v>
      </c>
      <c r="DI417" s="408">
        <v>-75.437804801593074</v>
      </c>
      <c r="DJ417" s="408"/>
      <c r="DK417" s="408">
        <v>0</v>
      </c>
      <c r="DL417" s="408">
        <v>0</v>
      </c>
      <c r="DM417" s="408">
        <v>0</v>
      </c>
      <c r="DN417" s="408">
        <v>0</v>
      </c>
      <c r="DO417" s="408">
        <v>-10.291765004379187</v>
      </c>
      <c r="DP417" s="408">
        <v>-2.7690808904070749</v>
      </c>
      <c r="DQ417" s="408">
        <v>0</v>
      </c>
      <c r="DR417" s="408">
        <v>0</v>
      </c>
      <c r="DS417" s="408"/>
      <c r="DT417" s="408"/>
      <c r="DU417" s="408"/>
      <c r="DV417" s="408">
        <v>9411.3431572976915</v>
      </c>
      <c r="DW417" s="408">
        <v>0</v>
      </c>
      <c r="DX417" s="408">
        <v>0</v>
      </c>
      <c r="DY417" s="408">
        <v>-6374.4766800000007</v>
      </c>
      <c r="DZ417" s="408">
        <v>315.54665999999997</v>
      </c>
      <c r="EA417" s="408">
        <v>0</v>
      </c>
      <c r="EB417" s="408">
        <v>0</v>
      </c>
      <c r="EC417" s="408">
        <v>-6321.3607953770752</v>
      </c>
      <c r="ED417" s="408">
        <v>0</v>
      </c>
      <c r="EE417" s="408">
        <v>0</v>
      </c>
      <c r="EF417" s="408">
        <v>0</v>
      </c>
      <c r="EG417" s="408">
        <v>0</v>
      </c>
      <c r="EH417" s="408">
        <v>0</v>
      </c>
      <c r="EI417" s="408">
        <v>0</v>
      </c>
      <c r="EJ417" s="408">
        <v>0</v>
      </c>
      <c r="EK417" s="408">
        <v>0</v>
      </c>
      <c r="EL417" s="408">
        <v>0</v>
      </c>
      <c r="EM417" s="408">
        <v>0</v>
      </c>
      <c r="EN417" s="408">
        <v>0</v>
      </c>
      <c r="EO417" s="408">
        <v>0</v>
      </c>
      <c r="EP417" s="408">
        <v>0</v>
      </c>
      <c r="EQ417" s="408">
        <v>0</v>
      </c>
      <c r="ER417" s="408">
        <v>0</v>
      </c>
      <c r="ES417" s="408">
        <v>0</v>
      </c>
      <c r="ET417" s="408">
        <v>0</v>
      </c>
      <c r="EU417" s="408">
        <v>0</v>
      </c>
      <c r="EV417" s="408">
        <v>257</v>
      </c>
      <c r="EW417" s="408">
        <v>0</v>
      </c>
      <c r="EX417" s="408">
        <v>0</v>
      </c>
      <c r="EY417" s="408">
        <v>0</v>
      </c>
      <c r="EZ417" s="408"/>
      <c r="FA417" s="408">
        <v>0</v>
      </c>
      <c r="FB417" s="408"/>
      <c r="FC417" s="408"/>
      <c r="FD417" s="408"/>
      <c r="FE417" s="408"/>
      <c r="FF417" s="408">
        <v>0</v>
      </c>
      <c r="FG417" s="408">
        <v>0</v>
      </c>
      <c r="FH417" s="408">
        <v>0</v>
      </c>
      <c r="FI417" s="408">
        <v>0</v>
      </c>
    </row>
    <row r="418" spans="1:165">
      <c r="A418" s="408">
        <v>416</v>
      </c>
      <c r="B418" s="408" t="s">
        <v>1035</v>
      </c>
      <c r="C418" s="408" t="s">
        <v>2233</v>
      </c>
      <c r="D418" s="408" t="s">
        <v>1955</v>
      </c>
      <c r="E418" s="408" t="s">
        <v>968</v>
      </c>
      <c r="F418" s="408" t="s">
        <v>2237</v>
      </c>
      <c r="G418" s="408" t="s">
        <v>1321</v>
      </c>
      <c r="H418" s="408" t="s">
        <v>1321</v>
      </c>
      <c r="I418" s="408" t="s">
        <v>1321</v>
      </c>
      <c r="J418" s="408" t="s">
        <v>2234</v>
      </c>
      <c r="K418" s="828">
        <v>44713</v>
      </c>
      <c r="L418" s="408">
        <v>0</v>
      </c>
      <c r="M418" s="408">
        <v>0</v>
      </c>
      <c r="N418" s="408">
        <v>5.88</v>
      </c>
      <c r="O418" s="408">
        <v>5.88</v>
      </c>
      <c r="P418" s="408">
        <v>5.88</v>
      </c>
      <c r="Q418" s="408">
        <v>5.88</v>
      </c>
      <c r="R418" s="408"/>
      <c r="S418" s="408">
        <v>639.92999999999995</v>
      </c>
      <c r="T418" s="408">
        <v>256.55</v>
      </c>
      <c r="U418" s="408"/>
      <c r="V418" s="408">
        <v>5271.3023999999996</v>
      </c>
      <c r="W418" s="408">
        <v>5271.3023999999996</v>
      </c>
      <c r="X418" s="408">
        <v>3491.5439999999999</v>
      </c>
      <c r="Y418" s="408">
        <v>0</v>
      </c>
      <c r="Z418" s="408">
        <v>0</v>
      </c>
      <c r="AA418" s="408">
        <v>0</v>
      </c>
      <c r="AB418" s="408">
        <v>0</v>
      </c>
      <c r="AC418" s="408">
        <v>0</v>
      </c>
      <c r="AD418" s="408">
        <v>723.72680404382731</v>
      </c>
      <c r="AE418" s="408">
        <v>2804.2311627095582</v>
      </c>
      <c r="AF418" s="408">
        <v>1508.5288277844659</v>
      </c>
      <c r="AG418" s="408">
        <v>0</v>
      </c>
      <c r="AH418" s="408">
        <v>0</v>
      </c>
      <c r="AI418" s="408">
        <v>0</v>
      </c>
      <c r="AJ418" s="408">
        <v>0</v>
      </c>
      <c r="AK418" s="408">
        <v>0</v>
      </c>
      <c r="AL418" s="408">
        <v>0</v>
      </c>
      <c r="AM418" s="408"/>
      <c r="AN418" s="408">
        <v>12.911331320350723</v>
      </c>
      <c r="AO418" s="408">
        <v>0</v>
      </c>
      <c r="AP418" s="408">
        <v>0</v>
      </c>
      <c r="AQ418" s="408">
        <v>0</v>
      </c>
      <c r="AR418" s="408">
        <v>0</v>
      </c>
      <c r="AS418" s="408">
        <v>0</v>
      </c>
      <c r="AT418" s="408">
        <v>0</v>
      </c>
      <c r="AU418" s="408">
        <v>0</v>
      </c>
      <c r="AV418" s="408">
        <v>0</v>
      </c>
      <c r="AW418" s="408">
        <v>0</v>
      </c>
      <c r="AX418" s="408">
        <v>0</v>
      </c>
      <c r="AY418" s="408">
        <v>0</v>
      </c>
      <c r="AZ418" s="408">
        <v>0</v>
      </c>
      <c r="BA418" s="408"/>
      <c r="BB418" s="408">
        <v>0</v>
      </c>
      <c r="BC418" s="408">
        <v>0</v>
      </c>
      <c r="BD418" s="408">
        <v>8.7630835410791974</v>
      </c>
      <c r="BE418" s="408">
        <v>0</v>
      </c>
      <c r="BF418" s="408">
        <v>0</v>
      </c>
      <c r="BG418" s="408">
        <v>213.17000537608976</v>
      </c>
      <c r="BH418" s="408">
        <v>0</v>
      </c>
      <c r="BI418" s="408">
        <v>2.68</v>
      </c>
      <c r="BJ418" s="408">
        <v>9.3000000000000007</v>
      </c>
      <c r="BK418" s="408">
        <v>384.19</v>
      </c>
      <c r="BL418" s="408">
        <v>12</v>
      </c>
      <c r="BM418" s="408"/>
      <c r="BN418" s="408"/>
      <c r="BO418" s="408"/>
      <c r="BP418" s="408"/>
      <c r="BQ418" s="408"/>
      <c r="BR418" s="408"/>
      <c r="BS418" s="408"/>
      <c r="BT418" s="408">
        <v>2269.5036</v>
      </c>
      <c r="BU418" s="408"/>
      <c r="BV418" s="408">
        <v>1730.4619167016349</v>
      </c>
      <c r="BW418" s="408"/>
      <c r="BX418" s="408"/>
      <c r="BY418" s="408"/>
      <c r="BZ418" s="408"/>
      <c r="CA418" s="408"/>
      <c r="CB418" s="408"/>
      <c r="CC418" s="408"/>
      <c r="CD418" s="408"/>
      <c r="CE418" s="408"/>
      <c r="CF418" s="408"/>
      <c r="CG418" s="408"/>
      <c r="CH418" s="408"/>
      <c r="CI418" s="408">
        <v>1222.0403999999999</v>
      </c>
      <c r="CJ418" s="408">
        <v>-622.95720000000006</v>
      </c>
      <c r="CK418" s="408"/>
      <c r="CL418" s="408"/>
      <c r="CM418" s="408"/>
      <c r="CN418" s="408"/>
      <c r="CO418" s="408">
        <v>-1873.7795999999996</v>
      </c>
      <c r="CP418" s="408">
        <v>94.02120000000005</v>
      </c>
      <c r="CQ418" s="408">
        <v>30</v>
      </c>
      <c r="CR418" s="408">
        <v>103.70875429921443</v>
      </c>
      <c r="CS418" s="408">
        <v>0</v>
      </c>
      <c r="CT418" s="408">
        <v>0</v>
      </c>
      <c r="CU418" s="408">
        <v>0</v>
      </c>
      <c r="CV418" s="408">
        <v>0</v>
      </c>
      <c r="CW418" s="408">
        <v>0</v>
      </c>
      <c r="CX418" s="408">
        <v>0</v>
      </c>
      <c r="CY418" s="408">
        <v>0</v>
      </c>
      <c r="CZ418" s="408">
        <v>-3.2712906732617739</v>
      </c>
      <c r="DA418" s="408">
        <v>0</v>
      </c>
      <c r="DB418" s="408">
        <v>0</v>
      </c>
      <c r="DC418" s="408">
        <v>93.979036666176398</v>
      </c>
      <c r="DD418" s="408">
        <v>0</v>
      </c>
      <c r="DE418" s="408">
        <v>0</v>
      </c>
      <c r="DF418" s="408">
        <v>0.5459266897970938</v>
      </c>
      <c r="DG418" s="408">
        <v>13.280165007380958</v>
      </c>
      <c r="DH418" s="408">
        <v>0</v>
      </c>
      <c r="DI418" s="408">
        <v>0</v>
      </c>
      <c r="DJ418" s="408"/>
      <c r="DK418" s="408">
        <v>0</v>
      </c>
      <c r="DL418" s="408">
        <v>0</v>
      </c>
      <c r="DM418" s="408">
        <v>0</v>
      </c>
      <c r="DN418" s="408">
        <v>0</v>
      </c>
      <c r="DO418" s="408">
        <v>0</v>
      </c>
      <c r="DP418" s="408">
        <v>-0.82508339087836369</v>
      </c>
      <c r="DQ418" s="408">
        <v>0</v>
      </c>
      <c r="DR418" s="408">
        <v>0</v>
      </c>
      <c r="DS418" s="408"/>
      <c r="DT418" s="408"/>
      <c r="DU418" s="408"/>
      <c r="DV418" s="408">
        <v>2804.2311627095582</v>
      </c>
      <c r="DW418" s="408">
        <v>0</v>
      </c>
      <c r="DX418" s="408">
        <v>0</v>
      </c>
      <c r="DY418" s="408">
        <v>-1873.7795999999996</v>
      </c>
      <c r="DZ418" s="408">
        <v>94.021199999999908</v>
      </c>
      <c r="EA418" s="408">
        <v>0</v>
      </c>
      <c r="EB418" s="408">
        <v>0</v>
      </c>
      <c r="EC418" s="408">
        <v>-1883.5310366280123</v>
      </c>
      <c r="ED418" s="408">
        <v>0</v>
      </c>
      <c r="EE418" s="408">
        <v>0</v>
      </c>
      <c r="EF418" s="408">
        <v>0</v>
      </c>
      <c r="EG418" s="408">
        <v>0</v>
      </c>
      <c r="EH418" s="408">
        <v>0</v>
      </c>
      <c r="EI418" s="408">
        <v>0</v>
      </c>
      <c r="EJ418" s="408">
        <v>0</v>
      </c>
      <c r="EK418" s="408">
        <v>0</v>
      </c>
      <c r="EL418" s="408">
        <v>0</v>
      </c>
      <c r="EM418" s="408">
        <v>0</v>
      </c>
      <c r="EN418" s="408">
        <v>0</v>
      </c>
      <c r="EO418" s="408">
        <v>0</v>
      </c>
      <c r="EP418" s="408">
        <v>0</v>
      </c>
      <c r="EQ418" s="408">
        <v>0</v>
      </c>
      <c r="ER418" s="408">
        <v>0</v>
      </c>
      <c r="ES418" s="408">
        <v>0</v>
      </c>
      <c r="ET418" s="408">
        <v>0</v>
      </c>
      <c r="EU418" s="408">
        <v>0</v>
      </c>
      <c r="EV418" s="408">
        <v>257</v>
      </c>
      <c r="EW418" s="408">
        <v>0</v>
      </c>
      <c r="EX418" s="408">
        <v>0</v>
      </c>
      <c r="EY418" s="408">
        <v>0</v>
      </c>
      <c r="EZ418" s="408"/>
      <c r="FA418" s="408">
        <v>0</v>
      </c>
      <c r="FB418" s="408"/>
      <c r="FC418" s="408"/>
      <c r="FD418" s="408"/>
      <c r="FE418" s="408"/>
      <c r="FF418" s="408">
        <v>0</v>
      </c>
      <c r="FG418" s="408">
        <v>0</v>
      </c>
      <c r="FH418" s="408">
        <v>0</v>
      </c>
      <c r="FI418" s="408">
        <v>0</v>
      </c>
    </row>
    <row r="419" spans="1:165">
      <c r="A419" s="408">
        <v>417</v>
      </c>
      <c r="B419" s="408" t="s">
        <v>1035</v>
      </c>
      <c r="C419" s="408" t="s">
        <v>2233</v>
      </c>
      <c r="D419" s="408" t="s">
        <v>1955</v>
      </c>
      <c r="E419" s="408" t="s">
        <v>968</v>
      </c>
      <c r="F419" s="408" t="s">
        <v>2238</v>
      </c>
      <c r="G419" s="408" t="s">
        <v>1321</v>
      </c>
      <c r="H419" s="408" t="s">
        <v>1321</v>
      </c>
      <c r="I419" s="408" t="s">
        <v>1321</v>
      </c>
      <c r="J419" s="408" t="s">
        <v>2234</v>
      </c>
      <c r="K419" s="828">
        <v>44713</v>
      </c>
      <c r="L419" s="408">
        <v>0</v>
      </c>
      <c r="M419" s="408">
        <v>0</v>
      </c>
      <c r="N419" s="408">
        <v>11.526999999999999</v>
      </c>
      <c r="O419" s="408">
        <v>11.526999999999999</v>
      </c>
      <c r="P419" s="408">
        <v>11.526999999999999</v>
      </c>
      <c r="Q419" s="408">
        <v>11.526999999999999</v>
      </c>
      <c r="R419" s="408"/>
      <c r="S419" s="408">
        <v>639.92999999999995</v>
      </c>
      <c r="T419" s="408">
        <v>256.55</v>
      </c>
      <c r="U419" s="408"/>
      <c r="V419" s="408">
        <v>10333.72496</v>
      </c>
      <c r="W419" s="408">
        <v>10333.72496</v>
      </c>
      <c r="X419" s="408">
        <v>6844.7325999999994</v>
      </c>
      <c r="Y419" s="408">
        <v>0</v>
      </c>
      <c r="Z419" s="408">
        <v>0</v>
      </c>
      <c r="AA419" s="408">
        <v>0</v>
      </c>
      <c r="AB419" s="408">
        <v>0</v>
      </c>
      <c r="AC419" s="408">
        <v>0</v>
      </c>
      <c r="AD419" s="408">
        <v>1418.7753180634688</v>
      </c>
      <c r="AE419" s="408">
        <v>5497.3422810464417</v>
      </c>
      <c r="AF419" s="408">
        <v>2957.2809180053632</v>
      </c>
      <c r="AG419" s="408">
        <v>0</v>
      </c>
      <c r="AH419" s="408">
        <v>0</v>
      </c>
      <c r="AI419" s="408">
        <v>0</v>
      </c>
      <c r="AJ419" s="408">
        <v>0</v>
      </c>
      <c r="AK419" s="408">
        <v>0</v>
      </c>
      <c r="AL419" s="408">
        <v>0</v>
      </c>
      <c r="AM419" s="408"/>
      <c r="AN419" s="408">
        <v>25.311040158109314</v>
      </c>
      <c r="AO419" s="408">
        <v>0</v>
      </c>
      <c r="AP419" s="408">
        <v>0</v>
      </c>
      <c r="AQ419" s="408">
        <v>0</v>
      </c>
      <c r="AR419" s="408">
        <v>0</v>
      </c>
      <c r="AS419" s="408">
        <v>0</v>
      </c>
      <c r="AT419" s="408">
        <v>0</v>
      </c>
      <c r="AU419" s="408">
        <v>0</v>
      </c>
      <c r="AV419" s="408">
        <v>0</v>
      </c>
      <c r="AW419" s="408">
        <v>0</v>
      </c>
      <c r="AX419" s="408">
        <v>0</v>
      </c>
      <c r="AY419" s="408">
        <v>0</v>
      </c>
      <c r="AZ419" s="408">
        <v>0</v>
      </c>
      <c r="BA419" s="408"/>
      <c r="BB419" s="408">
        <v>0</v>
      </c>
      <c r="BC419" s="408">
        <v>0</v>
      </c>
      <c r="BD419" s="408">
        <v>17.178922445241483</v>
      </c>
      <c r="BE419" s="408">
        <v>0</v>
      </c>
      <c r="BF419" s="408">
        <v>0</v>
      </c>
      <c r="BG419" s="408">
        <v>417.89296802214062</v>
      </c>
      <c r="BH419" s="408">
        <v>0</v>
      </c>
      <c r="BI419" s="408">
        <v>8.51</v>
      </c>
      <c r="BJ419" s="408">
        <v>33.5</v>
      </c>
      <c r="BK419" s="408">
        <v>1372.6</v>
      </c>
      <c r="BL419" s="408">
        <v>44</v>
      </c>
      <c r="BM419" s="408"/>
      <c r="BN419" s="408"/>
      <c r="BO419" s="408"/>
      <c r="BP419" s="408"/>
      <c r="BQ419" s="408"/>
      <c r="BR419" s="408"/>
      <c r="BS419" s="408"/>
      <c r="BT419" s="408">
        <v>2737.8930399999999</v>
      </c>
      <c r="BU419" s="408"/>
      <c r="BV419" s="408">
        <v>3392.352808472745</v>
      </c>
      <c r="BW419" s="408"/>
      <c r="BX419" s="408"/>
      <c r="BY419" s="408"/>
      <c r="BZ419" s="408"/>
      <c r="CA419" s="408"/>
      <c r="CB419" s="408"/>
      <c r="CC419" s="408"/>
      <c r="CD419" s="408"/>
      <c r="CE419" s="408"/>
      <c r="CF419" s="408"/>
      <c r="CG419" s="408"/>
      <c r="CH419" s="408"/>
      <c r="CI419" s="408">
        <v>4107.9084000000003</v>
      </c>
      <c r="CJ419" s="408">
        <v>-2092.3796299999995</v>
      </c>
      <c r="CK419" s="408"/>
      <c r="CL419" s="408"/>
      <c r="CM419" s="408"/>
      <c r="CN419" s="408"/>
      <c r="CO419" s="408">
        <v>-3673.3090899999993</v>
      </c>
      <c r="CP419" s="408">
        <v>184.31673000000009</v>
      </c>
      <c r="CQ419" s="408">
        <v>30</v>
      </c>
      <c r="CR419" s="408">
        <v>203.3079610216073</v>
      </c>
      <c r="CS419" s="408">
        <v>0</v>
      </c>
      <c r="CT419" s="408">
        <v>0</v>
      </c>
      <c r="CU419" s="408">
        <v>0</v>
      </c>
      <c r="CV419" s="408">
        <v>0</v>
      </c>
      <c r="CW419" s="408">
        <v>0</v>
      </c>
      <c r="CX419" s="408">
        <v>0</v>
      </c>
      <c r="CY419" s="408">
        <v>0</v>
      </c>
      <c r="CZ419" s="408">
        <v>-6.4129536718858162</v>
      </c>
      <c r="DA419" s="408">
        <v>0</v>
      </c>
      <c r="DB419" s="408">
        <v>0</v>
      </c>
      <c r="DC419" s="408">
        <v>184.23407409030915</v>
      </c>
      <c r="DD419" s="408">
        <v>0</v>
      </c>
      <c r="DE419" s="408">
        <v>0</v>
      </c>
      <c r="DF419" s="408">
        <v>1.0702205702875993</v>
      </c>
      <c r="DG419" s="408">
        <v>26.034092183687108</v>
      </c>
      <c r="DH419" s="408">
        <v>0</v>
      </c>
      <c r="DI419" s="408">
        <v>0</v>
      </c>
      <c r="DJ419" s="408"/>
      <c r="DK419" s="408">
        <v>0</v>
      </c>
      <c r="DL419" s="408">
        <v>0</v>
      </c>
      <c r="DM419" s="408">
        <v>0</v>
      </c>
      <c r="DN419" s="408">
        <v>0</v>
      </c>
      <c r="DO419" s="408">
        <v>0</v>
      </c>
      <c r="DP419" s="408">
        <v>-1.6174721507916487</v>
      </c>
      <c r="DQ419" s="408">
        <v>0</v>
      </c>
      <c r="DR419" s="408">
        <v>0</v>
      </c>
      <c r="DS419" s="408"/>
      <c r="DT419" s="408"/>
      <c r="DU419" s="408"/>
      <c r="DV419" s="408">
        <v>5497.3422810464417</v>
      </c>
      <c r="DW419" s="408">
        <v>0</v>
      </c>
      <c r="DX419" s="408">
        <v>0</v>
      </c>
      <c r="DY419" s="408">
        <v>-3673.3090899999993</v>
      </c>
      <c r="DZ419" s="408">
        <v>184.31673000000001</v>
      </c>
      <c r="EA419" s="408">
        <v>0</v>
      </c>
      <c r="EB419" s="408">
        <v>0</v>
      </c>
      <c r="EC419" s="408">
        <v>-3692.4255542876017</v>
      </c>
      <c r="ED419" s="408">
        <v>0</v>
      </c>
      <c r="EE419" s="408">
        <v>0</v>
      </c>
      <c r="EF419" s="408">
        <v>0</v>
      </c>
      <c r="EG419" s="408">
        <v>0</v>
      </c>
      <c r="EH419" s="408">
        <v>0</v>
      </c>
      <c r="EI419" s="408">
        <v>0</v>
      </c>
      <c r="EJ419" s="408">
        <v>0</v>
      </c>
      <c r="EK419" s="408">
        <v>0</v>
      </c>
      <c r="EL419" s="408">
        <v>0</v>
      </c>
      <c r="EM419" s="408">
        <v>0</v>
      </c>
      <c r="EN419" s="408">
        <v>0</v>
      </c>
      <c r="EO419" s="408">
        <v>0</v>
      </c>
      <c r="EP419" s="408">
        <v>0</v>
      </c>
      <c r="EQ419" s="408">
        <v>0</v>
      </c>
      <c r="ER419" s="408">
        <v>0</v>
      </c>
      <c r="ES419" s="408">
        <v>0</v>
      </c>
      <c r="ET419" s="408">
        <v>0</v>
      </c>
      <c r="EU419" s="408">
        <v>0</v>
      </c>
      <c r="EV419" s="408">
        <v>257</v>
      </c>
      <c r="EW419" s="408">
        <v>0</v>
      </c>
      <c r="EX419" s="408">
        <v>0</v>
      </c>
      <c r="EY419" s="408">
        <v>0</v>
      </c>
      <c r="EZ419" s="408"/>
      <c r="FA419" s="408">
        <v>0</v>
      </c>
      <c r="FB419" s="408"/>
      <c r="FC419" s="408"/>
      <c r="FD419" s="408"/>
      <c r="FE419" s="408"/>
      <c r="FF419" s="408">
        <v>0</v>
      </c>
      <c r="FG419" s="408">
        <v>0</v>
      </c>
      <c r="FH419" s="408">
        <v>0</v>
      </c>
      <c r="FI419" s="408">
        <v>0</v>
      </c>
    </row>
    <row r="420" spans="1:165">
      <c r="A420" s="408">
        <v>418</v>
      </c>
      <c r="B420" s="408" t="s">
        <v>1035</v>
      </c>
      <c r="C420" s="408" t="s">
        <v>2233</v>
      </c>
      <c r="D420" s="408" t="s">
        <v>1955</v>
      </c>
      <c r="E420" s="408" t="s">
        <v>968</v>
      </c>
      <c r="F420" s="408" t="s">
        <v>2239</v>
      </c>
      <c r="G420" s="408" t="s">
        <v>1321</v>
      </c>
      <c r="H420" s="408" t="s">
        <v>1321</v>
      </c>
      <c r="I420" s="408" t="s">
        <v>1321</v>
      </c>
      <c r="J420" s="408" t="s">
        <v>2234</v>
      </c>
      <c r="K420" s="828">
        <v>44713</v>
      </c>
      <c r="L420" s="408">
        <v>0</v>
      </c>
      <c r="M420" s="408">
        <v>0</v>
      </c>
      <c r="N420" s="408">
        <v>10.821999999999999</v>
      </c>
      <c r="O420" s="408">
        <v>10.821999999999999</v>
      </c>
      <c r="P420" s="408">
        <v>10.821999999999999</v>
      </c>
      <c r="Q420" s="408">
        <v>10.821999999999999</v>
      </c>
      <c r="R420" s="408"/>
      <c r="S420" s="408">
        <v>639.92999999999995</v>
      </c>
      <c r="T420" s="408">
        <v>256.55</v>
      </c>
      <c r="U420" s="408"/>
      <c r="V420" s="408">
        <v>9701.7065599999987</v>
      </c>
      <c r="W420" s="408">
        <v>9701.7065599999987</v>
      </c>
      <c r="X420" s="408">
        <v>6426.1036000000004</v>
      </c>
      <c r="Y420" s="408">
        <v>0</v>
      </c>
      <c r="Z420" s="408">
        <v>0</v>
      </c>
      <c r="AA420" s="408">
        <v>0</v>
      </c>
      <c r="AB420" s="408">
        <v>0</v>
      </c>
      <c r="AC420" s="408">
        <v>0</v>
      </c>
      <c r="AD420" s="408">
        <v>1332.0019512520917</v>
      </c>
      <c r="AE420" s="408">
        <v>5161.1206875583057</v>
      </c>
      <c r="AF420" s="408">
        <v>2776.4113901842666</v>
      </c>
      <c r="AG420" s="408">
        <v>0</v>
      </c>
      <c r="AH420" s="408">
        <v>0</v>
      </c>
      <c r="AI420" s="408">
        <v>0</v>
      </c>
      <c r="AJ420" s="408">
        <v>0</v>
      </c>
      <c r="AK420" s="408">
        <v>0</v>
      </c>
      <c r="AL420" s="408">
        <v>0</v>
      </c>
      <c r="AM420" s="408"/>
      <c r="AN420" s="408">
        <v>23.762997882455018</v>
      </c>
      <c r="AO420" s="408">
        <v>0</v>
      </c>
      <c r="AP420" s="408">
        <v>0</v>
      </c>
      <c r="AQ420" s="408">
        <v>0</v>
      </c>
      <c r="AR420" s="408">
        <v>0</v>
      </c>
      <c r="AS420" s="408">
        <v>0</v>
      </c>
      <c r="AT420" s="408">
        <v>0</v>
      </c>
      <c r="AU420" s="408">
        <v>0</v>
      </c>
      <c r="AV420" s="408">
        <v>0</v>
      </c>
      <c r="AW420" s="408">
        <v>0</v>
      </c>
      <c r="AX420" s="408">
        <v>0</v>
      </c>
      <c r="AY420" s="408">
        <v>0</v>
      </c>
      <c r="AZ420" s="408">
        <v>0</v>
      </c>
      <c r="BA420" s="408"/>
      <c r="BB420" s="408">
        <v>0</v>
      </c>
      <c r="BC420" s="408">
        <v>0</v>
      </c>
      <c r="BD420" s="408">
        <v>16.128246612510047</v>
      </c>
      <c r="BE420" s="408">
        <v>0</v>
      </c>
      <c r="BF420" s="408">
        <v>0</v>
      </c>
      <c r="BG420" s="408">
        <v>392.33431941837472</v>
      </c>
      <c r="BH420" s="408">
        <v>0</v>
      </c>
      <c r="BI420" s="408">
        <v>12.07</v>
      </c>
      <c r="BJ420" s="408">
        <v>49.6</v>
      </c>
      <c r="BK420" s="408">
        <v>1948.42</v>
      </c>
      <c r="BL420" s="408">
        <v>89</v>
      </c>
      <c r="BM420" s="408"/>
      <c r="BN420" s="408"/>
      <c r="BO420" s="408"/>
      <c r="BP420" s="408"/>
      <c r="BQ420" s="408"/>
      <c r="BR420" s="408"/>
      <c r="BS420" s="408"/>
      <c r="BT420" s="408">
        <v>642.71858000000009</v>
      </c>
      <c r="BU420" s="408"/>
      <c r="BV420" s="408">
        <v>3184.8739562151513</v>
      </c>
      <c r="BW420" s="408"/>
      <c r="BX420" s="408"/>
      <c r="BY420" s="408"/>
      <c r="BZ420" s="408"/>
      <c r="CA420" s="408"/>
      <c r="CB420" s="408"/>
      <c r="CC420" s="408"/>
      <c r="CD420" s="408"/>
      <c r="CE420" s="408"/>
      <c r="CF420" s="408"/>
      <c r="CG420" s="408"/>
      <c r="CH420" s="408"/>
      <c r="CI420" s="408">
        <v>5782.3161999999993</v>
      </c>
      <c r="CJ420" s="408">
        <v>-2949.3362800000014</v>
      </c>
      <c r="CK420" s="408"/>
      <c r="CL420" s="408"/>
      <c r="CM420" s="408"/>
      <c r="CN420" s="408"/>
      <c r="CO420" s="408">
        <v>-3448.6467399999992</v>
      </c>
      <c r="CP420" s="408">
        <v>173.04378000000008</v>
      </c>
      <c r="CQ420" s="408">
        <v>30</v>
      </c>
      <c r="CR420" s="408">
        <v>190.87349303164865</v>
      </c>
      <c r="CS420" s="408">
        <v>0</v>
      </c>
      <c r="CT420" s="408">
        <v>0</v>
      </c>
      <c r="CU420" s="408">
        <v>0</v>
      </c>
      <c r="CV420" s="408">
        <v>0</v>
      </c>
      <c r="CW420" s="408">
        <v>0</v>
      </c>
      <c r="CX420" s="408">
        <v>0</v>
      </c>
      <c r="CY420" s="408">
        <v>0</v>
      </c>
      <c r="CZ420" s="408">
        <v>-6.0207325962651339</v>
      </c>
      <c r="DA420" s="408">
        <v>0</v>
      </c>
      <c r="DB420" s="408">
        <v>0</v>
      </c>
      <c r="DC420" s="408">
        <v>172.96617938798681</v>
      </c>
      <c r="DD420" s="408">
        <v>0</v>
      </c>
      <c r="DE420" s="408">
        <v>0</v>
      </c>
      <c r="DF420" s="408">
        <v>1.0047650743170315</v>
      </c>
      <c r="DG420" s="408">
        <v>24.441827501679711</v>
      </c>
      <c r="DH420" s="408">
        <v>0</v>
      </c>
      <c r="DI420" s="408">
        <v>0</v>
      </c>
      <c r="DJ420" s="408"/>
      <c r="DK420" s="408">
        <v>0</v>
      </c>
      <c r="DL420" s="408">
        <v>0</v>
      </c>
      <c r="DM420" s="408">
        <v>0</v>
      </c>
      <c r="DN420" s="408">
        <v>0</v>
      </c>
      <c r="DO420" s="408">
        <v>0</v>
      </c>
      <c r="DP420" s="408">
        <v>-1.5185463360689866</v>
      </c>
      <c r="DQ420" s="408">
        <v>0</v>
      </c>
      <c r="DR420" s="408">
        <v>0</v>
      </c>
      <c r="DS420" s="408"/>
      <c r="DT420" s="408"/>
      <c r="DU420" s="408"/>
      <c r="DV420" s="408">
        <v>5161.1206875583057</v>
      </c>
      <c r="DW420" s="408">
        <v>0</v>
      </c>
      <c r="DX420" s="408">
        <v>0</v>
      </c>
      <c r="DY420" s="408">
        <v>-3448.6467399999988</v>
      </c>
      <c r="DZ420" s="408">
        <v>173.04378000000042</v>
      </c>
      <c r="EA420" s="408">
        <v>0</v>
      </c>
      <c r="EB420" s="408">
        <v>0</v>
      </c>
      <c r="EC420" s="408">
        <v>-3466.5940269367939</v>
      </c>
      <c r="ED420" s="408">
        <v>0</v>
      </c>
      <c r="EE420" s="408">
        <v>0</v>
      </c>
      <c r="EF420" s="408">
        <v>0</v>
      </c>
      <c r="EG420" s="408">
        <v>0</v>
      </c>
      <c r="EH420" s="408">
        <v>0</v>
      </c>
      <c r="EI420" s="408">
        <v>0</v>
      </c>
      <c r="EJ420" s="408">
        <v>0</v>
      </c>
      <c r="EK420" s="408">
        <v>0</v>
      </c>
      <c r="EL420" s="408">
        <v>0</v>
      </c>
      <c r="EM420" s="408">
        <v>0</v>
      </c>
      <c r="EN420" s="408">
        <v>0</v>
      </c>
      <c r="EO420" s="408">
        <v>0</v>
      </c>
      <c r="EP420" s="408">
        <v>0</v>
      </c>
      <c r="EQ420" s="408">
        <v>0</v>
      </c>
      <c r="ER420" s="408">
        <v>0</v>
      </c>
      <c r="ES420" s="408">
        <v>0</v>
      </c>
      <c r="ET420" s="408">
        <v>0</v>
      </c>
      <c r="EU420" s="408">
        <v>0</v>
      </c>
      <c r="EV420" s="408">
        <v>257</v>
      </c>
      <c r="EW420" s="408">
        <v>0</v>
      </c>
      <c r="EX420" s="408">
        <v>0</v>
      </c>
      <c r="EY420" s="408">
        <v>0</v>
      </c>
      <c r="EZ420" s="408"/>
      <c r="FA420" s="408">
        <v>0</v>
      </c>
      <c r="FB420" s="408"/>
      <c r="FC420" s="408"/>
      <c r="FD420" s="408"/>
      <c r="FE420" s="408"/>
      <c r="FF420" s="408">
        <v>0</v>
      </c>
      <c r="FG420" s="408">
        <v>0</v>
      </c>
      <c r="FH420" s="408">
        <v>0</v>
      </c>
      <c r="FI420" s="408">
        <v>0</v>
      </c>
    </row>
    <row r="421" spans="1:165">
      <c r="A421" s="408">
        <v>419</v>
      </c>
      <c r="B421" s="408" t="s">
        <v>1035</v>
      </c>
      <c r="C421" s="408" t="s">
        <v>2233</v>
      </c>
      <c r="D421" s="408" t="s">
        <v>1955</v>
      </c>
      <c r="E421" s="408" t="s">
        <v>968</v>
      </c>
      <c r="F421" s="408" t="s">
        <v>2240</v>
      </c>
      <c r="G421" s="408" t="s">
        <v>1321</v>
      </c>
      <c r="H421" s="408" t="s">
        <v>1321</v>
      </c>
      <c r="I421" s="408" t="s">
        <v>1321</v>
      </c>
      <c r="J421" s="408" t="s">
        <v>2234</v>
      </c>
      <c r="K421" s="828">
        <v>44713</v>
      </c>
      <c r="L421" s="408">
        <v>0</v>
      </c>
      <c r="M421" s="408">
        <v>0</v>
      </c>
      <c r="N421" s="408">
        <v>5.734</v>
      </c>
      <c r="O421" s="408">
        <v>5.734</v>
      </c>
      <c r="P421" s="408">
        <v>5.734</v>
      </c>
      <c r="Q421" s="408">
        <v>5.734</v>
      </c>
      <c r="R421" s="408"/>
      <c r="S421" s="408">
        <v>639.92999999999995</v>
      </c>
      <c r="T421" s="408">
        <v>256.55</v>
      </c>
      <c r="U421" s="408"/>
      <c r="V421" s="408">
        <v>5140.4163199999994</v>
      </c>
      <c r="W421" s="408">
        <v>5140.4163199999994</v>
      </c>
      <c r="X421" s="408">
        <v>3404.8492000000001</v>
      </c>
      <c r="Y421" s="408">
        <v>0</v>
      </c>
      <c r="Z421" s="408">
        <v>0</v>
      </c>
      <c r="AA421" s="408">
        <v>0</v>
      </c>
      <c r="AB421" s="408">
        <v>0</v>
      </c>
      <c r="AC421" s="408">
        <v>0</v>
      </c>
      <c r="AD421" s="408">
        <v>705.75671673253498</v>
      </c>
      <c r="AE421" s="408">
        <v>2734.6022937035045</v>
      </c>
      <c r="AF421" s="408">
        <v>1471.0721596115864</v>
      </c>
      <c r="AG421" s="408">
        <v>0</v>
      </c>
      <c r="AH421" s="408">
        <v>0</v>
      </c>
      <c r="AI421" s="408">
        <v>0</v>
      </c>
      <c r="AJ421" s="408">
        <v>0</v>
      </c>
      <c r="AK421" s="408">
        <v>0</v>
      </c>
      <c r="AL421" s="408">
        <v>0</v>
      </c>
      <c r="AM421" s="408"/>
      <c r="AN421" s="408">
        <v>12.590743841988273</v>
      </c>
      <c r="AO421" s="408">
        <v>0</v>
      </c>
      <c r="AP421" s="408">
        <v>0</v>
      </c>
      <c r="AQ421" s="408">
        <v>0</v>
      </c>
      <c r="AR421" s="408">
        <v>0</v>
      </c>
      <c r="AS421" s="408">
        <v>0</v>
      </c>
      <c r="AT421" s="408">
        <v>0</v>
      </c>
      <c r="AU421" s="408">
        <v>0</v>
      </c>
      <c r="AV421" s="408">
        <v>0</v>
      </c>
      <c r="AW421" s="408">
        <v>0</v>
      </c>
      <c r="AX421" s="408">
        <v>0</v>
      </c>
      <c r="AY421" s="408">
        <v>0</v>
      </c>
      <c r="AZ421" s="408">
        <v>0</v>
      </c>
      <c r="BA421" s="408"/>
      <c r="BB421" s="408">
        <v>0</v>
      </c>
      <c r="BC421" s="408">
        <v>0</v>
      </c>
      <c r="BD421" s="408">
        <v>8.5454967728823341</v>
      </c>
      <c r="BE421" s="408">
        <v>0</v>
      </c>
      <c r="BF421" s="408">
        <v>0</v>
      </c>
      <c r="BG421" s="408">
        <v>207.87700864396237</v>
      </c>
      <c r="BH421" s="408">
        <v>0</v>
      </c>
      <c r="BI421" s="408">
        <v>7.16</v>
      </c>
      <c r="BJ421" s="408">
        <v>29.54</v>
      </c>
      <c r="BK421" s="408">
        <v>1146.9100000000001</v>
      </c>
      <c r="BL421" s="408">
        <v>51</v>
      </c>
      <c r="BM421" s="408"/>
      <c r="BN421" s="408"/>
      <c r="BO421" s="408"/>
      <c r="BP421" s="408"/>
      <c r="BQ421" s="408"/>
      <c r="BR421" s="408"/>
      <c r="BS421" s="408"/>
      <c r="BT421" s="408"/>
      <c r="BU421" s="408"/>
      <c r="BV421" s="408">
        <v>1687.4946650284312</v>
      </c>
      <c r="BW421" s="408"/>
      <c r="BX421" s="408"/>
      <c r="BY421" s="408"/>
      <c r="BZ421" s="408"/>
      <c r="CA421" s="408"/>
      <c r="CB421" s="408"/>
      <c r="CC421" s="408"/>
      <c r="CD421" s="408"/>
      <c r="CE421" s="408"/>
      <c r="CF421" s="408"/>
      <c r="CG421" s="408"/>
      <c r="CH421" s="408"/>
      <c r="CI421" s="408">
        <v>3402.4740000000002</v>
      </c>
      <c r="CJ421" s="408">
        <v>-1737.9723199999999</v>
      </c>
      <c r="CK421" s="408"/>
      <c r="CL421" s="408"/>
      <c r="CM421" s="408"/>
      <c r="CN421" s="408"/>
      <c r="CO421" s="408">
        <v>-1827.2537799999998</v>
      </c>
      <c r="CP421" s="408">
        <v>91.686660000000046</v>
      </c>
      <c r="CQ421" s="408">
        <v>30</v>
      </c>
      <c r="CR421" s="408">
        <v>101.13367298498224</v>
      </c>
      <c r="CS421" s="408">
        <v>0</v>
      </c>
      <c r="CT421" s="408">
        <v>0</v>
      </c>
      <c r="CU421" s="408">
        <v>0</v>
      </c>
      <c r="CV421" s="408">
        <v>0</v>
      </c>
      <c r="CW421" s="408">
        <v>0</v>
      </c>
      <c r="CX421" s="408">
        <v>0</v>
      </c>
      <c r="CY421" s="408">
        <v>0</v>
      </c>
      <c r="CZ421" s="408">
        <v>-3.1900647483814737</v>
      </c>
      <c r="DA421" s="408">
        <v>0</v>
      </c>
      <c r="DB421" s="408">
        <v>0</v>
      </c>
      <c r="DC421" s="408">
        <v>91.6455435788871</v>
      </c>
      <c r="DD421" s="408">
        <v>0</v>
      </c>
      <c r="DE421" s="408">
        <v>0</v>
      </c>
      <c r="DF421" s="408">
        <v>0.5323713672273005</v>
      </c>
      <c r="DG421" s="408">
        <v>12.950419413660285</v>
      </c>
      <c r="DH421" s="408">
        <v>0</v>
      </c>
      <c r="DI421" s="408">
        <v>0</v>
      </c>
      <c r="DJ421" s="408"/>
      <c r="DK421" s="408">
        <v>0</v>
      </c>
      <c r="DL421" s="408">
        <v>0</v>
      </c>
      <c r="DM421" s="408">
        <v>0</v>
      </c>
      <c r="DN421" s="408">
        <v>0</v>
      </c>
      <c r="DO421" s="408">
        <v>0</v>
      </c>
      <c r="DP421" s="408">
        <v>-0.80459662641097474</v>
      </c>
      <c r="DQ421" s="408">
        <v>0</v>
      </c>
      <c r="DR421" s="408">
        <v>0</v>
      </c>
      <c r="DS421" s="408"/>
      <c r="DT421" s="408"/>
      <c r="DU421" s="408"/>
      <c r="DV421" s="408">
        <v>2734.6022937035045</v>
      </c>
      <c r="DW421" s="408">
        <v>0</v>
      </c>
      <c r="DX421" s="408">
        <v>0</v>
      </c>
      <c r="DY421" s="408">
        <v>-1827.2537799999996</v>
      </c>
      <c r="DZ421" s="408">
        <v>91.686660000000074</v>
      </c>
      <c r="EA421" s="408">
        <v>0</v>
      </c>
      <c r="EB421" s="408">
        <v>0</v>
      </c>
      <c r="EC421" s="408">
        <v>-1836.7630891199019</v>
      </c>
      <c r="ED421" s="408">
        <v>0</v>
      </c>
      <c r="EE421" s="408">
        <v>0</v>
      </c>
      <c r="EF421" s="408">
        <v>0</v>
      </c>
      <c r="EG421" s="408">
        <v>0</v>
      </c>
      <c r="EH421" s="408">
        <v>0</v>
      </c>
      <c r="EI421" s="408">
        <v>0</v>
      </c>
      <c r="EJ421" s="408">
        <v>0</v>
      </c>
      <c r="EK421" s="408">
        <v>0</v>
      </c>
      <c r="EL421" s="408">
        <v>0</v>
      </c>
      <c r="EM421" s="408">
        <v>0</v>
      </c>
      <c r="EN421" s="408">
        <v>0</v>
      </c>
      <c r="EO421" s="408">
        <v>0</v>
      </c>
      <c r="EP421" s="408">
        <v>0</v>
      </c>
      <c r="EQ421" s="408">
        <v>0</v>
      </c>
      <c r="ER421" s="408">
        <v>0</v>
      </c>
      <c r="ES421" s="408">
        <v>0</v>
      </c>
      <c r="ET421" s="408">
        <v>0</v>
      </c>
      <c r="EU421" s="408">
        <v>0</v>
      </c>
      <c r="EV421" s="408">
        <v>257</v>
      </c>
      <c r="EW421" s="408">
        <v>0</v>
      </c>
      <c r="EX421" s="408">
        <v>0</v>
      </c>
      <c r="EY421" s="408">
        <v>0</v>
      </c>
      <c r="EZ421" s="408"/>
      <c r="FA421" s="408">
        <v>0</v>
      </c>
      <c r="FB421" s="408"/>
      <c r="FC421" s="408"/>
      <c r="FD421" s="408"/>
      <c r="FE421" s="408"/>
      <c r="FF421" s="408">
        <v>0</v>
      </c>
      <c r="FG421" s="408">
        <v>0</v>
      </c>
      <c r="FH421" s="408">
        <v>0</v>
      </c>
      <c r="FI421" s="408">
        <v>0</v>
      </c>
    </row>
    <row r="422" spans="1:165">
      <c r="A422" s="408">
        <v>420</v>
      </c>
      <c r="B422" s="408" t="s">
        <v>1035</v>
      </c>
      <c r="C422" s="408" t="s">
        <v>2233</v>
      </c>
      <c r="D422" s="408" t="s">
        <v>1958</v>
      </c>
      <c r="E422" s="408" t="s">
        <v>969</v>
      </c>
      <c r="F422" s="408" t="s">
        <v>1321</v>
      </c>
      <c r="G422" s="408" t="s">
        <v>1321</v>
      </c>
      <c r="H422" s="408" t="s">
        <v>1321</v>
      </c>
      <c r="I422" s="408" t="s">
        <v>1321</v>
      </c>
      <c r="J422" s="408" t="s">
        <v>2234</v>
      </c>
      <c r="K422" s="828">
        <v>44713</v>
      </c>
      <c r="L422" s="408">
        <v>0</v>
      </c>
      <c r="M422" s="408">
        <v>0</v>
      </c>
      <c r="N422" s="408">
        <v>66.831999999999994</v>
      </c>
      <c r="O422" s="408">
        <v>66.831999999999994</v>
      </c>
      <c r="P422" s="408">
        <v>66.831999999999994</v>
      </c>
      <c r="Q422" s="408">
        <v>66.831999999999994</v>
      </c>
      <c r="R422" s="408"/>
      <c r="S422" s="408">
        <v>710.91</v>
      </c>
      <c r="T422" s="408">
        <v>256.55</v>
      </c>
      <c r="U422" s="408"/>
      <c r="V422" s="408">
        <v>64657.286719999989</v>
      </c>
      <c r="W422" s="408">
        <v>64657.286719999989</v>
      </c>
      <c r="X422" s="408">
        <v>44137.857759999999</v>
      </c>
      <c r="Y422" s="408">
        <v>0</v>
      </c>
      <c r="Z422" s="408">
        <v>4108.4759071887702</v>
      </c>
      <c r="AA422" s="408">
        <v>0</v>
      </c>
      <c r="AB422" s="408">
        <v>0</v>
      </c>
      <c r="AC422" s="408">
        <v>0</v>
      </c>
      <c r="AD422" s="408">
        <v>8225.8690081389559</v>
      </c>
      <c r="AE422" s="408">
        <v>31872.853242551901</v>
      </c>
      <c r="AF422" s="408">
        <v>17145.918132396499</v>
      </c>
      <c r="AG422" s="408">
        <v>0</v>
      </c>
      <c r="AH422" s="408">
        <v>0</v>
      </c>
      <c r="AI422" s="408">
        <v>0</v>
      </c>
      <c r="AJ422" s="408">
        <v>0</v>
      </c>
      <c r="AK422" s="408">
        <v>0</v>
      </c>
      <c r="AL422" s="408">
        <v>635.18895530236443</v>
      </c>
      <c r="AM422" s="408"/>
      <c r="AN422" s="408">
        <v>146.75001612273459</v>
      </c>
      <c r="AO422" s="408">
        <v>0</v>
      </c>
      <c r="AP422" s="408">
        <v>0</v>
      </c>
      <c r="AQ422" s="408">
        <v>0</v>
      </c>
      <c r="AR422" s="408">
        <v>0</v>
      </c>
      <c r="AS422" s="408">
        <v>0</v>
      </c>
      <c r="AT422" s="408">
        <v>0</v>
      </c>
      <c r="AU422" s="408">
        <v>0</v>
      </c>
      <c r="AV422" s="408">
        <v>0</v>
      </c>
      <c r="AW422" s="408">
        <v>0</v>
      </c>
      <c r="AX422" s="408">
        <v>0</v>
      </c>
      <c r="AY422" s="408">
        <v>0</v>
      </c>
      <c r="AZ422" s="408">
        <v>0</v>
      </c>
      <c r="BA422" s="408"/>
      <c r="BB422" s="408">
        <v>0</v>
      </c>
      <c r="BC422" s="408">
        <v>0</v>
      </c>
      <c r="BD422" s="408">
        <v>99.601088302279749</v>
      </c>
      <c r="BE422" s="408">
        <v>0</v>
      </c>
      <c r="BF422" s="408">
        <v>0</v>
      </c>
      <c r="BG422" s="408">
        <v>2422.8873808324543</v>
      </c>
      <c r="BH422" s="408">
        <v>0</v>
      </c>
      <c r="BI422" s="408">
        <v>121.95</v>
      </c>
      <c r="BJ422" s="408">
        <v>475.75</v>
      </c>
      <c r="BK422" s="408">
        <v>9263.7800000000007</v>
      </c>
      <c r="BL422" s="408">
        <v>42</v>
      </c>
      <c r="BM422" s="408"/>
      <c r="BN422" s="408"/>
      <c r="BO422" s="408"/>
      <c r="BP422" s="408"/>
      <c r="BQ422" s="408"/>
      <c r="BR422" s="408"/>
      <c r="BS422" s="408"/>
      <c r="BT422" s="408"/>
      <c r="BU422" s="408"/>
      <c r="BV422" s="408">
        <v>19668.406601531231</v>
      </c>
      <c r="BW422" s="408"/>
      <c r="BX422" s="408"/>
      <c r="BY422" s="408"/>
      <c r="BZ422" s="408"/>
      <c r="CA422" s="408"/>
      <c r="CB422" s="408"/>
      <c r="CC422" s="408"/>
      <c r="CD422" s="408"/>
      <c r="CE422" s="408"/>
      <c r="CF422" s="408"/>
      <c r="CG422" s="408"/>
      <c r="CH422" s="408"/>
      <c r="CI422" s="408">
        <v>44136.536899999999</v>
      </c>
      <c r="CJ422" s="408">
        <v>-20520.779819999996</v>
      </c>
      <c r="CK422" s="408"/>
      <c r="CL422" s="408"/>
      <c r="CM422" s="408"/>
      <c r="CN422" s="408"/>
      <c r="CO422" s="408">
        <v>-21588.072639999999</v>
      </c>
      <c r="CP422" s="408">
        <v>1068.6436800000006</v>
      </c>
      <c r="CQ422" s="408">
        <v>30</v>
      </c>
      <c r="CR422" s="408">
        <v>888.41689919526107</v>
      </c>
      <c r="CS422" s="408">
        <v>0</v>
      </c>
      <c r="CT422" s="408">
        <v>0</v>
      </c>
      <c r="CU422" s="408">
        <v>0</v>
      </c>
      <c r="CV422" s="408">
        <v>0</v>
      </c>
      <c r="CW422" s="408">
        <v>0</v>
      </c>
      <c r="CX422" s="408">
        <v>0</v>
      </c>
      <c r="CY422" s="408">
        <v>0</v>
      </c>
      <c r="CZ422" s="408">
        <v>-37.181445284936672</v>
      </c>
      <c r="DA422" s="408">
        <v>0</v>
      </c>
      <c r="DB422" s="408">
        <v>0</v>
      </c>
      <c r="DC422" s="408">
        <v>1068.1644521214148</v>
      </c>
      <c r="DD422" s="408">
        <v>0</v>
      </c>
      <c r="DE422" s="408">
        <v>0</v>
      </c>
      <c r="DF422" s="408">
        <v>6.2049953286597486</v>
      </c>
      <c r="DG422" s="408">
        <v>150.94217479137478</v>
      </c>
      <c r="DH422" s="408">
        <v>0</v>
      </c>
      <c r="DI422" s="408">
        <v>-255.4808640164224</v>
      </c>
      <c r="DJ422" s="408"/>
      <c r="DK422" s="408">
        <v>0</v>
      </c>
      <c r="DL422" s="408">
        <v>0</v>
      </c>
      <c r="DM422" s="408">
        <v>0</v>
      </c>
      <c r="DN422" s="408">
        <v>0</v>
      </c>
      <c r="DO422" s="408">
        <v>-34.854527149724959</v>
      </c>
      <c r="DP422" s="408">
        <v>-9.3778865950991133</v>
      </c>
      <c r="DQ422" s="408">
        <v>0</v>
      </c>
      <c r="DR422" s="408">
        <v>0</v>
      </c>
      <c r="DS422" s="408"/>
      <c r="DT422" s="408"/>
      <c r="DU422" s="408"/>
      <c r="DV422" s="408">
        <v>31872.853242551901</v>
      </c>
      <c r="DW422" s="408">
        <v>0</v>
      </c>
      <c r="DX422" s="408">
        <v>0</v>
      </c>
      <c r="DY422" s="408">
        <v>-21588.072639999999</v>
      </c>
      <c r="DZ422" s="408">
        <v>1068.643680000001</v>
      </c>
      <c r="EA422" s="408">
        <v>0</v>
      </c>
      <c r="EB422" s="408">
        <v>0</v>
      </c>
      <c r="EC422" s="408">
        <v>-21408.188136041379</v>
      </c>
      <c r="ED422" s="408">
        <v>0</v>
      </c>
      <c r="EE422" s="408">
        <v>0</v>
      </c>
      <c r="EF422" s="408">
        <v>0</v>
      </c>
      <c r="EG422" s="408">
        <v>0</v>
      </c>
      <c r="EH422" s="408">
        <v>0</v>
      </c>
      <c r="EI422" s="408">
        <v>0</v>
      </c>
      <c r="EJ422" s="408">
        <v>0</v>
      </c>
      <c r="EK422" s="408">
        <v>0</v>
      </c>
      <c r="EL422" s="408">
        <v>0</v>
      </c>
      <c r="EM422" s="408">
        <v>0</v>
      </c>
      <c r="EN422" s="408">
        <v>0</v>
      </c>
      <c r="EO422" s="408">
        <v>0</v>
      </c>
      <c r="EP422" s="408">
        <v>0</v>
      </c>
      <c r="EQ422" s="408">
        <v>0</v>
      </c>
      <c r="ER422" s="408">
        <v>0</v>
      </c>
      <c r="ES422" s="408">
        <v>0</v>
      </c>
      <c r="ET422" s="408">
        <v>0</v>
      </c>
      <c r="EU422" s="408">
        <v>0</v>
      </c>
      <c r="EV422" s="408">
        <v>257</v>
      </c>
      <c r="EW422" s="408">
        <v>0</v>
      </c>
      <c r="EX422" s="408">
        <v>0</v>
      </c>
      <c r="EY422" s="408">
        <v>0</v>
      </c>
      <c r="EZ422" s="408"/>
      <c r="FA422" s="408">
        <v>0</v>
      </c>
      <c r="FB422" s="408"/>
      <c r="FC422" s="408"/>
      <c r="FD422" s="408"/>
      <c r="FE422" s="408"/>
      <c r="FF422" s="408">
        <v>0</v>
      </c>
      <c r="FG422" s="408">
        <v>0</v>
      </c>
      <c r="FH422" s="408">
        <v>0</v>
      </c>
      <c r="FI422" s="408">
        <v>0</v>
      </c>
    </row>
    <row r="423" spans="1:165">
      <c r="A423" s="408">
        <v>421</v>
      </c>
      <c r="B423" s="408" t="s">
        <v>2236</v>
      </c>
      <c r="C423" s="408" t="s">
        <v>2233</v>
      </c>
      <c r="D423" s="408" t="s">
        <v>1958</v>
      </c>
      <c r="E423" s="408" t="s">
        <v>969</v>
      </c>
      <c r="F423" s="408" t="s">
        <v>1321</v>
      </c>
      <c r="G423" s="408" t="s">
        <v>1321</v>
      </c>
      <c r="H423" s="408" t="s">
        <v>1321</v>
      </c>
      <c r="I423" s="408" t="s">
        <v>1321</v>
      </c>
      <c r="J423" s="408" t="s">
        <v>2234</v>
      </c>
      <c r="K423" s="828">
        <v>44713</v>
      </c>
      <c r="L423" s="408">
        <v>0</v>
      </c>
      <c r="M423" s="408">
        <v>0</v>
      </c>
      <c r="N423" s="408">
        <v>8.3610000000000007</v>
      </c>
      <c r="O423" s="408">
        <v>8.3610000000000007</v>
      </c>
      <c r="P423" s="408">
        <v>8.3610000000000007</v>
      </c>
      <c r="Q423" s="408">
        <v>8.3610000000000007</v>
      </c>
      <c r="R423" s="408"/>
      <c r="S423" s="408">
        <v>710.91</v>
      </c>
      <c r="T423" s="408">
        <v>256.55</v>
      </c>
      <c r="U423" s="408"/>
      <c r="V423" s="408">
        <v>8088.9330600000012</v>
      </c>
      <c r="W423" s="408">
        <v>8088.9330600000012</v>
      </c>
      <c r="X423" s="408">
        <v>5521.855230000001</v>
      </c>
      <c r="Y423" s="408">
        <v>0</v>
      </c>
      <c r="Z423" s="408">
        <v>513.98981116838206</v>
      </c>
      <c r="AA423" s="408">
        <v>0</v>
      </c>
      <c r="AB423" s="408">
        <v>0</v>
      </c>
      <c r="AC423" s="408">
        <v>0</v>
      </c>
      <c r="AD423" s="408">
        <v>1029.0952055459934</v>
      </c>
      <c r="AE423" s="408">
        <v>3987.4450257507851</v>
      </c>
      <c r="AF423" s="408">
        <v>2145.0356342016871</v>
      </c>
      <c r="AG423" s="408">
        <v>0</v>
      </c>
      <c r="AH423" s="408">
        <v>0</v>
      </c>
      <c r="AI423" s="408">
        <v>0</v>
      </c>
      <c r="AJ423" s="408">
        <v>0</v>
      </c>
      <c r="AK423" s="408">
        <v>0</v>
      </c>
      <c r="AL423" s="408">
        <v>79.465149259083518</v>
      </c>
      <c r="AM423" s="408"/>
      <c r="AN423" s="408">
        <v>18.359122647866052</v>
      </c>
      <c r="AO423" s="408">
        <v>0</v>
      </c>
      <c r="AP423" s="408">
        <v>0</v>
      </c>
      <c r="AQ423" s="408">
        <v>0</v>
      </c>
      <c r="AR423" s="408">
        <v>0</v>
      </c>
      <c r="AS423" s="408">
        <v>0</v>
      </c>
      <c r="AT423" s="408">
        <v>0</v>
      </c>
      <c r="AU423" s="408">
        <v>0</v>
      </c>
      <c r="AV423" s="408">
        <v>0</v>
      </c>
      <c r="AW423" s="408">
        <v>0</v>
      </c>
      <c r="AX423" s="408">
        <v>0</v>
      </c>
      <c r="AY423" s="408">
        <v>0</v>
      </c>
      <c r="AZ423" s="408">
        <v>0</v>
      </c>
      <c r="BA423" s="408"/>
      <c r="BB423" s="408">
        <v>0</v>
      </c>
      <c r="BC423" s="408">
        <v>0</v>
      </c>
      <c r="BD423" s="408">
        <v>12.46056828009578</v>
      </c>
      <c r="BE423" s="408">
        <v>0</v>
      </c>
      <c r="BF423" s="408">
        <v>0</v>
      </c>
      <c r="BG423" s="408">
        <v>303.11469641998076</v>
      </c>
      <c r="BH423" s="408">
        <v>0</v>
      </c>
      <c r="BI423" s="408">
        <v>16.68</v>
      </c>
      <c r="BJ423" s="408">
        <v>65.040000000000006</v>
      </c>
      <c r="BK423" s="408">
        <v>2154.7199999999998</v>
      </c>
      <c r="BL423" s="408">
        <v>6</v>
      </c>
      <c r="BM423" s="408"/>
      <c r="BN423" s="408"/>
      <c r="BO423" s="408"/>
      <c r="BP423" s="408"/>
      <c r="BQ423" s="408"/>
      <c r="BR423" s="408"/>
      <c r="BS423" s="408"/>
      <c r="BT423" s="408"/>
      <c r="BU423" s="408"/>
      <c r="BV423" s="408">
        <v>2460.6108989017634</v>
      </c>
      <c r="BW423" s="408"/>
      <c r="BX423" s="408"/>
      <c r="BY423" s="408"/>
      <c r="BZ423" s="408"/>
      <c r="CA423" s="408"/>
      <c r="CB423" s="408"/>
      <c r="CC423" s="408"/>
      <c r="CD423" s="408"/>
      <c r="CE423" s="408"/>
      <c r="CF423" s="408"/>
      <c r="CG423" s="408"/>
      <c r="CH423" s="408"/>
      <c r="CI423" s="408">
        <v>5521.1947999999993</v>
      </c>
      <c r="CJ423" s="408">
        <v>-2567.7682600000026</v>
      </c>
      <c r="CK423" s="408"/>
      <c r="CL423" s="408"/>
      <c r="CM423" s="408"/>
      <c r="CN423" s="408"/>
      <c r="CO423" s="408">
        <v>-2700.7702199999999</v>
      </c>
      <c r="CP423" s="408">
        <v>133.69239000000007</v>
      </c>
      <c r="CQ423" s="408">
        <v>30</v>
      </c>
      <c r="CR423" s="408">
        <v>111.14516540237582</v>
      </c>
      <c r="CS423" s="408">
        <v>0</v>
      </c>
      <c r="CT423" s="408">
        <v>0</v>
      </c>
      <c r="CU423" s="408">
        <v>0</v>
      </c>
      <c r="CV423" s="408">
        <v>0</v>
      </c>
      <c r="CW423" s="408">
        <v>0</v>
      </c>
      <c r="CX423" s="408">
        <v>0</v>
      </c>
      <c r="CY423" s="408">
        <v>0</v>
      </c>
      <c r="CZ423" s="408">
        <v>-4.6515750542757814</v>
      </c>
      <c r="DA423" s="408">
        <v>0</v>
      </c>
      <c r="DB423" s="408">
        <v>0</v>
      </c>
      <c r="DC423" s="408">
        <v>133.63243632073136</v>
      </c>
      <c r="DD423" s="408">
        <v>0</v>
      </c>
      <c r="DE423" s="408">
        <v>0</v>
      </c>
      <c r="DF423" s="408">
        <v>0.77627432880841774</v>
      </c>
      <c r="DG423" s="408">
        <v>18.883581569168712</v>
      </c>
      <c r="DH423" s="408">
        <v>0</v>
      </c>
      <c r="DI423" s="408">
        <v>-31.961867130136852</v>
      </c>
      <c r="DJ423" s="408"/>
      <c r="DK423" s="408">
        <v>0</v>
      </c>
      <c r="DL423" s="408">
        <v>0</v>
      </c>
      <c r="DM423" s="408">
        <v>0</v>
      </c>
      <c r="DN423" s="408">
        <v>0</v>
      </c>
      <c r="DO423" s="408">
        <v>-4.3604665654005572</v>
      </c>
      <c r="DP423" s="408">
        <v>-1.1732180665193859</v>
      </c>
      <c r="DQ423" s="408">
        <v>0</v>
      </c>
      <c r="DR423" s="408">
        <v>0</v>
      </c>
      <c r="DS423" s="408"/>
      <c r="DT423" s="408"/>
      <c r="DU423" s="408"/>
      <c r="DV423" s="408">
        <v>3987.4450257507851</v>
      </c>
      <c r="DW423" s="408">
        <v>0</v>
      </c>
      <c r="DX423" s="408">
        <v>0</v>
      </c>
      <c r="DY423" s="408">
        <v>-2700.7702200000003</v>
      </c>
      <c r="DZ423" s="408">
        <v>133.69239000000016</v>
      </c>
      <c r="EA423" s="408">
        <v>0</v>
      </c>
      <c r="EB423" s="408">
        <v>0</v>
      </c>
      <c r="EC423" s="408">
        <v>-2678.2658158583013</v>
      </c>
      <c r="ED423" s="408">
        <v>0</v>
      </c>
      <c r="EE423" s="408">
        <v>0</v>
      </c>
      <c r="EF423" s="408">
        <v>0</v>
      </c>
      <c r="EG423" s="408">
        <v>0</v>
      </c>
      <c r="EH423" s="408">
        <v>0</v>
      </c>
      <c r="EI423" s="408">
        <v>0</v>
      </c>
      <c r="EJ423" s="408">
        <v>0</v>
      </c>
      <c r="EK423" s="408">
        <v>0</v>
      </c>
      <c r="EL423" s="408">
        <v>0</v>
      </c>
      <c r="EM423" s="408">
        <v>0</v>
      </c>
      <c r="EN423" s="408">
        <v>0</v>
      </c>
      <c r="EO423" s="408">
        <v>0</v>
      </c>
      <c r="EP423" s="408">
        <v>0</v>
      </c>
      <c r="EQ423" s="408">
        <v>0</v>
      </c>
      <c r="ER423" s="408">
        <v>0</v>
      </c>
      <c r="ES423" s="408">
        <v>0</v>
      </c>
      <c r="ET423" s="408">
        <v>0</v>
      </c>
      <c r="EU423" s="408">
        <v>0</v>
      </c>
      <c r="EV423" s="408">
        <v>257</v>
      </c>
      <c r="EW423" s="408">
        <v>0</v>
      </c>
      <c r="EX423" s="408">
        <v>0</v>
      </c>
      <c r="EY423" s="408">
        <v>0</v>
      </c>
      <c r="EZ423" s="408"/>
      <c r="FA423" s="408">
        <v>0</v>
      </c>
      <c r="FB423" s="408"/>
      <c r="FC423" s="408"/>
      <c r="FD423" s="408"/>
      <c r="FE423" s="408"/>
      <c r="FF423" s="408">
        <v>0</v>
      </c>
      <c r="FG423" s="408">
        <v>0</v>
      </c>
      <c r="FH423" s="408">
        <v>0</v>
      </c>
      <c r="FI423" s="408">
        <v>0</v>
      </c>
    </row>
    <row r="424" spans="1:165">
      <c r="A424" s="408">
        <v>422</v>
      </c>
      <c r="B424" s="408" t="s">
        <v>1035</v>
      </c>
      <c r="C424" s="408" t="s">
        <v>2241</v>
      </c>
      <c r="D424" s="408" t="s">
        <v>596</v>
      </c>
      <c r="E424" s="408" t="s">
        <v>969</v>
      </c>
      <c r="F424" s="408" t="s">
        <v>1321</v>
      </c>
      <c r="G424" s="408" t="s">
        <v>1321</v>
      </c>
      <c r="H424" s="408" t="s">
        <v>1321</v>
      </c>
      <c r="I424" s="408" t="s">
        <v>972</v>
      </c>
      <c r="J424" s="408" t="s">
        <v>2234</v>
      </c>
      <c r="K424" s="828">
        <v>44713</v>
      </c>
      <c r="L424" s="408">
        <v>0</v>
      </c>
      <c r="M424" s="408">
        <v>0</v>
      </c>
      <c r="N424" s="408">
        <v>6.0490000000000004</v>
      </c>
      <c r="O424" s="408">
        <v>6.0490000000000004</v>
      </c>
      <c r="P424" s="408">
        <v>6.0490000000000004</v>
      </c>
      <c r="Q424" s="408">
        <v>6.0490000000000004</v>
      </c>
      <c r="R424" s="408"/>
      <c r="S424" s="408">
        <v>3130.62</v>
      </c>
      <c r="T424" s="408">
        <v>256.55</v>
      </c>
      <c r="U424" s="408"/>
      <c r="V424" s="408">
        <v>20488.991330000001</v>
      </c>
      <c r="W424" s="408">
        <v>20488.991330000001</v>
      </c>
      <c r="X424" s="408">
        <v>10783.12887</v>
      </c>
      <c r="Y424" s="408">
        <v>0</v>
      </c>
      <c r="Z424" s="408">
        <v>323.51850256537045</v>
      </c>
      <c r="AA424" s="408">
        <v>0</v>
      </c>
      <c r="AB424" s="408">
        <v>0</v>
      </c>
      <c r="AC424" s="408">
        <v>0</v>
      </c>
      <c r="AD424" s="408">
        <v>3896.8493201934334</v>
      </c>
      <c r="AE424" s="408">
        <v>14542.695262599453</v>
      </c>
      <c r="AF424" s="408">
        <v>1551.8862039571827</v>
      </c>
      <c r="AG424" s="408">
        <v>0</v>
      </c>
      <c r="AH424" s="408">
        <v>0</v>
      </c>
      <c r="AI424" s="408">
        <v>0</v>
      </c>
      <c r="AJ424" s="408">
        <v>0</v>
      </c>
      <c r="AK424" s="408">
        <v>0</v>
      </c>
      <c r="AL424" s="408">
        <v>57.491291456547799</v>
      </c>
      <c r="AM424" s="408"/>
      <c r="AN424" s="408">
        <v>8.1604336636343024</v>
      </c>
      <c r="AO424" s="408">
        <v>0</v>
      </c>
      <c r="AP424" s="408">
        <v>0</v>
      </c>
      <c r="AQ424" s="408">
        <v>0</v>
      </c>
      <c r="AR424" s="408">
        <v>0</v>
      </c>
      <c r="AS424" s="408">
        <v>0</v>
      </c>
      <c r="AT424" s="408">
        <v>0</v>
      </c>
      <c r="AU424" s="408">
        <v>0</v>
      </c>
      <c r="AV424" s="408">
        <v>0</v>
      </c>
      <c r="AW424" s="408">
        <v>0</v>
      </c>
      <c r="AX424" s="408">
        <v>0</v>
      </c>
      <c r="AY424" s="408">
        <v>0</v>
      </c>
      <c r="AZ424" s="408">
        <v>0</v>
      </c>
      <c r="BA424" s="408"/>
      <c r="BB424" s="408">
        <v>0</v>
      </c>
      <c r="BC424" s="408">
        <v>0</v>
      </c>
      <c r="BD424" s="408">
        <v>7.4525205388805462</v>
      </c>
      <c r="BE424" s="408">
        <v>0</v>
      </c>
      <c r="BF424" s="408">
        <v>0</v>
      </c>
      <c r="BG424" s="408">
        <v>100.95350430725398</v>
      </c>
      <c r="BH424" s="408">
        <v>0</v>
      </c>
      <c r="BI424" s="408">
        <v>0</v>
      </c>
      <c r="BJ424" s="408">
        <v>0</v>
      </c>
      <c r="BK424" s="408">
        <v>0</v>
      </c>
      <c r="BL424" s="408">
        <v>0</v>
      </c>
      <c r="BM424" s="408"/>
      <c r="BN424" s="408"/>
      <c r="BO424" s="408"/>
      <c r="BP424" s="408"/>
      <c r="BQ424" s="408"/>
      <c r="BR424" s="408"/>
      <c r="BS424" s="408"/>
      <c r="BT424" s="408"/>
      <c r="BU424" s="408"/>
      <c r="BV424" s="408">
        <v>1660.2922288033171</v>
      </c>
      <c r="BW424" s="408"/>
      <c r="BX424" s="408"/>
      <c r="BY424" s="408"/>
      <c r="BZ424" s="408"/>
      <c r="CA424" s="408"/>
      <c r="CB424" s="408"/>
      <c r="CC424" s="408"/>
      <c r="CD424" s="408"/>
      <c r="CE424" s="408"/>
      <c r="CF424" s="408"/>
      <c r="CG424" s="408"/>
      <c r="CH424" s="408"/>
      <c r="CI424" s="408">
        <v>10784.9115</v>
      </c>
      <c r="CJ424" s="408">
        <v>-9704.1098299999958</v>
      </c>
      <c r="CK424" s="408"/>
      <c r="CL424" s="408"/>
      <c r="CM424" s="408"/>
      <c r="CN424" s="408"/>
      <c r="CO424" s="408">
        <v>-9802.5859700000001</v>
      </c>
      <c r="CP424" s="408">
        <v>96.723510000000061</v>
      </c>
      <c r="CQ424" s="408">
        <v>30</v>
      </c>
      <c r="CR424" s="408">
        <v>62.025848285960819</v>
      </c>
      <c r="CS424" s="408">
        <v>0</v>
      </c>
      <c r="CT424" s="408">
        <v>0</v>
      </c>
      <c r="CU424" s="408">
        <v>0</v>
      </c>
      <c r="CV424" s="408">
        <v>0</v>
      </c>
      <c r="CW424" s="408">
        <v>0</v>
      </c>
      <c r="CX424" s="408">
        <v>0</v>
      </c>
      <c r="CY424" s="408">
        <v>0</v>
      </c>
      <c r="CZ424" s="408">
        <v>-17.614004020618268</v>
      </c>
      <c r="DA424" s="408">
        <v>0</v>
      </c>
      <c r="DB424" s="408">
        <v>0</v>
      </c>
      <c r="DC424" s="408">
        <v>96.680134828860901</v>
      </c>
      <c r="DD424" s="408">
        <v>0</v>
      </c>
      <c r="DE424" s="408">
        <v>0</v>
      </c>
      <c r="DF424" s="408">
        <v>0.46428062101242507</v>
      </c>
      <c r="DG424" s="408">
        <v>6.2892487754473478</v>
      </c>
      <c r="DH424" s="408">
        <v>0</v>
      </c>
      <c r="DI424" s="408">
        <v>-20.117627175585824</v>
      </c>
      <c r="DJ424" s="408"/>
      <c r="DK424" s="408">
        <v>0</v>
      </c>
      <c r="DL424" s="408">
        <v>0</v>
      </c>
      <c r="DM424" s="408">
        <v>0</v>
      </c>
      <c r="DN424" s="408">
        <v>0</v>
      </c>
      <c r="DO424" s="408">
        <v>-3.154701860316699</v>
      </c>
      <c r="DP424" s="408">
        <v>-0.52148288283927791</v>
      </c>
      <c r="DQ424" s="408">
        <v>0</v>
      </c>
      <c r="DR424" s="408">
        <v>0</v>
      </c>
      <c r="DS424" s="408"/>
      <c r="DT424" s="408"/>
      <c r="DU424" s="408"/>
      <c r="DV424" s="408">
        <v>14542.695262599453</v>
      </c>
      <c r="DW424" s="408">
        <v>0</v>
      </c>
      <c r="DX424" s="408">
        <v>0</v>
      </c>
      <c r="DY424" s="408">
        <v>-9802.5859700000001</v>
      </c>
      <c r="DZ424" s="408">
        <v>96.723510000000033</v>
      </c>
      <c r="EA424" s="408">
        <v>0</v>
      </c>
      <c r="EB424" s="408">
        <v>0</v>
      </c>
      <c r="EC424" s="408">
        <v>-9767.9600196947922</v>
      </c>
      <c r="ED424" s="408">
        <v>0</v>
      </c>
      <c r="EE424" s="408">
        <v>0</v>
      </c>
      <c r="EF424" s="408">
        <v>0</v>
      </c>
      <c r="EG424" s="408">
        <v>0</v>
      </c>
      <c r="EH424" s="408">
        <v>0</v>
      </c>
      <c r="EI424" s="408">
        <v>0</v>
      </c>
      <c r="EJ424" s="408">
        <v>0</v>
      </c>
      <c r="EK424" s="408">
        <v>0</v>
      </c>
      <c r="EL424" s="408">
        <v>0</v>
      </c>
      <c r="EM424" s="408">
        <v>0</v>
      </c>
      <c r="EN424" s="408">
        <v>0</v>
      </c>
      <c r="EO424" s="408">
        <v>0</v>
      </c>
      <c r="EP424" s="408">
        <v>0</v>
      </c>
      <c r="EQ424" s="408">
        <v>0</v>
      </c>
      <c r="ER424" s="408">
        <v>0</v>
      </c>
      <c r="ES424" s="408">
        <v>0</v>
      </c>
      <c r="ET424" s="408">
        <v>0</v>
      </c>
      <c r="EU424" s="408">
        <v>0</v>
      </c>
      <c r="EV424" s="408">
        <v>257</v>
      </c>
      <c r="EW424" s="408">
        <v>0</v>
      </c>
      <c r="EX424" s="408">
        <v>0</v>
      </c>
      <c r="EY424" s="408">
        <v>0</v>
      </c>
      <c r="EZ424" s="408"/>
      <c r="FA424" s="408">
        <v>0</v>
      </c>
      <c r="FB424" s="408"/>
      <c r="FC424" s="408"/>
      <c r="FD424" s="408"/>
      <c r="FE424" s="408"/>
      <c r="FF424" s="408">
        <v>0</v>
      </c>
      <c r="FG424" s="408">
        <v>0</v>
      </c>
      <c r="FH424" s="408">
        <v>0</v>
      </c>
      <c r="FI424" s="408">
        <v>0</v>
      </c>
    </row>
    <row r="425" spans="1:165">
      <c r="A425" s="408">
        <v>423</v>
      </c>
      <c r="B425" s="408" t="s">
        <v>2236</v>
      </c>
      <c r="C425" s="408" t="s">
        <v>2241</v>
      </c>
      <c r="D425" s="408" t="s">
        <v>596</v>
      </c>
      <c r="E425" s="408" t="s">
        <v>969</v>
      </c>
      <c r="F425" s="408" t="s">
        <v>1321</v>
      </c>
      <c r="G425" s="408" t="s">
        <v>1321</v>
      </c>
      <c r="H425" s="408" t="s">
        <v>1321</v>
      </c>
      <c r="I425" s="408" t="s">
        <v>972</v>
      </c>
      <c r="J425" s="408" t="s">
        <v>2234</v>
      </c>
      <c r="K425" s="828">
        <v>44713</v>
      </c>
      <c r="L425" s="408">
        <v>0</v>
      </c>
      <c r="M425" s="408">
        <v>0</v>
      </c>
      <c r="N425" s="408">
        <v>1.3720000000000001</v>
      </c>
      <c r="O425" s="408">
        <v>1.3720000000000001</v>
      </c>
      <c r="P425" s="408">
        <v>1.3720000000000001</v>
      </c>
      <c r="Q425" s="408">
        <v>1.3720000000000001</v>
      </c>
      <c r="R425" s="408"/>
      <c r="S425" s="408">
        <v>3130.62</v>
      </c>
      <c r="T425" s="408">
        <v>256.55</v>
      </c>
      <c r="U425" s="408"/>
      <c r="V425" s="408">
        <v>4647.1972400000004</v>
      </c>
      <c r="W425" s="408">
        <v>4647.1972400000004</v>
      </c>
      <c r="X425" s="408">
        <v>2445.76836</v>
      </c>
      <c r="Y425" s="408">
        <v>0</v>
      </c>
      <c r="Z425" s="408">
        <v>73.378638703866471</v>
      </c>
      <c r="AA425" s="408">
        <v>0</v>
      </c>
      <c r="AB425" s="408">
        <v>0</v>
      </c>
      <c r="AC425" s="408">
        <v>0</v>
      </c>
      <c r="AD425" s="408">
        <v>883.86134357834192</v>
      </c>
      <c r="AE425" s="408">
        <v>3298.4919656615057</v>
      </c>
      <c r="AF425" s="408">
        <v>351.99005981637538</v>
      </c>
      <c r="AG425" s="408">
        <v>0</v>
      </c>
      <c r="AH425" s="408">
        <v>0</v>
      </c>
      <c r="AI425" s="408">
        <v>0</v>
      </c>
      <c r="AJ425" s="408">
        <v>0</v>
      </c>
      <c r="AK425" s="408">
        <v>0</v>
      </c>
      <c r="AL425" s="408">
        <v>13.039849872439012</v>
      </c>
      <c r="AM425" s="408"/>
      <c r="AN425" s="408">
        <v>1.8509034528858095</v>
      </c>
      <c r="AO425" s="408">
        <v>0</v>
      </c>
      <c r="AP425" s="408">
        <v>0</v>
      </c>
      <c r="AQ425" s="408">
        <v>0</v>
      </c>
      <c r="AR425" s="408">
        <v>0</v>
      </c>
      <c r="AS425" s="408">
        <v>0</v>
      </c>
      <c r="AT425" s="408">
        <v>0</v>
      </c>
      <c r="AU425" s="408">
        <v>0</v>
      </c>
      <c r="AV425" s="408">
        <v>0</v>
      </c>
      <c r="AW425" s="408">
        <v>0</v>
      </c>
      <c r="AX425" s="408">
        <v>0</v>
      </c>
      <c r="AY425" s="408">
        <v>0</v>
      </c>
      <c r="AZ425" s="408">
        <v>0</v>
      </c>
      <c r="BA425" s="408"/>
      <c r="BB425" s="408">
        <v>0</v>
      </c>
      <c r="BC425" s="408">
        <v>0</v>
      </c>
      <c r="BD425" s="408">
        <v>1.6903385980069614</v>
      </c>
      <c r="BE425" s="408">
        <v>0</v>
      </c>
      <c r="BF425" s="408">
        <v>0</v>
      </c>
      <c r="BG425" s="408">
        <v>22.897703407100753</v>
      </c>
      <c r="BH425" s="408">
        <v>0</v>
      </c>
      <c r="BI425" s="408">
        <v>0</v>
      </c>
      <c r="BJ425" s="408">
        <v>0</v>
      </c>
      <c r="BK425" s="408">
        <v>0</v>
      </c>
      <c r="BL425" s="408">
        <v>0</v>
      </c>
      <c r="BM425" s="408"/>
      <c r="BN425" s="408"/>
      <c r="BO425" s="408"/>
      <c r="BP425" s="408"/>
      <c r="BQ425" s="408"/>
      <c r="BR425" s="408"/>
      <c r="BS425" s="408"/>
      <c r="BT425" s="408"/>
      <c r="BU425" s="408"/>
      <c r="BV425" s="408">
        <v>376.57810182148313</v>
      </c>
      <c r="BW425" s="408"/>
      <c r="BX425" s="408"/>
      <c r="BY425" s="408"/>
      <c r="BZ425" s="408"/>
      <c r="CA425" s="408"/>
      <c r="CB425" s="408"/>
      <c r="CC425" s="408"/>
      <c r="CD425" s="408"/>
      <c r="CE425" s="408"/>
      <c r="CF425" s="408"/>
      <c r="CG425" s="408"/>
      <c r="CH425" s="408"/>
      <c r="CI425" s="408">
        <v>2442.2031000000002</v>
      </c>
      <c r="CJ425" s="408">
        <v>-2205.0241400000009</v>
      </c>
      <c r="CK425" s="408"/>
      <c r="CL425" s="408"/>
      <c r="CM425" s="408"/>
      <c r="CN425" s="408"/>
      <c r="CO425" s="408">
        <v>-2223.3671600000002</v>
      </c>
      <c r="CP425" s="408">
        <v>21.938280000000013</v>
      </c>
      <c r="CQ425" s="408">
        <v>30</v>
      </c>
      <c r="CR425" s="408">
        <v>14.068352429879042</v>
      </c>
      <c r="CS425" s="408">
        <v>0</v>
      </c>
      <c r="CT425" s="408">
        <v>0</v>
      </c>
      <c r="CU425" s="408">
        <v>0</v>
      </c>
      <c r="CV425" s="408">
        <v>0</v>
      </c>
      <c r="CW425" s="408">
        <v>0</v>
      </c>
      <c r="CX425" s="408">
        <v>0</v>
      </c>
      <c r="CY425" s="408">
        <v>0</v>
      </c>
      <c r="CZ425" s="408">
        <v>-3.9951088636613576</v>
      </c>
      <c r="DA425" s="408">
        <v>0</v>
      </c>
      <c r="DB425" s="408">
        <v>0</v>
      </c>
      <c r="DC425" s="408">
        <v>21.928441888774557</v>
      </c>
      <c r="DD425" s="408">
        <v>0</v>
      </c>
      <c r="DE425" s="408">
        <v>0</v>
      </c>
      <c r="DF425" s="408">
        <v>0.1053055070307567</v>
      </c>
      <c r="DG425" s="408">
        <v>1.4264918697162763</v>
      </c>
      <c r="DH425" s="408">
        <v>0</v>
      </c>
      <c r="DI425" s="408">
        <v>-4.5629665208966372</v>
      </c>
      <c r="DJ425" s="408"/>
      <c r="DK425" s="408">
        <v>0</v>
      </c>
      <c r="DL425" s="408">
        <v>0</v>
      </c>
      <c r="DM425" s="408">
        <v>0</v>
      </c>
      <c r="DN425" s="408">
        <v>0</v>
      </c>
      <c r="DO425" s="408">
        <v>-0.71553165024872101</v>
      </c>
      <c r="DP425" s="408">
        <v>-0.11827980083575595</v>
      </c>
      <c r="DQ425" s="408">
        <v>0</v>
      </c>
      <c r="DR425" s="408">
        <v>0</v>
      </c>
      <c r="DS425" s="408"/>
      <c r="DT425" s="408"/>
      <c r="DU425" s="408"/>
      <c r="DV425" s="408">
        <v>3298.4919656615057</v>
      </c>
      <c r="DW425" s="408">
        <v>0</v>
      </c>
      <c r="DX425" s="408">
        <v>0</v>
      </c>
      <c r="DY425" s="408">
        <v>-2223.3671600000002</v>
      </c>
      <c r="DZ425" s="408">
        <v>21.938279999999963</v>
      </c>
      <c r="EA425" s="408">
        <v>0</v>
      </c>
      <c r="EB425" s="408">
        <v>0</v>
      </c>
      <c r="EC425" s="408">
        <v>-2215.5134976064228</v>
      </c>
      <c r="ED425" s="408">
        <v>0</v>
      </c>
      <c r="EE425" s="408">
        <v>0</v>
      </c>
      <c r="EF425" s="408">
        <v>0</v>
      </c>
      <c r="EG425" s="408">
        <v>0</v>
      </c>
      <c r="EH425" s="408">
        <v>0</v>
      </c>
      <c r="EI425" s="408">
        <v>0</v>
      </c>
      <c r="EJ425" s="408">
        <v>0</v>
      </c>
      <c r="EK425" s="408">
        <v>0</v>
      </c>
      <c r="EL425" s="408">
        <v>0</v>
      </c>
      <c r="EM425" s="408">
        <v>0</v>
      </c>
      <c r="EN425" s="408">
        <v>0</v>
      </c>
      <c r="EO425" s="408">
        <v>0</v>
      </c>
      <c r="EP425" s="408">
        <v>0</v>
      </c>
      <c r="EQ425" s="408">
        <v>0</v>
      </c>
      <c r="ER425" s="408">
        <v>0</v>
      </c>
      <c r="ES425" s="408">
        <v>0</v>
      </c>
      <c r="ET425" s="408">
        <v>0</v>
      </c>
      <c r="EU425" s="408">
        <v>0</v>
      </c>
      <c r="EV425" s="408">
        <v>257</v>
      </c>
      <c r="EW425" s="408">
        <v>0</v>
      </c>
      <c r="EX425" s="408">
        <v>0</v>
      </c>
      <c r="EY425" s="408">
        <v>0</v>
      </c>
      <c r="EZ425" s="408"/>
      <c r="FA425" s="408">
        <v>0</v>
      </c>
      <c r="FB425" s="408"/>
      <c r="FC425" s="408"/>
      <c r="FD425" s="408"/>
      <c r="FE425" s="408"/>
      <c r="FF425" s="408">
        <v>0</v>
      </c>
      <c r="FG425" s="408">
        <v>0</v>
      </c>
      <c r="FH425" s="408">
        <v>0</v>
      </c>
      <c r="FI425" s="408">
        <v>0</v>
      </c>
    </row>
    <row r="426" spans="1:165">
      <c r="A426" s="408">
        <v>424</v>
      </c>
      <c r="B426" s="408" t="s">
        <v>1035</v>
      </c>
      <c r="C426" s="408" t="s">
        <v>2241</v>
      </c>
      <c r="D426" s="408" t="s">
        <v>596</v>
      </c>
      <c r="E426" s="408" t="s">
        <v>969</v>
      </c>
      <c r="F426" s="408" t="s">
        <v>1321</v>
      </c>
      <c r="G426" s="408" t="s">
        <v>1321</v>
      </c>
      <c r="H426" s="408" t="s">
        <v>1321</v>
      </c>
      <c r="I426" s="408" t="s">
        <v>2242</v>
      </c>
      <c r="J426" s="408" t="s">
        <v>2234</v>
      </c>
      <c r="K426" s="828">
        <v>44713</v>
      </c>
      <c r="L426" s="408">
        <v>0</v>
      </c>
      <c r="M426" s="408">
        <v>0</v>
      </c>
      <c r="N426" s="408">
        <v>198.87200000000001</v>
      </c>
      <c r="O426" s="408">
        <v>198.87200000000001</v>
      </c>
      <c r="P426" s="408">
        <v>198.87200000000001</v>
      </c>
      <c r="Q426" s="408">
        <v>198.87200000000001</v>
      </c>
      <c r="R426" s="408"/>
      <c r="S426" s="408">
        <v>82.26</v>
      </c>
      <c r="T426" s="408">
        <v>256.55</v>
      </c>
      <c r="U426" s="408"/>
      <c r="V426" s="408">
        <v>67379.822320000007</v>
      </c>
      <c r="W426" s="408">
        <v>67379.822320000007</v>
      </c>
      <c r="X426" s="408">
        <v>69998.966560000001</v>
      </c>
      <c r="Y426" s="408">
        <v>0</v>
      </c>
      <c r="Z426" s="408">
        <v>10636.265769909134</v>
      </c>
      <c r="AA426" s="408">
        <v>0</v>
      </c>
      <c r="AB426" s="408">
        <v>0</v>
      </c>
      <c r="AC426" s="408">
        <v>0</v>
      </c>
      <c r="AD426" s="408">
        <v>0</v>
      </c>
      <c r="AE426" s="408">
        <v>0</v>
      </c>
      <c r="AF426" s="408">
        <v>51021.113101896655</v>
      </c>
      <c r="AG426" s="408">
        <v>0</v>
      </c>
      <c r="AH426" s="408">
        <v>0</v>
      </c>
      <c r="AI426" s="408">
        <v>0</v>
      </c>
      <c r="AJ426" s="408">
        <v>0</v>
      </c>
      <c r="AK426" s="408">
        <v>0</v>
      </c>
      <c r="AL426" s="408">
        <v>1890.1319415682881</v>
      </c>
      <c r="AM426" s="408"/>
      <c r="AN426" s="408">
        <v>268.28926492879498</v>
      </c>
      <c r="AO426" s="408">
        <v>0</v>
      </c>
      <c r="AP426" s="408">
        <v>0</v>
      </c>
      <c r="AQ426" s="408">
        <v>0</v>
      </c>
      <c r="AR426" s="408">
        <v>0</v>
      </c>
      <c r="AS426" s="408">
        <v>0</v>
      </c>
      <c r="AT426" s="408">
        <v>0</v>
      </c>
      <c r="AU426" s="408">
        <v>0</v>
      </c>
      <c r="AV426" s="408">
        <v>0</v>
      </c>
      <c r="AW426" s="408">
        <v>0</v>
      </c>
      <c r="AX426" s="408">
        <v>0</v>
      </c>
      <c r="AY426" s="408">
        <v>0</v>
      </c>
      <c r="AZ426" s="408">
        <v>0</v>
      </c>
      <c r="BA426" s="408"/>
      <c r="BB426" s="408">
        <v>0</v>
      </c>
      <c r="BC426" s="408">
        <v>0</v>
      </c>
      <c r="BD426" s="408">
        <v>245.01531899623939</v>
      </c>
      <c r="BE426" s="408">
        <v>0</v>
      </c>
      <c r="BF426" s="408">
        <v>0</v>
      </c>
      <c r="BG426" s="408">
        <v>3319.0321224321729</v>
      </c>
      <c r="BH426" s="408">
        <v>0</v>
      </c>
      <c r="BI426" s="408">
        <v>0</v>
      </c>
      <c r="BJ426" s="408">
        <v>0</v>
      </c>
      <c r="BK426" s="408">
        <v>0</v>
      </c>
      <c r="BL426" s="408">
        <v>0</v>
      </c>
      <c r="BM426" s="408"/>
      <c r="BN426" s="408"/>
      <c r="BO426" s="408"/>
      <c r="BP426" s="408"/>
      <c r="BQ426" s="408"/>
      <c r="BR426" s="408"/>
      <c r="BS426" s="408"/>
      <c r="BT426" s="408"/>
      <c r="BU426" s="408"/>
      <c r="BV426" s="408">
        <v>54585.160543325066</v>
      </c>
      <c r="BW426" s="408"/>
      <c r="BX426" s="408"/>
      <c r="BY426" s="408"/>
      <c r="BZ426" s="408"/>
      <c r="CA426" s="408"/>
      <c r="CB426" s="408"/>
      <c r="CC426" s="408"/>
      <c r="CD426" s="408"/>
      <c r="CE426" s="408"/>
      <c r="CF426" s="408"/>
      <c r="CG426" s="408"/>
      <c r="CH426" s="408"/>
      <c r="CI426" s="408">
        <v>69998.262600000002</v>
      </c>
      <c r="CJ426" s="408">
        <v>2618.4102799999964</v>
      </c>
      <c r="CK426" s="408"/>
      <c r="CL426" s="408"/>
      <c r="CM426" s="408"/>
      <c r="CN426" s="408"/>
      <c r="CO426" s="408">
        <v>-560.81904000000156</v>
      </c>
      <c r="CP426" s="408">
        <v>3179.9632800000022</v>
      </c>
      <c r="CQ426" s="408">
        <v>30</v>
      </c>
      <c r="CR426" s="408">
        <v>2618.3066139715665</v>
      </c>
      <c r="CS426" s="408">
        <v>0</v>
      </c>
      <c r="CT426" s="408">
        <v>0</v>
      </c>
      <c r="CU426" s="408">
        <v>0</v>
      </c>
      <c r="CV426" s="408">
        <v>0</v>
      </c>
      <c r="CW426" s="408">
        <v>0</v>
      </c>
      <c r="CX426" s="408">
        <v>0</v>
      </c>
      <c r="CY426" s="408">
        <v>0</v>
      </c>
      <c r="CZ426" s="408">
        <v>0</v>
      </c>
      <c r="DA426" s="408">
        <v>0</v>
      </c>
      <c r="DB426" s="408">
        <v>0</v>
      </c>
      <c r="DC426" s="408">
        <v>3178.537241475482</v>
      </c>
      <c r="DD426" s="408">
        <v>0</v>
      </c>
      <c r="DE426" s="408">
        <v>0</v>
      </c>
      <c r="DF426" s="408">
        <v>15.26407929607916</v>
      </c>
      <c r="DG426" s="408">
        <v>206.77062034563778</v>
      </c>
      <c r="DH426" s="408">
        <v>0</v>
      </c>
      <c r="DI426" s="408">
        <v>-661.40399267037537</v>
      </c>
      <c r="DJ426" s="408"/>
      <c r="DK426" s="408">
        <v>0</v>
      </c>
      <c r="DL426" s="408">
        <v>0</v>
      </c>
      <c r="DM426" s="408">
        <v>0</v>
      </c>
      <c r="DN426" s="408">
        <v>0</v>
      </c>
      <c r="DO426" s="408">
        <v>-103.71662561826793</v>
      </c>
      <c r="DP426" s="408">
        <v>-17.144708857003252</v>
      </c>
      <c r="DQ426" s="408">
        <v>0</v>
      </c>
      <c r="DR426" s="408">
        <v>0</v>
      </c>
      <c r="DS426" s="408"/>
      <c r="DT426" s="408"/>
      <c r="DU426" s="408"/>
      <c r="DV426" s="408">
        <v>0</v>
      </c>
      <c r="DW426" s="408">
        <v>0</v>
      </c>
      <c r="DX426" s="408">
        <v>0</v>
      </c>
      <c r="DY426" s="408">
        <v>-560.81904000000213</v>
      </c>
      <c r="DZ426" s="408">
        <v>3179.9632800000036</v>
      </c>
      <c r="EA426" s="408">
        <v>0</v>
      </c>
      <c r="EB426" s="408">
        <v>0</v>
      </c>
      <c r="EC426" s="408">
        <v>0</v>
      </c>
      <c r="ED426" s="408">
        <v>0</v>
      </c>
      <c r="EE426" s="408">
        <v>0</v>
      </c>
      <c r="EF426" s="408">
        <v>0</v>
      </c>
      <c r="EG426" s="408">
        <v>0</v>
      </c>
      <c r="EH426" s="408">
        <v>0</v>
      </c>
      <c r="EI426" s="408">
        <v>0</v>
      </c>
      <c r="EJ426" s="408">
        <v>0</v>
      </c>
      <c r="EK426" s="408">
        <v>0</v>
      </c>
      <c r="EL426" s="408">
        <v>0</v>
      </c>
      <c r="EM426" s="408">
        <v>0</v>
      </c>
      <c r="EN426" s="408">
        <v>0</v>
      </c>
      <c r="EO426" s="408">
        <v>0</v>
      </c>
      <c r="EP426" s="408">
        <v>0</v>
      </c>
      <c r="EQ426" s="408">
        <v>0</v>
      </c>
      <c r="ER426" s="408">
        <v>0</v>
      </c>
      <c r="ES426" s="408">
        <v>0</v>
      </c>
      <c r="ET426" s="408">
        <v>0</v>
      </c>
      <c r="EU426" s="408">
        <v>0</v>
      </c>
      <c r="EV426" s="408">
        <v>257</v>
      </c>
      <c r="EW426" s="408">
        <v>0</v>
      </c>
      <c r="EX426" s="408">
        <v>0</v>
      </c>
      <c r="EY426" s="408">
        <v>0</v>
      </c>
      <c r="EZ426" s="408"/>
      <c r="FA426" s="408">
        <v>0</v>
      </c>
      <c r="FB426" s="408"/>
      <c r="FC426" s="408"/>
      <c r="FD426" s="408"/>
      <c r="FE426" s="408"/>
      <c r="FF426" s="408">
        <v>0</v>
      </c>
      <c r="FG426" s="408">
        <v>0</v>
      </c>
      <c r="FH426" s="408">
        <v>0</v>
      </c>
      <c r="FI426" s="408">
        <v>0</v>
      </c>
    </row>
    <row r="427" spans="1:165">
      <c r="A427" s="408">
        <v>425</v>
      </c>
      <c r="B427" s="408" t="s">
        <v>2236</v>
      </c>
      <c r="C427" s="408" t="s">
        <v>2241</v>
      </c>
      <c r="D427" s="408" t="s">
        <v>596</v>
      </c>
      <c r="E427" s="408" t="s">
        <v>969</v>
      </c>
      <c r="F427" s="408" t="s">
        <v>1321</v>
      </c>
      <c r="G427" s="408" t="s">
        <v>1321</v>
      </c>
      <c r="H427" s="408" t="s">
        <v>1321</v>
      </c>
      <c r="I427" s="408" t="s">
        <v>2242</v>
      </c>
      <c r="J427" s="408" t="s">
        <v>2234</v>
      </c>
      <c r="K427" s="828">
        <v>44713</v>
      </c>
      <c r="L427" s="408">
        <v>0</v>
      </c>
      <c r="M427" s="408">
        <v>0</v>
      </c>
      <c r="N427" s="408">
        <v>23.69</v>
      </c>
      <c r="O427" s="408">
        <v>23.69</v>
      </c>
      <c r="P427" s="408">
        <v>23.69</v>
      </c>
      <c r="Q427" s="408">
        <v>23.69</v>
      </c>
      <c r="R427" s="408"/>
      <c r="S427" s="408">
        <v>82.26</v>
      </c>
      <c r="T427" s="408">
        <v>256.55</v>
      </c>
      <c r="U427" s="408"/>
      <c r="V427" s="408">
        <v>8026.4089000000013</v>
      </c>
      <c r="W427" s="408">
        <v>8026.4089000000013</v>
      </c>
      <c r="X427" s="408">
        <v>8338.4062000000013</v>
      </c>
      <c r="Y427" s="408">
        <v>0</v>
      </c>
      <c r="Z427" s="408">
        <v>1267.0116260164698</v>
      </c>
      <c r="AA427" s="408">
        <v>0</v>
      </c>
      <c r="AB427" s="408">
        <v>0</v>
      </c>
      <c r="AC427" s="408">
        <v>0</v>
      </c>
      <c r="AD427" s="408">
        <v>0</v>
      </c>
      <c r="AE427" s="408">
        <v>0</v>
      </c>
      <c r="AF427" s="408">
        <v>6077.7292398323125</v>
      </c>
      <c r="AG427" s="408">
        <v>0</v>
      </c>
      <c r="AH427" s="408">
        <v>0</v>
      </c>
      <c r="AI427" s="408">
        <v>0</v>
      </c>
      <c r="AJ427" s="408">
        <v>0</v>
      </c>
      <c r="AK427" s="408">
        <v>0</v>
      </c>
      <c r="AL427" s="408">
        <v>225.15600836594766</v>
      </c>
      <c r="AM427" s="408"/>
      <c r="AN427" s="408">
        <v>31.959112827160954</v>
      </c>
      <c r="AO427" s="408">
        <v>0</v>
      </c>
      <c r="AP427" s="408">
        <v>0</v>
      </c>
      <c r="AQ427" s="408">
        <v>0</v>
      </c>
      <c r="AR427" s="408">
        <v>0</v>
      </c>
      <c r="AS427" s="408">
        <v>0</v>
      </c>
      <c r="AT427" s="408">
        <v>0</v>
      </c>
      <c r="AU427" s="408">
        <v>0</v>
      </c>
      <c r="AV427" s="408">
        <v>0</v>
      </c>
      <c r="AW427" s="408">
        <v>0</v>
      </c>
      <c r="AX427" s="408">
        <v>0</v>
      </c>
      <c r="AY427" s="408">
        <v>0</v>
      </c>
      <c r="AZ427" s="408">
        <v>0</v>
      </c>
      <c r="BA427" s="408"/>
      <c r="BB427" s="408">
        <v>0</v>
      </c>
      <c r="BC427" s="408">
        <v>0</v>
      </c>
      <c r="BD427" s="408">
        <v>29.186677395615828</v>
      </c>
      <c r="BE427" s="408">
        <v>0</v>
      </c>
      <c r="BF427" s="408">
        <v>0</v>
      </c>
      <c r="BG427" s="408">
        <v>395.36923740103265</v>
      </c>
      <c r="BH427" s="408">
        <v>0</v>
      </c>
      <c r="BI427" s="408">
        <v>0</v>
      </c>
      <c r="BJ427" s="408">
        <v>0</v>
      </c>
      <c r="BK427" s="408">
        <v>0</v>
      </c>
      <c r="BL427" s="408">
        <v>0</v>
      </c>
      <c r="BM427" s="408"/>
      <c r="BN427" s="408"/>
      <c r="BO427" s="408"/>
      <c r="BP427" s="408"/>
      <c r="BQ427" s="408"/>
      <c r="BR427" s="408"/>
      <c r="BS427" s="408"/>
      <c r="BT427" s="408"/>
      <c r="BU427" s="408"/>
      <c r="BV427" s="408">
        <v>6502.2851546289612</v>
      </c>
      <c r="BW427" s="408"/>
      <c r="BX427" s="408"/>
      <c r="BY427" s="408"/>
      <c r="BZ427" s="408"/>
      <c r="CA427" s="408"/>
      <c r="CB427" s="408"/>
      <c r="CC427" s="408"/>
      <c r="CD427" s="408"/>
      <c r="CE427" s="408"/>
      <c r="CF427" s="408"/>
      <c r="CG427" s="408"/>
      <c r="CH427" s="408"/>
      <c r="CI427" s="408">
        <v>8338.4062000000013</v>
      </c>
      <c r="CJ427" s="408">
        <v>311.96730000000025</v>
      </c>
      <c r="CK427" s="408"/>
      <c r="CL427" s="408"/>
      <c r="CM427" s="408"/>
      <c r="CN427" s="408"/>
      <c r="CO427" s="408">
        <v>-66.805800000000175</v>
      </c>
      <c r="CP427" s="408">
        <v>378.80310000000026</v>
      </c>
      <c r="CQ427" s="408">
        <v>30</v>
      </c>
      <c r="CR427" s="408">
        <v>311.89752044021316</v>
      </c>
      <c r="CS427" s="408">
        <v>0</v>
      </c>
      <c r="CT427" s="408">
        <v>0</v>
      </c>
      <c r="CU427" s="408">
        <v>0</v>
      </c>
      <c r="CV427" s="408">
        <v>0</v>
      </c>
      <c r="CW427" s="408">
        <v>0</v>
      </c>
      <c r="CX427" s="408">
        <v>0</v>
      </c>
      <c r="CY427" s="408">
        <v>0</v>
      </c>
      <c r="CZ427" s="408">
        <v>0</v>
      </c>
      <c r="DA427" s="408">
        <v>0</v>
      </c>
      <c r="DB427" s="408">
        <v>0</v>
      </c>
      <c r="DC427" s="408">
        <v>378.63322765675548</v>
      </c>
      <c r="DD427" s="408">
        <v>0</v>
      </c>
      <c r="DE427" s="408">
        <v>0</v>
      </c>
      <c r="DF427" s="408">
        <v>1.8182853218357309</v>
      </c>
      <c r="DG427" s="408">
        <v>24.630898246048559</v>
      </c>
      <c r="DH427" s="408">
        <v>0</v>
      </c>
      <c r="DI427" s="408">
        <v>-78.787665364461645</v>
      </c>
      <c r="DJ427" s="408"/>
      <c r="DK427" s="408">
        <v>0</v>
      </c>
      <c r="DL427" s="408">
        <v>0</v>
      </c>
      <c r="DM427" s="408">
        <v>0</v>
      </c>
      <c r="DN427" s="408">
        <v>0</v>
      </c>
      <c r="DO427" s="408">
        <v>-12.354916030898096</v>
      </c>
      <c r="DP427" s="408">
        <v>-2.0423093890663715</v>
      </c>
      <c r="DQ427" s="408">
        <v>0</v>
      </c>
      <c r="DR427" s="408">
        <v>0</v>
      </c>
      <c r="DS427" s="408"/>
      <c r="DT427" s="408"/>
      <c r="DU427" s="408"/>
      <c r="DV427" s="408">
        <v>0</v>
      </c>
      <c r="DW427" s="408">
        <v>0</v>
      </c>
      <c r="DX427" s="408">
        <v>0</v>
      </c>
      <c r="DY427" s="408">
        <v>-66.80580000000009</v>
      </c>
      <c r="DZ427" s="408">
        <v>378.80310000000009</v>
      </c>
      <c r="EA427" s="408">
        <v>0</v>
      </c>
      <c r="EB427" s="408">
        <v>0</v>
      </c>
      <c r="EC427" s="408">
        <v>0</v>
      </c>
      <c r="ED427" s="408">
        <v>0</v>
      </c>
      <c r="EE427" s="408">
        <v>0</v>
      </c>
      <c r="EF427" s="408">
        <v>0</v>
      </c>
      <c r="EG427" s="408">
        <v>0</v>
      </c>
      <c r="EH427" s="408">
        <v>0</v>
      </c>
      <c r="EI427" s="408">
        <v>0</v>
      </c>
      <c r="EJ427" s="408">
        <v>0</v>
      </c>
      <c r="EK427" s="408">
        <v>0</v>
      </c>
      <c r="EL427" s="408">
        <v>0</v>
      </c>
      <c r="EM427" s="408">
        <v>0</v>
      </c>
      <c r="EN427" s="408">
        <v>0</v>
      </c>
      <c r="EO427" s="408">
        <v>0</v>
      </c>
      <c r="EP427" s="408">
        <v>0</v>
      </c>
      <c r="EQ427" s="408">
        <v>0</v>
      </c>
      <c r="ER427" s="408">
        <v>0</v>
      </c>
      <c r="ES427" s="408">
        <v>0</v>
      </c>
      <c r="ET427" s="408">
        <v>0</v>
      </c>
      <c r="EU427" s="408">
        <v>0</v>
      </c>
      <c r="EV427" s="408">
        <v>257</v>
      </c>
      <c r="EW427" s="408">
        <v>0</v>
      </c>
      <c r="EX427" s="408">
        <v>0</v>
      </c>
      <c r="EY427" s="408">
        <v>0</v>
      </c>
      <c r="EZ427" s="408"/>
      <c r="FA427" s="408">
        <v>0</v>
      </c>
      <c r="FB427" s="408"/>
      <c r="FC427" s="408"/>
      <c r="FD427" s="408"/>
      <c r="FE427" s="408"/>
      <c r="FF427" s="408">
        <v>0</v>
      </c>
      <c r="FG427" s="408">
        <v>0</v>
      </c>
      <c r="FH427" s="408">
        <v>0</v>
      </c>
      <c r="FI427" s="408">
        <v>0</v>
      </c>
    </row>
    <row r="428" spans="1:165">
      <c r="A428" s="408">
        <v>426</v>
      </c>
      <c r="B428" s="408" t="s">
        <v>1035</v>
      </c>
      <c r="C428" s="408" t="s">
        <v>2241</v>
      </c>
      <c r="D428" s="408" t="s">
        <v>596</v>
      </c>
      <c r="E428" s="408" t="s">
        <v>969</v>
      </c>
      <c r="F428" s="408" t="s">
        <v>1321</v>
      </c>
      <c r="G428" s="408" t="s">
        <v>1321</v>
      </c>
      <c r="H428" s="408" t="s">
        <v>1321</v>
      </c>
      <c r="I428" s="408" t="s">
        <v>1321</v>
      </c>
      <c r="J428" s="408" t="s">
        <v>2234</v>
      </c>
      <c r="K428" s="828">
        <v>44713</v>
      </c>
      <c r="L428" s="408">
        <v>1536</v>
      </c>
      <c r="M428" s="408">
        <v>1536</v>
      </c>
      <c r="N428" s="408">
        <v>0</v>
      </c>
      <c r="O428" s="408">
        <v>0</v>
      </c>
      <c r="P428" s="408">
        <v>0</v>
      </c>
      <c r="Q428" s="408">
        <v>0</v>
      </c>
      <c r="R428" s="408">
        <v>47.39</v>
      </c>
      <c r="S428" s="408"/>
      <c r="T428" s="408"/>
      <c r="U428" s="408">
        <v>72791.040000000008</v>
      </c>
      <c r="V428" s="408"/>
      <c r="W428" s="408">
        <v>72791.040000000008</v>
      </c>
      <c r="X428" s="408">
        <v>49489.919999999998</v>
      </c>
      <c r="Y428" s="408">
        <v>0</v>
      </c>
      <c r="Z428" s="408">
        <v>0</v>
      </c>
      <c r="AA428" s="408">
        <v>0</v>
      </c>
      <c r="AB428" s="408">
        <v>0</v>
      </c>
      <c r="AC428" s="408">
        <v>0</v>
      </c>
      <c r="AD428" s="408">
        <v>38354.073875659313</v>
      </c>
      <c r="AE428" s="408">
        <v>34436.916089440507</v>
      </c>
      <c r="AF428" s="408"/>
      <c r="AG428" s="408"/>
      <c r="AH428" s="408"/>
      <c r="AI428" s="408">
        <v>0</v>
      </c>
      <c r="AJ428" s="408">
        <v>0</v>
      </c>
      <c r="AK428" s="408">
        <v>0</v>
      </c>
      <c r="AL428" s="408">
        <v>0</v>
      </c>
      <c r="AM428" s="408"/>
      <c r="AN428" s="408">
        <v>0</v>
      </c>
      <c r="AO428" s="408">
        <v>0</v>
      </c>
      <c r="AP428" s="408">
        <v>0</v>
      </c>
      <c r="AQ428" s="408">
        <v>0</v>
      </c>
      <c r="AR428" s="408">
        <v>0</v>
      </c>
      <c r="AS428" s="408"/>
      <c r="AT428" s="408"/>
      <c r="AU428" s="408">
        <v>0</v>
      </c>
      <c r="AV428" s="408">
        <v>0</v>
      </c>
      <c r="AW428" s="408">
        <v>0</v>
      </c>
      <c r="AX428" s="408"/>
      <c r="AY428" s="408"/>
      <c r="AZ428" s="408">
        <v>0</v>
      </c>
      <c r="BA428" s="408"/>
      <c r="BB428" s="408">
        <v>0</v>
      </c>
      <c r="BC428" s="408">
        <v>0</v>
      </c>
      <c r="BD428" s="408">
        <v>0</v>
      </c>
      <c r="BE428" s="408">
        <v>0</v>
      </c>
      <c r="BF428" s="408"/>
      <c r="BG428" s="408">
        <v>0</v>
      </c>
      <c r="BH428" s="408">
        <v>0</v>
      </c>
      <c r="BI428" s="408">
        <v>363.92</v>
      </c>
      <c r="BJ428" s="408">
        <v>1412.88</v>
      </c>
      <c r="BK428" s="408">
        <v>25898.41</v>
      </c>
      <c r="BL428" s="408">
        <v>10</v>
      </c>
      <c r="BM428" s="408"/>
      <c r="BN428" s="408"/>
      <c r="BO428" s="408"/>
      <c r="BP428" s="408"/>
      <c r="BQ428" s="408"/>
      <c r="BR428" s="408"/>
      <c r="BS428" s="408"/>
      <c r="BT428" s="408"/>
      <c r="BU428" s="408"/>
      <c r="BV428" s="408">
        <v>0</v>
      </c>
      <c r="BW428" s="408"/>
      <c r="BX428" s="408"/>
      <c r="BY428" s="408"/>
      <c r="BZ428" s="408"/>
      <c r="CA428" s="408"/>
      <c r="CB428" s="408"/>
      <c r="CC428" s="408"/>
      <c r="CD428" s="408"/>
      <c r="CE428" s="408"/>
      <c r="CF428" s="408"/>
      <c r="CG428" s="408"/>
      <c r="CH428" s="408"/>
      <c r="CI428" s="408">
        <v>49489.919999999998</v>
      </c>
      <c r="CJ428" s="408">
        <v>-23301.149999999994</v>
      </c>
      <c r="CK428" s="408"/>
      <c r="CL428" s="408"/>
      <c r="CM428" s="408"/>
      <c r="CN428" s="408"/>
      <c r="CO428" s="408">
        <v>-23301.120000000003</v>
      </c>
      <c r="CP428" s="408">
        <v>0</v>
      </c>
      <c r="CQ428" s="408">
        <v>30</v>
      </c>
      <c r="CR428" s="408">
        <v>-173.36282620738348</v>
      </c>
      <c r="CS428" s="408">
        <v>0</v>
      </c>
      <c r="CT428" s="408">
        <v>0</v>
      </c>
      <c r="CU428" s="408">
        <v>0</v>
      </c>
      <c r="CV428" s="408">
        <v>0</v>
      </c>
      <c r="CW428" s="408"/>
      <c r="CX428" s="408"/>
      <c r="CY428" s="408"/>
      <c r="CZ428" s="408">
        <v>-173.36282620738348</v>
      </c>
      <c r="DA428" s="408">
        <v>0</v>
      </c>
      <c r="DB428" s="408">
        <v>0</v>
      </c>
      <c r="DC428" s="408"/>
      <c r="DD428" s="408"/>
      <c r="DE428" s="408">
        <v>0</v>
      </c>
      <c r="DF428" s="408">
        <v>0</v>
      </c>
      <c r="DG428" s="408">
        <v>0</v>
      </c>
      <c r="DH428" s="408">
        <v>0</v>
      </c>
      <c r="DI428" s="408">
        <v>0</v>
      </c>
      <c r="DJ428" s="408"/>
      <c r="DK428" s="408">
        <v>0</v>
      </c>
      <c r="DL428" s="408">
        <v>0</v>
      </c>
      <c r="DM428" s="408"/>
      <c r="DN428" s="408">
        <v>0</v>
      </c>
      <c r="DO428" s="408">
        <v>0</v>
      </c>
      <c r="DP428" s="408">
        <v>0</v>
      </c>
      <c r="DQ428" s="408">
        <v>0</v>
      </c>
      <c r="DR428" s="408">
        <v>0</v>
      </c>
      <c r="DS428" s="408"/>
      <c r="DT428" s="408"/>
      <c r="DU428" s="408">
        <v>34436.916089440507</v>
      </c>
      <c r="DV428" s="408"/>
      <c r="DW428" s="408">
        <v>0</v>
      </c>
      <c r="DX428" s="408">
        <v>0</v>
      </c>
      <c r="DY428" s="408">
        <v>-23301.12000000001</v>
      </c>
      <c r="DZ428" s="408"/>
      <c r="EA428" s="408">
        <v>0</v>
      </c>
      <c r="EB428" s="408"/>
      <c r="EC428" s="408">
        <v>-23130.404198754626</v>
      </c>
      <c r="ED428" s="408"/>
      <c r="EE428" s="408">
        <v>0</v>
      </c>
      <c r="EF428" s="408">
        <v>0</v>
      </c>
      <c r="EG428" s="408"/>
      <c r="EH428" s="408">
        <v>0</v>
      </c>
      <c r="EI428" s="408">
        <v>0</v>
      </c>
      <c r="EJ428" s="408">
        <v>0</v>
      </c>
      <c r="EK428" s="408">
        <v>0</v>
      </c>
      <c r="EL428" s="408">
        <v>0</v>
      </c>
      <c r="EM428" s="408"/>
      <c r="EN428" s="408"/>
      <c r="EO428" s="408">
        <v>0</v>
      </c>
      <c r="EP428" s="408">
        <v>0</v>
      </c>
      <c r="EQ428" s="408"/>
      <c r="ER428" s="408">
        <v>0</v>
      </c>
      <c r="ES428" s="408"/>
      <c r="ET428" s="408">
        <v>0</v>
      </c>
      <c r="EU428" s="408"/>
      <c r="EV428" s="408">
        <v>257</v>
      </c>
      <c r="EW428" s="408"/>
      <c r="EX428" s="408"/>
      <c r="EY428" s="408"/>
      <c r="EZ428" s="408"/>
      <c r="FA428" s="408">
        <v>0</v>
      </c>
      <c r="FB428" s="408"/>
      <c r="FC428" s="408"/>
      <c r="FD428" s="408"/>
      <c r="FE428" s="408"/>
      <c r="FF428" s="408">
        <v>0</v>
      </c>
      <c r="FG428" s="408">
        <v>0</v>
      </c>
      <c r="FH428" s="408">
        <v>0</v>
      </c>
      <c r="FI428" s="408">
        <v>0</v>
      </c>
    </row>
    <row r="429" spans="1:165">
      <c r="A429" s="408">
        <v>427</v>
      </c>
      <c r="B429" s="408" t="s">
        <v>2236</v>
      </c>
      <c r="C429" s="408" t="s">
        <v>2241</v>
      </c>
      <c r="D429" s="408" t="s">
        <v>596</v>
      </c>
      <c r="E429" s="408" t="s">
        <v>969</v>
      </c>
      <c r="F429" s="408" t="s">
        <v>1321</v>
      </c>
      <c r="G429" s="408" t="s">
        <v>1321</v>
      </c>
      <c r="H429" s="408" t="s">
        <v>1321</v>
      </c>
      <c r="I429" s="408" t="s">
        <v>1321</v>
      </c>
      <c r="J429" s="408" t="s">
        <v>2234</v>
      </c>
      <c r="K429" s="828">
        <v>44713</v>
      </c>
      <c r="L429" s="408">
        <v>793</v>
      </c>
      <c r="M429" s="408">
        <v>793</v>
      </c>
      <c r="N429" s="408">
        <v>0</v>
      </c>
      <c r="O429" s="408">
        <v>0</v>
      </c>
      <c r="P429" s="408">
        <v>0</v>
      </c>
      <c r="Q429" s="408">
        <v>0</v>
      </c>
      <c r="R429" s="408">
        <v>47.39</v>
      </c>
      <c r="S429" s="408"/>
      <c r="T429" s="408"/>
      <c r="U429" s="408">
        <v>37580.270000000004</v>
      </c>
      <c r="V429" s="408"/>
      <c r="W429" s="408">
        <v>37580.270000000004</v>
      </c>
      <c r="X429" s="408">
        <v>25550.46</v>
      </c>
      <c r="Y429" s="408">
        <v>0</v>
      </c>
      <c r="Z429" s="408">
        <v>0</v>
      </c>
      <c r="AA429" s="408">
        <v>0</v>
      </c>
      <c r="AB429" s="408">
        <v>0</v>
      </c>
      <c r="AC429" s="408">
        <v>0</v>
      </c>
      <c r="AD429" s="408">
        <v>19801.289442316302</v>
      </c>
      <c r="AE429" s="408">
        <v>17778.954725863492</v>
      </c>
      <c r="AF429" s="408"/>
      <c r="AG429" s="408"/>
      <c r="AH429" s="408"/>
      <c r="AI429" s="408">
        <v>0</v>
      </c>
      <c r="AJ429" s="408">
        <v>0</v>
      </c>
      <c r="AK429" s="408">
        <v>0</v>
      </c>
      <c r="AL429" s="408">
        <v>0</v>
      </c>
      <c r="AM429" s="408"/>
      <c r="AN429" s="408">
        <v>0</v>
      </c>
      <c r="AO429" s="408">
        <v>0</v>
      </c>
      <c r="AP429" s="408">
        <v>0</v>
      </c>
      <c r="AQ429" s="408">
        <v>0</v>
      </c>
      <c r="AR429" s="408">
        <v>0</v>
      </c>
      <c r="AS429" s="408"/>
      <c r="AT429" s="408"/>
      <c r="AU429" s="408">
        <v>0</v>
      </c>
      <c r="AV429" s="408">
        <v>0</v>
      </c>
      <c r="AW429" s="408">
        <v>0</v>
      </c>
      <c r="AX429" s="408"/>
      <c r="AY429" s="408"/>
      <c r="AZ429" s="408">
        <v>0</v>
      </c>
      <c r="BA429" s="408"/>
      <c r="BB429" s="408">
        <v>0</v>
      </c>
      <c r="BC429" s="408">
        <v>0</v>
      </c>
      <c r="BD429" s="408">
        <v>0</v>
      </c>
      <c r="BE429" s="408">
        <v>0</v>
      </c>
      <c r="BF429" s="408"/>
      <c r="BG429" s="408">
        <v>0</v>
      </c>
      <c r="BH429" s="408">
        <v>0</v>
      </c>
      <c r="BI429" s="408">
        <v>113.36</v>
      </c>
      <c r="BJ429" s="408">
        <v>441.54</v>
      </c>
      <c r="BK429" s="408">
        <v>8649.2000000000007</v>
      </c>
      <c r="BL429" s="408">
        <v>5</v>
      </c>
      <c r="BM429" s="408"/>
      <c r="BN429" s="408"/>
      <c r="BO429" s="408"/>
      <c r="BP429" s="408"/>
      <c r="BQ429" s="408"/>
      <c r="BR429" s="408"/>
      <c r="BS429" s="408"/>
      <c r="BT429" s="408"/>
      <c r="BU429" s="408"/>
      <c r="BV429" s="408">
        <v>0</v>
      </c>
      <c r="BW429" s="408"/>
      <c r="BX429" s="408"/>
      <c r="BY429" s="408"/>
      <c r="BZ429" s="408"/>
      <c r="CA429" s="408"/>
      <c r="CB429" s="408"/>
      <c r="CC429" s="408"/>
      <c r="CD429" s="408"/>
      <c r="CE429" s="408"/>
      <c r="CF429" s="408"/>
      <c r="CG429" s="408"/>
      <c r="CH429" s="408"/>
      <c r="CI429" s="408">
        <v>25550.46</v>
      </c>
      <c r="CJ429" s="408">
        <v>-12029.840000000011</v>
      </c>
      <c r="CK429" s="408"/>
      <c r="CL429" s="408"/>
      <c r="CM429" s="408"/>
      <c r="CN429" s="408"/>
      <c r="CO429" s="408">
        <v>-12029.810000000001</v>
      </c>
      <c r="CP429" s="408">
        <v>0</v>
      </c>
      <c r="CQ429" s="408">
        <v>30</v>
      </c>
      <c r="CR429" s="408">
        <v>-89.503073686497373</v>
      </c>
      <c r="CS429" s="408">
        <v>0</v>
      </c>
      <c r="CT429" s="408">
        <v>0</v>
      </c>
      <c r="CU429" s="408">
        <v>0</v>
      </c>
      <c r="CV429" s="408">
        <v>0</v>
      </c>
      <c r="CW429" s="408"/>
      <c r="CX429" s="408"/>
      <c r="CY429" s="408"/>
      <c r="CZ429" s="408">
        <v>-89.503073686497373</v>
      </c>
      <c r="DA429" s="408">
        <v>0</v>
      </c>
      <c r="DB429" s="408">
        <v>0</v>
      </c>
      <c r="DC429" s="408"/>
      <c r="DD429" s="408"/>
      <c r="DE429" s="408">
        <v>0</v>
      </c>
      <c r="DF429" s="408">
        <v>0</v>
      </c>
      <c r="DG429" s="408">
        <v>0</v>
      </c>
      <c r="DH429" s="408">
        <v>0</v>
      </c>
      <c r="DI429" s="408">
        <v>0</v>
      </c>
      <c r="DJ429" s="408"/>
      <c r="DK429" s="408">
        <v>0</v>
      </c>
      <c r="DL429" s="408">
        <v>0</v>
      </c>
      <c r="DM429" s="408"/>
      <c r="DN429" s="408">
        <v>0</v>
      </c>
      <c r="DO429" s="408">
        <v>0</v>
      </c>
      <c r="DP429" s="408">
        <v>0</v>
      </c>
      <c r="DQ429" s="408">
        <v>0</v>
      </c>
      <c r="DR429" s="408">
        <v>0</v>
      </c>
      <c r="DS429" s="408"/>
      <c r="DT429" s="408"/>
      <c r="DU429" s="408">
        <v>17778.954725863492</v>
      </c>
      <c r="DV429" s="408"/>
      <c r="DW429" s="408">
        <v>0</v>
      </c>
      <c r="DX429" s="408">
        <v>0</v>
      </c>
      <c r="DY429" s="408">
        <v>-12029.810000000005</v>
      </c>
      <c r="DZ429" s="408"/>
      <c r="EA429" s="408">
        <v>0</v>
      </c>
      <c r="EB429" s="408"/>
      <c r="EC429" s="408">
        <v>-11941.673521883087</v>
      </c>
      <c r="ED429" s="408"/>
      <c r="EE429" s="408">
        <v>0</v>
      </c>
      <c r="EF429" s="408">
        <v>0</v>
      </c>
      <c r="EG429" s="408"/>
      <c r="EH429" s="408">
        <v>0</v>
      </c>
      <c r="EI429" s="408">
        <v>0</v>
      </c>
      <c r="EJ429" s="408">
        <v>0</v>
      </c>
      <c r="EK429" s="408">
        <v>0</v>
      </c>
      <c r="EL429" s="408">
        <v>0</v>
      </c>
      <c r="EM429" s="408"/>
      <c r="EN429" s="408"/>
      <c r="EO429" s="408">
        <v>0</v>
      </c>
      <c r="EP429" s="408">
        <v>0</v>
      </c>
      <c r="EQ429" s="408"/>
      <c r="ER429" s="408">
        <v>0</v>
      </c>
      <c r="ES429" s="408"/>
      <c r="ET429" s="408">
        <v>0</v>
      </c>
      <c r="EU429" s="408"/>
      <c r="EV429" s="408">
        <v>257</v>
      </c>
      <c r="EW429" s="408"/>
      <c r="EX429" s="408"/>
      <c r="EY429" s="408"/>
      <c r="EZ429" s="408"/>
      <c r="FA429" s="408">
        <v>0</v>
      </c>
      <c r="FB429" s="408"/>
      <c r="FC429" s="408"/>
      <c r="FD429" s="408"/>
      <c r="FE429" s="408"/>
      <c r="FF429" s="408">
        <v>0</v>
      </c>
      <c r="FG429" s="408">
        <v>0</v>
      </c>
      <c r="FH429" s="408">
        <v>0</v>
      </c>
      <c r="FI429" s="408">
        <v>0</v>
      </c>
    </row>
    <row r="430" spans="1:165">
      <c r="A430" s="408">
        <v>428</v>
      </c>
      <c r="B430" s="408" t="s">
        <v>1035</v>
      </c>
      <c r="C430" s="408" t="s">
        <v>2233</v>
      </c>
      <c r="D430" s="408" t="s">
        <v>1958</v>
      </c>
      <c r="E430" s="408" t="s">
        <v>997</v>
      </c>
      <c r="F430" s="408" t="s">
        <v>1321</v>
      </c>
      <c r="G430" s="408" t="s">
        <v>1321</v>
      </c>
      <c r="H430" s="408" t="s">
        <v>1321</v>
      </c>
      <c r="I430" s="408" t="s">
        <v>1321</v>
      </c>
      <c r="J430" s="408" t="s">
        <v>2234</v>
      </c>
      <c r="K430" s="828">
        <v>44713</v>
      </c>
      <c r="L430" s="408">
        <v>0</v>
      </c>
      <c r="M430" s="408">
        <v>0</v>
      </c>
      <c r="N430" s="408">
        <v>412.81400000000002</v>
      </c>
      <c r="O430" s="408">
        <v>412.81400000000002</v>
      </c>
      <c r="P430" s="408">
        <v>412.81400000000002</v>
      </c>
      <c r="Q430" s="408">
        <v>412.81400000000002</v>
      </c>
      <c r="R430" s="408"/>
      <c r="S430" s="408">
        <v>710.91</v>
      </c>
      <c r="T430" s="408">
        <v>256.55</v>
      </c>
      <c r="U430" s="408"/>
      <c r="V430" s="408">
        <v>399381.03244000004</v>
      </c>
      <c r="W430" s="408">
        <v>399381.03244000004</v>
      </c>
      <c r="X430" s="408">
        <v>272634.75002000004</v>
      </c>
      <c r="Y430" s="408">
        <v>0</v>
      </c>
      <c r="Z430" s="408">
        <v>25377.609126619362</v>
      </c>
      <c r="AA430" s="408">
        <v>0</v>
      </c>
      <c r="AB430" s="408">
        <v>0</v>
      </c>
      <c r="AC430" s="408">
        <v>0</v>
      </c>
      <c r="AD430" s="408">
        <v>50810.29878988921</v>
      </c>
      <c r="AE430" s="408">
        <v>196875.15020455504</v>
      </c>
      <c r="AF430" s="408">
        <v>105908.47270629533</v>
      </c>
      <c r="AG430" s="408">
        <v>0</v>
      </c>
      <c r="AH430" s="408">
        <v>0</v>
      </c>
      <c r="AI430" s="408">
        <v>0</v>
      </c>
      <c r="AJ430" s="408">
        <v>0</v>
      </c>
      <c r="AK430" s="408">
        <v>0</v>
      </c>
      <c r="AL430" s="408">
        <v>3923.4931379307859</v>
      </c>
      <c r="AM430" s="408"/>
      <c r="AN430" s="408">
        <v>906.45889926518078</v>
      </c>
      <c r="AO430" s="408">
        <v>0</v>
      </c>
      <c r="AP430" s="408">
        <v>0</v>
      </c>
      <c r="AQ430" s="408">
        <v>0</v>
      </c>
      <c r="AR430" s="408">
        <v>0</v>
      </c>
      <c r="AS430" s="408">
        <v>0</v>
      </c>
      <c r="AT430" s="408">
        <v>0</v>
      </c>
      <c r="AU430" s="408">
        <v>0</v>
      </c>
      <c r="AV430" s="408">
        <v>0</v>
      </c>
      <c r="AW430" s="408">
        <v>0</v>
      </c>
      <c r="AX430" s="408">
        <v>0</v>
      </c>
      <c r="AY430" s="408">
        <v>0</v>
      </c>
      <c r="AZ430" s="408">
        <v>0</v>
      </c>
      <c r="BA430" s="408"/>
      <c r="BB430" s="408">
        <v>0</v>
      </c>
      <c r="BC430" s="408">
        <v>0</v>
      </c>
      <c r="BD430" s="408">
        <v>615.22509675630408</v>
      </c>
      <c r="BE430" s="408">
        <v>0</v>
      </c>
      <c r="BF430" s="408">
        <v>0</v>
      </c>
      <c r="BG430" s="408">
        <v>14965.912006687948</v>
      </c>
      <c r="BH430" s="408">
        <v>0</v>
      </c>
      <c r="BI430" s="408">
        <v>713</v>
      </c>
      <c r="BJ430" s="408">
        <v>2794.41</v>
      </c>
      <c r="BK430" s="408">
        <v>92043.67</v>
      </c>
      <c r="BL430" s="408">
        <v>967</v>
      </c>
      <c r="BM430" s="408"/>
      <c r="BN430" s="408"/>
      <c r="BO430" s="408"/>
      <c r="BP430" s="408"/>
      <c r="BQ430" s="408"/>
      <c r="BR430" s="408"/>
      <c r="BS430" s="408"/>
      <c r="BT430" s="408"/>
      <c r="BU430" s="408"/>
      <c r="BV430" s="408">
        <v>121489.60980973957</v>
      </c>
      <c r="BW430" s="408"/>
      <c r="BX430" s="408"/>
      <c r="BY430" s="408"/>
      <c r="BZ430" s="408"/>
      <c r="CA430" s="408"/>
      <c r="CB430" s="408"/>
      <c r="CC430" s="408"/>
      <c r="CD430" s="408"/>
      <c r="CE430" s="408"/>
      <c r="CF430" s="408"/>
      <c r="CG430" s="408"/>
      <c r="CH430" s="408"/>
      <c r="CI430" s="408">
        <v>272632.10830000002</v>
      </c>
      <c r="CJ430" s="408">
        <v>-126748.95414000005</v>
      </c>
      <c r="CK430" s="408"/>
      <c r="CL430" s="408"/>
      <c r="CM430" s="408"/>
      <c r="CN430" s="408"/>
      <c r="CO430" s="408">
        <v>-133347.17827999999</v>
      </c>
      <c r="CP430" s="408">
        <v>6600.8958600000042</v>
      </c>
      <c r="CQ430" s="408">
        <v>30</v>
      </c>
      <c r="CR430" s="408">
        <v>5487.6546238986193</v>
      </c>
      <c r="CS430" s="408">
        <v>0</v>
      </c>
      <c r="CT430" s="408">
        <v>0</v>
      </c>
      <c r="CU430" s="408">
        <v>0</v>
      </c>
      <c r="CV430" s="408">
        <v>0</v>
      </c>
      <c r="CW430" s="408">
        <v>0</v>
      </c>
      <c r="CX430" s="408">
        <v>0</v>
      </c>
      <c r="CY430" s="408">
        <v>0</v>
      </c>
      <c r="CZ430" s="408">
        <v>-229.66574625712383</v>
      </c>
      <c r="DA430" s="408">
        <v>0</v>
      </c>
      <c r="DB430" s="408">
        <v>0</v>
      </c>
      <c r="DC430" s="408">
        <v>6597.9357214814518</v>
      </c>
      <c r="DD430" s="408">
        <v>0</v>
      </c>
      <c r="DE430" s="408">
        <v>0</v>
      </c>
      <c r="DF430" s="408">
        <v>38.327581721411093</v>
      </c>
      <c r="DG430" s="408">
        <v>932.35340771376832</v>
      </c>
      <c r="DH430" s="408">
        <v>0</v>
      </c>
      <c r="DI430" s="408">
        <v>-1578.077528699956</v>
      </c>
      <c r="DJ430" s="408"/>
      <c r="DK430" s="408">
        <v>0</v>
      </c>
      <c r="DL430" s="408">
        <v>0</v>
      </c>
      <c r="DM430" s="408">
        <v>0</v>
      </c>
      <c r="DN430" s="408">
        <v>0</v>
      </c>
      <c r="DO430" s="408">
        <v>-215.29262584969047</v>
      </c>
      <c r="DP430" s="408">
        <v>-57.926186211234722</v>
      </c>
      <c r="DQ430" s="408">
        <v>0</v>
      </c>
      <c r="DR430" s="408">
        <v>0</v>
      </c>
      <c r="DS430" s="408"/>
      <c r="DT430" s="408"/>
      <c r="DU430" s="408"/>
      <c r="DV430" s="408">
        <v>196875.15020455504</v>
      </c>
      <c r="DW430" s="408">
        <v>0</v>
      </c>
      <c r="DX430" s="408">
        <v>0</v>
      </c>
      <c r="DY430" s="408">
        <v>-133347.17828000002</v>
      </c>
      <c r="DZ430" s="408">
        <v>6600.8958600000042</v>
      </c>
      <c r="EA430" s="408">
        <v>0</v>
      </c>
      <c r="EB430" s="408">
        <v>0</v>
      </c>
      <c r="EC430" s="408">
        <v>-132236.05125077488</v>
      </c>
      <c r="ED430" s="408">
        <v>0</v>
      </c>
      <c r="EE430" s="408">
        <v>0</v>
      </c>
      <c r="EF430" s="408">
        <v>0</v>
      </c>
      <c r="EG430" s="408">
        <v>0</v>
      </c>
      <c r="EH430" s="408">
        <v>0</v>
      </c>
      <c r="EI430" s="408">
        <v>0</v>
      </c>
      <c r="EJ430" s="408">
        <v>0</v>
      </c>
      <c r="EK430" s="408">
        <v>0</v>
      </c>
      <c r="EL430" s="408">
        <v>0</v>
      </c>
      <c r="EM430" s="408">
        <v>0</v>
      </c>
      <c r="EN430" s="408">
        <v>0</v>
      </c>
      <c r="EO430" s="408">
        <v>0</v>
      </c>
      <c r="EP430" s="408">
        <v>0</v>
      </c>
      <c r="EQ430" s="408">
        <v>0</v>
      </c>
      <c r="ER430" s="408">
        <v>0</v>
      </c>
      <c r="ES430" s="408">
        <v>0</v>
      </c>
      <c r="ET430" s="408">
        <v>0</v>
      </c>
      <c r="EU430" s="408">
        <v>0</v>
      </c>
      <c r="EV430" s="408">
        <v>257</v>
      </c>
      <c r="EW430" s="408">
        <v>0</v>
      </c>
      <c r="EX430" s="408">
        <v>0</v>
      </c>
      <c r="EY430" s="408">
        <v>0</v>
      </c>
      <c r="EZ430" s="408"/>
      <c r="FA430" s="408">
        <v>0</v>
      </c>
      <c r="FB430" s="408"/>
      <c r="FC430" s="408"/>
      <c r="FD430" s="408"/>
      <c r="FE430" s="408"/>
      <c r="FF430" s="408">
        <v>0</v>
      </c>
      <c r="FG430" s="408">
        <v>0</v>
      </c>
      <c r="FH430" s="408">
        <v>0</v>
      </c>
      <c r="FI430" s="408">
        <v>0</v>
      </c>
    </row>
    <row r="431" spans="1:165">
      <c r="A431" s="408">
        <v>429</v>
      </c>
      <c r="B431" s="408" t="s">
        <v>2235</v>
      </c>
      <c r="C431" s="408" t="s">
        <v>2233</v>
      </c>
      <c r="D431" s="408" t="s">
        <v>1958</v>
      </c>
      <c r="E431" s="408" t="s">
        <v>997</v>
      </c>
      <c r="F431" s="408" t="s">
        <v>1321</v>
      </c>
      <c r="G431" s="408" t="s">
        <v>1321</v>
      </c>
      <c r="H431" s="408" t="s">
        <v>1321</v>
      </c>
      <c r="I431" s="408" t="s">
        <v>1321</v>
      </c>
      <c r="J431" s="408" t="s">
        <v>2234</v>
      </c>
      <c r="K431" s="828">
        <v>44713</v>
      </c>
      <c r="L431" s="408">
        <v>0</v>
      </c>
      <c r="M431" s="408">
        <v>0</v>
      </c>
      <c r="N431" s="408">
        <v>-1.36</v>
      </c>
      <c r="O431" s="408">
        <v>-1.36</v>
      </c>
      <c r="P431" s="408">
        <v>-1.36</v>
      </c>
      <c r="Q431" s="408">
        <v>-1.36</v>
      </c>
      <c r="R431" s="408"/>
      <c r="S431" s="408">
        <v>710.91</v>
      </c>
      <c r="T431" s="408">
        <v>256.55</v>
      </c>
      <c r="U431" s="408"/>
      <c r="V431" s="408">
        <v>-1315.7456000000002</v>
      </c>
      <c r="W431" s="408">
        <v>-1315.7456000000002</v>
      </c>
      <c r="X431" s="408">
        <v>-898.1848</v>
      </c>
      <c r="Y431" s="408">
        <v>0</v>
      </c>
      <c r="Z431" s="408">
        <v>-83.605566701231865</v>
      </c>
      <c r="AA431" s="408">
        <v>0</v>
      </c>
      <c r="AB431" s="408">
        <v>0</v>
      </c>
      <c r="AC431" s="408">
        <v>0</v>
      </c>
      <c r="AD431" s="408">
        <v>-167.39259413258591</v>
      </c>
      <c r="AE431" s="408">
        <v>-648.59768389200667</v>
      </c>
      <c r="AF431" s="408">
        <v>-348.91142955559076</v>
      </c>
      <c r="AG431" s="408">
        <v>0</v>
      </c>
      <c r="AH431" s="408">
        <v>0</v>
      </c>
      <c r="AI431" s="408">
        <v>0</v>
      </c>
      <c r="AJ431" s="408">
        <v>0</v>
      </c>
      <c r="AK431" s="408">
        <v>0</v>
      </c>
      <c r="AL431" s="408">
        <v>-12.925798707373948</v>
      </c>
      <c r="AM431" s="408"/>
      <c r="AN431" s="408">
        <v>-2.9862943189926843</v>
      </c>
      <c r="AO431" s="408">
        <v>0</v>
      </c>
      <c r="AP431" s="408">
        <v>0</v>
      </c>
      <c r="AQ431" s="408">
        <v>0</v>
      </c>
      <c r="AR431" s="408">
        <v>0</v>
      </c>
      <c r="AS431" s="408">
        <v>0</v>
      </c>
      <c r="AT431" s="408">
        <v>0</v>
      </c>
      <c r="AU431" s="408">
        <v>0</v>
      </c>
      <c r="AV431" s="408">
        <v>0</v>
      </c>
      <c r="AW431" s="408">
        <v>0</v>
      </c>
      <c r="AX431" s="408">
        <v>0</v>
      </c>
      <c r="AY431" s="408">
        <v>0</v>
      </c>
      <c r="AZ431" s="408">
        <v>0</v>
      </c>
      <c r="BA431" s="408"/>
      <c r="BB431" s="408">
        <v>0</v>
      </c>
      <c r="BC431" s="408">
        <v>0</v>
      </c>
      <c r="BD431" s="408">
        <v>-2.0268356489570936</v>
      </c>
      <c r="BE431" s="408">
        <v>0</v>
      </c>
      <c r="BF431" s="408">
        <v>0</v>
      </c>
      <c r="BG431" s="408">
        <v>-49.304627093789477</v>
      </c>
      <c r="BH431" s="408">
        <v>0</v>
      </c>
      <c r="BI431" s="408">
        <v>-8.0399999999999991</v>
      </c>
      <c r="BJ431" s="408">
        <v>-12.24</v>
      </c>
      <c r="BK431" s="408">
        <v>-342.26</v>
      </c>
      <c r="BL431" s="408">
        <v>0</v>
      </c>
      <c r="BM431" s="408"/>
      <c r="BN431" s="408"/>
      <c r="BO431" s="408"/>
      <c r="BP431" s="408"/>
      <c r="BQ431" s="408"/>
      <c r="BR431" s="408"/>
      <c r="BS431" s="408"/>
      <c r="BT431" s="408"/>
      <c r="BU431" s="408"/>
      <c r="BV431" s="408">
        <v>-400.24289229833732</v>
      </c>
      <c r="BW431" s="408"/>
      <c r="BX431" s="408"/>
      <c r="BY431" s="408"/>
      <c r="BZ431" s="408"/>
      <c r="CA431" s="408"/>
      <c r="CB431" s="408"/>
      <c r="CC431" s="408"/>
      <c r="CD431" s="408"/>
      <c r="CE431" s="408"/>
      <c r="CF431" s="408"/>
      <c r="CG431" s="408"/>
      <c r="CH431" s="408"/>
      <c r="CI431" s="408">
        <v>-898.1848</v>
      </c>
      <c r="CJ431" s="408">
        <v>417.53080000000023</v>
      </c>
      <c r="CK431" s="408"/>
      <c r="CL431" s="408"/>
      <c r="CM431" s="408"/>
      <c r="CN431" s="408"/>
      <c r="CO431" s="408">
        <v>439.30720000000002</v>
      </c>
      <c r="CP431" s="408">
        <v>-21.746400000000015</v>
      </c>
      <c r="CQ431" s="408">
        <v>30</v>
      </c>
      <c r="CR431" s="408">
        <v>-18.078869148096032</v>
      </c>
      <c r="CS431" s="408">
        <v>0</v>
      </c>
      <c r="CT431" s="408">
        <v>0</v>
      </c>
      <c r="CU431" s="408">
        <v>0</v>
      </c>
      <c r="CV431" s="408">
        <v>0</v>
      </c>
      <c r="CW431" s="408">
        <v>0</v>
      </c>
      <c r="CX431" s="408">
        <v>0</v>
      </c>
      <c r="CY431" s="408">
        <v>0</v>
      </c>
      <c r="CZ431" s="408">
        <v>0.75662505367958488</v>
      </c>
      <c r="DA431" s="408">
        <v>0</v>
      </c>
      <c r="DB431" s="408">
        <v>0</v>
      </c>
      <c r="DC431" s="408">
        <v>-21.736647936394604</v>
      </c>
      <c r="DD431" s="408">
        <v>0</v>
      </c>
      <c r="DE431" s="408">
        <v>0</v>
      </c>
      <c r="DF431" s="408">
        <v>-0.12626875818436156</v>
      </c>
      <c r="DG431" s="408">
        <v>-3.0716027908228085</v>
      </c>
      <c r="DH431" s="408">
        <v>0</v>
      </c>
      <c r="DI431" s="408">
        <v>5.1989163134775964</v>
      </c>
      <c r="DJ431" s="408"/>
      <c r="DK431" s="408">
        <v>0</v>
      </c>
      <c r="DL431" s="408">
        <v>0</v>
      </c>
      <c r="DM431" s="408">
        <v>0</v>
      </c>
      <c r="DN431" s="408">
        <v>0</v>
      </c>
      <c r="DO431" s="408">
        <v>0.70927335593167662</v>
      </c>
      <c r="DP431" s="408">
        <v>0.19083561421676443</v>
      </c>
      <c r="DQ431" s="408">
        <v>0</v>
      </c>
      <c r="DR431" s="408">
        <v>0</v>
      </c>
      <c r="DS431" s="408"/>
      <c r="DT431" s="408"/>
      <c r="DU431" s="408"/>
      <c r="DV431" s="408">
        <v>-648.59768389200667</v>
      </c>
      <c r="DW431" s="408">
        <v>0</v>
      </c>
      <c r="DX431" s="408">
        <v>0</v>
      </c>
      <c r="DY431" s="408">
        <v>439.30720000000008</v>
      </c>
      <c r="DZ431" s="408">
        <v>-21.746400000000051</v>
      </c>
      <c r="EA431" s="408">
        <v>0</v>
      </c>
      <c r="EB431" s="408">
        <v>0</v>
      </c>
      <c r="EC431" s="408">
        <v>435.64663432212529</v>
      </c>
      <c r="ED431" s="408">
        <v>0</v>
      </c>
      <c r="EE431" s="408">
        <v>0</v>
      </c>
      <c r="EF431" s="408">
        <v>0</v>
      </c>
      <c r="EG431" s="408">
        <v>0</v>
      </c>
      <c r="EH431" s="408">
        <v>0</v>
      </c>
      <c r="EI431" s="408">
        <v>0</v>
      </c>
      <c r="EJ431" s="408">
        <v>0</v>
      </c>
      <c r="EK431" s="408">
        <v>0</v>
      </c>
      <c r="EL431" s="408">
        <v>0</v>
      </c>
      <c r="EM431" s="408">
        <v>0</v>
      </c>
      <c r="EN431" s="408">
        <v>0</v>
      </c>
      <c r="EO431" s="408">
        <v>0</v>
      </c>
      <c r="EP431" s="408">
        <v>0</v>
      </c>
      <c r="EQ431" s="408">
        <v>0</v>
      </c>
      <c r="ER431" s="408">
        <v>0</v>
      </c>
      <c r="ES431" s="408">
        <v>0</v>
      </c>
      <c r="ET431" s="408">
        <v>0</v>
      </c>
      <c r="EU431" s="408">
        <v>0</v>
      </c>
      <c r="EV431" s="408">
        <v>257</v>
      </c>
      <c r="EW431" s="408">
        <v>0</v>
      </c>
      <c r="EX431" s="408">
        <v>0</v>
      </c>
      <c r="EY431" s="408">
        <v>0</v>
      </c>
      <c r="EZ431" s="408"/>
      <c r="FA431" s="408">
        <v>0</v>
      </c>
      <c r="FB431" s="408"/>
      <c r="FC431" s="408"/>
      <c r="FD431" s="408"/>
      <c r="FE431" s="408"/>
      <c r="FF431" s="408">
        <v>0</v>
      </c>
      <c r="FG431" s="408">
        <v>0</v>
      </c>
      <c r="FH431" s="408">
        <v>0</v>
      </c>
      <c r="FI431" s="408">
        <v>0</v>
      </c>
    </row>
    <row r="432" spans="1:165">
      <c r="A432" s="408">
        <v>430</v>
      </c>
      <c r="B432" s="408" t="s">
        <v>2236</v>
      </c>
      <c r="C432" s="408" t="s">
        <v>2233</v>
      </c>
      <c r="D432" s="408" t="s">
        <v>1958</v>
      </c>
      <c r="E432" s="408" t="s">
        <v>997</v>
      </c>
      <c r="F432" s="408" t="s">
        <v>1321</v>
      </c>
      <c r="G432" s="408" t="s">
        <v>1321</v>
      </c>
      <c r="H432" s="408" t="s">
        <v>1321</v>
      </c>
      <c r="I432" s="408" t="s">
        <v>1321</v>
      </c>
      <c r="J432" s="408" t="s">
        <v>2234</v>
      </c>
      <c r="K432" s="828">
        <v>44713</v>
      </c>
      <c r="L432" s="408">
        <v>0</v>
      </c>
      <c r="M432" s="408">
        <v>0</v>
      </c>
      <c r="N432" s="408">
        <v>28.498999999999999</v>
      </c>
      <c r="O432" s="408">
        <v>28.498999999999999</v>
      </c>
      <c r="P432" s="408">
        <v>28.498999999999999</v>
      </c>
      <c r="Q432" s="408">
        <v>28.498999999999999</v>
      </c>
      <c r="R432" s="408"/>
      <c r="S432" s="408">
        <v>710.91</v>
      </c>
      <c r="T432" s="408">
        <v>256.55</v>
      </c>
      <c r="U432" s="408"/>
      <c r="V432" s="408">
        <v>27571.642540000001</v>
      </c>
      <c r="W432" s="408">
        <v>27571.642540000001</v>
      </c>
      <c r="X432" s="408">
        <v>18821.594570000001</v>
      </c>
      <c r="Y432" s="408">
        <v>0</v>
      </c>
      <c r="Z432" s="408">
        <v>1751.966945160593</v>
      </c>
      <c r="AA432" s="408">
        <v>0</v>
      </c>
      <c r="AB432" s="408">
        <v>0</v>
      </c>
      <c r="AC432" s="408">
        <v>0</v>
      </c>
      <c r="AD432" s="408">
        <v>3507.7364266062982</v>
      </c>
      <c r="AE432" s="408">
        <v>13591.459847969336</v>
      </c>
      <c r="AF432" s="408">
        <v>7311.4903168417504</v>
      </c>
      <c r="AG432" s="408">
        <v>0</v>
      </c>
      <c r="AH432" s="408">
        <v>0</v>
      </c>
      <c r="AI432" s="408">
        <v>0</v>
      </c>
      <c r="AJ432" s="408">
        <v>0</v>
      </c>
      <c r="AK432" s="408">
        <v>0</v>
      </c>
      <c r="AL432" s="408">
        <v>270.86201276577214</v>
      </c>
      <c r="AM432" s="408"/>
      <c r="AN432" s="408">
        <v>62.578236615420956</v>
      </c>
      <c r="AO432" s="408">
        <v>0</v>
      </c>
      <c r="AP432" s="408">
        <v>0</v>
      </c>
      <c r="AQ432" s="408">
        <v>0</v>
      </c>
      <c r="AR432" s="408">
        <v>0</v>
      </c>
      <c r="AS432" s="408">
        <v>0</v>
      </c>
      <c r="AT432" s="408">
        <v>0</v>
      </c>
      <c r="AU432" s="408">
        <v>0</v>
      </c>
      <c r="AV432" s="408">
        <v>0</v>
      </c>
      <c r="AW432" s="408">
        <v>0</v>
      </c>
      <c r="AX432" s="408">
        <v>0</v>
      </c>
      <c r="AY432" s="408">
        <v>0</v>
      </c>
      <c r="AZ432" s="408">
        <v>0</v>
      </c>
      <c r="BA432" s="408"/>
      <c r="BB432" s="408">
        <v>0</v>
      </c>
      <c r="BC432" s="408">
        <v>0</v>
      </c>
      <c r="BD432" s="408">
        <v>42.472639087961916</v>
      </c>
      <c r="BE432" s="408">
        <v>0</v>
      </c>
      <c r="BF432" s="408">
        <v>0</v>
      </c>
      <c r="BG432" s="408">
        <v>1033.1857114308134</v>
      </c>
      <c r="BH432" s="408">
        <v>0</v>
      </c>
      <c r="BI432" s="408">
        <v>54.14</v>
      </c>
      <c r="BJ432" s="408">
        <v>211.55</v>
      </c>
      <c r="BK432" s="408">
        <v>11343.36</v>
      </c>
      <c r="BL432" s="408">
        <v>45</v>
      </c>
      <c r="BM432" s="408"/>
      <c r="BN432" s="408"/>
      <c r="BO432" s="408"/>
      <c r="BP432" s="408"/>
      <c r="BQ432" s="408"/>
      <c r="BR432" s="408"/>
      <c r="BS432" s="408"/>
      <c r="BT432" s="408"/>
      <c r="BU432" s="408"/>
      <c r="BV432" s="408">
        <v>8387.1486673605268</v>
      </c>
      <c r="BW432" s="408"/>
      <c r="BX432" s="408"/>
      <c r="BY432" s="408"/>
      <c r="BZ432" s="408"/>
      <c r="CA432" s="408"/>
      <c r="CB432" s="408"/>
      <c r="CC432" s="408"/>
      <c r="CD432" s="408"/>
      <c r="CE432" s="408"/>
      <c r="CF432" s="408"/>
      <c r="CG432" s="408"/>
      <c r="CH432" s="408"/>
      <c r="CI432" s="408">
        <v>18822.255000000001</v>
      </c>
      <c r="CJ432" s="408">
        <v>-8749.4175399999949</v>
      </c>
      <c r="CK432" s="408"/>
      <c r="CL432" s="408"/>
      <c r="CM432" s="408"/>
      <c r="CN432" s="408"/>
      <c r="CO432" s="408">
        <v>-9205.7469799999999</v>
      </c>
      <c r="CP432" s="408">
        <v>455.69901000000021</v>
      </c>
      <c r="CQ432" s="408">
        <v>30</v>
      </c>
      <c r="CR432" s="408">
        <v>378.84536165558166</v>
      </c>
      <c r="CS432" s="408">
        <v>0</v>
      </c>
      <c r="CT432" s="408">
        <v>0</v>
      </c>
      <c r="CU432" s="408">
        <v>0</v>
      </c>
      <c r="CV432" s="408">
        <v>0</v>
      </c>
      <c r="CW432" s="408">
        <v>0</v>
      </c>
      <c r="CX432" s="408">
        <v>0</v>
      </c>
      <c r="CY432" s="408">
        <v>0</v>
      </c>
      <c r="CZ432" s="408">
        <v>-15.855189268246249</v>
      </c>
      <c r="DA432" s="408">
        <v>0</v>
      </c>
      <c r="DB432" s="408">
        <v>0</v>
      </c>
      <c r="DC432" s="408">
        <v>455.49465407302068</v>
      </c>
      <c r="DD432" s="408">
        <v>0</v>
      </c>
      <c r="DE432" s="408">
        <v>0</v>
      </c>
      <c r="DF432" s="408">
        <v>2.6459803966883229</v>
      </c>
      <c r="DG432" s="408">
        <v>64.365888187984638</v>
      </c>
      <c r="DH432" s="408">
        <v>0</v>
      </c>
      <c r="DI432" s="408">
        <v>-108.94405589543953</v>
      </c>
      <c r="DJ432" s="408"/>
      <c r="DK432" s="408">
        <v>0</v>
      </c>
      <c r="DL432" s="408">
        <v>0</v>
      </c>
      <c r="DM432" s="408">
        <v>0</v>
      </c>
      <c r="DN432" s="408">
        <v>0</v>
      </c>
      <c r="DO432" s="408">
        <v>-14.862927478453571</v>
      </c>
      <c r="DP432" s="408">
        <v>-3.998988359973211</v>
      </c>
      <c r="DQ432" s="408">
        <v>0</v>
      </c>
      <c r="DR432" s="408">
        <v>0</v>
      </c>
      <c r="DS432" s="408"/>
      <c r="DT432" s="408"/>
      <c r="DU432" s="408"/>
      <c r="DV432" s="408">
        <v>13591.459847969336</v>
      </c>
      <c r="DW432" s="408">
        <v>0</v>
      </c>
      <c r="DX432" s="408">
        <v>0</v>
      </c>
      <c r="DY432" s="408">
        <v>-9205.7469799999999</v>
      </c>
      <c r="DZ432" s="408">
        <v>455.69901000000027</v>
      </c>
      <c r="EA432" s="408">
        <v>0</v>
      </c>
      <c r="EB432" s="408">
        <v>0</v>
      </c>
      <c r="EC432" s="408">
        <v>-9129.0392879016545</v>
      </c>
      <c r="ED432" s="408">
        <v>0</v>
      </c>
      <c r="EE432" s="408">
        <v>0</v>
      </c>
      <c r="EF432" s="408">
        <v>0</v>
      </c>
      <c r="EG432" s="408">
        <v>0</v>
      </c>
      <c r="EH432" s="408">
        <v>0</v>
      </c>
      <c r="EI432" s="408">
        <v>0</v>
      </c>
      <c r="EJ432" s="408">
        <v>0</v>
      </c>
      <c r="EK432" s="408">
        <v>0</v>
      </c>
      <c r="EL432" s="408">
        <v>0</v>
      </c>
      <c r="EM432" s="408">
        <v>0</v>
      </c>
      <c r="EN432" s="408">
        <v>0</v>
      </c>
      <c r="EO432" s="408">
        <v>0</v>
      </c>
      <c r="EP432" s="408">
        <v>0</v>
      </c>
      <c r="EQ432" s="408">
        <v>0</v>
      </c>
      <c r="ER432" s="408">
        <v>0</v>
      </c>
      <c r="ES432" s="408">
        <v>0</v>
      </c>
      <c r="ET432" s="408">
        <v>0</v>
      </c>
      <c r="EU432" s="408">
        <v>0</v>
      </c>
      <c r="EV432" s="408">
        <v>257</v>
      </c>
      <c r="EW432" s="408">
        <v>0</v>
      </c>
      <c r="EX432" s="408">
        <v>0</v>
      </c>
      <c r="EY432" s="408">
        <v>0</v>
      </c>
      <c r="EZ432" s="408"/>
      <c r="FA432" s="408">
        <v>0</v>
      </c>
      <c r="FB432" s="408"/>
      <c r="FC432" s="408"/>
      <c r="FD432" s="408"/>
      <c r="FE432" s="408"/>
      <c r="FF432" s="408">
        <v>0</v>
      </c>
      <c r="FG432" s="408">
        <v>0</v>
      </c>
      <c r="FH432" s="408">
        <v>0</v>
      </c>
      <c r="FI432" s="408">
        <v>0</v>
      </c>
    </row>
    <row r="433" spans="1:165">
      <c r="A433" s="408">
        <v>431</v>
      </c>
      <c r="B433" s="408" t="s">
        <v>1035</v>
      </c>
      <c r="C433" s="408" t="s">
        <v>2241</v>
      </c>
      <c r="D433" s="408" t="s">
        <v>596</v>
      </c>
      <c r="E433" s="408" t="s">
        <v>997</v>
      </c>
      <c r="F433" s="408" t="s">
        <v>1321</v>
      </c>
      <c r="G433" s="408" t="s">
        <v>1321</v>
      </c>
      <c r="H433" s="408" t="s">
        <v>1321</v>
      </c>
      <c r="I433" s="408" t="s">
        <v>972</v>
      </c>
      <c r="J433" s="408" t="s">
        <v>2234</v>
      </c>
      <c r="K433" s="828">
        <v>44713</v>
      </c>
      <c r="L433" s="408">
        <v>0</v>
      </c>
      <c r="M433" s="408">
        <v>0</v>
      </c>
      <c r="N433" s="408">
        <v>12.417999999999999</v>
      </c>
      <c r="O433" s="408">
        <v>12.417999999999999</v>
      </c>
      <c r="P433" s="408">
        <v>12.417999999999999</v>
      </c>
      <c r="Q433" s="408">
        <v>12.417999999999999</v>
      </c>
      <c r="R433" s="408"/>
      <c r="S433" s="408">
        <v>3130.62</v>
      </c>
      <c r="T433" s="408">
        <v>256.55</v>
      </c>
      <c r="U433" s="408"/>
      <c r="V433" s="408">
        <v>42061.877059999992</v>
      </c>
      <c r="W433" s="408">
        <v>42061.877059999992</v>
      </c>
      <c r="X433" s="408">
        <v>22136.699339999999</v>
      </c>
      <c r="Y433" s="408">
        <v>0</v>
      </c>
      <c r="Z433" s="408">
        <v>664.15155643193418</v>
      </c>
      <c r="AA433" s="408">
        <v>0</v>
      </c>
      <c r="AB433" s="408">
        <v>0</v>
      </c>
      <c r="AC433" s="408">
        <v>0</v>
      </c>
      <c r="AD433" s="408">
        <v>7999.8470587141755</v>
      </c>
      <c r="AE433" s="408">
        <v>29854.71809736485</v>
      </c>
      <c r="AF433" s="408">
        <v>3185.8692148686218</v>
      </c>
      <c r="AG433" s="408">
        <v>0</v>
      </c>
      <c r="AH433" s="408">
        <v>0</v>
      </c>
      <c r="AI433" s="408">
        <v>0</v>
      </c>
      <c r="AJ433" s="408">
        <v>0</v>
      </c>
      <c r="AK433" s="408">
        <v>0</v>
      </c>
      <c r="AL433" s="408">
        <v>118.02394731483064</v>
      </c>
      <c r="AM433" s="408"/>
      <c r="AN433" s="408">
        <v>16.752564925609313</v>
      </c>
      <c r="AO433" s="408">
        <v>0</v>
      </c>
      <c r="AP433" s="408">
        <v>0</v>
      </c>
      <c r="AQ433" s="408">
        <v>0</v>
      </c>
      <c r="AR433" s="408">
        <v>0</v>
      </c>
      <c r="AS433" s="408">
        <v>0</v>
      </c>
      <c r="AT433" s="408">
        <v>0</v>
      </c>
      <c r="AU433" s="408">
        <v>0</v>
      </c>
      <c r="AV433" s="408">
        <v>0</v>
      </c>
      <c r="AW433" s="408">
        <v>0</v>
      </c>
      <c r="AX433" s="408">
        <v>0</v>
      </c>
      <c r="AY433" s="408">
        <v>0</v>
      </c>
      <c r="AZ433" s="408">
        <v>0</v>
      </c>
      <c r="BA433" s="408"/>
      <c r="BB433" s="408">
        <v>0</v>
      </c>
      <c r="BC433" s="408">
        <v>0</v>
      </c>
      <c r="BD433" s="408">
        <v>15.299289147267087</v>
      </c>
      <c r="BE433" s="408">
        <v>0</v>
      </c>
      <c r="BF433" s="408">
        <v>0</v>
      </c>
      <c r="BG433" s="408">
        <v>207.24758083773841</v>
      </c>
      <c r="BH433" s="408">
        <v>0</v>
      </c>
      <c r="BI433" s="408">
        <v>0</v>
      </c>
      <c r="BJ433" s="408">
        <v>0</v>
      </c>
      <c r="BK433" s="408">
        <v>0</v>
      </c>
      <c r="BL433" s="408">
        <v>0</v>
      </c>
      <c r="BM433" s="408"/>
      <c r="BN433" s="408"/>
      <c r="BO433" s="408"/>
      <c r="BP433" s="408"/>
      <c r="BQ433" s="408"/>
      <c r="BR433" s="408"/>
      <c r="BS433" s="408"/>
      <c r="BT433" s="408"/>
      <c r="BU433" s="408"/>
      <c r="BV433" s="408">
        <v>3408.4160848536276</v>
      </c>
      <c r="BW433" s="408"/>
      <c r="BX433" s="408"/>
      <c r="BY433" s="408"/>
      <c r="BZ433" s="408"/>
      <c r="CA433" s="408"/>
      <c r="CB433" s="408"/>
      <c r="CC433" s="408"/>
      <c r="CD433" s="408"/>
      <c r="CE433" s="408"/>
      <c r="CF433" s="408"/>
      <c r="CG433" s="408"/>
      <c r="CH433" s="408"/>
      <c r="CI433" s="408">
        <v>22140.264599999999</v>
      </c>
      <c r="CJ433" s="408">
        <v>-19921.642459999999</v>
      </c>
      <c r="CK433" s="408"/>
      <c r="CL433" s="408"/>
      <c r="CM433" s="408"/>
      <c r="CN433" s="408"/>
      <c r="CO433" s="408">
        <v>-20123.741539999999</v>
      </c>
      <c r="CP433" s="408">
        <v>198.56382000000011</v>
      </c>
      <c r="CQ433" s="408">
        <v>30</v>
      </c>
      <c r="CR433" s="408">
        <v>127.33294495206792</v>
      </c>
      <c r="CS433" s="408">
        <v>0</v>
      </c>
      <c r="CT433" s="408">
        <v>0</v>
      </c>
      <c r="CU433" s="408">
        <v>0</v>
      </c>
      <c r="CV433" s="408">
        <v>0</v>
      </c>
      <c r="CW433" s="408">
        <v>0</v>
      </c>
      <c r="CX433" s="408">
        <v>0</v>
      </c>
      <c r="CY433" s="408">
        <v>0</v>
      </c>
      <c r="CZ433" s="408">
        <v>-36.15981185783312</v>
      </c>
      <c r="DA433" s="408">
        <v>0</v>
      </c>
      <c r="DB433" s="408">
        <v>0</v>
      </c>
      <c r="DC433" s="408">
        <v>198.47477505452025</v>
      </c>
      <c r="DD433" s="408">
        <v>0</v>
      </c>
      <c r="DE433" s="408">
        <v>0</v>
      </c>
      <c r="DF433" s="408">
        <v>0.95312229322735753</v>
      </c>
      <c r="DG433" s="408">
        <v>12.911207024881008</v>
      </c>
      <c r="DH433" s="408">
        <v>0</v>
      </c>
      <c r="DI433" s="408">
        <v>-41.299503102401218</v>
      </c>
      <c r="DJ433" s="408"/>
      <c r="DK433" s="408">
        <v>0</v>
      </c>
      <c r="DL433" s="408">
        <v>0</v>
      </c>
      <c r="DM433" s="408">
        <v>0</v>
      </c>
      <c r="DN433" s="408">
        <v>0</v>
      </c>
      <c r="DO433" s="408">
        <v>-6.4762915690879055</v>
      </c>
      <c r="DP433" s="408">
        <v>-1.070552891237913</v>
      </c>
      <c r="DQ433" s="408">
        <v>0</v>
      </c>
      <c r="DR433" s="408">
        <v>0</v>
      </c>
      <c r="DS433" s="408"/>
      <c r="DT433" s="408"/>
      <c r="DU433" s="408"/>
      <c r="DV433" s="408">
        <v>29854.71809736485</v>
      </c>
      <c r="DW433" s="408">
        <v>0</v>
      </c>
      <c r="DX433" s="408">
        <v>0</v>
      </c>
      <c r="DY433" s="408">
        <v>-20123.741539999995</v>
      </c>
      <c r="DZ433" s="408">
        <v>198.56381999999985</v>
      </c>
      <c r="EA433" s="408">
        <v>0</v>
      </c>
      <c r="EB433" s="408">
        <v>0</v>
      </c>
      <c r="EC433" s="408">
        <v>-20052.65788139691</v>
      </c>
      <c r="ED433" s="408">
        <v>0</v>
      </c>
      <c r="EE433" s="408">
        <v>0</v>
      </c>
      <c r="EF433" s="408">
        <v>0</v>
      </c>
      <c r="EG433" s="408">
        <v>0</v>
      </c>
      <c r="EH433" s="408">
        <v>0</v>
      </c>
      <c r="EI433" s="408">
        <v>0</v>
      </c>
      <c r="EJ433" s="408">
        <v>0</v>
      </c>
      <c r="EK433" s="408">
        <v>0</v>
      </c>
      <c r="EL433" s="408">
        <v>0</v>
      </c>
      <c r="EM433" s="408">
        <v>0</v>
      </c>
      <c r="EN433" s="408">
        <v>0</v>
      </c>
      <c r="EO433" s="408">
        <v>0</v>
      </c>
      <c r="EP433" s="408">
        <v>0</v>
      </c>
      <c r="EQ433" s="408">
        <v>0</v>
      </c>
      <c r="ER433" s="408">
        <v>0</v>
      </c>
      <c r="ES433" s="408">
        <v>0</v>
      </c>
      <c r="ET433" s="408">
        <v>0</v>
      </c>
      <c r="EU433" s="408">
        <v>0</v>
      </c>
      <c r="EV433" s="408">
        <v>257</v>
      </c>
      <c r="EW433" s="408">
        <v>0</v>
      </c>
      <c r="EX433" s="408">
        <v>0</v>
      </c>
      <c r="EY433" s="408">
        <v>0</v>
      </c>
      <c r="EZ433" s="408"/>
      <c r="FA433" s="408">
        <v>0</v>
      </c>
      <c r="FB433" s="408"/>
      <c r="FC433" s="408"/>
      <c r="FD433" s="408"/>
      <c r="FE433" s="408"/>
      <c r="FF433" s="408">
        <v>0</v>
      </c>
      <c r="FG433" s="408">
        <v>0</v>
      </c>
      <c r="FH433" s="408">
        <v>0</v>
      </c>
      <c r="FI433" s="408">
        <v>0</v>
      </c>
    </row>
    <row r="434" spans="1:165">
      <c r="A434" s="408">
        <v>432</v>
      </c>
      <c r="B434" s="408" t="s">
        <v>2236</v>
      </c>
      <c r="C434" s="408" t="s">
        <v>2241</v>
      </c>
      <c r="D434" s="408" t="s">
        <v>596</v>
      </c>
      <c r="E434" s="408" t="s">
        <v>997</v>
      </c>
      <c r="F434" s="408" t="s">
        <v>1321</v>
      </c>
      <c r="G434" s="408" t="s">
        <v>1321</v>
      </c>
      <c r="H434" s="408" t="s">
        <v>1321</v>
      </c>
      <c r="I434" s="408" t="s">
        <v>972</v>
      </c>
      <c r="J434" s="408" t="s">
        <v>2234</v>
      </c>
      <c r="K434" s="828">
        <v>44713</v>
      </c>
      <c r="L434" s="408">
        <v>0</v>
      </c>
      <c r="M434" s="408">
        <v>0</v>
      </c>
      <c r="N434" s="408">
        <v>0.872</v>
      </c>
      <c r="O434" s="408">
        <v>0.872</v>
      </c>
      <c r="P434" s="408">
        <v>0.872</v>
      </c>
      <c r="Q434" s="408">
        <v>0.872</v>
      </c>
      <c r="R434" s="408"/>
      <c r="S434" s="408">
        <v>3130.62</v>
      </c>
      <c r="T434" s="408">
        <v>256.55</v>
      </c>
      <c r="U434" s="408"/>
      <c r="V434" s="408">
        <v>2953.6122399999999</v>
      </c>
      <c r="W434" s="408">
        <v>2953.6122399999999</v>
      </c>
      <c r="X434" s="408">
        <v>1554.45336</v>
      </c>
      <c r="Y434" s="408">
        <v>0</v>
      </c>
      <c r="Z434" s="408">
        <v>46.637152295751861</v>
      </c>
      <c r="AA434" s="408">
        <v>0</v>
      </c>
      <c r="AB434" s="408">
        <v>0</v>
      </c>
      <c r="AC434" s="408">
        <v>0</v>
      </c>
      <c r="AD434" s="408">
        <v>561.75443994191994</v>
      </c>
      <c r="AE434" s="408">
        <v>2096.4176341522107</v>
      </c>
      <c r="AF434" s="408">
        <v>223.71379895034934</v>
      </c>
      <c r="AG434" s="408">
        <v>0</v>
      </c>
      <c r="AH434" s="408">
        <v>0</v>
      </c>
      <c r="AI434" s="408">
        <v>0</v>
      </c>
      <c r="AJ434" s="408">
        <v>0</v>
      </c>
      <c r="AK434" s="408">
        <v>0</v>
      </c>
      <c r="AL434" s="408">
        <v>8.287717994728002</v>
      </c>
      <c r="AM434" s="408"/>
      <c r="AN434" s="408">
        <v>1.1763759554784445</v>
      </c>
      <c r="AO434" s="408">
        <v>0</v>
      </c>
      <c r="AP434" s="408">
        <v>0</v>
      </c>
      <c r="AQ434" s="408">
        <v>0</v>
      </c>
      <c r="AR434" s="408">
        <v>0</v>
      </c>
      <c r="AS434" s="408">
        <v>0</v>
      </c>
      <c r="AT434" s="408">
        <v>0</v>
      </c>
      <c r="AU434" s="408">
        <v>0</v>
      </c>
      <c r="AV434" s="408">
        <v>0</v>
      </c>
      <c r="AW434" s="408">
        <v>0</v>
      </c>
      <c r="AX434" s="408">
        <v>0</v>
      </c>
      <c r="AY434" s="408">
        <v>0</v>
      </c>
      <c r="AZ434" s="408">
        <v>0</v>
      </c>
      <c r="BA434" s="408"/>
      <c r="BB434" s="408">
        <v>0</v>
      </c>
      <c r="BC434" s="408">
        <v>0</v>
      </c>
      <c r="BD434" s="408">
        <v>1.0743259894038413</v>
      </c>
      <c r="BE434" s="408">
        <v>0</v>
      </c>
      <c r="BF434" s="408">
        <v>0</v>
      </c>
      <c r="BG434" s="408">
        <v>14.553059308303101</v>
      </c>
      <c r="BH434" s="408">
        <v>0</v>
      </c>
      <c r="BI434" s="408">
        <v>0</v>
      </c>
      <c r="BJ434" s="408">
        <v>0</v>
      </c>
      <c r="BK434" s="408">
        <v>0</v>
      </c>
      <c r="BL434" s="408">
        <v>0</v>
      </c>
      <c r="BM434" s="408"/>
      <c r="BN434" s="408"/>
      <c r="BO434" s="408"/>
      <c r="BP434" s="408"/>
      <c r="BQ434" s="408"/>
      <c r="BR434" s="408"/>
      <c r="BS434" s="408"/>
      <c r="BT434" s="408"/>
      <c r="BU434" s="408"/>
      <c r="BV434" s="408">
        <v>239.34118424805627</v>
      </c>
      <c r="BW434" s="408"/>
      <c r="BX434" s="408"/>
      <c r="BY434" s="408"/>
      <c r="BZ434" s="408"/>
      <c r="CA434" s="408"/>
      <c r="CB434" s="408"/>
      <c r="CC434" s="408"/>
      <c r="CD434" s="408"/>
      <c r="CE434" s="408"/>
      <c r="CF434" s="408"/>
      <c r="CG434" s="408"/>
      <c r="CH434" s="408"/>
      <c r="CI434" s="408">
        <v>1550.8880999999999</v>
      </c>
      <c r="CJ434" s="408">
        <v>-1402.7541400000007</v>
      </c>
      <c r="CK434" s="408"/>
      <c r="CL434" s="408"/>
      <c r="CM434" s="408"/>
      <c r="CN434" s="408"/>
      <c r="CO434" s="408">
        <v>-1413.1021599999999</v>
      </c>
      <c r="CP434" s="408">
        <v>13.943280000000009</v>
      </c>
      <c r="CQ434" s="408">
        <v>30</v>
      </c>
      <c r="CR434" s="408">
        <v>8.9414018358997964</v>
      </c>
      <c r="CS434" s="408">
        <v>0</v>
      </c>
      <c r="CT434" s="408">
        <v>0</v>
      </c>
      <c r="CU434" s="408">
        <v>0</v>
      </c>
      <c r="CV434" s="408">
        <v>0</v>
      </c>
      <c r="CW434" s="408">
        <v>0</v>
      </c>
      <c r="CX434" s="408">
        <v>0</v>
      </c>
      <c r="CY434" s="408">
        <v>0</v>
      </c>
      <c r="CZ434" s="408">
        <v>-2.5391654002279438</v>
      </c>
      <c r="DA434" s="408">
        <v>0</v>
      </c>
      <c r="DB434" s="408">
        <v>0</v>
      </c>
      <c r="DC434" s="408">
        <v>13.937027206276525</v>
      </c>
      <c r="DD434" s="408">
        <v>0</v>
      </c>
      <c r="DE434" s="408">
        <v>0</v>
      </c>
      <c r="DF434" s="408">
        <v>6.6928864526836662E-2</v>
      </c>
      <c r="DG434" s="408">
        <v>0.90663331661267677</v>
      </c>
      <c r="DH434" s="408">
        <v>0</v>
      </c>
      <c r="DI434" s="408">
        <v>-2.9000778471004836</v>
      </c>
      <c r="DJ434" s="408"/>
      <c r="DK434" s="408">
        <v>0</v>
      </c>
      <c r="DL434" s="408">
        <v>0</v>
      </c>
      <c r="DM434" s="408">
        <v>0</v>
      </c>
      <c r="DN434" s="408">
        <v>0</v>
      </c>
      <c r="DO434" s="408">
        <v>-0.45476938703854586</v>
      </c>
      <c r="DP434" s="408">
        <v>-7.5174917149256171E-2</v>
      </c>
      <c r="DQ434" s="408">
        <v>0</v>
      </c>
      <c r="DR434" s="408">
        <v>0</v>
      </c>
      <c r="DS434" s="408"/>
      <c r="DT434" s="408"/>
      <c r="DU434" s="408"/>
      <c r="DV434" s="408">
        <v>2096.4176341522107</v>
      </c>
      <c r="DW434" s="408">
        <v>0</v>
      </c>
      <c r="DX434" s="408">
        <v>0</v>
      </c>
      <c r="DY434" s="408">
        <v>-1413.1021599999999</v>
      </c>
      <c r="DZ434" s="408">
        <v>13.943280000000016</v>
      </c>
      <c r="EA434" s="408">
        <v>0</v>
      </c>
      <c r="EB434" s="408">
        <v>0</v>
      </c>
      <c r="EC434" s="408">
        <v>-1408.1106194699717</v>
      </c>
      <c r="ED434" s="408">
        <v>0</v>
      </c>
      <c r="EE434" s="408">
        <v>0</v>
      </c>
      <c r="EF434" s="408">
        <v>0</v>
      </c>
      <c r="EG434" s="408">
        <v>0</v>
      </c>
      <c r="EH434" s="408">
        <v>0</v>
      </c>
      <c r="EI434" s="408">
        <v>0</v>
      </c>
      <c r="EJ434" s="408">
        <v>0</v>
      </c>
      <c r="EK434" s="408">
        <v>0</v>
      </c>
      <c r="EL434" s="408">
        <v>0</v>
      </c>
      <c r="EM434" s="408">
        <v>0</v>
      </c>
      <c r="EN434" s="408">
        <v>0</v>
      </c>
      <c r="EO434" s="408">
        <v>0</v>
      </c>
      <c r="EP434" s="408">
        <v>0</v>
      </c>
      <c r="EQ434" s="408">
        <v>0</v>
      </c>
      <c r="ER434" s="408">
        <v>0</v>
      </c>
      <c r="ES434" s="408">
        <v>0</v>
      </c>
      <c r="ET434" s="408">
        <v>0</v>
      </c>
      <c r="EU434" s="408">
        <v>0</v>
      </c>
      <c r="EV434" s="408">
        <v>257</v>
      </c>
      <c r="EW434" s="408">
        <v>0</v>
      </c>
      <c r="EX434" s="408">
        <v>0</v>
      </c>
      <c r="EY434" s="408">
        <v>0</v>
      </c>
      <c r="EZ434" s="408"/>
      <c r="FA434" s="408">
        <v>0</v>
      </c>
      <c r="FB434" s="408"/>
      <c r="FC434" s="408"/>
      <c r="FD434" s="408"/>
      <c r="FE434" s="408"/>
      <c r="FF434" s="408">
        <v>0</v>
      </c>
      <c r="FG434" s="408">
        <v>0</v>
      </c>
      <c r="FH434" s="408">
        <v>0</v>
      </c>
      <c r="FI434" s="408">
        <v>0</v>
      </c>
    </row>
    <row r="435" spans="1:165">
      <c r="A435" s="408">
        <v>433</v>
      </c>
      <c r="B435" s="408" t="s">
        <v>1035</v>
      </c>
      <c r="C435" s="408" t="s">
        <v>2241</v>
      </c>
      <c r="D435" s="408" t="s">
        <v>596</v>
      </c>
      <c r="E435" s="408" t="s">
        <v>997</v>
      </c>
      <c r="F435" s="408" t="s">
        <v>1321</v>
      </c>
      <c r="G435" s="408" t="s">
        <v>1321</v>
      </c>
      <c r="H435" s="408" t="s">
        <v>1321</v>
      </c>
      <c r="I435" s="408" t="s">
        <v>2242</v>
      </c>
      <c r="J435" s="408" t="s">
        <v>2234</v>
      </c>
      <c r="K435" s="828">
        <v>44713</v>
      </c>
      <c r="L435" s="408">
        <v>0</v>
      </c>
      <c r="M435" s="408">
        <v>0</v>
      </c>
      <c r="N435" s="408">
        <v>101.37</v>
      </c>
      <c r="O435" s="408">
        <v>101.37</v>
      </c>
      <c r="P435" s="408">
        <v>101.37</v>
      </c>
      <c r="Q435" s="408">
        <v>101.37</v>
      </c>
      <c r="R435" s="408"/>
      <c r="S435" s="408">
        <v>82.26</v>
      </c>
      <c r="T435" s="408">
        <v>256.55</v>
      </c>
      <c r="U435" s="408"/>
      <c r="V435" s="408">
        <v>34345.169700000006</v>
      </c>
      <c r="W435" s="408">
        <v>34345.169700000006</v>
      </c>
      <c r="X435" s="408">
        <v>35680.212599999999</v>
      </c>
      <c r="Y435" s="408">
        <v>0</v>
      </c>
      <c r="Z435" s="408">
        <v>5421.5689543811541</v>
      </c>
      <c r="AA435" s="408">
        <v>0</v>
      </c>
      <c r="AB435" s="408">
        <v>0</v>
      </c>
      <c r="AC435" s="408">
        <v>0</v>
      </c>
      <c r="AD435" s="408">
        <v>0</v>
      </c>
      <c r="AE435" s="408">
        <v>0</v>
      </c>
      <c r="AF435" s="408">
        <v>26006.729127978113</v>
      </c>
      <c r="AG435" s="408">
        <v>0</v>
      </c>
      <c r="AH435" s="408">
        <v>0</v>
      </c>
      <c r="AI435" s="408">
        <v>0</v>
      </c>
      <c r="AJ435" s="408">
        <v>0</v>
      </c>
      <c r="AK435" s="408">
        <v>0</v>
      </c>
      <c r="AL435" s="408">
        <v>963.44721688713025</v>
      </c>
      <c r="AM435" s="408"/>
      <c r="AN435" s="408">
        <v>136.75370482436918</v>
      </c>
      <c r="AO435" s="408">
        <v>0</v>
      </c>
      <c r="AP435" s="408">
        <v>0</v>
      </c>
      <c r="AQ435" s="408">
        <v>0</v>
      </c>
      <c r="AR435" s="408">
        <v>0</v>
      </c>
      <c r="AS435" s="408">
        <v>0</v>
      </c>
      <c r="AT435" s="408">
        <v>0</v>
      </c>
      <c r="AU435" s="408">
        <v>0</v>
      </c>
      <c r="AV435" s="408">
        <v>0</v>
      </c>
      <c r="AW435" s="408">
        <v>0</v>
      </c>
      <c r="AX435" s="408">
        <v>0</v>
      </c>
      <c r="AY435" s="408">
        <v>0</v>
      </c>
      <c r="AZ435" s="408">
        <v>0</v>
      </c>
      <c r="BA435" s="408"/>
      <c r="BB435" s="408">
        <v>0</v>
      </c>
      <c r="BC435" s="408">
        <v>0</v>
      </c>
      <c r="BD435" s="408">
        <v>124.89039626819655</v>
      </c>
      <c r="BE435" s="408">
        <v>0</v>
      </c>
      <c r="BF435" s="408">
        <v>0</v>
      </c>
      <c r="BG435" s="408">
        <v>1691.7931445902357</v>
      </c>
      <c r="BH435" s="408">
        <v>0</v>
      </c>
      <c r="BI435" s="408">
        <v>0</v>
      </c>
      <c r="BJ435" s="408">
        <v>0</v>
      </c>
      <c r="BK435" s="408">
        <v>0</v>
      </c>
      <c r="BL435" s="408">
        <v>0</v>
      </c>
      <c r="BM435" s="408"/>
      <c r="BN435" s="408"/>
      <c r="BO435" s="408"/>
      <c r="BP435" s="408"/>
      <c r="BQ435" s="408"/>
      <c r="BR435" s="408"/>
      <c r="BS435" s="408"/>
      <c r="BT435" s="408"/>
      <c r="BU435" s="408"/>
      <c r="BV435" s="408">
        <v>27823.412668836547</v>
      </c>
      <c r="BW435" s="408"/>
      <c r="BX435" s="408"/>
      <c r="BY435" s="408"/>
      <c r="BZ435" s="408"/>
      <c r="CA435" s="408"/>
      <c r="CB435" s="408"/>
      <c r="CC435" s="408"/>
      <c r="CD435" s="408"/>
      <c r="CE435" s="408"/>
      <c r="CF435" s="408"/>
      <c r="CG435" s="408"/>
      <c r="CH435" s="408"/>
      <c r="CI435" s="408">
        <v>35680.212599999999</v>
      </c>
      <c r="CJ435" s="408">
        <v>1335.0128999999943</v>
      </c>
      <c r="CK435" s="408"/>
      <c r="CL435" s="408"/>
      <c r="CM435" s="408"/>
      <c r="CN435" s="408"/>
      <c r="CO435" s="408">
        <v>-285.86340000000075</v>
      </c>
      <c r="CP435" s="408">
        <v>1620.906300000001</v>
      </c>
      <c r="CQ435" s="408">
        <v>30</v>
      </c>
      <c r="CR435" s="408">
        <v>1334.6159411998524</v>
      </c>
      <c r="CS435" s="408">
        <v>0</v>
      </c>
      <c r="CT435" s="408">
        <v>0</v>
      </c>
      <c r="CU435" s="408">
        <v>0</v>
      </c>
      <c r="CV435" s="408">
        <v>0</v>
      </c>
      <c r="CW435" s="408">
        <v>0</v>
      </c>
      <c r="CX435" s="408">
        <v>0</v>
      </c>
      <c r="CY435" s="408">
        <v>0</v>
      </c>
      <c r="CZ435" s="408">
        <v>0</v>
      </c>
      <c r="DA435" s="408">
        <v>0</v>
      </c>
      <c r="DB435" s="408">
        <v>0</v>
      </c>
      <c r="DC435" s="408">
        <v>1620.1794127296453</v>
      </c>
      <c r="DD435" s="408">
        <v>0</v>
      </c>
      <c r="DE435" s="408">
        <v>0</v>
      </c>
      <c r="DF435" s="408">
        <v>7.7804805012447389</v>
      </c>
      <c r="DG435" s="408">
        <v>105.39612305622359</v>
      </c>
      <c r="DH435" s="408">
        <v>0</v>
      </c>
      <c r="DI435" s="408">
        <v>-337.1340497254314</v>
      </c>
      <c r="DJ435" s="408"/>
      <c r="DK435" s="408">
        <v>0</v>
      </c>
      <c r="DL435" s="408">
        <v>0</v>
      </c>
      <c r="DM435" s="408">
        <v>0</v>
      </c>
      <c r="DN435" s="408">
        <v>0</v>
      </c>
      <c r="DO435" s="408">
        <v>-52.86694124323094</v>
      </c>
      <c r="DP435" s="408">
        <v>-8.7390841186010277</v>
      </c>
      <c r="DQ435" s="408">
        <v>0</v>
      </c>
      <c r="DR435" s="408">
        <v>0</v>
      </c>
      <c r="DS435" s="408"/>
      <c r="DT435" s="408"/>
      <c r="DU435" s="408"/>
      <c r="DV435" s="408">
        <v>0</v>
      </c>
      <c r="DW435" s="408">
        <v>0</v>
      </c>
      <c r="DX435" s="408">
        <v>0</v>
      </c>
      <c r="DY435" s="408">
        <v>-285.86340000000018</v>
      </c>
      <c r="DZ435" s="408">
        <v>1620.9062999999987</v>
      </c>
      <c r="EA435" s="408">
        <v>0</v>
      </c>
      <c r="EB435" s="408">
        <v>0</v>
      </c>
      <c r="EC435" s="408">
        <v>0</v>
      </c>
      <c r="ED435" s="408">
        <v>0</v>
      </c>
      <c r="EE435" s="408">
        <v>0</v>
      </c>
      <c r="EF435" s="408">
        <v>0</v>
      </c>
      <c r="EG435" s="408">
        <v>0</v>
      </c>
      <c r="EH435" s="408">
        <v>0</v>
      </c>
      <c r="EI435" s="408">
        <v>0</v>
      </c>
      <c r="EJ435" s="408">
        <v>0</v>
      </c>
      <c r="EK435" s="408">
        <v>0</v>
      </c>
      <c r="EL435" s="408">
        <v>0</v>
      </c>
      <c r="EM435" s="408">
        <v>0</v>
      </c>
      <c r="EN435" s="408">
        <v>0</v>
      </c>
      <c r="EO435" s="408">
        <v>0</v>
      </c>
      <c r="EP435" s="408">
        <v>0</v>
      </c>
      <c r="EQ435" s="408">
        <v>0</v>
      </c>
      <c r="ER435" s="408">
        <v>0</v>
      </c>
      <c r="ES435" s="408">
        <v>0</v>
      </c>
      <c r="ET435" s="408">
        <v>0</v>
      </c>
      <c r="EU435" s="408">
        <v>0</v>
      </c>
      <c r="EV435" s="408">
        <v>257</v>
      </c>
      <c r="EW435" s="408">
        <v>0</v>
      </c>
      <c r="EX435" s="408">
        <v>0</v>
      </c>
      <c r="EY435" s="408">
        <v>0</v>
      </c>
      <c r="EZ435" s="408"/>
      <c r="FA435" s="408">
        <v>0</v>
      </c>
      <c r="FB435" s="408"/>
      <c r="FC435" s="408"/>
      <c r="FD435" s="408"/>
      <c r="FE435" s="408"/>
      <c r="FF435" s="408">
        <v>0</v>
      </c>
      <c r="FG435" s="408">
        <v>0</v>
      </c>
      <c r="FH435" s="408">
        <v>0</v>
      </c>
      <c r="FI435" s="408">
        <v>0</v>
      </c>
    </row>
    <row r="436" spans="1:165">
      <c r="A436" s="408">
        <v>434</v>
      </c>
      <c r="B436" s="408" t="s">
        <v>2236</v>
      </c>
      <c r="C436" s="408" t="s">
        <v>2241</v>
      </c>
      <c r="D436" s="408" t="s">
        <v>596</v>
      </c>
      <c r="E436" s="408" t="s">
        <v>997</v>
      </c>
      <c r="F436" s="408" t="s">
        <v>1321</v>
      </c>
      <c r="G436" s="408" t="s">
        <v>1321</v>
      </c>
      <c r="H436" s="408" t="s">
        <v>1321</v>
      </c>
      <c r="I436" s="408" t="s">
        <v>2242</v>
      </c>
      <c r="J436" s="408" t="s">
        <v>2234</v>
      </c>
      <c r="K436" s="828">
        <v>44713</v>
      </c>
      <c r="L436" s="408">
        <v>0</v>
      </c>
      <c r="M436" s="408">
        <v>0</v>
      </c>
      <c r="N436" s="408">
        <v>3.11</v>
      </c>
      <c r="O436" s="408">
        <v>3.11</v>
      </c>
      <c r="P436" s="408">
        <v>3.11</v>
      </c>
      <c r="Q436" s="408">
        <v>3.11</v>
      </c>
      <c r="R436" s="408"/>
      <c r="S436" s="408">
        <v>82.26</v>
      </c>
      <c r="T436" s="408">
        <v>256.55</v>
      </c>
      <c r="U436" s="408"/>
      <c r="V436" s="408">
        <v>1053.6991</v>
      </c>
      <c r="W436" s="408">
        <v>1053.6991</v>
      </c>
      <c r="X436" s="408">
        <v>1094.6578</v>
      </c>
      <c r="Y436" s="408">
        <v>0</v>
      </c>
      <c r="Z436" s="408">
        <v>166.33204545847281</v>
      </c>
      <c r="AA436" s="408">
        <v>0</v>
      </c>
      <c r="AB436" s="408">
        <v>0</v>
      </c>
      <c r="AC436" s="408">
        <v>0</v>
      </c>
      <c r="AD436" s="408">
        <v>0</v>
      </c>
      <c r="AE436" s="408">
        <v>0</v>
      </c>
      <c r="AF436" s="408">
        <v>797.8783425866817</v>
      </c>
      <c r="AG436" s="408">
        <v>0</v>
      </c>
      <c r="AH436" s="408">
        <v>0</v>
      </c>
      <c r="AI436" s="408">
        <v>0</v>
      </c>
      <c r="AJ436" s="408">
        <v>0</v>
      </c>
      <c r="AK436" s="408">
        <v>0</v>
      </c>
      <c r="AL436" s="408">
        <v>29.558260279362482</v>
      </c>
      <c r="AM436" s="408"/>
      <c r="AN436" s="408">
        <v>4.1955610338738101</v>
      </c>
      <c r="AO436" s="408">
        <v>0</v>
      </c>
      <c r="AP436" s="408">
        <v>0</v>
      </c>
      <c r="AQ436" s="408">
        <v>0</v>
      </c>
      <c r="AR436" s="408">
        <v>0</v>
      </c>
      <c r="AS436" s="408">
        <v>0</v>
      </c>
      <c r="AT436" s="408">
        <v>0</v>
      </c>
      <c r="AU436" s="408">
        <v>0</v>
      </c>
      <c r="AV436" s="408">
        <v>0</v>
      </c>
      <c r="AW436" s="408">
        <v>0</v>
      </c>
      <c r="AX436" s="408">
        <v>0</v>
      </c>
      <c r="AY436" s="408">
        <v>0</v>
      </c>
      <c r="AZ436" s="408">
        <v>0</v>
      </c>
      <c r="BA436" s="408"/>
      <c r="BB436" s="408">
        <v>0</v>
      </c>
      <c r="BC436" s="408">
        <v>0</v>
      </c>
      <c r="BD436" s="408">
        <v>3.8315984255114062</v>
      </c>
      <c r="BE436" s="408">
        <v>0</v>
      </c>
      <c r="BF436" s="408">
        <v>0</v>
      </c>
      <c r="BG436" s="408">
        <v>51.903686294521378</v>
      </c>
      <c r="BH436" s="408">
        <v>0</v>
      </c>
      <c r="BI436" s="408">
        <v>0</v>
      </c>
      <c r="BJ436" s="408">
        <v>0</v>
      </c>
      <c r="BK436" s="408">
        <v>0</v>
      </c>
      <c r="BL436" s="408">
        <v>0</v>
      </c>
      <c r="BM436" s="408"/>
      <c r="BN436" s="408"/>
      <c r="BO436" s="408"/>
      <c r="BP436" s="408"/>
      <c r="BQ436" s="408"/>
      <c r="BR436" s="408"/>
      <c r="BS436" s="408"/>
      <c r="BT436" s="408"/>
      <c r="BU436" s="408"/>
      <c r="BV436" s="408">
        <v>853.61362730671453</v>
      </c>
      <c r="BW436" s="408"/>
      <c r="BX436" s="408"/>
      <c r="BY436" s="408"/>
      <c r="BZ436" s="408"/>
      <c r="CA436" s="408"/>
      <c r="CB436" s="408"/>
      <c r="CC436" s="408"/>
      <c r="CD436" s="408"/>
      <c r="CE436" s="408"/>
      <c r="CF436" s="408"/>
      <c r="CG436" s="408"/>
      <c r="CH436" s="408"/>
      <c r="CI436" s="408">
        <v>1094.6578</v>
      </c>
      <c r="CJ436" s="408">
        <v>40.928699999999935</v>
      </c>
      <c r="CK436" s="408"/>
      <c r="CL436" s="408"/>
      <c r="CM436" s="408"/>
      <c r="CN436" s="408"/>
      <c r="CO436" s="408">
        <v>-8.7702000000000222</v>
      </c>
      <c r="CP436" s="408">
        <v>49.728900000000024</v>
      </c>
      <c r="CQ436" s="408">
        <v>30</v>
      </c>
      <c r="CR436" s="408">
        <v>40.945601037107053</v>
      </c>
      <c r="CS436" s="408">
        <v>0</v>
      </c>
      <c r="CT436" s="408">
        <v>0</v>
      </c>
      <c r="CU436" s="408">
        <v>0</v>
      </c>
      <c r="CV436" s="408">
        <v>0</v>
      </c>
      <c r="CW436" s="408">
        <v>0</v>
      </c>
      <c r="CX436" s="408">
        <v>0</v>
      </c>
      <c r="CY436" s="408">
        <v>0</v>
      </c>
      <c r="CZ436" s="408">
        <v>0</v>
      </c>
      <c r="DA436" s="408">
        <v>0</v>
      </c>
      <c r="DB436" s="408">
        <v>0</v>
      </c>
      <c r="DC436" s="408">
        <v>49.706599325137631</v>
      </c>
      <c r="DD436" s="408">
        <v>0</v>
      </c>
      <c r="DE436" s="408">
        <v>0</v>
      </c>
      <c r="DF436" s="408">
        <v>0.2387027163743829</v>
      </c>
      <c r="DG436" s="408">
        <v>3.2335202003043904</v>
      </c>
      <c r="DH436" s="408">
        <v>0</v>
      </c>
      <c r="DI436" s="408">
        <v>-10.343167551012044</v>
      </c>
      <c r="DJ436" s="408"/>
      <c r="DK436" s="408">
        <v>0</v>
      </c>
      <c r="DL436" s="408">
        <v>0</v>
      </c>
      <c r="DM436" s="408">
        <v>0</v>
      </c>
      <c r="DN436" s="408">
        <v>0</v>
      </c>
      <c r="DO436" s="408">
        <v>-1.6219412771672914</v>
      </c>
      <c r="DP436" s="408">
        <v>-0.26811237653003017</v>
      </c>
      <c r="DQ436" s="408">
        <v>0</v>
      </c>
      <c r="DR436" s="408">
        <v>0</v>
      </c>
      <c r="DS436" s="408"/>
      <c r="DT436" s="408"/>
      <c r="DU436" s="408"/>
      <c r="DV436" s="408">
        <v>0</v>
      </c>
      <c r="DW436" s="408">
        <v>0</v>
      </c>
      <c r="DX436" s="408">
        <v>0</v>
      </c>
      <c r="DY436" s="408">
        <v>-8.7702000000000169</v>
      </c>
      <c r="DZ436" s="408">
        <v>49.728900000000067</v>
      </c>
      <c r="EA436" s="408">
        <v>0</v>
      </c>
      <c r="EB436" s="408">
        <v>0</v>
      </c>
      <c r="EC436" s="408">
        <v>0</v>
      </c>
      <c r="ED436" s="408">
        <v>0</v>
      </c>
      <c r="EE436" s="408">
        <v>0</v>
      </c>
      <c r="EF436" s="408">
        <v>0</v>
      </c>
      <c r="EG436" s="408">
        <v>0</v>
      </c>
      <c r="EH436" s="408">
        <v>0</v>
      </c>
      <c r="EI436" s="408">
        <v>0</v>
      </c>
      <c r="EJ436" s="408">
        <v>0</v>
      </c>
      <c r="EK436" s="408">
        <v>0</v>
      </c>
      <c r="EL436" s="408">
        <v>0</v>
      </c>
      <c r="EM436" s="408">
        <v>0</v>
      </c>
      <c r="EN436" s="408">
        <v>0</v>
      </c>
      <c r="EO436" s="408">
        <v>0</v>
      </c>
      <c r="EP436" s="408">
        <v>0</v>
      </c>
      <c r="EQ436" s="408">
        <v>0</v>
      </c>
      <c r="ER436" s="408">
        <v>0</v>
      </c>
      <c r="ES436" s="408">
        <v>0</v>
      </c>
      <c r="ET436" s="408">
        <v>0</v>
      </c>
      <c r="EU436" s="408">
        <v>0</v>
      </c>
      <c r="EV436" s="408">
        <v>257</v>
      </c>
      <c r="EW436" s="408">
        <v>0</v>
      </c>
      <c r="EX436" s="408">
        <v>0</v>
      </c>
      <c r="EY436" s="408">
        <v>0</v>
      </c>
      <c r="EZ436" s="408"/>
      <c r="FA436" s="408">
        <v>0</v>
      </c>
      <c r="FB436" s="408"/>
      <c r="FC436" s="408"/>
      <c r="FD436" s="408"/>
      <c r="FE436" s="408"/>
      <c r="FF436" s="408">
        <v>0</v>
      </c>
      <c r="FG436" s="408">
        <v>0</v>
      </c>
      <c r="FH436" s="408">
        <v>0</v>
      </c>
      <c r="FI436" s="408">
        <v>0</v>
      </c>
    </row>
    <row r="437" spans="1:165">
      <c r="A437" s="408">
        <v>435</v>
      </c>
      <c r="B437" s="408" t="s">
        <v>1035</v>
      </c>
      <c r="C437" s="408" t="s">
        <v>2241</v>
      </c>
      <c r="D437" s="408" t="s">
        <v>596</v>
      </c>
      <c r="E437" s="408" t="s">
        <v>997</v>
      </c>
      <c r="F437" s="408" t="s">
        <v>1321</v>
      </c>
      <c r="G437" s="408" t="s">
        <v>1321</v>
      </c>
      <c r="H437" s="408" t="s">
        <v>1321</v>
      </c>
      <c r="I437" s="408" t="s">
        <v>1321</v>
      </c>
      <c r="J437" s="408" t="s">
        <v>2234</v>
      </c>
      <c r="K437" s="828">
        <v>44713</v>
      </c>
      <c r="L437" s="408">
        <v>721</v>
      </c>
      <c r="M437" s="408">
        <v>721</v>
      </c>
      <c r="N437" s="408">
        <v>0</v>
      </c>
      <c r="O437" s="408">
        <v>0</v>
      </c>
      <c r="P437" s="408">
        <v>0</v>
      </c>
      <c r="Q437" s="408">
        <v>0</v>
      </c>
      <c r="R437" s="408">
        <v>47.39</v>
      </c>
      <c r="S437" s="408"/>
      <c r="T437" s="408"/>
      <c r="U437" s="408">
        <v>34168.19</v>
      </c>
      <c r="V437" s="408"/>
      <c r="W437" s="408">
        <v>34168.19</v>
      </c>
      <c r="X437" s="408">
        <v>23230.62</v>
      </c>
      <c r="Y437" s="408">
        <v>0</v>
      </c>
      <c r="Z437" s="408">
        <v>0</v>
      </c>
      <c r="AA437" s="408">
        <v>0</v>
      </c>
      <c r="AB437" s="408">
        <v>0</v>
      </c>
      <c r="AC437" s="408">
        <v>0</v>
      </c>
      <c r="AD437" s="408">
        <v>18003.442229394768</v>
      </c>
      <c r="AE437" s="408">
        <v>16164.724284170969</v>
      </c>
      <c r="AF437" s="408"/>
      <c r="AG437" s="408"/>
      <c r="AH437" s="408"/>
      <c r="AI437" s="408">
        <v>0</v>
      </c>
      <c r="AJ437" s="408">
        <v>0</v>
      </c>
      <c r="AK437" s="408">
        <v>0</v>
      </c>
      <c r="AL437" s="408">
        <v>0</v>
      </c>
      <c r="AM437" s="408"/>
      <c r="AN437" s="408">
        <v>0</v>
      </c>
      <c r="AO437" s="408">
        <v>0</v>
      </c>
      <c r="AP437" s="408">
        <v>0</v>
      </c>
      <c r="AQ437" s="408">
        <v>0</v>
      </c>
      <c r="AR437" s="408">
        <v>0</v>
      </c>
      <c r="AS437" s="408"/>
      <c r="AT437" s="408"/>
      <c r="AU437" s="408">
        <v>0</v>
      </c>
      <c r="AV437" s="408">
        <v>0</v>
      </c>
      <c r="AW437" s="408">
        <v>0</v>
      </c>
      <c r="AX437" s="408"/>
      <c r="AY437" s="408"/>
      <c r="AZ437" s="408">
        <v>0</v>
      </c>
      <c r="BA437" s="408"/>
      <c r="BB437" s="408">
        <v>0</v>
      </c>
      <c r="BC437" s="408">
        <v>0</v>
      </c>
      <c r="BD437" s="408">
        <v>0</v>
      </c>
      <c r="BE437" s="408">
        <v>0</v>
      </c>
      <c r="BF437" s="408"/>
      <c r="BG437" s="408">
        <v>0</v>
      </c>
      <c r="BH437" s="408">
        <v>0</v>
      </c>
      <c r="BI437" s="408">
        <v>238.4</v>
      </c>
      <c r="BJ437" s="408">
        <v>924.87</v>
      </c>
      <c r="BK437" s="408">
        <v>27969.48</v>
      </c>
      <c r="BL437" s="408">
        <v>10</v>
      </c>
      <c r="BM437" s="408"/>
      <c r="BN437" s="408"/>
      <c r="BO437" s="408"/>
      <c r="BP437" s="408"/>
      <c r="BQ437" s="408"/>
      <c r="BR437" s="408"/>
      <c r="BS437" s="408"/>
      <c r="BT437" s="408"/>
      <c r="BU437" s="408"/>
      <c r="BV437" s="408">
        <v>0</v>
      </c>
      <c r="BW437" s="408"/>
      <c r="BX437" s="408"/>
      <c r="BY437" s="408"/>
      <c r="BZ437" s="408"/>
      <c r="CA437" s="408"/>
      <c r="CB437" s="408"/>
      <c r="CC437" s="408"/>
      <c r="CD437" s="408"/>
      <c r="CE437" s="408"/>
      <c r="CF437" s="408"/>
      <c r="CG437" s="408"/>
      <c r="CH437" s="408"/>
      <c r="CI437" s="408">
        <v>23230.62</v>
      </c>
      <c r="CJ437" s="408">
        <v>-10937.600000000009</v>
      </c>
      <c r="CK437" s="408"/>
      <c r="CL437" s="408"/>
      <c r="CM437" s="408"/>
      <c r="CN437" s="408"/>
      <c r="CO437" s="408">
        <v>-10937.570000000002</v>
      </c>
      <c r="CP437" s="408">
        <v>0</v>
      </c>
      <c r="CQ437" s="408">
        <v>30</v>
      </c>
      <c r="CR437" s="408">
        <v>-81.376691208020929</v>
      </c>
      <c r="CS437" s="408">
        <v>0</v>
      </c>
      <c r="CT437" s="408">
        <v>0</v>
      </c>
      <c r="CU437" s="408">
        <v>0</v>
      </c>
      <c r="CV437" s="408">
        <v>0</v>
      </c>
      <c r="CW437" s="408"/>
      <c r="CX437" s="408"/>
      <c r="CY437" s="408"/>
      <c r="CZ437" s="408">
        <v>-81.376691208020929</v>
      </c>
      <c r="DA437" s="408">
        <v>0</v>
      </c>
      <c r="DB437" s="408">
        <v>0</v>
      </c>
      <c r="DC437" s="408"/>
      <c r="DD437" s="408"/>
      <c r="DE437" s="408">
        <v>0</v>
      </c>
      <c r="DF437" s="408">
        <v>0</v>
      </c>
      <c r="DG437" s="408">
        <v>0</v>
      </c>
      <c r="DH437" s="408">
        <v>0</v>
      </c>
      <c r="DI437" s="408">
        <v>0</v>
      </c>
      <c r="DJ437" s="408"/>
      <c r="DK437" s="408">
        <v>0</v>
      </c>
      <c r="DL437" s="408">
        <v>0</v>
      </c>
      <c r="DM437" s="408"/>
      <c r="DN437" s="408">
        <v>0</v>
      </c>
      <c r="DO437" s="408">
        <v>0</v>
      </c>
      <c r="DP437" s="408">
        <v>0</v>
      </c>
      <c r="DQ437" s="408">
        <v>0</v>
      </c>
      <c r="DR437" s="408">
        <v>0</v>
      </c>
      <c r="DS437" s="408"/>
      <c r="DT437" s="408"/>
      <c r="DU437" s="408">
        <v>16164.724284170969</v>
      </c>
      <c r="DV437" s="408"/>
      <c r="DW437" s="408">
        <v>0</v>
      </c>
      <c r="DX437" s="408">
        <v>0</v>
      </c>
      <c r="DY437" s="408">
        <v>-10937.570000000003</v>
      </c>
      <c r="DZ437" s="408"/>
      <c r="EA437" s="408">
        <v>0</v>
      </c>
      <c r="EB437" s="408"/>
      <c r="EC437" s="408">
        <v>-10857.435825066463</v>
      </c>
      <c r="ED437" s="408"/>
      <c r="EE437" s="408">
        <v>0</v>
      </c>
      <c r="EF437" s="408">
        <v>0</v>
      </c>
      <c r="EG437" s="408"/>
      <c r="EH437" s="408">
        <v>0</v>
      </c>
      <c r="EI437" s="408">
        <v>0</v>
      </c>
      <c r="EJ437" s="408">
        <v>0</v>
      </c>
      <c r="EK437" s="408">
        <v>0</v>
      </c>
      <c r="EL437" s="408">
        <v>0</v>
      </c>
      <c r="EM437" s="408"/>
      <c r="EN437" s="408"/>
      <c r="EO437" s="408">
        <v>0</v>
      </c>
      <c r="EP437" s="408">
        <v>0</v>
      </c>
      <c r="EQ437" s="408"/>
      <c r="ER437" s="408">
        <v>0</v>
      </c>
      <c r="ES437" s="408"/>
      <c r="ET437" s="408">
        <v>0</v>
      </c>
      <c r="EU437" s="408"/>
      <c r="EV437" s="408">
        <v>257</v>
      </c>
      <c r="EW437" s="408"/>
      <c r="EX437" s="408"/>
      <c r="EY437" s="408"/>
      <c r="EZ437" s="408"/>
      <c r="FA437" s="408">
        <v>0</v>
      </c>
      <c r="FB437" s="408"/>
      <c r="FC437" s="408"/>
      <c r="FD437" s="408"/>
      <c r="FE437" s="408"/>
      <c r="FF437" s="408">
        <v>0</v>
      </c>
      <c r="FG437" s="408">
        <v>0</v>
      </c>
      <c r="FH437" s="408">
        <v>0</v>
      </c>
      <c r="FI437" s="408">
        <v>0</v>
      </c>
    </row>
    <row r="438" spans="1:165">
      <c r="A438" s="408">
        <v>436</v>
      </c>
      <c r="B438" s="408" t="s">
        <v>2236</v>
      </c>
      <c r="C438" s="408" t="s">
        <v>2241</v>
      </c>
      <c r="D438" s="408" t="s">
        <v>596</v>
      </c>
      <c r="E438" s="408" t="s">
        <v>997</v>
      </c>
      <c r="F438" s="408" t="s">
        <v>1321</v>
      </c>
      <c r="G438" s="408" t="s">
        <v>1321</v>
      </c>
      <c r="H438" s="408" t="s">
        <v>1321</v>
      </c>
      <c r="I438" s="408" t="s">
        <v>1321</v>
      </c>
      <c r="J438" s="408" t="s">
        <v>2234</v>
      </c>
      <c r="K438" s="828">
        <v>44713</v>
      </c>
      <c r="L438" s="408">
        <v>45</v>
      </c>
      <c r="M438" s="408">
        <v>45</v>
      </c>
      <c r="N438" s="408">
        <v>0</v>
      </c>
      <c r="O438" s="408">
        <v>0</v>
      </c>
      <c r="P438" s="408">
        <v>0</v>
      </c>
      <c r="Q438" s="408">
        <v>0</v>
      </c>
      <c r="R438" s="408">
        <v>47.39</v>
      </c>
      <c r="S438" s="408"/>
      <c r="T438" s="408"/>
      <c r="U438" s="408">
        <v>2132.5500000000002</v>
      </c>
      <c r="V438" s="408"/>
      <c r="W438" s="408">
        <v>2132.5500000000002</v>
      </c>
      <c r="X438" s="408">
        <v>1449.8999999999999</v>
      </c>
      <c r="Y438" s="408">
        <v>0</v>
      </c>
      <c r="Z438" s="408">
        <v>0</v>
      </c>
      <c r="AA438" s="408">
        <v>0</v>
      </c>
      <c r="AB438" s="408">
        <v>0</v>
      </c>
      <c r="AC438" s="408">
        <v>0</v>
      </c>
      <c r="AD438" s="408">
        <v>1123.6545080759565</v>
      </c>
      <c r="AE438" s="408">
        <v>1008.8940260578274</v>
      </c>
      <c r="AF438" s="408"/>
      <c r="AG438" s="408"/>
      <c r="AH438" s="408"/>
      <c r="AI438" s="408">
        <v>0</v>
      </c>
      <c r="AJ438" s="408">
        <v>0</v>
      </c>
      <c r="AK438" s="408">
        <v>0</v>
      </c>
      <c r="AL438" s="408">
        <v>0</v>
      </c>
      <c r="AM438" s="408"/>
      <c r="AN438" s="408">
        <v>0</v>
      </c>
      <c r="AO438" s="408">
        <v>0</v>
      </c>
      <c r="AP438" s="408">
        <v>0</v>
      </c>
      <c r="AQ438" s="408">
        <v>0</v>
      </c>
      <c r="AR438" s="408">
        <v>0</v>
      </c>
      <c r="AS438" s="408"/>
      <c r="AT438" s="408"/>
      <c r="AU438" s="408">
        <v>0</v>
      </c>
      <c r="AV438" s="408">
        <v>0</v>
      </c>
      <c r="AW438" s="408">
        <v>0</v>
      </c>
      <c r="AX438" s="408"/>
      <c r="AY438" s="408"/>
      <c r="AZ438" s="408">
        <v>0</v>
      </c>
      <c r="BA438" s="408"/>
      <c r="BB438" s="408">
        <v>0</v>
      </c>
      <c r="BC438" s="408">
        <v>0</v>
      </c>
      <c r="BD438" s="408">
        <v>0</v>
      </c>
      <c r="BE438" s="408">
        <v>0</v>
      </c>
      <c r="BF438" s="408"/>
      <c r="BG438" s="408">
        <v>0</v>
      </c>
      <c r="BH438" s="408">
        <v>0</v>
      </c>
      <c r="BI438" s="408">
        <v>11.48</v>
      </c>
      <c r="BJ438" s="408">
        <v>44.73</v>
      </c>
      <c r="BK438" s="408">
        <v>1274.01</v>
      </c>
      <c r="BL438" s="408">
        <v>1</v>
      </c>
      <c r="BM438" s="408"/>
      <c r="BN438" s="408"/>
      <c r="BO438" s="408"/>
      <c r="BP438" s="408"/>
      <c r="BQ438" s="408"/>
      <c r="BR438" s="408"/>
      <c r="BS438" s="408"/>
      <c r="BT438" s="408"/>
      <c r="BU438" s="408"/>
      <c r="BV438" s="408">
        <v>0</v>
      </c>
      <c r="BW438" s="408"/>
      <c r="BX438" s="408"/>
      <c r="BY438" s="408"/>
      <c r="BZ438" s="408"/>
      <c r="CA438" s="408"/>
      <c r="CB438" s="408"/>
      <c r="CC438" s="408"/>
      <c r="CD438" s="408"/>
      <c r="CE438" s="408"/>
      <c r="CF438" s="408"/>
      <c r="CG438" s="408"/>
      <c r="CH438" s="408"/>
      <c r="CI438" s="408">
        <v>1449.8999999999999</v>
      </c>
      <c r="CJ438" s="408">
        <v>-682.68000000000097</v>
      </c>
      <c r="CK438" s="408"/>
      <c r="CL438" s="408"/>
      <c r="CM438" s="408"/>
      <c r="CN438" s="408"/>
      <c r="CO438" s="408">
        <v>-682.65000000000009</v>
      </c>
      <c r="CP438" s="408">
        <v>0</v>
      </c>
      <c r="CQ438" s="408">
        <v>30</v>
      </c>
      <c r="CR438" s="408">
        <v>-5.0789890490445941</v>
      </c>
      <c r="CS438" s="408">
        <v>0</v>
      </c>
      <c r="CT438" s="408">
        <v>0</v>
      </c>
      <c r="CU438" s="408">
        <v>0</v>
      </c>
      <c r="CV438" s="408">
        <v>0</v>
      </c>
      <c r="CW438" s="408"/>
      <c r="CX438" s="408"/>
      <c r="CY438" s="408"/>
      <c r="CZ438" s="408">
        <v>-5.0789890490445941</v>
      </c>
      <c r="DA438" s="408">
        <v>0</v>
      </c>
      <c r="DB438" s="408">
        <v>0</v>
      </c>
      <c r="DC438" s="408"/>
      <c r="DD438" s="408"/>
      <c r="DE438" s="408">
        <v>0</v>
      </c>
      <c r="DF438" s="408">
        <v>0</v>
      </c>
      <c r="DG438" s="408">
        <v>0</v>
      </c>
      <c r="DH438" s="408">
        <v>0</v>
      </c>
      <c r="DI438" s="408">
        <v>0</v>
      </c>
      <c r="DJ438" s="408"/>
      <c r="DK438" s="408">
        <v>0</v>
      </c>
      <c r="DL438" s="408">
        <v>0</v>
      </c>
      <c r="DM438" s="408"/>
      <c r="DN438" s="408">
        <v>0</v>
      </c>
      <c r="DO438" s="408">
        <v>0</v>
      </c>
      <c r="DP438" s="408">
        <v>0</v>
      </c>
      <c r="DQ438" s="408">
        <v>0</v>
      </c>
      <c r="DR438" s="408">
        <v>0</v>
      </c>
      <c r="DS438" s="408"/>
      <c r="DT438" s="408"/>
      <c r="DU438" s="408">
        <v>1008.8940260578274</v>
      </c>
      <c r="DV438" s="408"/>
      <c r="DW438" s="408">
        <v>0</v>
      </c>
      <c r="DX438" s="408">
        <v>0</v>
      </c>
      <c r="DY438" s="408">
        <v>-682.65000000000032</v>
      </c>
      <c r="DZ438" s="408"/>
      <c r="EA438" s="408">
        <v>0</v>
      </c>
      <c r="EB438" s="408"/>
      <c r="EC438" s="408">
        <v>-677.64856051038953</v>
      </c>
      <c r="ED438" s="408"/>
      <c r="EE438" s="408">
        <v>0</v>
      </c>
      <c r="EF438" s="408">
        <v>0</v>
      </c>
      <c r="EG438" s="408"/>
      <c r="EH438" s="408">
        <v>0</v>
      </c>
      <c r="EI438" s="408">
        <v>0</v>
      </c>
      <c r="EJ438" s="408">
        <v>0</v>
      </c>
      <c r="EK438" s="408">
        <v>0</v>
      </c>
      <c r="EL438" s="408">
        <v>0</v>
      </c>
      <c r="EM438" s="408"/>
      <c r="EN438" s="408"/>
      <c r="EO438" s="408">
        <v>0</v>
      </c>
      <c r="EP438" s="408">
        <v>0</v>
      </c>
      <c r="EQ438" s="408"/>
      <c r="ER438" s="408">
        <v>0</v>
      </c>
      <c r="ES438" s="408"/>
      <c r="ET438" s="408">
        <v>0</v>
      </c>
      <c r="EU438" s="408"/>
      <c r="EV438" s="408">
        <v>257</v>
      </c>
      <c r="EW438" s="408"/>
      <c r="EX438" s="408"/>
      <c r="EY438" s="408"/>
      <c r="EZ438" s="408"/>
      <c r="FA438" s="408">
        <v>0</v>
      </c>
      <c r="FB438" s="408"/>
      <c r="FC438" s="408"/>
      <c r="FD438" s="408"/>
      <c r="FE438" s="408"/>
      <c r="FF438" s="408">
        <v>0</v>
      </c>
      <c r="FG438" s="408">
        <v>0</v>
      </c>
      <c r="FH438" s="408">
        <v>0</v>
      </c>
      <c r="FI438" s="408">
        <v>0</v>
      </c>
    </row>
    <row r="439" spans="1:165">
      <c r="A439" s="408">
        <v>437</v>
      </c>
      <c r="B439" s="408" t="s">
        <v>1035</v>
      </c>
      <c r="C439" s="408" t="s">
        <v>2233</v>
      </c>
      <c r="D439" s="408" t="s">
        <v>2243</v>
      </c>
      <c r="E439" s="408" t="s">
        <v>973</v>
      </c>
      <c r="F439" s="408" t="s">
        <v>1321</v>
      </c>
      <c r="G439" s="408" t="s">
        <v>1321</v>
      </c>
      <c r="H439" s="408" t="s">
        <v>1321</v>
      </c>
      <c r="I439" s="408" t="s">
        <v>1321</v>
      </c>
      <c r="J439" s="408" t="s">
        <v>2234</v>
      </c>
      <c r="K439" s="828">
        <v>44713</v>
      </c>
      <c r="L439" s="408">
        <v>0</v>
      </c>
      <c r="M439" s="408">
        <v>0</v>
      </c>
      <c r="N439" s="408">
        <v>2721.875</v>
      </c>
      <c r="O439" s="408">
        <v>2721.875</v>
      </c>
      <c r="P439" s="408">
        <v>2721.875</v>
      </c>
      <c r="Q439" s="408">
        <v>2721.875</v>
      </c>
      <c r="R439" s="408"/>
      <c r="S439" s="408">
        <v>710.91</v>
      </c>
      <c r="T439" s="408">
        <v>256.55</v>
      </c>
      <c r="U439" s="408"/>
      <c r="V439" s="408">
        <v>2633305.1875</v>
      </c>
      <c r="W439" s="408">
        <v>2633305.1875</v>
      </c>
      <c r="X439" s="408">
        <v>1797607.90625</v>
      </c>
      <c r="Y439" s="408">
        <v>0</v>
      </c>
      <c r="Z439" s="408">
        <v>167326.3984300849</v>
      </c>
      <c r="AA439" s="408">
        <v>0</v>
      </c>
      <c r="AB439" s="408">
        <v>0</v>
      </c>
      <c r="AC439" s="408">
        <v>0</v>
      </c>
      <c r="AD439" s="408">
        <v>335015.96849605313</v>
      </c>
      <c r="AE439" s="408">
        <v>1298089.5741496733</v>
      </c>
      <c r="AF439" s="408">
        <v>698303.8950894291</v>
      </c>
      <c r="AG439" s="408">
        <v>0</v>
      </c>
      <c r="AH439" s="408">
        <v>0</v>
      </c>
      <c r="AI439" s="408">
        <v>0</v>
      </c>
      <c r="AJ439" s="408">
        <v>0</v>
      </c>
      <c r="AK439" s="408">
        <v>0</v>
      </c>
      <c r="AL439" s="408">
        <v>25869.41790928931</v>
      </c>
      <c r="AM439" s="408"/>
      <c r="AN439" s="408">
        <v>5976.7057716972149</v>
      </c>
      <c r="AO439" s="408">
        <v>0</v>
      </c>
      <c r="AP439" s="408">
        <v>0</v>
      </c>
      <c r="AQ439" s="408">
        <v>0</v>
      </c>
      <c r="AR439" s="408">
        <v>0</v>
      </c>
      <c r="AS439" s="408">
        <v>0</v>
      </c>
      <c r="AT439" s="408">
        <v>0</v>
      </c>
      <c r="AU439" s="408">
        <v>0</v>
      </c>
      <c r="AV439" s="408">
        <v>0</v>
      </c>
      <c r="AW439" s="408">
        <v>0</v>
      </c>
      <c r="AX439" s="408">
        <v>0</v>
      </c>
      <c r="AY439" s="408">
        <v>0</v>
      </c>
      <c r="AZ439" s="408">
        <v>0</v>
      </c>
      <c r="BA439" s="408"/>
      <c r="BB439" s="408">
        <v>0</v>
      </c>
      <c r="BC439" s="408">
        <v>0</v>
      </c>
      <c r="BD439" s="408">
        <v>4056.4656485331534</v>
      </c>
      <c r="BE439" s="408">
        <v>0</v>
      </c>
      <c r="BF439" s="408">
        <v>0</v>
      </c>
      <c r="BG439" s="408">
        <v>98677.229316844285</v>
      </c>
      <c r="BH439" s="408">
        <v>0</v>
      </c>
      <c r="BI439" s="408">
        <v>4231.3999999999996</v>
      </c>
      <c r="BJ439" s="408">
        <v>16662.990000000002</v>
      </c>
      <c r="BK439" s="408">
        <v>116631.85</v>
      </c>
      <c r="BL439" s="408">
        <v>8816</v>
      </c>
      <c r="BM439" s="408"/>
      <c r="BN439" s="408"/>
      <c r="BO439" s="408"/>
      <c r="BP439" s="408"/>
      <c r="BQ439" s="408"/>
      <c r="BR439" s="408">
        <v>215708.59374999991</v>
      </c>
      <c r="BS439" s="408"/>
      <c r="BT439" s="408"/>
      <c r="BU439" s="408"/>
      <c r="BV439" s="408">
        <v>801037.59005480655</v>
      </c>
      <c r="BW439" s="408"/>
      <c r="BX439" s="408"/>
      <c r="BY439" s="408"/>
      <c r="BZ439" s="408"/>
      <c r="CA439" s="408"/>
      <c r="CB439" s="408"/>
      <c r="CC439" s="408"/>
      <c r="CD439" s="408"/>
      <c r="CE439" s="408"/>
      <c r="CF439" s="408"/>
      <c r="CG439" s="408"/>
      <c r="CH439" s="408"/>
      <c r="CI439" s="408">
        <v>1581902.2184000001</v>
      </c>
      <c r="CJ439" s="408">
        <v>-735420.53034999967</v>
      </c>
      <c r="CK439" s="408"/>
      <c r="CL439" s="408"/>
      <c r="CM439" s="408"/>
      <c r="CN439" s="408"/>
      <c r="CO439" s="408">
        <v>-879220.0625</v>
      </c>
      <c r="CP439" s="408">
        <v>43522.781250000022</v>
      </c>
      <c r="CQ439" s="408">
        <v>30</v>
      </c>
      <c r="CR439" s="408">
        <v>36182.66320770164</v>
      </c>
      <c r="CS439" s="408">
        <v>0</v>
      </c>
      <c r="CT439" s="408">
        <v>0</v>
      </c>
      <c r="CU439" s="408">
        <v>0</v>
      </c>
      <c r="CV439" s="408">
        <v>0</v>
      </c>
      <c r="CW439" s="408">
        <v>0</v>
      </c>
      <c r="CX439" s="408">
        <v>0</v>
      </c>
      <c r="CY439" s="408">
        <v>0</v>
      </c>
      <c r="CZ439" s="408">
        <v>-1514.2932485177298</v>
      </c>
      <c r="DA439" s="408">
        <v>0</v>
      </c>
      <c r="DB439" s="408">
        <v>0</v>
      </c>
      <c r="DC439" s="408">
        <v>43503.263677848503</v>
      </c>
      <c r="DD439" s="408">
        <v>0</v>
      </c>
      <c r="DE439" s="408">
        <v>0</v>
      </c>
      <c r="DF439" s="408">
        <v>252.71160013460303</v>
      </c>
      <c r="DG439" s="408">
        <v>6147.4403281403065</v>
      </c>
      <c r="DH439" s="408">
        <v>0</v>
      </c>
      <c r="DI439" s="408">
        <v>-10405.000250549114</v>
      </c>
      <c r="DJ439" s="408"/>
      <c r="DK439" s="408">
        <v>0</v>
      </c>
      <c r="DL439" s="408">
        <v>0</v>
      </c>
      <c r="DM439" s="408">
        <v>0</v>
      </c>
      <c r="DN439" s="408">
        <v>0</v>
      </c>
      <c r="DO439" s="408">
        <v>-1419.5245703503897</v>
      </c>
      <c r="DP439" s="408">
        <v>-381.93432900459993</v>
      </c>
      <c r="DQ439" s="408">
        <v>0</v>
      </c>
      <c r="DR439" s="408">
        <v>0</v>
      </c>
      <c r="DS439" s="408"/>
      <c r="DT439" s="408"/>
      <c r="DU439" s="408"/>
      <c r="DV439" s="408">
        <v>1298089.5741496733</v>
      </c>
      <c r="DW439" s="408">
        <v>0</v>
      </c>
      <c r="DX439" s="408">
        <v>0</v>
      </c>
      <c r="DY439" s="408">
        <v>-879220.0625</v>
      </c>
      <c r="DZ439" s="408">
        <v>43522.78125</v>
      </c>
      <c r="EA439" s="408">
        <v>0</v>
      </c>
      <c r="EB439" s="408">
        <v>0</v>
      </c>
      <c r="EC439" s="408">
        <v>-871893.88440848165</v>
      </c>
      <c r="ED439" s="408">
        <v>0</v>
      </c>
      <c r="EE439" s="408">
        <v>0</v>
      </c>
      <c r="EF439" s="408">
        <v>0</v>
      </c>
      <c r="EG439" s="408">
        <v>0</v>
      </c>
      <c r="EH439" s="408">
        <v>0</v>
      </c>
      <c r="EI439" s="408">
        <v>0</v>
      </c>
      <c r="EJ439" s="408">
        <v>0</v>
      </c>
      <c r="EK439" s="408">
        <v>0</v>
      </c>
      <c r="EL439" s="408">
        <v>0</v>
      </c>
      <c r="EM439" s="408">
        <v>0</v>
      </c>
      <c r="EN439" s="408">
        <v>0</v>
      </c>
      <c r="EO439" s="408">
        <v>0</v>
      </c>
      <c r="EP439" s="408">
        <v>0</v>
      </c>
      <c r="EQ439" s="408">
        <v>0</v>
      </c>
      <c r="ER439" s="408">
        <v>0</v>
      </c>
      <c r="ES439" s="408">
        <v>0</v>
      </c>
      <c r="ET439" s="408">
        <v>0</v>
      </c>
      <c r="EU439" s="408">
        <v>0</v>
      </c>
      <c r="EV439" s="408">
        <v>257</v>
      </c>
      <c r="EW439" s="408">
        <v>0</v>
      </c>
      <c r="EX439" s="408">
        <v>0</v>
      </c>
      <c r="EY439" s="408">
        <v>0</v>
      </c>
      <c r="EZ439" s="408"/>
      <c r="FA439" s="408">
        <v>0</v>
      </c>
      <c r="FB439" s="408"/>
      <c r="FC439" s="408"/>
      <c r="FD439" s="408"/>
      <c r="FE439" s="408"/>
      <c r="FF439" s="408">
        <v>0</v>
      </c>
      <c r="FG439" s="408">
        <v>0</v>
      </c>
      <c r="FH439" s="408">
        <v>0</v>
      </c>
      <c r="FI439" s="408">
        <v>0</v>
      </c>
    </row>
    <row r="440" spans="1:165">
      <c r="A440" s="408">
        <v>438</v>
      </c>
      <c r="B440" s="408" t="s">
        <v>2235</v>
      </c>
      <c r="C440" s="408" t="s">
        <v>2233</v>
      </c>
      <c r="D440" s="408" t="s">
        <v>2243</v>
      </c>
      <c r="E440" s="408" t="s">
        <v>973</v>
      </c>
      <c r="F440" s="408" t="s">
        <v>1321</v>
      </c>
      <c r="G440" s="408" t="s">
        <v>1321</v>
      </c>
      <c r="H440" s="408" t="s">
        <v>1321</v>
      </c>
      <c r="I440" s="408" t="s">
        <v>1321</v>
      </c>
      <c r="J440" s="408" t="s">
        <v>2234</v>
      </c>
      <c r="K440" s="828">
        <v>44713</v>
      </c>
      <c r="L440" s="408">
        <v>0</v>
      </c>
      <c r="M440" s="408">
        <v>0</v>
      </c>
      <c r="N440" s="408">
        <v>-23.155999999999999</v>
      </c>
      <c r="O440" s="408">
        <v>-23.155999999999999</v>
      </c>
      <c r="P440" s="408">
        <v>-23.155999999999999</v>
      </c>
      <c r="Q440" s="408">
        <v>-23.155999999999999</v>
      </c>
      <c r="R440" s="408"/>
      <c r="S440" s="408">
        <v>710.91</v>
      </c>
      <c r="T440" s="408">
        <v>256.55</v>
      </c>
      <c r="U440" s="408"/>
      <c r="V440" s="408">
        <v>-22402.50376</v>
      </c>
      <c r="W440" s="408">
        <v>-22402.50376</v>
      </c>
      <c r="X440" s="408">
        <v>-15292.917079999999</v>
      </c>
      <c r="Y440" s="408">
        <v>0</v>
      </c>
      <c r="Z440" s="408">
        <v>-1423.5077224512684</v>
      </c>
      <c r="AA440" s="408">
        <v>0</v>
      </c>
      <c r="AB440" s="408">
        <v>0</v>
      </c>
      <c r="AC440" s="408">
        <v>0</v>
      </c>
      <c r="AD440" s="408">
        <v>-2850.1050806868816</v>
      </c>
      <c r="AE440" s="408">
        <v>-11043.329388384784</v>
      </c>
      <c r="AF440" s="408">
        <v>-5940.7301932273958</v>
      </c>
      <c r="AG440" s="408">
        <v>0</v>
      </c>
      <c r="AH440" s="408">
        <v>0</v>
      </c>
      <c r="AI440" s="408">
        <v>0</v>
      </c>
      <c r="AJ440" s="408">
        <v>0</v>
      </c>
      <c r="AK440" s="408">
        <v>0</v>
      </c>
      <c r="AL440" s="408">
        <v>-220.08073152055229</v>
      </c>
      <c r="AM440" s="408"/>
      <c r="AN440" s="408">
        <v>-50.846052390143079</v>
      </c>
      <c r="AO440" s="408">
        <v>0</v>
      </c>
      <c r="AP440" s="408">
        <v>0</v>
      </c>
      <c r="AQ440" s="408">
        <v>0</v>
      </c>
      <c r="AR440" s="408">
        <v>0</v>
      </c>
      <c r="AS440" s="408">
        <v>0</v>
      </c>
      <c r="AT440" s="408">
        <v>0</v>
      </c>
      <c r="AU440" s="408">
        <v>0</v>
      </c>
      <c r="AV440" s="408">
        <v>0</v>
      </c>
      <c r="AW440" s="408">
        <v>0</v>
      </c>
      <c r="AX440" s="408">
        <v>0</v>
      </c>
      <c r="AY440" s="408">
        <v>0</v>
      </c>
      <c r="AZ440" s="408">
        <v>0</v>
      </c>
      <c r="BA440" s="408"/>
      <c r="BB440" s="408">
        <v>0</v>
      </c>
      <c r="BC440" s="408">
        <v>0</v>
      </c>
      <c r="BD440" s="408">
        <v>-34.509857564154743</v>
      </c>
      <c r="BE440" s="408">
        <v>0</v>
      </c>
      <c r="BF440" s="408">
        <v>0</v>
      </c>
      <c r="BG440" s="408">
        <v>-839.48378307631538</v>
      </c>
      <c r="BH440" s="408">
        <v>0</v>
      </c>
      <c r="BI440" s="408">
        <v>-142.97</v>
      </c>
      <c r="BJ440" s="408">
        <v>-158.91</v>
      </c>
      <c r="BK440" s="408">
        <v>-183.19</v>
      </c>
      <c r="BL440" s="408">
        <v>0</v>
      </c>
      <c r="BM440" s="408"/>
      <c r="BN440" s="408"/>
      <c r="BO440" s="408"/>
      <c r="BP440" s="408"/>
      <c r="BQ440" s="408"/>
      <c r="BR440" s="408">
        <v>-1835.1129999999991</v>
      </c>
      <c r="BS440" s="408"/>
      <c r="BT440" s="408"/>
      <c r="BU440" s="408"/>
      <c r="BV440" s="408">
        <v>-6814.7238338678662</v>
      </c>
      <c r="BW440" s="408"/>
      <c r="BX440" s="408"/>
      <c r="BY440" s="408"/>
      <c r="BZ440" s="408"/>
      <c r="CA440" s="408"/>
      <c r="CB440" s="408"/>
      <c r="CC440" s="408"/>
      <c r="CD440" s="408"/>
      <c r="CE440" s="408"/>
      <c r="CF440" s="408"/>
      <c r="CG440" s="408"/>
      <c r="CH440" s="408"/>
      <c r="CI440" s="408">
        <v>-13460.1288</v>
      </c>
      <c r="CJ440" s="408">
        <v>6254.1649200000011</v>
      </c>
      <c r="CK440" s="408"/>
      <c r="CL440" s="408"/>
      <c r="CM440" s="408"/>
      <c r="CN440" s="408"/>
      <c r="CO440" s="408">
        <v>7479.8511199999994</v>
      </c>
      <c r="CP440" s="408">
        <v>-370.26444000000021</v>
      </c>
      <c r="CQ440" s="408">
        <v>30</v>
      </c>
      <c r="CR440" s="408">
        <v>-307.81933381861199</v>
      </c>
      <c r="CS440" s="408">
        <v>0</v>
      </c>
      <c r="CT440" s="408">
        <v>0</v>
      </c>
      <c r="CU440" s="408">
        <v>0</v>
      </c>
      <c r="CV440" s="408">
        <v>0</v>
      </c>
      <c r="CW440" s="408">
        <v>0</v>
      </c>
      <c r="CX440" s="408">
        <v>0</v>
      </c>
      <c r="CY440" s="408">
        <v>0</v>
      </c>
      <c r="CZ440" s="408">
        <v>12.882654222797555</v>
      </c>
      <c r="DA440" s="408">
        <v>0</v>
      </c>
      <c r="DB440" s="408">
        <v>0</v>
      </c>
      <c r="DC440" s="408">
        <v>-370.0983967758475</v>
      </c>
      <c r="DD440" s="408">
        <v>0</v>
      </c>
      <c r="DE440" s="408">
        <v>0</v>
      </c>
      <c r="DF440" s="408">
        <v>-2.1499112974390329</v>
      </c>
      <c r="DG440" s="408">
        <v>-52.298554576686001</v>
      </c>
      <c r="DH440" s="408">
        <v>0</v>
      </c>
      <c r="DI440" s="408">
        <v>88.519195702122943</v>
      </c>
      <c r="DJ440" s="408"/>
      <c r="DK440" s="408">
        <v>0</v>
      </c>
      <c r="DL440" s="408">
        <v>0</v>
      </c>
      <c r="DM440" s="408">
        <v>0</v>
      </c>
      <c r="DN440" s="408">
        <v>0</v>
      </c>
      <c r="DO440" s="408">
        <v>12.076421933789646</v>
      </c>
      <c r="DP440" s="408">
        <v>3.2492569726495546</v>
      </c>
      <c r="DQ440" s="408">
        <v>0</v>
      </c>
      <c r="DR440" s="408">
        <v>0</v>
      </c>
      <c r="DS440" s="408"/>
      <c r="DT440" s="408"/>
      <c r="DU440" s="408"/>
      <c r="DV440" s="408">
        <v>-11043.329388384784</v>
      </c>
      <c r="DW440" s="408">
        <v>0</v>
      </c>
      <c r="DX440" s="408">
        <v>0</v>
      </c>
      <c r="DY440" s="408">
        <v>7479.8511200000012</v>
      </c>
      <c r="DZ440" s="408">
        <v>-370.26443999999992</v>
      </c>
      <c r="EA440" s="408">
        <v>0</v>
      </c>
      <c r="EB440" s="408">
        <v>0</v>
      </c>
      <c r="EC440" s="408">
        <v>7417.5246061493626</v>
      </c>
      <c r="ED440" s="408">
        <v>0</v>
      </c>
      <c r="EE440" s="408">
        <v>0</v>
      </c>
      <c r="EF440" s="408">
        <v>0</v>
      </c>
      <c r="EG440" s="408">
        <v>0</v>
      </c>
      <c r="EH440" s="408">
        <v>0</v>
      </c>
      <c r="EI440" s="408">
        <v>0</v>
      </c>
      <c r="EJ440" s="408">
        <v>0</v>
      </c>
      <c r="EK440" s="408">
        <v>0</v>
      </c>
      <c r="EL440" s="408">
        <v>0</v>
      </c>
      <c r="EM440" s="408">
        <v>0</v>
      </c>
      <c r="EN440" s="408">
        <v>0</v>
      </c>
      <c r="EO440" s="408">
        <v>0</v>
      </c>
      <c r="EP440" s="408">
        <v>0</v>
      </c>
      <c r="EQ440" s="408">
        <v>0</v>
      </c>
      <c r="ER440" s="408">
        <v>0</v>
      </c>
      <c r="ES440" s="408">
        <v>0</v>
      </c>
      <c r="ET440" s="408">
        <v>0</v>
      </c>
      <c r="EU440" s="408">
        <v>0</v>
      </c>
      <c r="EV440" s="408">
        <v>257</v>
      </c>
      <c r="EW440" s="408">
        <v>0</v>
      </c>
      <c r="EX440" s="408">
        <v>0</v>
      </c>
      <c r="EY440" s="408">
        <v>0</v>
      </c>
      <c r="EZ440" s="408"/>
      <c r="FA440" s="408">
        <v>0</v>
      </c>
      <c r="FB440" s="408"/>
      <c r="FC440" s="408"/>
      <c r="FD440" s="408"/>
      <c r="FE440" s="408"/>
      <c r="FF440" s="408">
        <v>0</v>
      </c>
      <c r="FG440" s="408">
        <v>0</v>
      </c>
      <c r="FH440" s="408">
        <v>0</v>
      </c>
      <c r="FI440" s="408">
        <v>0</v>
      </c>
    </row>
    <row r="441" spans="1:165">
      <c r="A441" s="408">
        <v>439</v>
      </c>
      <c r="B441" s="408" t="s">
        <v>2236</v>
      </c>
      <c r="C441" s="408" t="s">
        <v>2233</v>
      </c>
      <c r="D441" s="408" t="s">
        <v>2243</v>
      </c>
      <c r="E441" s="408" t="s">
        <v>973</v>
      </c>
      <c r="F441" s="408" t="s">
        <v>1321</v>
      </c>
      <c r="G441" s="408" t="s">
        <v>1321</v>
      </c>
      <c r="H441" s="408" t="s">
        <v>1321</v>
      </c>
      <c r="I441" s="408" t="s">
        <v>1321</v>
      </c>
      <c r="J441" s="408" t="s">
        <v>2234</v>
      </c>
      <c r="K441" s="828">
        <v>44713</v>
      </c>
      <c r="L441" s="408">
        <v>0</v>
      </c>
      <c r="M441" s="408">
        <v>0</v>
      </c>
      <c r="N441" s="408">
        <v>173.386</v>
      </c>
      <c r="O441" s="408">
        <v>173.386</v>
      </c>
      <c r="P441" s="408">
        <v>173.386</v>
      </c>
      <c r="Q441" s="408">
        <v>173.386</v>
      </c>
      <c r="R441" s="408"/>
      <c r="S441" s="408">
        <v>710.91</v>
      </c>
      <c r="T441" s="408">
        <v>256.55</v>
      </c>
      <c r="U441" s="408"/>
      <c r="V441" s="408">
        <v>167744.01955999999</v>
      </c>
      <c r="W441" s="408">
        <v>167744.01955999999</v>
      </c>
      <c r="X441" s="408">
        <v>114509.31598</v>
      </c>
      <c r="Y441" s="408">
        <v>0</v>
      </c>
      <c r="Z441" s="408">
        <v>10658.849108867491</v>
      </c>
      <c r="AA441" s="408">
        <v>0</v>
      </c>
      <c r="AB441" s="408">
        <v>0</v>
      </c>
      <c r="AC441" s="408">
        <v>0</v>
      </c>
      <c r="AD441" s="408">
        <v>21340.832592847455</v>
      </c>
      <c r="AE441" s="408">
        <v>82689.527955367259</v>
      </c>
      <c r="AF441" s="408">
        <v>44482.615533033568</v>
      </c>
      <c r="AG441" s="408">
        <v>0</v>
      </c>
      <c r="AH441" s="408">
        <v>0</v>
      </c>
      <c r="AI441" s="408">
        <v>0</v>
      </c>
      <c r="AJ441" s="408">
        <v>0</v>
      </c>
      <c r="AK441" s="408">
        <v>0</v>
      </c>
      <c r="AL441" s="408">
        <v>1647.9062754976023</v>
      </c>
      <c r="AM441" s="408"/>
      <c r="AN441" s="408">
        <v>380.72178440651874</v>
      </c>
      <c r="AO441" s="408">
        <v>0</v>
      </c>
      <c r="AP441" s="408">
        <v>0</v>
      </c>
      <c r="AQ441" s="408">
        <v>0</v>
      </c>
      <c r="AR441" s="408">
        <v>0</v>
      </c>
      <c r="AS441" s="408">
        <v>0</v>
      </c>
      <c r="AT441" s="408">
        <v>0</v>
      </c>
      <c r="AU441" s="408">
        <v>0</v>
      </c>
      <c r="AV441" s="408">
        <v>0</v>
      </c>
      <c r="AW441" s="408">
        <v>0</v>
      </c>
      <c r="AX441" s="408">
        <v>0</v>
      </c>
      <c r="AY441" s="408">
        <v>0</v>
      </c>
      <c r="AZ441" s="408">
        <v>0</v>
      </c>
      <c r="BA441" s="408"/>
      <c r="BB441" s="408">
        <v>0</v>
      </c>
      <c r="BC441" s="408">
        <v>0</v>
      </c>
      <c r="BD441" s="408">
        <v>258.40068075740777</v>
      </c>
      <c r="BE441" s="408">
        <v>0</v>
      </c>
      <c r="BF441" s="408">
        <v>0</v>
      </c>
      <c r="BG441" s="408">
        <v>6285.83240682631</v>
      </c>
      <c r="BH441" s="408">
        <v>0</v>
      </c>
      <c r="BI441" s="408">
        <v>276.11</v>
      </c>
      <c r="BJ441" s="408">
        <v>1084.83</v>
      </c>
      <c r="BK441" s="408">
        <v>3270.45</v>
      </c>
      <c r="BL441" s="408">
        <v>232</v>
      </c>
      <c r="BM441" s="408"/>
      <c r="BN441" s="408"/>
      <c r="BO441" s="408"/>
      <c r="BP441" s="408"/>
      <c r="BQ441" s="408"/>
      <c r="BR441" s="408">
        <v>13740.840499999995</v>
      </c>
      <c r="BS441" s="408"/>
      <c r="BT441" s="408"/>
      <c r="BU441" s="408"/>
      <c r="BV441" s="408">
        <v>51026.848620617282</v>
      </c>
      <c r="BW441" s="408"/>
      <c r="BX441" s="408"/>
      <c r="BY441" s="408"/>
      <c r="BZ441" s="408"/>
      <c r="CA441" s="408"/>
      <c r="CB441" s="408"/>
      <c r="CC441" s="408"/>
      <c r="CD441" s="408"/>
      <c r="CE441" s="408"/>
      <c r="CF441" s="408"/>
      <c r="CG441" s="408"/>
      <c r="CH441" s="408"/>
      <c r="CI441" s="408">
        <v>100770.8002</v>
      </c>
      <c r="CJ441" s="408">
        <v>-46844.868619999994</v>
      </c>
      <c r="CK441" s="408"/>
      <c r="CL441" s="408"/>
      <c r="CM441" s="408"/>
      <c r="CN441" s="408"/>
      <c r="CO441" s="408">
        <v>-56007.145719999993</v>
      </c>
      <c r="CP441" s="408">
        <v>2772.4421400000015</v>
      </c>
      <c r="CQ441" s="408">
        <v>30</v>
      </c>
      <c r="CR441" s="408">
        <v>2304.8697103763261</v>
      </c>
      <c r="CS441" s="408">
        <v>0</v>
      </c>
      <c r="CT441" s="408">
        <v>0</v>
      </c>
      <c r="CU441" s="408">
        <v>0</v>
      </c>
      <c r="CV441" s="408">
        <v>0</v>
      </c>
      <c r="CW441" s="408">
        <v>0</v>
      </c>
      <c r="CX441" s="408">
        <v>0</v>
      </c>
      <c r="CY441" s="408">
        <v>0</v>
      </c>
      <c r="CZ441" s="408">
        <v>-96.461905556829151</v>
      </c>
      <c r="DA441" s="408">
        <v>0</v>
      </c>
      <c r="DB441" s="408">
        <v>0</v>
      </c>
      <c r="DC441" s="408">
        <v>2771.1988522792017</v>
      </c>
      <c r="DD441" s="408">
        <v>0</v>
      </c>
      <c r="DE441" s="408">
        <v>0</v>
      </c>
      <c r="DF441" s="408">
        <v>16.097966843054223</v>
      </c>
      <c r="DG441" s="408">
        <v>391.59773638941351</v>
      </c>
      <c r="DH441" s="408">
        <v>0</v>
      </c>
      <c r="DI441" s="408">
        <v>-662.80831171222599</v>
      </c>
      <c r="DJ441" s="408"/>
      <c r="DK441" s="408">
        <v>0</v>
      </c>
      <c r="DL441" s="408">
        <v>0</v>
      </c>
      <c r="DM441" s="408">
        <v>0</v>
      </c>
      <c r="DN441" s="408">
        <v>0</v>
      </c>
      <c r="DO441" s="408">
        <v>-90.425051537918989</v>
      </c>
      <c r="DP441" s="408">
        <v>-24.329576328373435</v>
      </c>
      <c r="DQ441" s="408">
        <v>0</v>
      </c>
      <c r="DR441" s="408">
        <v>0</v>
      </c>
      <c r="DS441" s="408"/>
      <c r="DT441" s="408"/>
      <c r="DU441" s="408"/>
      <c r="DV441" s="408">
        <v>82689.527955367259</v>
      </c>
      <c r="DW441" s="408">
        <v>0</v>
      </c>
      <c r="DX441" s="408">
        <v>0</v>
      </c>
      <c r="DY441" s="408">
        <v>-56007.145719999986</v>
      </c>
      <c r="DZ441" s="408">
        <v>2772.4421399999992</v>
      </c>
      <c r="EA441" s="408">
        <v>0</v>
      </c>
      <c r="EB441" s="408">
        <v>0</v>
      </c>
      <c r="EC441" s="408">
        <v>-55540.461278364724</v>
      </c>
      <c r="ED441" s="408">
        <v>0</v>
      </c>
      <c r="EE441" s="408">
        <v>0</v>
      </c>
      <c r="EF441" s="408">
        <v>0</v>
      </c>
      <c r="EG441" s="408">
        <v>0</v>
      </c>
      <c r="EH441" s="408">
        <v>0</v>
      </c>
      <c r="EI441" s="408">
        <v>0</v>
      </c>
      <c r="EJ441" s="408">
        <v>0</v>
      </c>
      <c r="EK441" s="408">
        <v>0</v>
      </c>
      <c r="EL441" s="408">
        <v>0</v>
      </c>
      <c r="EM441" s="408">
        <v>0</v>
      </c>
      <c r="EN441" s="408">
        <v>0</v>
      </c>
      <c r="EO441" s="408">
        <v>0</v>
      </c>
      <c r="EP441" s="408">
        <v>0</v>
      </c>
      <c r="EQ441" s="408">
        <v>0</v>
      </c>
      <c r="ER441" s="408">
        <v>0</v>
      </c>
      <c r="ES441" s="408">
        <v>0</v>
      </c>
      <c r="ET441" s="408">
        <v>0</v>
      </c>
      <c r="EU441" s="408">
        <v>0</v>
      </c>
      <c r="EV441" s="408">
        <v>257</v>
      </c>
      <c r="EW441" s="408">
        <v>0</v>
      </c>
      <c r="EX441" s="408">
        <v>0</v>
      </c>
      <c r="EY441" s="408">
        <v>0</v>
      </c>
      <c r="EZ441" s="408"/>
      <c r="FA441" s="408">
        <v>0</v>
      </c>
      <c r="FB441" s="408"/>
      <c r="FC441" s="408"/>
      <c r="FD441" s="408"/>
      <c r="FE441" s="408"/>
      <c r="FF441" s="408">
        <v>0</v>
      </c>
      <c r="FG441" s="408">
        <v>0</v>
      </c>
      <c r="FH441" s="408">
        <v>0</v>
      </c>
      <c r="FI441" s="408">
        <v>0</v>
      </c>
    </row>
    <row r="442" spans="1:165">
      <c r="A442" s="408">
        <v>440</v>
      </c>
      <c r="B442" s="408" t="s">
        <v>2236</v>
      </c>
      <c r="C442" s="408" t="s">
        <v>2233</v>
      </c>
      <c r="D442" s="408" t="s">
        <v>2243</v>
      </c>
      <c r="E442" s="408" t="s">
        <v>973</v>
      </c>
      <c r="F442" s="408" t="s">
        <v>1321</v>
      </c>
      <c r="G442" s="408" t="s">
        <v>1321</v>
      </c>
      <c r="H442" s="408" t="s">
        <v>1321</v>
      </c>
      <c r="I442" s="408" t="s">
        <v>1321</v>
      </c>
      <c r="J442" s="408" t="s">
        <v>2234</v>
      </c>
      <c r="K442" s="828">
        <v>44713</v>
      </c>
      <c r="L442" s="408">
        <v>0</v>
      </c>
      <c r="M442" s="408">
        <v>0</v>
      </c>
      <c r="N442" s="408">
        <v>0.1</v>
      </c>
      <c r="O442" s="408">
        <v>0.1</v>
      </c>
      <c r="P442" s="408">
        <v>0.1</v>
      </c>
      <c r="Q442" s="408">
        <v>0.1</v>
      </c>
      <c r="R442" s="408"/>
      <c r="S442" s="408">
        <v>710.91</v>
      </c>
      <c r="T442" s="408">
        <v>256.55</v>
      </c>
      <c r="U442" s="408"/>
      <c r="V442" s="408">
        <v>96.745999999999995</v>
      </c>
      <c r="W442" s="408">
        <v>96.745999999999995</v>
      </c>
      <c r="X442" s="408">
        <v>66.043000000000006</v>
      </c>
      <c r="Y442" s="408">
        <v>0</v>
      </c>
      <c r="Z442" s="408">
        <v>6.1474681397964606</v>
      </c>
      <c r="AA442" s="408">
        <v>0</v>
      </c>
      <c r="AB442" s="408">
        <v>0</v>
      </c>
      <c r="AC442" s="408">
        <v>0</v>
      </c>
      <c r="AD442" s="408">
        <v>12.308278980337199</v>
      </c>
      <c r="AE442" s="408">
        <v>47.691006168529903</v>
      </c>
      <c r="AF442" s="408">
        <v>25.655252173205202</v>
      </c>
      <c r="AG442" s="408">
        <v>0</v>
      </c>
      <c r="AH442" s="408">
        <v>0</v>
      </c>
      <c r="AI442" s="408">
        <v>0</v>
      </c>
      <c r="AJ442" s="408">
        <v>0</v>
      </c>
      <c r="AK442" s="408">
        <v>0</v>
      </c>
      <c r="AL442" s="408">
        <v>0.950426375542202</v>
      </c>
      <c r="AM442" s="408"/>
      <c r="AN442" s="408">
        <v>0.21958046463181502</v>
      </c>
      <c r="AO442" s="408">
        <v>0</v>
      </c>
      <c r="AP442" s="408">
        <v>0</v>
      </c>
      <c r="AQ442" s="408">
        <v>0</v>
      </c>
      <c r="AR442" s="408">
        <v>0</v>
      </c>
      <c r="AS442" s="408">
        <v>0</v>
      </c>
      <c r="AT442" s="408">
        <v>0</v>
      </c>
      <c r="AU442" s="408">
        <v>0</v>
      </c>
      <c r="AV442" s="408">
        <v>0</v>
      </c>
      <c r="AW442" s="408">
        <v>0</v>
      </c>
      <c r="AX442" s="408">
        <v>0</v>
      </c>
      <c r="AY442" s="408">
        <v>0</v>
      </c>
      <c r="AZ442" s="408">
        <v>0</v>
      </c>
      <c r="BA442" s="408"/>
      <c r="BB442" s="408">
        <v>0</v>
      </c>
      <c r="BC442" s="408">
        <v>0</v>
      </c>
      <c r="BD442" s="408">
        <v>0.14903203301155099</v>
      </c>
      <c r="BE442" s="408">
        <v>0</v>
      </c>
      <c r="BF442" s="408">
        <v>0</v>
      </c>
      <c r="BG442" s="408">
        <v>3.6253402274845201</v>
      </c>
      <c r="BH442" s="408">
        <v>0</v>
      </c>
      <c r="BI442" s="408">
        <v>0.68</v>
      </c>
      <c r="BJ442" s="408">
        <v>0.68</v>
      </c>
      <c r="BK442" s="408">
        <v>9.85</v>
      </c>
      <c r="BL442" s="408">
        <v>1</v>
      </c>
      <c r="BM442" s="408"/>
      <c r="BN442" s="408"/>
      <c r="BO442" s="408"/>
      <c r="BP442" s="408"/>
      <c r="BQ442" s="408"/>
      <c r="BR442" s="408">
        <v>7.9249999999999972</v>
      </c>
      <c r="BS442" s="408"/>
      <c r="BT442" s="408"/>
      <c r="BU442" s="408"/>
      <c r="BV442" s="408">
        <v>29.429624433701274</v>
      </c>
      <c r="BW442" s="408"/>
      <c r="BX442" s="408"/>
      <c r="BY442" s="408"/>
      <c r="BZ442" s="408"/>
      <c r="CA442" s="408"/>
      <c r="CB442" s="408"/>
      <c r="CC442" s="408"/>
      <c r="CD442" s="408"/>
      <c r="CE442" s="408"/>
      <c r="CF442" s="408"/>
      <c r="CG442" s="408"/>
      <c r="CH442" s="408"/>
      <c r="CI442" s="408">
        <v>58.118000000000009</v>
      </c>
      <c r="CJ442" s="408">
        <v>-27.048999999999992</v>
      </c>
      <c r="CK442" s="408"/>
      <c r="CL442" s="408"/>
      <c r="CM442" s="408"/>
      <c r="CN442" s="408"/>
      <c r="CO442" s="408">
        <v>-32.302</v>
      </c>
      <c r="CP442" s="408">
        <v>1.5990000000000011</v>
      </c>
      <c r="CQ442" s="408">
        <v>30</v>
      </c>
      <c r="CR442" s="408">
        <v>1.3293286138305902</v>
      </c>
      <c r="CS442" s="408">
        <v>0</v>
      </c>
      <c r="CT442" s="408">
        <v>0</v>
      </c>
      <c r="CU442" s="408">
        <v>0</v>
      </c>
      <c r="CV442" s="408">
        <v>0</v>
      </c>
      <c r="CW442" s="408">
        <v>0</v>
      </c>
      <c r="CX442" s="408">
        <v>0</v>
      </c>
      <c r="CY442" s="408">
        <v>0</v>
      </c>
      <c r="CZ442" s="408">
        <v>-5.5634195123499097E-2</v>
      </c>
      <c r="DA442" s="408">
        <v>0</v>
      </c>
      <c r="DB442" s="408">
        <v>0</v>
      </c>
      <c r="DC442" s="408">
        <v>1.5982829364996007</v>
      </c>
      <c r="DD442" s="408">
        <v>0</v>
      </c>
      <c r="DE442" s="408">
        <v>0</v>
      </c>
      <c r="DF442" s="408">
        <v>9.2844675135560217E-3</v>
      </c>
      <c r="DG442" s="408">
        <v>0.22585314638403009</v>
      </c>
      <c r="DH442" s="408">
        <v>0</v>
      </c>
      <c r="DI442" s="408">
        <v>-0.38227325834394055</v>
      </c>
      <c r="DJ442" s="408"/>
      <c r="DK442" s="408">
        <v>0</v>
      </c>
      <c r="DL442" s="408">
        <v>0</v>
      </c>
      <c r="DM442" s="408">
        <v>0</v>
      </c>
      <c r="DN442" s="408">
        <v>0</v>
      </c>
      <c r="DO442" s="408">
        <v>-5.2152452642034941E-2</v>
      </c>
      <c r="DP442" s="408">
        <v>-1.4032030457115013E-2</v>
      </c>
      <c r="DQ442" s="408">
        <v>0</v>
      </c>
      <c r="DR442" s="408">
        <v>0</v>
      </c>
      <c r="DS442" s="408"/>
      <c r="DT442" s="408"/>
      <c r="DU442" s="408"/>
      <c r="DV442" s="408">
        <v>47.691006168529903</v>
      </c>
      <c r="DW442" s="408">
        <v>0</v>
      </c>
      <c r="DX442" s="408">
        <v>0</v>
      </c>
      <c r="DY442" s="408">
        <v>-32.301999999999992</v>
      </c>
      <c r="DZ442" s="408">
        <v>1.5990000000000038</v>
      </c>
      <c r="EA442" s="408">
        <v>0</v>
      </c>
      <c r="EB442" s="408">
        <v>0</v>
      </c>
      <c r="EC442" s="408">
        <v>-32.032840758979802</v>
      </c>
      <c r="ED442" s="408">
        <v>0</v>
      </c>
      <c r="EE442" s="408">
        <v>0</v>
      </c>
      <c r="EF442" s="408">
        <v>0</v>
      </c>
      <c r="EG442" s="408">
        <v>0</v>
      </c>
      <c r="EH442" s="408">
        <v>0</v>
      </c>
      <c r="EI442" s="408">
        <v>0</v>
      </c>
      <c r="EJ442" s="408">
        <v>0</v>
      </c>
      <c r="EK442" s="408">
        <v>0</v>
      </c>
      <c r="EL442" s="408">
        <v>0</v>
      </c>
      <c r="EM442" s="408">
        <v>0</v>
      </c>
      <c r="EN442" s="408">
        <v>0</v>
      </c>
      <c r="EO442" s="408">
        <v>0</v>
      </c>
      <c r="EP442" s="408">
        <v>0</v>
      </c>
      <c r="EQ442" s="408">
        <v>0</v>
      </c>
      <c r="ER442" s="408">
        <v>0</v>
      </c>
      <c r="ES442" s="408">
        <v>0</v>
      </c>
      <c r="ET442" s="408">
        <v>0</v>
      </c>
      <c r="EU442" s="408">
        <v>0</v>
      </c>
      <c r="EV442" s="408">
        <v>257</v>
      </c>
      <c r="EW442" s="408">
        <v>0</v>
      </c>
      <c r="EX442" s="408">
        <v>0</v>
      </c>
      <c r="EY442" s="408">
        <v>0</v>
      </c>
      <c r="EZ442" s="408"/>
      <c r="FA442" s="408">
        <v>0</v>
      </c>
      <c r="FB442" s="408"/>
      <c r="FC442" s="408"/>
      <c r="FD442" s="408"/>
      <c r="FE442" s="408"/>
      <c r="FF442" s="408">
        <v>0</v>
      </c>
      <c r="FG442" s="408">
        <v>0</v>
      </c>
      <c r="FH442" s="408">
        <v>0</v>
      </c>
      <c r="FI442" s="408">
        <v>0</v>
      </c>
    </row>
    <row r="443" spans="1:165">
      <c r="A443" s="408">
        <v>441</v>
      </c>
      <c r="B443" s="408" t="s">
        <v>1035</v>
      </c>
      <c r="C443" s="408" t="s">
        <v>2241</v>
      </c>
      <c r="D443" s="408" t="s">
        <v>596</v>
      </c>
      <c r="E443" s="408" t="s">
        <v>973</v>
      </c>
      <c r="F443" s="408" t="s">
        <v>1321</v>
      </c>
      <c r="G443" s="408" t="s">
        <v>1321</v>
      </c>
      <c r="H443" s="408" t="s">
        <v>1321</v>
      </c>
      <c r="I443" s="408" t="s">
        <v>972</v>
      </c>
      <c r="J443" s="408" t="s">
        <v>2234</v>
      </c>
      <c r="K443" s="828">
        <v>44713</v>
      </c>
      <c r="L443" s="408">
        <v>0</v>
      </c>
      <c r="M443" s="408">
        <v>0</v>
      </c>
      <c r="N443" s="408">
        <v>10.036</v>
      </c>
      <c r="O443" s="408">
        <v>9.6345600000000005</v>
      </c>
      <c r="P443" s="408">
        <v>10.036</v>
      </c>
      <c r="Q443" s="408">
        <v>9.6345600000000005</v>
      </c>
      <c r="R443" s="408"/>
      <c r="S443" s="408">
        <v>3130.62</v>
      </c>
      <c r="T443" s="408">
        <v>256.55</v>
      </c>
      <c r="U443" s="408"/>
      <c r="V443" s="408">
        <v>33993.638119999996</v>
      </c>
      <c r="W443" s="408">
        <v>33993.638119999996</v>
      </c>
      <c r="X443" s="408">
        <v>17890.474679999999</v>
      </c>
      <c r="Y443" s="408">
        <v>0</v>
      </c>
      <c r="Z443" s="408">
        <v>536.75511518367625</v>
      </c>
      <c r="AA443" s="408">
        <v>0</v>
      </c>
      <c r="AB443" s="408">
        <v>0</v>
      </c>
      <c r="AC443" s="408">
        <v>0</v>
      </c>
      <c r="AD443" s="408">
        <v>6465.3297697902617</v>
      </c>
      <c r="AE443" s="408">
        <v>24128.035982054567</v>
      </c>
      <c r="AF443" s="408">
        <v>2574.761108102874</v>
      </c>
      <c r="AG443" s="408">
        <v>0</v>
      </c>
      <c r="AH443" s="408">
        <v>0</v>
      </c>
      <c r="AI443" s="408">
        <v>0</v>
      </c>
      <c r="AJ443" s="408">
        <v>0</v>
      </c>
      <c r="AK443" s="408">
        <v>0</v>
      </c>
      <c r="AL443" s="408">
        <v>95.384791049415384</v>
      </c>
      <c r="AM443" s="408"/>
      <c r="AN443" s="408">
        <v>13.539115927960628</v>
      </c>
      <c r="AO443" s="408">
        <v>0</v>
      </c>
      <c r="AP443" s="408">
        <v>0</v>
      </c>
      <c r="AQ443" s="408">
        <v>0</v>
      </c>
      <c r="AR443" s="408">
        <v>0</v>
      </c>
      <c r="AS443" s="408">
        <v>0</v>
      </c>
      <c r="AT443" s="408">
        <v>0</v>
      </c>
      <c r="AU443" s="408">
        <v>0</v>
      </c>
      <c r="AV443" s="408">
        <v>0</v>
      </c>
      <c r="AW443" s="408">
        <v>0</v>
      </c>
      <c r="AX443" s="408">
        <v>0</v>
      </c>
      <c r="AY443" s="408">
        <v>0</v>
      </c>
      <c r="AZ443" s="408">
        <v>0</v>
      </c>
      <c r="BA443" s="408"/>
      <c r="BB443" s="408">
        <v>0</v>
      </c>
      <c r="BC443" s="408">
        <v>0</v>
      </c>
      <c r="BD443" s="408">
        <v>12.364605079881825</v>
      </c>
      <c r="BE443" s="408">
        <v>0</v>
      </c>
      <c r="BF443" s="408">
        <v>0</v>
      </c>
      <c r="BG443" s="408">
        <v>167.49369635106643</v>
      </c>
      <c r="BH443" s="408">
        <v>0</v>
      </c>
      <c r="BI443" s="408">
        <v>0</v>
      </c>
      <c r="BJ443" s="408">
        <v>0</v>
      </c>
      <c r="BK443" s="408">
        <v>0</v>
      </c>
      <c r="BL443" s="408">
        <v>0</v>
      </c>
      <c r="BM443" s="408"/>
      <c r="BN443" s="408"/>
      <c r="BO443" s="408"/>
      <c r="BP443" s="408"/>
      <c r="BQ443" s="408"/>
      <c r="BR443" s="408">
        <v>715.6189871999984</v>
      </c>
      <c r="BS443" s="408"/>
      <c r="BT443" s="408"/>
      <c r="BU443" s="408"/>
      <c r="BV443" s="408">
        <v>2754.6194095338224</v>
      </c>
      <c r="BW443" s="408"/>
      <c r="BX443" s="408"/>
      <c r="BY443" s="408"/>
      <c r="BZ443" s="408"/>
      <c r="CA443" s="408"/>
      <c r="CB443" s="408"/>
      <c r="CC443" s="408"/>
      <c r="CD443" s="408"/>
      <c r="CE443" s="408"/>
      <c r="CF443" s="408"/>
      <c r="CG443" s="408"/>
      <c r="CH443" s="408"/>
      <c r="CI443" s="408">
        <v>17166.726900000001</v>
      </c>
      <c r="CJ443" s="408">
        <v>-15467.195695199993</v>
      </c>
      <c r="CK443" s="408"/>
      <c r="CL443" s="408"/>
      <c r="CM443" s="408"/>
      <c r="CN443" s="408"/>
      <c r="CO443" s="408">
        <v>-16263.639079999999</v>
      </c>
      <c r="CP443" s="408">
        <v>160.47564000000008</v>
      </c>
      <c r="CQ443" s="408">
        <v>30</v>
      </c>
      <c r="CR443" s="408">
        <v>102.90815232235036</v>
      </c>
      <c r="CS443" s="408">
        <v>0</v>
      </c>
      <c r="CT443" s="408">
        <v>0</v>
      </c>
      <c r="CU443" s="408">
        <v>0</v>
      </c>
      <c r="CV443" s="408">
        <v>0</v>
      </c>
      <c r="CW443" s="408">
        <v>0</v>
      </c>
      <c r="CX443" s="408">
        <v>0</v>
      </c>
      <c r="CY443" s="408">
        <v>0</v>
      </c>
      <c r="CZ443" s="408">
        <v>-29.223697198036461</v>
      </c>
      <c r="DA443" s="408">
        <v>0</v>
      </c>
      <c r="DB443" s="408">
        <v>0</v>
      </c>
      <c r="DC443" s="408">
        <v>160.40367550709971</v>
      </c>
      <c r="DD443" s="408">
        <v>0</v>
      </c>
      <c r="DE443" s="408">
        <v>0</v>
      </c>
      <c r="DF443" s="408">
        <v>0.77029596833868297</v>
      </c>
      <c r="DG443" s="408">
        <v>10.434600877895434</v>
      </c>
      <c r="DH443" s="408">
        <v>0</v>
      </c>
      <c r="DI443" s="408">
        <v>-33.377501460436349</v>
      </c>
      <c r="DJ443" s="408"/>
      <c r="DK443" s="408">
        <v>0</v>
      </c>
      <c r="DL443" s="408">
        <v>0</v>
      </c>
      <c r="DM443" s="408">
        <v>0</v>
      </c>
      <c r="DN443" s="408">
        <v>0</v>
      </c>
      <c r="DO443" s="408">
        <v>-5.2340201471546237</v>
      </c>
      <c r="DP443" s="408">
        <v>-0.86520122535542754</v>
      </c>
      <c r="DQ443" s="408">
        <v>0</v>
      </c>
      <c r="DR443" s="408">
        <v>0</v>
      </c>
      <c r="DS443" s="408"/>
      <c r="DT443" s="408"/>
      <c r="DU443" s="408"/>
      <c r="DV443" s="408">
        <v>24128.035982054567</v>
      </c>
      <c r="DW443" s="408">
        <v>0</v>
      </c>
      <c r="DX443" s="408">
        <v>0</v>
      </c>
      <c r="DY443" s="408">
        <v>-16263.639079999999</v>
      </c>
      <c r="DZ443" s="408">
        <v>160.47564000000011</v>
      </c>
      <c r="EA443" s="408">
        <v>0</v>
      </c>
      <c r="EB443" s="408">
        <v>0</v>
      </c>
      <c r="EC443" s="408">
        <v>-16206.190569954853</v>
      </c>
      <c r="ED443" s="408">
        <v>0</v>
      </c>
      <c r="EE443" s="408">
        <v>0</v>
      </c>
      <c r="EF443" s="408">
        <v>0</v>
      </c>
      <c r="EG443" s="408">
        <v>0</v>
      </c>
      <c r="EH443" s="408">
        <v>0</v>
      </c>
      <c r="EI443" s="408">
        <v>0</v>
      </c>
      <c r="EJ443" s="408">
        <v>0</v>
      </c>
      <c r="EK443" s="408">
        <v>0</v>
      </c>
      <c r="EL443" s="408">
        <v>0</v>
      </c>
      <c r="EM443" s="408">
        <v>0</v>
      </c>
      <c r="EN443" s="408">
        <v>0</v>
      </c>
      <c r="EO443" s="408">
        <v>0</v>
      </c>
      <c r="EP443" s="408">
        <v>0</v>
      </c>
      <c r="EQ443" s="408">
        <v>0</v>
      </c>
      <c r="ER443" s="408">
        <v>0</v>
      </c>
      <c r="ES443" s="408">
        <v>0</v>
      </c>
      <c r="ET443" s="408">
        <v>0</v>
      </c>
      <c r="EU443" s="408">
        <v>0</v>
      </c>
      <c r="EV443" s="408">
        <v>257</v>
      </c>
      <c r="EW443" s="408">
        <v>0</v>
      </c>
      <c r="EX443" s="408">
        <v>0</v>
      </c>
      <c r="EY443" s="408">
        <v>0</v>
      </c>
      <c r="EZ443" s="408"/>
      <c r="FA443" s="408">
        <v>0</v>
      </c>
      <c r="FB443" s="408"/>
      <c r="FC443" s="408"/>
      <c r="FD443" s="408"/>
      <c r="FE443" s="408"/>
      <c r="FF443" s="408">
        <v>0</v>
      </c>
      <c r="FG443" s="408">
        <v>0</v>
      </c>
      <c r="FH443" s="408">
        <v>0</v>
      </c>
      <c r="FI443" s="408">
        <v>0</v>
      </c>
    </row>
    <row r="444" spans="1:165">
      <c r="A444" s="408">
        <v>442</v>
      </c>
      <c r="B444" s="408" t="s">
        <v>2236</v>
      </c>
      <c r="C444" s="408" t="s">
        <v>2241</v>
      </c>
      <c r="D444" s="408" t="s">
        <v>596</v>
      </c>
      <c r="E444" s="408" t="s">
        <v>973</v>
      </c>
      <c r="F444" s="408" t="s">
        <v>1321</v>
      </c>
      <c r="G444" s="408" t="s">
        <v>1321</v>
      </c>
      <c r="H444" s="408" t="s">
        <v>1321</v>
      </c>
      <c r="I444" s="408" t="s">
        <v>972</v>
      </c>
      <c r="J444" s="408" t="s">
        <v>2234</v>
      </c>
      <c r="K444" s="828">
        <v>44713</v>
      </c>
      <c r="L444" s="408">
        <v>0</v>
      </c>
      <c r="M444" s="408">
        <v>0</v>
      </c>
      <c r="N444" s="408">
        <v>0.68300000000000005</v>
      </c>
      <c r="O444" s="408">
        <v>0.65568000000000004</v>
      </c>
      <c r="P444" s="408">
        <v>0.68300000000000005</v>
      </c>
      <c r="Q444" s="408">
        <v>0.65568000000000004</v>
      </c>
      <c r="R444" s="408"/>
      <c r="S444" s="408">
        <v>3130.62</v>
      </c>
      <c r="T444" s="408">
        <v>256.55</v>
      </c>
      <c r="U444" s="408"/>
      <c r="V444" s="408">
        <v>2313.4371099999998</v>
      </c>
      <c r="W444" s="408">
        <v>2313.4371099999998</v>
      </c>
      <c r="X444" s="408">
        <v>1217.53629</v>
      </c>
      <c r="Y444" s="408">
        <v>0</v>
      </c>
      <c r="Z444" s="408">
        <v>36.528870433484549</v>
      </c>
      <c r="AA444" s="408">
        <v>0</v>
      </c>
      <c r="AB444" s="408">
        <v>0</v>
      </c>
      <c r="AC444" s="408">
        <v>0</v>
      </c>
      <c r="AD444" s="408">
        <v>439.99803036735244</v>
      </c>
      <c r="AE444" s="408">
        <v>1642.033536841697</v>
      </c>
      <c r="AF444" s="408">
        <v>175.22537234299153</v>
      </c>
      <c r="AG444" s="408">
        <v>0</v>
      </c>
      <c r="AH444" s="408">
        <v>0</v>
      </c>
      <c r="AI444" s="408">
        <v>0</v>
      </c>
      <c r="AJ444" s="408">
        <v>0</v>
      </c>
      <c r="AK444" s="408">
        <v>0</v>
      </c>
      <c r="AL444" s="408">
        <v>6.49141214495324</v>
      </c>
      <c r="AM444" s="408"/>
      <c r="AN444" s="408">
        <v>0.92140456145846061</v>
      </c>
      <c r="AO444" s="408">
        <v>0</v>
      </c>
      <c r="AP444" s="408">
        <v>0</v>
      </c>
      <c r="AQ444" s="408">
        <v>0</v>
      </c>
      <c r="AR444" s="408">
        <v>0</v>
      </c>
      <c r="AS444" s="408">
        <v>0</v>
      </c>
      <c r="AT444" s="408">
        <v>0</v>
      </c>
      <c r="AU444" s="408">
        <v>0</v>
      </c>
      <c r="AV444" s="408">
        <v>0</v>
      </c>
      <c r="AW444" s="408">
        <v>0</v>
      </c>
      <c r="AX444" s="408">
        <v>0</v>
      </c>
      <c r="AY444" s="408">
        <v>0</v>
      </c>
      <c r="AZ444" s="408">
        <v>0</v>
      </c>
      <c r="BA444" s="408"/>
      <c r="BB444" s="408">
        <v>0</v>
      </c>
      <c r="BC444" s="408">
        <v>0</v>
      </c>
      <c r="BD444" s="408">
        <v>0.84147322335186203</v>
      </c>
      <c r="BE444" s="408">
        <v>0</v>
      </c>
      <c r="BF444" s="408">
        <v>0</v>
      </c>
      <c r="BG444" s="408">
        <v>11.398783838957591</v>
      </c>
      <c r="BH444" s="408">
        <v>0</v>
      </c>
      <c r="BI444" s="408">
        <v>0</v>
      </c>
      <c r="BJ444" s="408">
        <v>0</v>
      </c>
      <c r="BK444" s="408">
        <v>0</v>
      </c>
      <c r="BL444" s="408">
        <v>0</v>
      </c>
      <c r="BM444" s="408"/>
      <c r="BN444" s="408"/>
      <c r="BO444" s="408"/>
      <c r="BP444" s="408"/>
      <c r="BQ444" s="408"/>
      <c r="BR444" s="408">
        <v>48.701451600000013</v>
      </c>
      <c r="BS444" s="408"/>
      <c r="BT444" s="408"/>
      <c r="BU444" s="408"/>
      <c r="BV444" s="408">
        <v>187.465629405301</v>
      </c>
      <c r="BW444" s="408"/>
      <c r="BX444" s="408"/>
      <c r="BY444" s="408"/>
      <c r="BZ444" s="408"/>
      <c r="CA444" s="408"/>
      <c r="CB444" s="408"/>
      <c r="CC444" s="408"/>
      <c r="CD444" s="408"/>
      <c r="CE444" s="408"/>
      <c r="CF444" s="408"/>
      <c r="CG444" s="408"/>
      <c r="CH444" s="408"/>
      <c r="CI444" s="408">
        <v>1176.5358000000001</v>
      </c>
      <c r="CJ444" s="408">
        <v>-1044.3938256000006</v>
      </c>
      <c r="CK444" s="408"/>
      <c r="CL444" s="408"/>
      <c r="CM444" s="408"/>
      <c r="CN444" s="408"/>
      <c r="CO444" s="408">
        <v>-1106.8219900000001</v>
      </c>
      <c r="CP444" s="408">
        <v>10.921170000000007</v>
      </c>
      <c r="CQ444" s="408">
        <v>30</v>
      </c>
      <c r="CR444" s="408">
        <v>7.0034145113756949</v>
      </c>
      <c r="CS444" s="408">
        <v>0</v>
      </c>
      <c r="CT444" s="408">
        <v>0</v>
      </c>
      <c r="CU444" s="408">
        <v>0</v>
      </c>
      <c r="CV444" s="408">
        <v>0</v>
      </c>
      <c r="CW444" s="408">
        <v>0</v>
      </c>
      <c r="CX444" s="408">
        <v>0</v>
      </c>
      <c r="CY444" s="408">
        <v>0</v>
      </c>
      <c r="CZ444" s="408">
        <v>-1.9888187710500915</v>
      </c>
      <c r="DA444" s="408">
        <v>0</v>
      </c>
      <c r="DB444" s="408">
        <v>0</v>
      </c>
      <c r="DC444" s="408">
        <v>10.91627245629229</v>
      </c>
      <c r="DD444" s="408">
        <v>0</v>
      </c>
      <c r="DE444" s="408">
        <v>0</v>
      </c>
      <c r="DF444" s="408">
        <v>5.2422493660354785E-2</v>
      </c>
      <c r="DG444" s="408">
        <v>0.71012678353951664</v>
      </c>
      <c r="DH444" s="408">
        <v>0</v>
      </c>
      <c r="DI444" s="408">
        <v>-2.2715059284055457</v>
      </c>
      <c r="DJ444" s="408"/>
      <c r="DK444" s="408">
        <v>0</v>
      </c>
      <c r="DL444" s="408">
        <v>0</v>
      </c>
      <c r="DM444" s="408">
        <v>0</v>
      </c>
      <c r="DN444" s="408">
        <v>0</v>
      </c>
      <c r="DO444" s="408">
        <v>-0.35620125154509896</v>
      </c>
      <c r="DP444" s="408">
        <v>-5.8881271115759026E-2</v>
      </c>
      <c r="DQ444" s="408">
        <v>0</v>
      </c>
      <c r="DR444" s="408">
        <v>0</v>
      </c>
      <c r="DS444" s="408"/>
      <c r="DT444" s="408"/>
      <c r="DU444" s="408"/>
      <c r="DV444" s="408">
        <v>1642.033536841697</v>
      </c>
      <c r="DW444" s="408">
        <v>0</v>
      </c>
      <c r="DX444" s="408">
        <v>0</v>
      </c>
      <c r="DY444" s="408">
        <v>-1106.8219899999999</v>
      </c>
      <c r="DZ444" s="408">
        <v>10.921170000000018</v>
      </c>
      <c r="EA444" s="408">
        <v>0</v>
      </c>
      <c r="EB444" s="408">
        <v>0</v>
      </c>
      <c r="EC444" s="408">
        <v>-1102.9123315343927</v>
      </c>
      <c r="ED444" s="408">
        <v>0</v>
      </c>
      <c r="EE444" s="408">
        <v>0</v>
      </c>
      <c r="EF444" s="408">
        <v>0</v>
      </c>
      <c r="EG444" s="408">
        <v>0</v>
      </c>
      <c r="EH444" s="408">
        <v>0</v>
      </c>
      <c r="EI444" s="408">
        <v>0</v>
      </c>
      <c r="EJ444" s="408">
        <v>0</v>
      </c>
      <c r="EK444" s="408">
        <v>0</v>
      </c>
      <c r="EL444" s="408">
        <v>0</v>
      </c>
      <c r="EM444" s="408">
        <v>0</v>
      </c>
      <c r="EN444" s="408">
        <v>0</v>
      </c>
      <c r="EO444" s="408">
        <v>0</v>
      </c>
      <c r="EP444" s="408">
        <v>0</v>
      </c>
      <c r="EQ444" s="408">
        <v>0</v>
      </c>
      <c r="ER444" s="408">
        <v>0</v>
      </c>
      <c r="ES444" s="408">
        <v>0</v>
      </c>
      <c r="ET444" s="408">
        <v>0</v>
      </c>
      <c r="EU444" s="408">
        <v>0</v>
      </c>
      <c r="EV444" s="408">
        <v>257</v>
      </c>
      <c r="EW444" s="408">
        <v>0</v>
      </c>
      <c r="EX444" s="408">
        <v>0</v>
      </c>
      <c r="EY444" s="408">
        <v>0</v>
      </c>
      <c r="EZ444" s="408"/>
      <c r="FA444" s="408">
        <v>0</v>
      </c>
      <c r="FB444" s="408"/>
      <c r="FC444" s="408"/>
      <c r="FD444" s="408"/>
      <c r="FE444" s="408"/>
      <c r="FF444" s="408">
        <v>0</v>
      </c>
      <c r="FG444" s="408">
        <v>0</v>
      </c>
      <c r="FH444" s="408">
        <v>0</v>
      </c>
      <c r="FI444" s="408">
        <v>0</v>
      </c>
    </row>
    <row r="445" spans="1:165">
      <c r="A445" s="408">
        <v>443</v>
      </c>
      <c r="B445" s="408" t="s">
        <v>1035</v>
      </c>
      <c r="C445" s="408" t="s">
        <v>2241</v>
      </c>
      <c r="D445" s="408" t="s">
        <v>596</v>
      </c>
      <c r="E445" s="408" t="s">
        <v>973</v>
      </c>
      <c r="F445" s="408" t="s">
        <v>1321</v>
      </c>
      <c r="G445" s="408" t="s">
        <v>1321</v>
      </c>
      <c r="H445" s="408" t="s">
        <v>1321</v>
      </c>
      <c r="I445" s="408" t="s">
        <v>2242</v>
      </c>
      <c r="J445" s="408" t="s">
        <v>2234</v>
      </c>
      <c r="K445" s="828">
        <v>44713</v>
      </c>
      <c r="L445" s="408">
        <v>0</v>
      </c>
      <c r="M445" s="408">
        <v>0</v>
      </c>
      <c r="N445" s="408">
        <v>226.52799999999999</v>
      </c>
      <c r="O445" s="408">
        <v>217.46688</v>
      </c>
      <c r="P445" s="408">
        <v>226.52799999999999</v>
      </c>
      <c r="Q445" s="408">
        <v>217.46688</v>
      </c>
      <c r="R445" s="408"/>
      <c r="S445" s="408">
        <v>82.26</v>
      </c>
      <c r="T445" s="408">
        <v>256.55</v>
      </c>
      <c r="U445" s="408"/>
      <c r="V445" s="408">
        <v>76749.951679999998</v>
      </c>
      <c r="W445" s="408">
        <v>76749.951679999998</v>
      </c>
      <c r="X445" s="408">
        <v>79733.325440000001</v>
      </c>
      <c r="Y445" s="408">
        <v>0</v>
      </c>
      <c r="Z445" s="408">
        <v>12115.390866114767</v>
      </c>
      <c r="AA445" s="408">
        <v>0</v>
      </c>
      <c r="AB445" s="408">
        <v>0</v>
      </c>
      <c r="AC445" s="408">
        <v>0</v>
      </c>
      <c r="AD445" s="408">
        <v>0</v>
      </c>
      <c r="AE445" s="408">
        <v>0</v>
      </c>
      <c r="AF445" s="408">
        <v>58116.329642918274</v>
      </c>
      <c r="AG445" s="408">
        <v>0</v>
      </c>
      <c r="AH445" s="408">
        <v>0</v>
      </c>
      <c r="AI445" s="408">
        <v>0</v>
      </c>
      <c r="AJ445" s="408">
        <v>0</v>
      </c>
      <c r="AK445" s="408">
        <v>0</v>
      </c>
      <c r="AL445" s="408">
        <v>2152.9818599882392</v>
      </c>
      <c r="AM445" s="408"/>
      <c r="AN445" s="408">
        <v>305.59872986539114</v>
      </c>
      <c r="AO445" s="408">
        <v>0</v>
      </c>
      <c r="AP445" s="408">
        <v>0</v>
      </c>
      <c r="AQ445" s="408">
        <v>0</v>
      </c>
      <c r="AR445" s="408">
        <v>0</v>
      </c>
      <c r="AS445" s="408">
        <v>0</v>
      </c>
      <c r="AT445" s="408">
        <v>0</v>
      </c>
      <c r="AU445" s="408">
        <v>0</v>
      </c>
      <c r="AV445" s="408">
        <v>0</v>
      </c>
      <c r="AW445" s="408">
        <v>0</v>
      </c>
      <c r="AX445" s="408">
        <v>0</v>
      </c>
      <c r="AY445" s="408">
        <v>0</v>
      </c>
      <c r="AZ445" s="408">
        <v>0</v>
      </c>
      <c r="BA445" s="408"/>
      <c r="BB445" s="408">
        <v>0</v>
      </c>
      <c r="BC445" s="408">
        <v>0</v>
      </c>
      <c r="BD445" s="408">
        <v>279.08820840329514</v>
      </c>
      <c r="BE445" s="408">
        <v>0</v>
      </c>
      <c r="BF445" s="408">
        <v>0</v>
      </c>
      <c r="BG445" s="408">
        <v>3780.5910768248677</v>
      </c>
      <c r="BH445" s="408">
        <v>0</v>
      </c>
      <c r="BI445" s="408">
        <v>0</v>
      </c>
      <c r="BJ445" s="408">
        <v>0</v>
      </c>
      <c r="BK445" s="408">
        <v>0</v>
      </c>
      <c r="BL445" s="408">
        <v>0</v>
      </c>
      <c r="BM445" s="408"/>
      <c r="BN445" s="408"/>
      <c r="BO445" s="408"/>
      <c r="BP445" s="408"/>
      <c r="BQ445" s="408"/>
      <c r="BR445" s="408">
        <v>3189.3330175999963</v>
      </c>
      <c r="BS445" s="408"/>
      <c r="BT445" s="408"/>
      <c r="BU445" s="408"/>
      <c r="BV445" s="408">
        <v>62176.008928146432</v>
      </c>
      <c r="BW445" s="408"/>
      <c r="BX445" s="408"/>
      <c r="BY445" s="408"/>
      <c r="BZ445" s="408"/>
      <c r="CA445" s="408"/>
      <c r="CB445" s="408"/>
      <c r="CC445" s="408"/>
      <c r="CD445" s="408"/>
      <c r="CE445" s="408"/>
      <c r="CF445" s="408"/>
      <c r="CG445" s="408"/>
      <c r="CH445" s="408"/>
      <c r="CI445" s="408">
        <v>76545.090599999996</v>
      </c>
      <c r="CJ445" s="408">
        <v>2865.1069871999935</v>
      </c>
      <c r="CK445" s="408"/>
      <c r="CL445" s="408"/>
      <c r="CM445" s="408"/>
      <c r="CN445" s="408"/>
      <c r="CO445" s="408">
        <v>-638.80896000000166</v>
      </c>
      <c r="CP445" s="408">
        <v>3622.1827200000021</v>
      </c>
      <c r="CQ445" s="408">
        <v>30</v>
      </c>
      <c r="CR445" s="408">
        <v>2982.4196500751714</v>
      </c>
      <c r="CS445" s="408">
        <v>0</v>
      </c>
      <c r="CT445" s="408">
        <v>0</v>
      </c>
      <c r="CU445" s="408">
        <v>0</v>
      </c>
      <c r="CV445" s="408">
        <v>0</v>
      </c>
      <c r="CW445" s="408">
        <v>0</v>
      </c>
      <c r="CX445" s="408">
        <v>0</v>
      </c>
      <c r="CY445" s="408">
        <v>0</v>
      </c>
      <c r="CZ445" s="408">
        <v>0</v>
      </c>
      <c r="DA445" s="408">
        <v>0</v>
      </c>
      <c r="DB445" s="408">
        <v>0</v>
      </c>
      <c r="DC445" s="408">
        <v>3620.5583703938173</v>
      </c>
      <c r="DD445" s="408">
        <v>0</v>
      </c>
      <c r="DE445" s="408">
        <v>0</v>
      </c>
      <c r="DF445" s="408">
        <v>17.386768146255974</v>
      </c>
      <c r="DG445" s="408">
        <v>235.52503663490461</v>
      </c>
      <c r="DH445" s="408">
        <v>0</v>
      </c>
      <c r="DI445" s="408">
        <v>-753.38169099538754</v>
      </c>
      <c r="DJ445" s="408"/>
      <c r="DK445" s="408">
        <v>0</v>
      </c>
      <c r="DL445" s="408">
        <v>0</v>
      </c>
      <c r="DM445" s="408">
        <v>0</v>
      </c>
      <c r="DN445" s="408">
        <v>0</v>
      </c>
      <c r="DO445" s="408">
        <v>-118.1399079209491</v>
      </c>
      <c r="DP445" s="408">
        <v>-19.528926183470958</v>
      </c>
      <c r="DQ445" s="408">
        <v>0</v>
      </c>
      <c r="DR445" s="408">
        <v>0</v>
      </c>
      <c r="DS445" s="408"/>
      <c r="DT445" s="408"/>
      <c r="DU445" s="408"/>
      <c r="DV445" s="408">
        <v>0</v>
      </c>
      <c r="DW445" s="408">
        <v>0</v>
      </c>
      <c r="DX445" s="408">
        <v>0</v>
      </c>
      <c r="DY445" s="408">
        <v>-638.80896000000212</v>
      </c>
      <c r="DZ445" s="408">
        <v>3622.1827200000043</v>
      </c>
      <c r="EA445" s="408">
        <v>0</v>
      </c>
      <c r="EB445" s="408">
        <v>0</v>
      </c>
      <c r="EC445" s="408">
        <v>0</v>
      </c>
      <c r="ED445" s="408">
        <v>0</v>
      </c>
      <c r="EE445" s="408">
        <v>0</v>
      </c>
      <c r="EF445" s="408">
        <v>0</v>
      </c>
      <c r="EG445" s="408">
        <v>0</v>
      </c>
      <c r="EH445" s="408">
        <v>0</v>
      </c>
      <c r="EI445" s="408">
        <v>0</v>
      </c>
      <c r="EJ445" s="408">
        <v>0</v>
      </c>
      <c r="EK445" s="408">
        <v>0</v>
      </c>
      <c r="EL445" s="408">
        <v>0</v>
      </c>
      <c r="EM445" s="408">
        <v>0</v>
      </c>
      <c r="EN445" s="408">
        <v>0</v>
      </c>
      <c r="EO445" s="408">
        <v>0</v>
      </c>
      <c r="EP445" s="408">
        <v>0</v>
      </c>
      <c r="EQ445" s="408">
        <v>0</v>
      </c>
      <c r="ER445" s="408">
        <v>0</v>
      </c>
      <c r="ES445" s="408">
        <v>0</v>
      </c>
      <c r="ET445" s="408">
        <v>0</v>
      </c>
      <c r="EU445" s="408">
        <v>0</v>
      </c>
      <c r="EV445" s="408">
        <v>257</v>
      </c>
      <c r="EW445" s="408">
        <v>0</v>
      </c>
      <c r="EX445" s="408">
        <v>0</v>
      </c>
      <c r="EY445" s="408">
        <v>0</v>
      </c>
      <c r="EZ445" s="408"/>
      <c r="FA445" s="408">
        <v>0</v>
      </c>
      <c r="FB445" s="408"/>
      <c r="FC445" s="408"/>
      <c r="FD445" s="408"/>
      <c r="FE445" s="408"/>
      <c r="FF445" s="408">
        <v>0</v>
      </c>
      <c r="FG445" s="408">
        <v>0</v>
      </c>
      <c r="FH445" s="408">
        <v>0</v>
      </c>
      <c r="FI445" s="408">
        <v>0</v>
      </c>
    </row>
    <row r="446" spans="1:165">
      <c r="A446" s="408">
        <v>444</v>
      </c>
      <c r="B446" s="408" t="s">
        <v>2236</v>
      </c>
      <c r="C446" s="408" t="s">
        <v>2241</v>
      </c>
      <c r="D446" s="408" t="s">
        <v>596</v>
      </c>
      <c r="E446" s="408" t="s">
        <v>973</v>
      </c>
      <c r="F446" s="408" t="s">
        <v>1321</v>
      </c>
      <c r="G446" s="408" t="s">
        <v>1321</v>
      </c>
      <c r="H446" s="408" t="s">
        <v>1321</v>
      </c>
      <c r="I446" s="408" t="s">
        <v>2242</v>
      </c>
      <c r="J446" s="408" t="s">
        <v>2234</v>
      </c>
      <c r="K446" s="828">
        <v>44713</v>
      </c>
      <c r="L446" s="408">
        <v>0</v>
      </c>
      <c r="M446" s="408">
        <v>0</v>
      </c>
      <c r="N446" s="408">
        <v>16.353000000000002</v>
      </c>
      <c r="O446" s="408">
        <v>15.698880000000001</v>
      </c>
      <c r="P446" s="408">
        <v>16.353000000000002</v>
      </c>
      <c r="Q446" s="408">
        <v>15.698880000000001</v>
      </c>
      <c r="R446" s="408"/>
      <c r="S446" s="408">
        <v>82.26</v>
      </c>
      <c r="T446" s="408">
        <v>256.55</v>
      </c>
      <c r="U446" s="408"/>
      <c r="V446" s="408">
        <v>5540.5599300000013</v>
      </c>
      <c r="W446" s="408">
        <v>5540.5599300000013</v>
      </c>
      <c r="X446" s="408">
        <v>5755.9289400000016</v>
      </c>
      <c r="Y446" s="408">
        <v>0</v>
      </c>
      <c r="Z446" s="408">
        <v>874.6070544637962</v>
      </c>
      <c r="AA446" s="408">
        <v>0</v>
      </c>
      <c r="AB446" s="408">
        <v>0</v>
      </c>
      <c r="AC446" s="408">
        <v>0</v>
      </c>
      <c r="AD446" s="408">
        <v>0</v>
      </c>
      <c r="AE446" s="408">
        <v>0</v>
      </c>
      <c r="AF446" s="408">
        <v>4195.4033878842474</v>
      </c>
      <c r="AG446" s="408">
        <v>0</v>
      </c>
      <c r="AH446" s="408">
        <v>0</v>
      </c>
      <c r="AI446" s="408">
        <v>0</v>
      </c>
      <c r="AJ446" s="408">
        <v>0</v>
      </c>
      <c r="AK446" s="408">
        <v>0</v>
      </c>
      <c r="AL446" s="408">
        <v>155.42322519241631</v>
      </c>
      <c r="AM446" s="408"/>
      <c r="AN446" s="408">
        <v>22.061096330205281</v>
      </c>
      <c r="AO446" s="408">
        <v>0</v>
      </c>
      <c r="AP446" s="408">
        <v>0</v>
      </c>
      <c r="AQ446" s="408">
        <v>0</v>
      </c>
      <c r="AR446" s="408">
        <v>0</v>
      </c>
      <c r="AS446" s="408">
        <v>0</v>
      </c>
      <c r="AT446" s="408">
        <v>0</v>
      </c>
      <c r="AU446" s="408">
        <v>0</v>
      </c>
      <c r="AV446" s="408">
        <v>0</v>
      </c>
      <c r="AW446" s="408">
        <v>0</v>
      </c>
      <c r="AX446" s="408">
        <v>0</v>
      </c>
      <c r="AY446" s="408">
        <v>0</v>
      </c>
      <c r="AZ446" s="408">
        <v>0</v>
      </c>
      <c r="BA446" s="408"/>
      <c r="BB446" s="408">
        <v>0</v>
      </c>
      <c r="BC446" s="408">
        <v>0</v>
      </c>
      <c r="BD446" s="408">
        <v>20.147308376973644</v>
      </c>
      <c r="BE446" s="408">
        <v>0</v>
      </c>
      <c r="BF446" s="408">
        <v>0</v>
      </c>
      <c r="BG446" s="408">
        <v>272.91992989527597</v>
      </c>
      <c r="BH446" s="408">
        <v>0</v>
      </c>
      <c r="BI446" s="408">
        <v>0</v>
      </c>
      <c r="BJ446" s="408">
        <v>0</v>
      </c>
      <c r="BK446" s="408">
        <v>0</v>
      </c>
      <c r="BL446" s="408">
        <v>0</v>
      </c>
      <c r="BM446" s="408"/>
      <c r="BN446" s="408"/>
      <c r="BO446" s="408"/>
      <c r="BP446" s="408"/>
      <c r="BQ446" s="408"/>
      <c r="BR446" s="408">
        <v>230.23715760000027</v>
      </c>
      <c r="BS446" s="408"/>
      <c r="BT446" s="408"/>
      <c r="BU446" s="408"/>
      <c r="BV446" s="408">
        <v>4488.470626156497</v>
      </c>
      <c r="BW446" s="408"/>
      <c r="BX446" s="408"/>
      <c r="BY446" s="408"/>
      <c r="BZ446" s="408"/>
      <c r="CA446" s="408"/>
      <c r="CB446" s="408"/>
      <c r="CC446" s="408"/>
      <c r="CD446" s="408"/>
      <c r="CE446" s="408"/>
      <c r="CF446" s="408"/>
      <c r="CG446" s="408"/>
      <c r="CH446" s="408"/>
      <c r="CI446" s="408">
        <v>5526.0859999999993</v>
      </c>
      <c r="CJ446" s="408">
        <v>207.11846719999903</v>
      </c>
      <c r="CK446" s="408"/>
      <c r="CL446" s="408"/>
      <c r="CM446" s="408"/>
      <c r="CN446" s="408"/>
      <c r="CO446" s="408">
        <v>-46.115460000000127</v>
      </c>
      <c r="CP446" s="408">
        <v>261.48447000000016</v>
      </c>
      <c r="CQ446" s="408">
        <v>30</v>
      </c>
      <c r="CR446" s="408">
        <v>215.30013304173917</v>
      </c>
      <c r="CS446" s="408">
        <v>0</v>
      </c>
      <c r="CT446" s="408">
        <v>0</v>
      </c>
      <c r="CU446" s="408">
        <v>0</v>
      </c>
      <c r="CV446" s="408">
        <v>0</v>
      </c>
      <c r="CW446" s="408">
        <v>0</v>
      </c>
      <c r="CX446" s="408">
        <v>0</v>
      </c>
      <c r="CY446" s="408">
        <v>0</v>
      </c>
      <c r="CZ446" s="408">
        <v>0</v>
      </c>
      <c r="DA446" s="408">
        <v>0</v>
      </c>
      <c r="DB446" s="408">
        <v>0</v>
      </c>
      <c r="DC446" s="408">
        <v>261.36720860577952</v>
      </c>
      <c r="DD446" s="408">
        <v>0</v>
      </c>
      <c r="DE446" s="408">
        <v>0</v>
      </c>
      <c r="DF446" s="408">
        <v>1.2551464697332086</v>
      </c>
      <c r="DG446" s="408">
        <v>17.002493837806298</v>
      </c>
      <c r="DH446" s="408">
        <v>0</v>
      </c>
      <c r="DI446" s="408">
        <v>-54.386436965176927</v>
      </c>
      <c r="DJ446" s="408"/>
      <c r="DK446" s="408">
        <v>0</v>
      </c>
      <c r="DL446" s="408">
        <v>0</v>
      </c>
      <c r="DM446" s="408">
        <v>0</v>
      </c>
      <c r="DN446" s="408">
        <v>0</v>
      </c>
      <c r="DO446" s="408">
        <v>-8.5284905805519884</v>
      </c>
      <c r="DP446" s="408">
        <v>-1.4097883258506698</v>
      </c>
      <c r="DQ446" s="408">
        <v>0</v>
      </c>
      <c r="DR446" s="408">
        <v>0</v>
      </c>
      <c r="DS446" s="408"/>
      <c r="DT446" s="408"/>
      <c r="DU446" s="408"/>
      <c r="DV446" s="408">
        <v>0</v>
      </c>
      <c r="DW446" s="408">
        <v>0</v>
      </c>
      <c r="DX446" s="408">
        <v>0</v>
      </c>
      <c r="DY446" s="408">
        <v>-46.115460000000212</v>
      </c>
      <c r="DZ446" s="408">
        <v>261.48447000000033</v>
      </c>
      <c r="EA446" s="408">
        <v>0</v>
      </c>
      <c r="EB446" s="408">
        <v>0</v>
      </c>
      <c r="EC446" s="408">
        <v>0</v>
      </c>
      <c r="ED446" s="408">
        <v>0</v>
      </c>
      <c r="EE446" s="408">
        <v>0</v>
      </c>
      <c r="EF446" s="408">
        <v>0</v>
      </c>
      <c r="EG446" s="408">
        <v>0</v>
      </c>
      <c r="EH446" s="408">
        <v>0</v>
      </c>
      <c r="EI446" s="408">
        <v>0</v>
      </c>
      <c r="EJ446" s="408">
        <v>0</v>
      </c>
      <c r="EK446" s="408">
        <v>0</v>
      </c>
      <c r="EL446" s="408">
        <v>0</v>
      </c>
      <c r="EM446" s="408">
        <v>0</v>
      </c>
      <c r="EN446" s="408">
        <v>0</v>
      </c>
      <c r="EO446" s="408">
        <v>0</v>
      </c>
      <c r="EP446" s="408">
        <v>0</v>
      </c>
      <c r="EQ446" s="408">
        <v>0</v>
      </c>
      <c r="ER446" s="408">
        <v>0</v>
      </c>
      <c r="ES446" s="408">
        <v>0</v>
      </c>
      <c r="ET446" s="408">
        <v>0</v>
      </c>
      <c r="EU446" s="408">
        <v>0</v>
      </c>
      <c r="EV446" s="408">
        <v>257</v>
      </c>
      <c r="EW446" s="408">
        <v>0</v>
      </c>
      <c r="EX446" s="408">
        <v>0</v>
      </c>
      <c r="EY446" s="408">
        <v>0</v>
      </c>
      <c r="EZ446" s="408"/>
      <c r="FA446" s="408">
        <v>0</v>
      </c>
      <c r="FB446" s="408"/>
      <c r="FC446" s="408"/>
      <c r="FD446" s="408"/>
      <c r="FE446" s="408"/>
      <c r="FF446" s="408">
        <v>0</v>
      </c>
      <c r="FG446" s="408">
        <v>0</v>
      </c>
      <c r="FH446" s="408">
        <v>0</v>
      </c>
      <c r="FI446" s="408">
        <v>0</v>
      </c>
    </row>
    <row r="447" spans="1:165">
      <c r="A447" s="408">
        <v>445</v>
      </c>
      <c r="B447" s="408" t="s">
        <v>1035</v>
      </c>
      <c r="C447" s="408" t="s">
        <v>2241</v>
      </c>
      <c r="D447" s="408" t="s">
        <v>596</v>
      </c>
      <c r="E447" s="408" t="s">
        <v>973</v>
      </c>
      <c r="F447" s="408" t="s">
        <v>1321</v>
      </c>
      <c r="G447" s="408" t="s">
        <v>1321</v>
      </c>
      <c r="H447" s="408" t="s">
        <v>1321</v>
      </c>
      <c r="I447" s="408" t="s">
        <v>1321</v>
      </c>
      <c r="J447" s="408" t="s">
        <v>2234</v>
      </c>
      <c r="K447" s="828">
        <v>44713</v>
      </c>
      <c r="L447" s="408">
        <v>869</v>
      </c>
      <c r="M447" s="408">
        <v>834.24</v>
      </c>
      <c r="N447" s="408">
        <v>0</v>
      </c>
      <c r="O447" s="408">
        <v>0</v>
      </c>
      <c r="P447" s="408">
        <v>0</v>
      </c>
      <c r="Q447" s="408">
        <v>0</v>
      </c>
      <c r="R447" s="408">
        <v>47.39</v>
      </c>
      <c r="S447" s="408"/>
      <c r="T447" s="408"/>
      <c r="U447" s="408">
        <v>41181.910000000003</v>
      </c>
      <c r="V447" s="408"/>
      <c r="W447" s="408">
        <v>41181.910000000003</v>
      </c>
      <c r="X447" s="408">
        <v>27999.18</v>
      </c>
      <c r="Y447" s="408">
        <v>0</v>
      </c>
      <c r="Z447" s="408">
        <v>0</v>
      </c>
      <c r="AA447" s="408">
        <v>0</v>
      </c>
      <c r="AB447" s="408">
        <v>0</v>
      </c>
      <c r="AC447" s="408">
        <v>0</v>
      </c>
      <c r="AD447" s="408">
        <v>21699.017055955694</v>
      </c>
      <c r="AE447" s="408">
        <v>19482.864636538936</v>
      </c>
      <c r="AF447" s="408"/>
      <c r="AG447" s="408"/>
      <c r="AH447" s="408"/>
      <c r="AI447" s="408">
        <v>0</v>
      </c>
      <c r="AJ447" s="408">
        <v>0</v>
      </c>
      <c r="AK447" s="408">
        <v>0</v>
      </c>
      <c r="AL447" s="408">
        <v>0</v>
      </c>
      <c r="AM447" s="408"/>
      <c r="AN447" s="408">
        <v>0</v>
      </c>
      <c r="AO447" s="408">
        <v>0</v>
      </c>
      <c r="AP447" s="408">
        <v>0</v>
      </c>
      <c r="AQ447" s="408">
        <v>0</v>
      </c>
      <c r="AR447" s="408">
        <v>0</v>
      </c>
      <c r="AS447" s="408"/>
      <c r="AT447" s="408"/>
      <c r="AU447" s="408">
        <v>0</v>
      </c>
      <c r="AV447" s="408">
        <v>0</v>
      </c>
      <c r="AW447" s="408">
        <v>0</v>
      </c>
      <c r="AX447" s="408"/>
      <c r="AY447" s="408"/>
      <c r="AZ447" s="408">
        <v>0</v>
      </c>
      <c r="BA447" s="408"/>
      <c r="BB447" s="408">
        <v>0</v>
      </c>
      <c r="BC447" s="408">
        <v>0</v>
      </c>
      <c r="BD447" s="408">
        <v>0</v>
      </c>
      <c r="BE447" s="408">
        <v>0</v>
      </c>
      <c r="BF447" s="408"/>
      <c r="BG447" s="408">
        <v>0</v>
      </c>
      <c r="BH447" s="408">
        <v>0</v>
      </c>
      <c r="BI447" s="408">
        <v>335.52</v>
      </c>
      <c r="BJ447" s="408">
        <v>1306.4000000000001</v>
      </c>
      <c r="BK447" s="408">
        <v>2919.83</v>
      </c>
      <c r="BL447" s="408">
        <v>8</v>
      </c>
      <c r="BM447" s="408"/>
      <c r="BN447" s="408"/>
      <c r="BO447" s="408"/>
      <c r="BP447" s="408"/>
      <c r="BQ447" s="408"/>
      <c r="BR447" s="408">
        <v>1119.9671999999996</v>
      </c>
      <c r="BS447" s="408"/>
      <c r="BT447" s="408"/>
      <c r="BU447" s="408"/>
      <c r="BV447" s="408">
        <v>0</v>
      </c>
      <c r="BW447" s="408"/>
      <c r="BX447" s="408"/>
      <c r="BY447" s="408"/>
      <c r="BZ447" s="408"/>
      <c r="CA447" s="408"/>
      <c r="CB447" s="408"/>
      <c r="CC447" s="408"/>
      <c r="CD447" s="408"/>
      <c r="CE447" s="408"/>
      <c r="CF447" s="408"/>
      <c r="CG447" s="408"/>
      <c r="CH447" s="408"/>
      <c r="CI447" s="408">
        <v>26879.212800000001</v>
      </c>
      <c r="CJ447" s="408">
        <v>-12655.450800000006</v>
      </c>
      <c r="CK447" s="408"/>
      <c r="CL447" s="408"/>
      <c r="CM447" s="408"/>
      <c r="CN447" s="408"/>
      <c r="CO447" s="408">
        <v>-13182.730000000001</v>
      </c>
      <c r="CP447" s="408">
        <v>0</v>
      </c>
      <c r="CQ447" s="408">
        <v>30</v>
      </c>
      <c r="CR447" s="408">
        <v>-98.080921858214424</v>
      </c>
      <c r="CS447" s="408">
        <v>0</v>
      </c>
      <c r="CT447" s="408">
        <v>0</v>
      </c>
      <c r="CU447" s="408">
        <v>0</v>
      </c>
      <c r="CV447" s="408">
        <v>0</v>
      </c>
      <c r="CW447" s="408"/>
      <c r="CX447" s="408"/>
      <c r="CY447" s="408"/>
      <c r="CZ447" s="408">
        <v>-98.080921858214424</v>
      </c>
      <c r="DA447" s="408">
        <v>0</v>
      </c>
      <c r="DB447" s="408">
        <v>0</v>
      </c>
      <c r="DC447" s="408"/>
      <c r="DD447" s="408"/>
      <c r="DE447" s="408">
        <v>0</v>
      </c>
      <c r="DF447" s="408">
        <v>0</v>
      </c>
      <c r="DG447" s="408">
        <v>0</v>
      </c>
      <c r="DH447" s="408">
        <v>0</v>
      </c>
      <c r="DI447" s="408">
        <v>0</v>
      </c>
      <c r="DJ447" s="408"/>
      <c r="DK447" s="408">
        <v>0</v>
      </c>
      <c r="DL447" s="408">
        <v>0</v>
      </c>
      <c r="DM447" s="408"/>
      <c r="DN447" s="408">
        <v>0</v>
      </c>
      <c r="DO447" s="408">
        <v>0</v>
      </c>
      <c r="DP447" s="408">
        <v>0</v>
      </c>
      <c r="DQ447" s="408">
        <v>0</v>
      </c>
      <c r="DR447" s="408">
        <v>0</v>
      </c>
      <c r="DS447" s="408"/>
      <c r="DT447" s="408"/>
      <c r="DU447" s="408">
        <v>19482.864636538936</v>
      </c>
      <c r="DV447" s="408"/>
      <c r="DW447" s="408">
        <v>0</v>
      </c>
      <c r="DX447" s="408">
        <v>0</v>
      </c>
      <c r="DY447" s="408">
        <v>-13182.730000000003</v>
      </c>
      <c r="DZ447" s="408"/>
      <c r="EA447" s="408">
        <v>0</v>
      </c>
      <c r="EB447" s="408"/>
      <c r="EC447" s="408">
        <v>-13086.146646300635</v>
      </c>
      <c r="ED447" s="408"/>
      <c r="EE447" s="408">
        <v>0</v>
      </c>
      <c r="EF447" s="408">
        <v>0</v>
      </c>
      <c r="EG447" s="408"/>
      <c r="EH447" s="408">
        <v>0</v>
      </c>
      <c r="EI447" s="408">
        <v>0</v>
      </c>
      <c r="EJ447" s="408">
        <v>0</v>
      </c>
      <c r="EK447" s="408">
        <v>0</v>
      </c>
      <c r="EL447" s="408">
        <v>0</v>
      </c>
      <c r="EM447" s="408"/>
      <c r="EN447" s="408"/>
      <c r="EO447" s="408">
        <v>0</v>
      </c>
      <c r="EP447" s="408">
        <v>0</v>
      </c>
      <c r="EQ447" s="408"/>
      <c r="ER447" s="408">
        <v>0</v>
      </c>
      <c r="ES447" s="408"/>
      <c r="ET447" s="408">
        <v>0</v>
      </c>
      <c r="EU447" s="408"/>
      <c r="EV447" s="408">
        <v>257</v>
      </c>
      <c r="EW447" s="408"/>
      <c r="EX447" s="408"/>
      <c r="EY447" s="408"/>
      <c r="EZ447" s="408"/>
      <c r="FA447" s="408">
        <v>0</v>
      </c>
      <c r="FB447" s="408"/>
      <c r="FC447" s="408"/>
      <c r="FD447" s="408"/>
      <c r="FE447" s="408"/>
      <c r="FF447" s="408">
        <v>0</v>
      </c>
      <c r="FG447" s="408">
        <v>0</v>
      </c>
      <c r="FH447" s="408">
        <v>0</v>
      </c>
      <c r="FI447" s="408">
        <v>0</v>
      </c>
    </row>
    <row r="448" spans="1:165">
      <c r="A448" s="408">
        <v>446</v>
      </c>
      <c r="B448" s="408" t="s">
        <v>2236</v>
      </c>
      <c r="C448" s="408" t="s">
        <v>2241</v>
      </c>
      <c r="D448" s="408" t="s">
        <v>596</v>
      </c>
      <c r="E448" s="408" t="s">
        <v>973</v>
      </c>
      <c r="F448" s="408" t="s">
        <v>1321</v>
      </c>
      <c r="G448" s="408" t="s">
        <v>1321</v>
      </c>
      <c r="H448" s="408" t="s">
        <v>1321</v>
      </c>
      <c r="I448" s="408" t="s">
        <v>1321</v>
      </c>
      <c r="J448" s="408" t="s">
        <v>2234</v>
      </c>
      <c r="K448" s="828">
        <v>44713</v>
      </c>
      <c r="L448" s="408">
        <v>157</v>
      </c>
      <c r="M448" s="408">
        <v>150.72</v>
      </c>
      <c r="N448" s="408">
        <v>0</v>
      </c>
      <c r="O448" s="408">
        <v>0</v>
      </c>
      <c r="P448" s="408">
        <v>0</v>
      </c>
      <c r="Q448" s="408">
        <v>0</v>
      </c>
      <c r="R448" s="408">
        <v>47.39</v>
      </c>
      <c r="S448" s="408"/>
      <c r="T448" s="408"/>
      <c r="U448" s="408">
        <v>7440.2300000000005</v>
      </c>
      <c r="V448" s="408"/>
      <c r="W448" s="408">
        <v>7440.2300000000005</v>
      </c>
      <c r="X448" s="408">
        <v>5058.54</v>
      </c>
      <c r="Y448" s="408">
        <v>0</v>
      </c>
      <c r="Z448" s="408">
        <v>0</v>
      </c>
      <c r="AA448" s="408">
        <v>0</v>
      </c>
      <c r="AB448" s="408">
        <v>0</v>
      </c>
      <c r="AC448" s="408">
        <v>0</v>
      </c>
      <c r="AD448" s="408">
        <v>3920.3057281761148</v>
      </c>
      <c r="AE448" s="408">
        <v>3519.9191575795312</v>
      </c>
      <c r="AF448" s="408"/>
      <c r="AG448" s="408"/>
      <c r="AH448" s="408"/>
      <c r="AI448" s="408">
        <v>0</v>
      </c>
      <c r="AJ448" s="408">
        <v>0</v>
      </c>
      <c r="AK448" s="408">
        <v>0</v>
      </c>
      <c r="AL448" s="408">
        <v>0</v>
      </c>
      <c r="AM448" s="408"/>
      <c r="AN448" s="408">
        <v>0</v>
      </c>
      <c r="AO448" s="408">
        <v>0</v>
      </c>
      <c r="AP448" s="408">
        <v>0</v>
      </c>
      <c r="AQ448" s="408">
        <v>0</v>
      </c>
      <c r="AR448" s="408">
        <v>0</v>
      </c>
      <c r="AS448" s="408"/>
      <c r="AT448" s="408"/>
      <c r="AU448" s="408">
        <v>0</v>
      </c>
      <c r="AV448" s="408">
        <v>0</v>
      </c>
      <c r="AW448" s="408">
        <v>0</v>
      </c>
      <c r="AX448" s="408"/>
      <c r="AY448" s="408"/>
      <c r="AZ448" s="408">
        <v>0</v>
      </c>
      <c r="BA448" s="408"/>
      <c r="BB448" s="408">
        <v>0</v>
      </c>
      <c r="BC448" s="408">
        <v>0</v>
      </c>
      <c r="BD448" s="408">
        <v>0</v>
      </c>
      <c r="BE448" s="408">
        <v>0</v>
      </c>
      <c r="BF448" s="408"/>
      <c r="BG448" s="408">
        <v>0</v>
      </c>
      <c r="BH448" s="408">
        <v>0</v>
      </c>
      <c r="BI448" s="408">
        <v>40.36</v>
      </c>
      <c r="BJ448" s="408">
        <v>157.18</v>
      </c>
      <c r="BK448" s="408">
        <v>5.65</v>
      </c>
      <c r="BL448" s="408">
        <v>1</v>
      </c>
      <c r="BM448" s="408"/>
      <c r="BN448" s="408"/>
      <c r="BO448" s="408"/>
      <c r="BP448" s="408"/>
      <c r="BQ448" s="408"/>
      <c r="BR448" s="408">
        <v>202.34160000000003</v>
      </c>
      <c r="BS448" s="408"/>
      <c r="BT448" s="408"/>
      <c r="BU448" s="408"/>
      <c r="BV448" s="408">
        <v>0</v>
      </c>
      <c r="BW448" s="408"/>
      <c r="BX448" s="408"/>
      <c r="BY448" s="408"/>
      <c r="BZ448" s="408"/>
      <c r="CA448" s="408"/>
      <c r="CB448" s="408"/>
      <c r="CC448" s="408"/>
      <c r="CD448" s="408"/>
      <c r="CE448" s="408"/>
      <c r="CF448" s="408"/>
      <c r="CG448" s="408"/>
      <c r="CH448" s="408"/>
      <c r="CI448" s="408">
        <v>4856.1984000000002</v>
      </c>
      <c r="CJ448" s="408">
        <v>-2286.4524000000001</v>
      </c>
      <c r="CK448" s="408"/>
      <c r="CL448" s="408"/>
      <c r="CM448" s="408"/>
      <c r="CN448" s="408"/>
      <c r="CO448" s="408">
        <v>-2381.69</v>
      </c>
      <c r="CP448" s="408">
        <v>0</v>
      </c>
      <c r="CQ448" s="408">
        <v>30</v>
      </c>
      <c r="CR448" s="408">
        <v>-17.720028459999412</v>
      </c>
      <c r="CS448" s="408">
        <v>0</v>
      </c>
      <c r="CT448" s="408">
        <v>0</v>
      </c>
      <c r="CU448" s="408">
        <v>0</v>
      </c>
      <c r="CV448" s="408">
        <v>0</v>
      </c>
      <c r="CW448" s="408"/>
      <c r="CX448" s="408"/>
      <c r="CY448" s="408"/>
      <c r="CZ448" s="408">
        <v>-17.720028459999412</v>
      </c>
      <c r="DA448" s="408">
        <v>0</v>
      </c>
      <c r="DB448" s="408">
        <v>0</v>
      </c>
      <c r="DC448" s="408"/>
      <c r="DD448" s="408"/>
      <c r="DE448" s="408">
        <v>0</v>
      </c>
      <c r="DF448" s="408">
        <v>0</v>
      </c>
      <c r="DG448" s="408">
        <v>0</v>
      </c>
      <c r="DH448" s="408">
        <v>0</v>
      </c>
      <c r="DI448" s="408">
        <v>0</v>
      </c>
      <c r="DJ448" s="408"/>
      <c r="DK448" s="408">
        <v>0</v>
      </c>
      <c r="DL448" s="408">
        <v>0</v>
      </c>
      <c r="DM448" s="408"/>
      <c r="DN448" s="408">
        <v>0</v>
      </c>
      <c r="DO448" s="408">
        <v>0</v>
      </c>
      <c r="DP448" s="408">
        <v>0</v>
      </c>
      <c r="DQ448" s="408">
        <v>0</v>
      </c>
      <c r="DR448" s="408">
        <v>0</v>
      </c>
      <c r="DS448" s="408"/>
      <c r="DT448" s="408"/>
      <c r="DU448" s="408">
        <v>3519.9191575795312</v>
      </c>
      <c r="DV448" s="408"/>
      <c r="DW448" s="408">
        <v>0</v>
      </c>
      <c r="DX448" s="408">
        <v>0</v>
      </c>
      <c r="DY448" s="408">
        <v>-2381.6900000000005</v>
      </c>
      <c r="DZ448" s="408"/>
      <c r="EA448" s="408">
        <v>0</v>
      </c>
      <c r="EB448" s="408"/>
      <c r="EC448" s="408">
        <v>-2364.2405333362476</v>
      </c>
      <c r="ED448" s="408"/>
      <c r="EE448" s="408">
        <v>0</v>
      </c>
      <c r="EF448" s="408">
        <v>0</v>
      </c>
      <c r="EG448" s="408"/>
      <c r="EH448" s="408">
        <v>0</v>
      </c>
      <c r="EI448" s="408">
        <v>0</v>
      </c>
      <c r="EJ448" s="408">
        <v>0</v>
      </c>
      <c r="EK448" s="408">
        <v>0</v>
      </c>
      <c r="EL448" s="408">
        <v>0</v>
      </c>
      <c r="EM448" s="408"/>
      <c r="EN448" s="408"/>
      <c r="EO448" s="408">
        <v>0</v>
      </c>
      <c r="EP448" s="408">
        <v>0</v>
      </c>
      <c r="EQ448" s="408"/>
      <c r="ER448" s="408">
        <v>0</v>
      </c>
      <c r="ES448" s="408"/>
      <c r="ET448" s="408">
        <v>0</v>
      </c>
      <c r="EU448" s="408"/>
      <c r="EV448" s="408">
        <v>257</v>
      </c>
      <c r="EW448" s="408"/>
      <c r="EX448" s="408"/>
      <c r="EY448" s="408"/>
      <c r="EZ448" s="408"/>
      <c r="FA448" s="408">
        <v>0</v>
      </c>
      <c r="FB448" s="408"/>
      <c r="FC448" s="408"/>
      <c r="FD448" s="408"/>
      <c r="FE448" s="408"/>
      <c r="FF448" s="408">
        <v>0</v>
      </c>
      <c r="FG448" s="408">
        <v>0</v>
      </c>
      <c r="FH448" s="408">
        <v>0</v>
      </c>
      <c r="FI448" s="408">
        <v>0</v>
      </c>
    </row>
    <row r="449" spans="1:165">
      <c r="A449" s="408">
        <v>447</v>
      </c>
      <c r="B449" s="408" t="s">
        <v>1035</v>
      </c>
      <c r="C449" s="408" t="s">
        <v>2233</v>
      </c>
      <c r="D449" s="408" t="s">
        <v>1958</v>
      </c>
      <c r="E449" s="408" t="s">
        <v>2244</v>
      </c>
      <c r="F449" s="408" t="s">
        <v>1321</v>
      </c>
      <c r="G449" s="408" t="s">
        <v>1321</v>
      </c>
      <c r="H449" s="408" t="s">
        <v>1321</v>
      </c>
      <c r="I449" s="408" t="s">
        <v>1321</v>
      </c>
      <c r="J449" s="408" t="s">
        <v>2234</v>
      </c>
      <c r="K449" s="828">
        <v>44713</v>
      </c>
      <c r="L449" s="408">
        <v>0</v>
      </c>
      <c r="M449" s="408">
        <v>0</v>
      </c>
      <c r="N449" s="408">
        <v>225.94200000000001</v>
      </c>
      <c r="O449" s="408">
        <v>225.94200000000001</v>
      </c>
      <c r="P449" s="408">
        <v>225.94200000000001</v>
      </c>
      <c r="Q449" s="408">
        <v>225.94200000000001</v>
      </c>
      <c r="R449" s="408"/>
      <c r="S449" s="408">
        <v>710.91</v>
      </c>
      <c r="T449" s="408">
        <v>256.55</v>
      </c>
      <c r="U449" s="408"/>
      <c r="V449" s="408">
        <v>218589.84732</v>
      </c>
      <c r="W449" s="408">
        <v>218589.84732</v>
      </c>
      <c r="X449" s="408">
        <v>149218.87506000002</v>
      </c>
      <c r="Y449" s="408">
        <v>0</v>
      </c>
      <c r="Z449" s="408">
        <v>13889.712464418919</v>
      </c>
      <c r="AA449" s="408">
        <v>0</v>
      </c>
      <c r="AB449" s="408">
        <v>0</v>
      </c>
      <c r="AC449" s="408">
        <v>0</v>
      </c>
      <c r="AD449" s="408">
        <v>27809.571693753474</v>
      </c>
      <c r="AE449" s="408">
        <v>107754.01315729984</v>
      </c>
      <c r="AF449" s="408">
        <v>57965.989865183299</v>
      </c>
      <c r="AG449" s="408">
        <v>0</v>
      </c>
      <c r="AH449" s="408">
        <v>0</v>
      </c>
      <c r="AI449" s="408">
        <v>0</v>
      </c>
      <c r="AJ449" s="408">
        <v>0</v>
      </c>
      <c r="AK449" s="408">
        <v>0</v>
      </c>
      <c r="AL449" s="408">
        <v>2147.4123614275622</v>
      </c>
      <c r="AM449" s="408"/>
      <c r="AN449" s="408">
        <v>496.12449339841544</v>
      </c>
      <c r="AO449" s="408">
        <v>0</v>
      </c>
      <c r="AP449" s="408">
        <v>0</v>
      </c>
      <c r="AQ449" s="408">
        <v>0</v>
      </c>
      <c r="AR449" s="408">
        <v>0</v>
      </c>
      <c r="AS449" s="408">
        <v>0</v>
      </c>
      <c r="AT449" s="408">
        <v>0</v>
      </c>
      <c r="AU449" s="408">
        <v>0</v>
      </c>
      <c r="AV449" s="408">
        <v>0</v>
      </c>
      <c r="AW449" s="408">
        <v>0</v>
      </c>
      <c r="AX449" s="408">
        <v>0</v>
      </c>
      <c r="AY449" s="408">
        <v>0</v>
      </c>
      <c r="AZ449" s="408">
        <v>0</v>
      </c>
      <c r="BA449" s="408"/>
      <c r="BB449" s="408">
        <v>0</v>
      </c>
      <c r="BC449" s="408">
        <v>0</v>
      </c>
      <c r="BD449" s="408">
        <v>336.72595602695856</v>
      </c>
      <c r="BE449" s="408">
        <v>0</v>
      </c>
      <c r="BF449" s="408">
        <v>0</v>
      </c>
      <c r="BG449" s="408">
        <v>8191.1662167830746</v>
      </c>
      <c r="BH449" s="408">
        <v>0</v>
      </c>
      <c r="BI449" s="408">
        <v>397.07</v>
      </c>
      <c r="BJ449" s="408">
        <v>1559.34</v>
      </c>
      <c r="BK449" s="408">
        <v>47523.37</v>
      </c>
      <c r="BL449" s="408">
        <v>306</v>
      </c>
      <c r="BM449" s="408"/>
      <c r="BN449" s="408"/>
      <c r="BO449" s="408"/>
      <c r="BP449" s="408"/>
      <c r="BQ449" s="408"/>
      <c r="BR449" s="408"/>
      <c r="BS449" s="408"/>
      <c r="BT449" s="408"/>
      <c r="BU449" s="408"/>
      <c r="BV449" s="408">
        <v>66493.882037993331</v>
      </c>
      <c r="BW449" s="408"/>
      <c r="BX449" s="408"/>
      <c r="BY449" s="408"/>
      <c r="BZ449" s="408"/>
      <c r="CA449" s="408"/>
      <c r="CB449" s="408"/>
      <c r="CC449" s="408"/>
      <c r="CD449" s="408"/>
      <c r="CE449" s="408"/>
      <c r="CF449" s="408"/>
      <c r="CG449" s="408"/>
      <c r="CH449" s="408"/>
      <c r="CI449" s="408">
        <v>149217.55420000001</v>
      </c>
      <c r="CJ449" s="408">
        <v>-69372.323120000015</v>
      </c>
      <c r="CK449" s="408"/>
      <c r="CL449" s="408"/>
      <c r="CM449" s="408"/>
      <c r="CN449" s="408"/>
      <c r="CO449" s="408">
        <v>-72983.784839999993</v>
      </c>
      <c r="CP449" s="408">
        <v>3612.8125800000021</v>
      </c>
      <c r="CQ449" s="408">
        <v>30</v>
      </c>
      <c r="CR449" s="408">
        <v>3003.5116566611105</v>
      </c>
      <c r="CS449" s="408">
        <v>0</v>
      </c>
      <c r="CT449" s="408">
        <v>0</v>
      </c>
      <c r="CU449" s="408">
        <v>0</v>
      </c>
      <c r="CV449" s="408">
        <v>0</v>
      </c>
      <c r="CW449" s="408">
        <v>0</v>
      </c>
      <c r="CX449" s="408">
        <v>0</v>
      </c>
      <c r="CY449" s="408">
        <v>0</v>
      </c>
      <c r="CZ449" s="408">
        <v>-125.70101314593558</v>
      </c>
      <c r="DA449" s="408">
        <v>0</v>
      </c>
      <c r="DB449" s="408">
        <v>0</v>
      </c>
      <c r="DC449" s="408">
        <v>3611.1924323859275</v>
      </c>
      <c r="DD449" s="408">
        <v>0</v>
      </c>
      <c r="DE449" s="408">
        <v>0</v>
      </c>
      <c r="DF449" s="408">
        <v>20.977511589478695</v>
      </c>
      <c r="DG449" s="408">
        <v>510.2971160030047</v>
      </c>
      <c r="DH449" s="408">
        <v>0</v>
      </c>
      <c r="DI449" s="408">
        <v>-863.71584536746559</v>
      </c>
      <c r="DJ449" s="408"/>
      <c r="DK449" s="408">
        <v>0</v>
      </c>
      <c r="DL449" s="408">
        <v>0</v>
      </c>
      <c r="DM449" s="408">
        <v>0</v>
      </c>
      <c r="DN449" s="408">
        <v>0</v>
      </c>
      <c r="DO449" s="408">
        <v>-117.83429454846691</v>
      </c>
      <c r="DP449" s="408">
        <v>-31.704250255414763</v>
      </c>
      <c r="DQ449" s="408">
        <v>0</v>
      </c>
      <c r="DR449" s="408">
        <v>0</v>
      </c>
      <c r="DS449" s="408"/>
      <c r="DT449" s="408"/>
      <c r="DU449" s="408"/>
      <c r="DV449" s="408">
        <v>107754.01315729984</v>
      </c>
      <c r="DW449" s="408">
        <v>0</v>
      </c>
      <c r="DX449" s="408">
        <v>0</v>
      </c>
      <c r="DY449" s="408">
        <v>-72983.784840000008</v>
      </c>
      <c r="DZ449" s="408">
        <v>3612.8125800000053</v>
      </c>
      <c r="EA449" s="408">
        <v>0</v>
      </c>
      <c r="EB449" s="408">
        <v>0</v>
      </c>
      <c r="EC449" s="408">
        <v>-72375.641067654156</v>
      </c>
      <c r="ED449" s="408">
        <v>0</v>
      </c>
      <c r="EE449" s="408">
        <v>0</v>
      </c>
      <c r="EF449" s="408">
        <v>0</v>
      </c>
      <c r="EG449" s="408">
        <v>0</v>
      </c>
      <c r="EH449" s="408">
        <v>0</v>
      </c>
      <c r="EI449" s="408">
        <v>0</v>
      </c>
      <c r="EJ449" s="408">
        <v>0</v>
      </c>
      <c r="EK449" s="408">
        <v>0</v>
      </c>
      <c r="EL449" s="408">
        <v>0</v>
      </c>
      <c r="EM449" s="408">
        <v>0</v>
      </c>
      <c r="EN449" s="408">
        <v>0</v>
      </c>
      <c r="EO449" s="408">
        <v>0</v>
      </c>
      <c r="EP449" s="408">
        <v>0</v>
      </c>
      <c r="EQ449" s="408">
        <v>0</v>
      </c>
      <c r="ER449" s="408">
        <v>0</v>
      </c>
      <c r="ES449" s="408">
        <v>0</v>
      </c>
      <c r="ET449" s="408">
        <v>0</v>
      </c>
      <c r="EU449" s="408">
        <v>0</v>
      </c>
      <c r="EV449" s="408">
        <v>257</v>
      </c>
      <c r="EW449" s="408">
        <v>0</v>
      </c>
      <c r="EX449" s="408">
        <v>0</v>
      </c>
      <c r="EY449" s="408">
        <v>0</v>
      </c>
      <c r="EZ449" s="408"/>
      <c r="FA449" s="408">
        <v>0</v>
      </c>
      <c r="FB449" s="408"/>
      <c r="FC449" s="408"/>
      <c r="FD449" s="408"/>
      <c r="FE449" s="408"/>
      <c r="FF449" s="408">
        <v>0</v>
      </c>
      <c r="FG449" s="408">
        <v>0</v>
      </c>
      <c r="FH449" s="408">
        <v>0</v>
      </c>
      <c r="FI449" s="408">
        <v>0</v>
      </c>
    </row>
    <row r="450" spans="1:165">
      <c r="A450" s="408">
        <v>448</v>
      </c>
      <c r="B450" s="408" t="s">
        <v>2235</v>
      </c>
      <c r="C450" s="408" t="s">
        <v>2233</v>
      </c>
      <c r="D450" s="408" t="s">
        <v>1958</v>
      </c>
      <c r="E450" s="408" t="s">
        <v>2244</v>
      </c>
      <c r="F450" s="408" t="s">
        <v>1321</v>
      </c>
      <c r="G450" s="408" t="s">
        <v>1321</v>
      </c>
      <c r="H450" s="408" t="s">
        <v>1321</v>
      </c>
      <c r="I450" s="408" t="s">
        <v>1321</v>
      </c>
      <c r="J450" s="408" t="s">
        <v>2234</v>
      </c>
      <c r="K450" s="828">
        <v>44713</v>
      </c>
      <c r="L450" s="408">
        <v>0</v>
      </c>
      <c r="M450" s="408">
        <v>0</v>
      </c>
      <c r="N450" s="408">
        <v>-5.0259999999999998</v>
      </c>
      <c r="O450" s="408">
        <v>-5.0259999999999998</v>
      </c>
      <c r="P450" s="408">
        <v>-5.0259999999999998</v>
      </c>
      <c r="Q450" s="408">
        <v>-5.0259999999999998</v>
      </c>
      <c r="R450" s="408"/>
      <c r="S450" s="408">
        <v>710.91</v>
      </c>
      <c r="T450" s="408">
        <v>256.55</v>
      </c>
      <c r="U450" s="408"/>
      <c r="V450" s="408">
        <v>-4862.4539599999998</v>
      </c>
      <c r="W450" s="408">
        <v>-4862.4539599999998</v>
      </c>
      <c r="X450" s="408">
        <v>-3319.3211799999999</v>
      </c>
      <c r="Y450" s="408">
        <v>0</v>
      </c>
      <c r="Z450" s="408">
        <v>-308.9717487061701</v>
      </c>
      <c r="AA450" s="408">
        <v>0</v>
      </c>
      <c r="AB450" s="408">
        <v>0</v>
      </c>
      <c r="AC450" s="408">
        <v>0</v>
      </c>
      <c r="AD450" s="408">
        <v>-618.61410155174758</v>
      </c>
      <c r="AE450" s="408">
        <v>-2396.9499700303127</v>
      </c>
      <c r="AF450" s="408">
        <v>-1289.4329742252933</v>
      </c>
      <c r="AG450" s="408">
        <v>0</v>
      </c>
      <c r="AH450" s="408">
        <v>0</v>
      </c>
      <c r="AI450" s="408">
        <v>0</v>
      </c>
      <c r="AJ450" s="408">
        <v>0</v>
      </c>
      <c r="AK450" s="408">
        <v>0</v>
      </c>
      <c r="AL450" s="408">
        <v>-47.768429634751072</v>
      </c>
      <c r="AM450" s="408"/>
      <c r="AN450" s="408">
        <v>-11.036114152395021</v>
      </c>
      <c r="AO450" s="408">
        <v>0</v>
      </c>
      <c r="AP450" s="408">
        <v>0</v>
      </c>
      <c r="AQ450" s="408">
        <v>0</v>
      </c>
      <c r="AR450" s="408">
        <v>0</v>
      </c>
      <c r="AS450" s="408">
        <v>0</v>
      </c>
      <c r="AT450" s="408">
        <v>0</v>
      </c>
      <c r="AU450" s="408">
        <v>0</v>
      </c>
      <c r="AV450" s="408">
        <v>0</v>
      </c>
      <c r="AW450" s="408">
        <v>0</v>
      </c>
      <c r="AX450" s="408">
        <v>0</v>
      </c>
      <c r="AY450" s="408">
        <v>0</v>
      </c>
      <c r="AZ450" s="408">
        <v>0</v>
      </c>
      <c r="BA450" s="408"/>
      <c r="BB450" s="408">
        <v>0</v>
      </c>
      <c r="BC450" s="408">
        <v>0</v>
      </c>
      <c r="BD450" s="408">
        <v>-7.4903499791605528</v>
      </c>
      <c r="BE450" s="408">
        <v>0</v>
      </c>
      <c r="BF450" s="408">
        <v>0</v>
      </c>
      <c r="BG450" s="408">
        <v>-182.20959983337198</v>
      </c>
      <c r="BH450" s="408">
        <v>0</v>
      </c>
      <c r="BI450" s="408">
        <v>-37.869999999999997</v>
      </c>
      <c r="BJ450" s="408">
        <v>-37.880000000000003</v>
      </c>
      <c r="BK450" s="408">
        <v>-1187.21</v>
      </c>
      <c r="BL450" s="408">
        <v>0</v>
      </c>
      <c r="BM450" s="408"/>
      <c r="BN450" s="408"/>
      <c r="BO450" s="408"/>
      <c r="BP450" s="408"/>
      <c r="BQ450" s="408"/>
      <c r="BR450" s="408"/>
      <c r="BS450" s="408"/>
      <c r="BT450" s="408"/>
      <c r="BU450" s="408"/>
      <c r="BV450" s="408">
        <v>-1479.1329240378259</v>
      </c>
      <c r="BW450" s="408"/>
      <c r="BX450" s="408"/>
      <c r="BY450" s="408"/>
      <c r="BZ450" s="408"/>
      <c r="CA450" s="408"/>
      <c r="CB450" s="408"/>
      <c r="CC450" s="408"/>
      <c r="CD450" s="408"/>
      <c r="CE450" s="408"/>
      <c r="CF450" s="408"/>
      <c r="CG450" s="408"/>
      <c r="CH450" s="408"/>
      <c r="CI450" s="408">
        <v>-3321.9629000000004</v>
      </c>
      <c r="CJ450" s="408">
        <v>1540.4610599999987</v>
      </c>
      <c r="CK450" s="408"/>
      <c r="CL450" s="408"/>
      <c r="CM450" s="408"/>
      <c r="CN450" s="408"/>
      <c r="CO450" s="408">
        <v>1623.4985199999999</v>
      </c>
      <c r="CP450" s="408">
        <v>-80.365740000000045</v>
      </c>
      <c r="CQ450" s="408">
        <v>30</v>
      </c>
      <c r="CR450" s="408">
        <v>-66.812056131125701</v>
      </c>
      <c r="CS450" s="408">
        <v>0</v>
      </c>
      <c r="CT450" s="408">
        <v>0</v>
      </c>
      <c r="CU450" s="408">
        <v>0</v>
      </c>
      <c r="CV450" s="408">
        <v>0</v>
      </c>
      <c r="CW450" s="408">
        <v>0</v>
      </c>
      <c r="CX450" s="408">
        <v>0</v>
      </c>
      <c r="CY450" s="408">
        <v>0</v>
      </c>
      <c r="CZ450" s="408">
        <v>2.7961746469070476</v>
      </c>
      <c r="DA450" s="408">
        <v>0</v>
      </c>
      <c r="DB450" s="408">
        <v>0</v>
      </c>
      <c r="DC450" s="408">
        <v>-80.329700388469973</v>
      </c>
      <c r="DD450" s="408">
        <v>0</v>
      </c>
      <c r="DE450" s="408">
        <v>0</v>
      </c>
      <c r="DF450" s="408">
        <v>-0.46663733723132417</v>
      </c>
      <c r="DG450" s="408">
        <v>-11.351379137261318</v>
      </c>
      <c r="DH450" s="408">
        <v>0</v>
      </c>
      <c r="DI450" s="408">
        <v>19.213053964366452</v>
      </c>
      <c r="DJ450" s="408"/>
      <c r="DK450" s="408">
        <v>0</v>
      </c>
      <c r="DL450" s="408">
        <v>0</v>
      </c>
      <c r="DM450" s="408">
        <v>0</v>
      </c>
      <c r="DN450" s="408">
        <v>0</v>
      </c>
      <c r="DO450" s="408">
        <v>2.6211822697886831</v>
      </c>
      <c r="DP450" s="408">
        <v>0.70524985077459945</v>
      </c>
      <c r="DQ450" s="408">
        <v>0</v>
      </c>
      <c r="DR450" s="408">
        <v>0</v>
      </c>
      <c r="DS450" s="408"/>
      <c r="DT450" s="408"/>
      <c r="DU450" s="408"/>
      <c r="DV450" s="408">
        <v>-2396.9499700303127</v>
      </c>
      <c r="DW450" s="408">
        <v>0</v>
      </c>
      <c r="DX450" s="408">
        <v>0</v>
      </c>
      <c r="DY450" s="408">
        <v>1623.4985199999996</v>
      </c>
      <c r="DZ450" s="408">
        <v>-80.36573999999996</v>
      </c>
      <c r="EA450" s="408">
        <v>0</v>
      </c>
      <c r="EB450" s="408">
        <v>0</v>
      </c>
      <c r="EC450" s="408">
        <v>1609.9705765463245</v>
      </c>
      <c r="ED450" s="408">
        <v>0</v>
      </c>
      <c r="EE450" s="408">
        <v>0</v>
      </c>
      <c r="EF450" s="408">
        <v>0</v>
      </c>
      <c r="EG450" s="408">
        <v>0</v>
      </c>
      <c r="EH450" s="408">
        <v>0</v>
      </c>
      <c r="EI450" s="408">
        <v>0</v>
      </c>
      <c r="EJ450" s="408">
        <v>0</v>
      </c>
      <c r="EK450" s="408">
        <v>0</v>
      </c>
      <c r="EL450" s="408">
        <v>0</v>
      </c>
      <c r="EM450" s="408">
        <v>0</v>
      </c>
      <c r="EN450" s="408">
        <v>0</v>
      </c>
      <c r="EO450" s="408">
        <v>0</v>
      </c>
      <c r="EP450" s="408">
        <v>0</v>
      </c>
      <c r="EQ450" s="408">
        <v>0</v>
      </c>
      <c r="ER450" s="408">
        <v>0</v>
      </c>
      <c r="ES450" s="408">
        <v>0</v>
      </c>
      <c r="ET450" s="408">
        <v>0</v>
      </c>
      <c r="EU450" s="408">
        <v>0</v>
      </c>
      <c r="EV450" s="408">
        <v>257</v>
      </c>
      <c r="EW450" s="408">
        <v>0</v>
      </c>
      <c r="EX450" s="408">
        <v>0</v>
      </c>
      <c r="EY450" s="408">
        <v>0</v>
      </c>
      <c r="EZ450" s="408"/>
      <c r="FA450" s="408">
        <v>0</v>
      </c>
      <c r="FB450" s="408"/>
      <c r="FC450" s="408"/>
      <c r="FD450" s="408"/>
      <c r="FE450" s="408"/>
      <c r="FF450" s="408">
        <v>0</v>
      </c>
      <c r="FG450" s="408">
        <v>0</v>
      </c>
      <c r="FH450" s="408">
        <v>0</v>
      </c>
      <c r="FI450" s="408">
        <v>0</v>
      </c>
    </row>
    <row r="451" spans="1:165">
      <c r="A451" s="408">
        <v>449</v>
      </c>
      <c r="B451" s="408" t="s">
        <v>2236</v>
      </c>
      <c r="C451" s="408" t="s">
        <v>2233</v>
      </c>
      <c r="D451" s="408" t="s">
        <v>1958</v>
      </c>
      <c r="E451" s="408" t="s">
        <v>2244</v>
      </c>
      <c r="F451" s="408" t="s">
        <v>1321</v>
      </c>
      <c r="G451" s="408" t="s">
        <v>1321</v>
      </c>
      <c r="H451" s="408" t="s">
        <v>1321</v>
      </c>
      <c r="I451" s="408" t="s">
        <v>1321</v>
      </c>
      <c r="J451" s="408" t="s">
        <v>2234</v>
      </c>
      <c r="K451" s="828">
        <v>44713</v>
      </c>
      <c r="L451" s="408">
        <v>0</v>
      </c>
      <c r="M451" s="408">
        <v>0</v>
      </c>
      <c r="N451" s="408">
        <v>0.1</v>
      </c>
      <c r="O451" s="408">
        <v>0.1</v>
      </c>
      <c r="P451" s="408">
        <v>0.1</v>
      </c>
      <c r="Q451" s="408">
        <v>0.1</v>
      </c>
      <c r="R451" s="408"/>
      <c r="S451" s="408">
        <v>710.91</v>
      </c>
      <c r="T451" s="408">
        <v>256.55</v>
      </c>
      <c r="U451" s="408"/>
      <c r="V451" s="408">
        <v>96.745999999999995</v>
      </c>
      <c r="W451" s="408">
        <v>96.745999999999995</v>
      </c>
      <c r="X451" s="408">
        <v>66.043000000000006</v>
      </c>
      <c r="Y451" s="408">
        <v>0</v>
      </c>
      <c r="Z451" s="408">
        <v>6.1474681397964606</v>
      </c>
      <c r="AA451" s="408">
        <v>0</v>
      </c>
      <c r="AB451" s="408">
        <v>0</v>
      </c>
      <c r="AC451" s="408">
        <v>0</v>
      </c>
      <c r="AD451" s="408">
        <v>12.308278980337199</v>
      </c>
      <c r="AE451" s="408">
        <v>47.691006168529903</v>
      </c>
      <c r="AF451" s="408">
        <v>25.655252173205202</v>
      </c>
      <c r="AG451" s="408">
        <v>0</v>
      </c>
      <c r="AH451" s="408">
        <v>0</v>
      </c>
      <c r="AI451" s="408">
        <v>0</v>
      </c>
      <c r="AJ451" s="408">
        <v>0</v>
      </c>
      <c r="AK451" s="408">
        <v>0</v>
      </c>
      <c r="AL451" s="408">
        <v>0.950426375542202</v>
      </c>
      <c r="AM451" s="408"/>
      <c r="AN451" s="408">
        <v>0.21958046463181502</v>
      </c>
      <c r="AO451" s="408">
        <v>0</v>
      </c>
      <c r="AP451" s="408">
        <v>0</v>
      </c>
      <c r="AQ451" s="408">
        <v>0</v>
      </c>
      <c r="AR451" s="408">
        <v>0</v>
      </c>
      <c r="AS451" s="408">
        <v>0</v>
      </c>
      <c r="AT451" s="408">
        <v>0</v>
      </c>
      <c r="AU451" s="408">
        <v>0</v>
      </c>
      <c r="AV451" s="408">
        <v>0</v>
      </c>
      <c r="AW451" s="408">
        <v>0</v>
      </c>
      <c r="AX451" s="408">
        <v>0</v>
      </c>
      <c r="AY451" s="408">
        <v>0</v>
      </c>
      <c r="AZ451" s="408">
        <v>0</v>
      </c>
      <c r="BA451" s="408"/>
      <c r="BB451" s="408">
        <v>0</v>
      </c>
      <c r="BC451" s="408">
        <v>0</v>
      </c>
      <c r="BD451" s="408">
        <v>0.14903203301155099</v>
      </c>
      <c r="BE451" s="408">
        <v>0</v>
      </c>
      <c r="BF451" s="408">
        <v>0</v>
      </c>
      <c r="BG451" s="408">
        <v>3.6253402274845201</v>
      </c>
      <c r="BH451" s="408">
        <v>0</v>
      </c>
      <c r="BI451" s="408">
        <v>0.18</v>
      </c>
      <c r="BJ451" s="408">
        <v>0.71</v>
      </c>
      <c r="BK451" s="408">
        <v>0</v>
      </c>
      <c r="BL451" s="408">
        <v>1</v>
      </c>
      <c r="BM451" s="408"/>
      <c r="BN451" s="408"/>
      <c r="BO451" s="408"/>
      <c r="BP451" s="408"/>
      <c r="BQ451" s="408"/>
      <c r="BR451" s="408"/>
      <c r="BS451" s="408"/>
      <c r="BT451" s="408"/>
      <c r="BU451" s="408"/>
      <c r="BV451" s="408">
        <v>29.429624433701274</v>
      </c>
      <c r="BW451" s="408"/>
      <c r="BX451" s="408"/>
      <c r="BY451" s="408"/>
      <c r="BZ451" s="408"/>
      <c r="CA451" s="408"/>
      <c r="CB451" s="408"/>
      <c r="CC451" s="408"/>
      <c r="CD451" s="408"/>
      <c r="CE451" s="408"/>
      <c r="CF451" s="408"/>
      <c r="CG451" s="408"/>
      <c r="CH451" s="408"/>
      <c r="CI451" s="408">
        <v>66.043000000000006</v>
      </c>
      <c r="CJ451" s="408">
        <v>-30.733000000000004</v>
      </c>
      <c r="CK451" s="408"/>
      <c r="CL451" s="408"/>
      <c r="CM451" s="408"/>
      <c r="CN451" s="408"/>
      <c r="CO451" s="408">
        <v>-32.302</v>
      </c>
      <c r="CP451" s="408">
        <v>1.5990000000000011</v>
      </c>
      <c r="CQ451" s="408">
        <v>30</v>
      </c>
      <c r="CR451" s="408">
        <v>1.3293286138305902</v>
      </c>
      <c r="CS451" s="408">
        <v>0</v>
      </c>
      <c r="CT451" s="408">
        <v>0</v>
      </c>
      <c r="CU451" s="408">
        <v>0</v>
      </c>
      <c r="CV451" s="408">
        <v>0</v>
      </c>
      <c r="CW451" s="408">
        <v>0</v>
      </c>
      <c r="CX451" s="408">
        <v>0</v>
      </c>
      <c r="CY451" s="408">
        <v>0</v>
      </c>
      <c r="CZ451" s="408">
        <v>-5.5634195123499097E-2</v>
      </c>
      <c r="DA451" s="408">
        <v>0</v>
      </c>
      <c r="DB451" s="408">
        <v>0</v>
      </c>
      <c r="DC451" s="408">
        <v>1.5982829364996007</v>
      </c>
      <c r="DD451" s="408">
        <v>0</v>
      </c>
      <c r="DE451" s="408">
        <v>0</v>
      </c>
      <c r="DF451" s="408">
        <v>9.2844675135560217E-3</v>
      </c>
      <c r="DG451" s="408">
        <v>0.22585314638403009</v>
      </c>
      <c r="DH451" s="408">
        <v>0</v>
      </c>
      <c r="DI451" s="408">
        <v>-0.38227325834394055</v>
      </c>
      <c r="DJ451" s="408"/>
      <c r="DK451" s="408">
        <v>0</v>
      </c>
      <c r="DL451" s="408">
        <v>0</v>
      </c>
      <c r="DM451" s="408">
        <v>0</v>
      </c>
      <c r="DN451" s="408">
        <v>0</v>
      </c>
      <c r="DO451" s="408">
        <v>-5.2152452642034941E-2</v>
      </c>
      <c r="DP451" s="408">
        <v>-1.4032030457115013E-2</v>
      </c>
      <c r="DQ451" s="408">
        <v>0</v>
      </c>
      <c r="DR451" s="408">
        <v>0</v>
      </c>
      <c r="DS451" s="408"/>
      <c r="DT451" s="408"/>
      <c r="DU451" s="408"/>
      <c r="DV451" s="408">
        <v>47.691006168529903</v>
      </c>
      <c r="DW451" s="408">
        <v>0</v>
      </c>
      <c r="DX451" s="408">
        <v>0</v>
      </c>
      <c r="DY451" s="408">
        <v>-32.301999999999992</v>
      </c>
      <c r="DZ451" s="408">
        <v>1.5990000000000038</v>
      </c>
      <c r="EA451" s="408">
        <v>0</v>
      </c>
      <c r="EB451" s="408">
        <v>0</v>
      </c>
      <c r="EC451" s="408">
        <v>-32.032840758979802</v>
      </c>
      <c r="ED451" s="408">
        <v>0</v>
      </c>
      <c r="EE451" s="408">
        <v>0</v>
      </c>
      <c r="EF451" s="408">
        <v>0</v>
      </c>
      <c r="EG451" s="408">
        <v>0</v>
      </c>
      <c r="EH451" s="408">
        <v>0</v>
      </c>
      <c r="EI451" s="408">
        <v>0</v>
      </c>
      <c r="EJ451" s="408">
        <v>0</v>
      </c>
      <c r="EK451" s="408">
        <v>0</v>
      </c>
      <c r="EL451" s="408">
        <v>0</v>
      </c>
      <c r="EM451" s="408">
        <v>0</v>
      </c>
      <c r="EN451" s="408">
        <v>0</v>
      </c>
      <c r="EO451" s="408">
        <v>0</v>
      </c>
      <c r="EP451" s="408">
        <v>0</v>
      </c>
      <c r="EQ451" s="408">
        <v>0</v>
      </c>
      <c r="ER451" s="408">
        <v>0</v>
      </c>
      <c r="ES451" s="408">
        <v>0</v>
      </c>
      <c r="ET451" s="408">
        <v>0</v>
      </c>
      <c r="EU451" s="408">
        <v>0</v>
      </c>
      <c r="EV451" s="408">
        <v>257</v>
      </c>
      <c r="EW451" s="408">
        <v>0</v>
      </c>
      <c r="EX451" s="408">
        <v>0</v>
      </c>
      <c r="EY451" s="408">
        <v>0</v>
      </c>
      <c r="EZ451" s="408"/>
      <c r="FA451" s="408">
        <v>0</v>
      </c>
      <c r="FB451" s="408"/>
      <c r="FC451" s="408"/>
      <c r="FD451" s="408"/>
      <c r="FE451" s="408"/>
      <c r="FF451" s="408">
        <v>0</v>
      </c>
      <c r="FG451" s="408">
        <v>0</v>
      </c>
      <c r="FH451" s="408">
        <v>0</v>
      </c>
      <c r="FI451" s="408">
        <v>0</v>
      </c>
    </row>
    <row r="452" spans="1:165">
      <c r="A452" s="408">
        <v>450</v>
      </c>
      <c r="B452" s="408" t="s">
        <v>1035</v>
      </c>
      <c r="C452" s="408" t="s">
        <v>2233</v>
      </c>
      <c r="D452" s="408" t="s">
        <v>2245</v>
      </c>
      <c r="E452" s="408" t="s">
        <v>2246</v>
      </c>
      <c r="F452" s="408" t="s">
        <v>2247</v>
      </c>
      <c r="G452" s="408" t="s">
        <v>1321</v>
      </c>
      <c r="H452" s="408" t="s">
        <v>1321</v>
      </c>
      <c r="I452" s="408" t="s">
        <v>1321</v>
      </c>
      <c r="J452" s="408" t="s">
        <v>2234</v>
      </c>
      <c r="K452" s="828">
        <v>44713</v>
      </c>
      <c r="L452" s="408">
        <v>0</v>
      </c>
      <c r="M452" s="408">
        <v>0</v>
      </c>
      <c r="N452" s="408">
        <v>214.66900000000001</v>
      </c>
      <c r="O452" s="408">
        <v>214.66900000000001</v>
      </c>
      <c r="P452" s="408">
        <v>214.66900000000001</v>
      </c>
      <c r="Q452" s="408">
        <v>214.66900000000001</v>
      </c>
      <c r="R452" s="408"/>
      <c r="S452" s="408">
        <v>391</v>
      </c>
      <c r="T452" s="408">
        <v>141.1</v>
      </c>
      <c r="U452" s="408"/>
      <c r="V452" s="408">
        <v>114225.3749</v>
      </c>
      <c r="W452" s="408">
        <v>114225.3749</v>
      </c>
      <c r="X452" s="408">
        <v>77974.22086999999</v>
      </c>
      <c r="Y452" s="408">
        <v>0</v>
      </c>
      <c r="Z452" s="408">
        <v>7258.1896095608299</v>
      </c>
      <c r="AA452" s="408">
        <v>0</v>
      </c>
      <c r="AB452" s="408">
        <v>0</v>
      </c>
      <c r="AC452" s="408">
        <v>0</v>
      </c>
      <c r="AD452" s="408">
        <v>14532.132672365035</v>
      </c>
      <c r="AE452" s="408">
        <v>56307.793317556701</v>
      </c>
      <c r="AF452" s="408">
        <v>30290.630308233918</v>
      </c>
      <c r="AG452" s="408">
        <v>0</v>
      </c>
      <c r="AH452" s="408">
        <v>0</v>
      </c>
      <c r="AI452" s="408">
        <v>0</v>
      </c>
      <c r="AJ452" s="408">
        <v>0</v>
      </c>
      <c r="AK452" s="408">
        <v>0</v>
      </c>
      <c r="AL452" s="408">
        <v>1122.1489378619792</v>
      </c>
      <c r="AM452" s="408"/>
      <c r="AN452" s="408">
        <v>259.25415319126063</v>
      </c>
      <c r="AO452" s="408">
        <v>0</v>
      </c>
      <c r="AP452" s="408">
        <v>0</v>
      </c>
      <c r="AQ452" s="408">
        <v>0</v>
      </c>
      <c r="AR452" s="408">
        <v>0</v>
      </c>
      <c r="AS452" s="408">
        <v>0</v>
      </c>
      <c r="AT452" s="408">
        <v>0</v>
      </c>
      <c r="AU452" s="408">
        <v>0</v>
      </c>
      <c r="AV452" s="408">
        <v>0</v>
      </c>
      <c r="AW452" s="408">
        <v>0</v>
      </c>
      <c r="AX452" s="408">
        <v>0</v>
      </c>
      <c r="AY452" s="408">
        <v>0</v>
      </c>
      <c r="AZ452" s="408">
        <v>0</v>
      </c>
      <c r="BA452" s="408"/>
      <c r="BB452" s="408">
        <v>0</v>
      </c>
      <c r="BC452" s="408">
        <v>0</v>
      </c>
      <c r="BD452" s="408">
        <v>175.95906622006163</v>
      </c>
      <c r="BE452" s="408">
        <v>0</v>
      </c>
      <c r="BF452" s="408">
        <v>0</v>
      </c>
      <c r="BG452" s="408">
        <v>4280.3648871163177</v>
      </c>
      <c r="BH452" s="408">
        <v>0</v>
      </c>
      <c r="BI452" s="408">
        <v>215.66</v>
      </c>
      <c r="BJ452" s="408">
        <v>840.4</v>
      </c>
      <c r="BK452" s="408">
        <v>19757.439999999999</v>
      </c>
      <c r="BL452" s="408">
        <v>28</v>
      </c>
      <c r="BM452" s="408"/>
      <c r="BN452" s="408"/>
      <c r="BO452" s="408"/>
      <c r="BP452" s="408"/>
      <c r="BQ452" s="408"/>
      <c r="BR452" s="408"/>
      <c r="BS452" s="408"/>
      <c r="BT452" s="408"/>
      <c r="BU452" s="408"/>
      <c r="BV452" s="408">
        <v>34746.954261570296</v>
      </c>
      <c r="BW452" s="408"/>
      <c r="BX452" s="408"/>
      <c r="BY452" s="408"/>
      <c r="BZ452" s="408"/>
      <c r="CA452" s="408"/>
      <c r="CB452" s="408"/>
      <c r="CC452" s="408"/>
      <c r="CD452" s="408"/>
      <c r="CE452" s="408"/>
      <c r="CF452" s="408"/>
      <c r="CG452" s="408"/>
      <c r="CH452" s="408"/>
      <c r="CI452" s="408">
        <v>77974.584099999993</v>
      </c>
      <c r="CJ452" s="408">
        <v>-36250.820799999987</v>
      </c>
      <c r="CK452" s="408"/>
      <c r="CL452" s="408"/>
      <c r="CM452" s="408"/>
      <c r="CN452" s="408"/>
      <c r="CO452" s="408">
        <v>-38138.094539999998</v>
      </c>
      <c r="CP452" s="408">
        <v>1886.9405099999983</v>
      </c>
      <c r="CQ452" s="408">
        <v>30</v>
      </c>
      <c r="CR452" s="408">
        <v>1569.5110431132125</v>
      </c>
      <c r="CS452" s="408">
        <v>0</v>
      </c>
      <c r="CT452" s="408">
        <v>0</v>
      </c>
      <c r="CU452" s="408">
        <v>0</v>
      </c>
      <c r="CV452" s="408">
        <v>0</v>
      </c>
      <c r="CW452" s="408">
        <v>0</v>
      </c>
      <c r="CX452" s="408">
        <v>0</v>
      </c>
      <c r="CY452" s="408">
        <v>0</v>
      </c>
      <c r="CZ452" s="408">
        <v>-65.686153681324868</v>
      </c>
      <c r="DA452" s="408">
        <v>0</v>
      </c>
      <c r="DB452" s="408">
        <v>0</v>
      </c>
      <c r="DC452" s="408">
        <v>1887.059898324922</v>
      </c>
      <c r="DD452" s="408">
        <v>0</v>
      </c>
      <c r="DE452" s="408">
        <v>0</v>
      </c>
      <c r="DF452" s="408">
        <v>10.961980461671345</v>
      </c>
      <c r="DG452" s="408">
        <v>266.66017994610957</v>
      </c>
      <c r="DH452" s="408">
        <v>0</v>
      </c>
      <c r="DI452" s="408">
        <v>-451.34219952490002</v>
      </c>
      <c r="DJ452" s="408"/>
      <c r="DK452" s="408">
        <v>0</v>
      </c>
      <c r="DL452" s="408">
        <v>0</v>
      </c>
      <c r="DM452" s="408">
        <v>0</v>
      </c>
      <c r="DN452" s="408">
        <v>0</v>
      </c>
      <c r="DO452" s="408">
        <v>-61.575331709171223</v>
      </c>
      <c r="DP452" s="408">
        <v>-16.56733070409291</v>
      </c>
      <c r="DQ452" s="408">
        <v>0</v>
      </c>
      <c r="DR452" s="408">
        <v>0</v>
      </c>
      <c r="DS452" s="408"/>
      <c r="DT452" s="408"/>
      <c r="DU452" s="408"/>
      <c r="DV452" s="408">
        <v>56307.793317556701</v>
      </c>
      <c r="DW452" s="408">
        <v>0</v>
      </c>
      <c r="DX452" s="408">
        <v>0</v>
      </c>
      <c r="DY452" s="408">
        <v>-38138.094539999998</v>
      </c>
      <c r="DZ452" s="408">
        <v>1886.9405099999967</v>
      </c>
      <c r="EA452" s="408">
        <v>0</v>
      </c>
      <c r="EB452" s="408">
        <v>0</v>
      </c>
      <c r="EC452" s="408">
        <v>-37820.518410891804</v>
      </c>
      <c r="ED452" s="408">
        <v>0</v>
      </c>
      <c r="EE452" s="408">
        <v>0</v>
      </c>
      <c r="EF452" s="408">
        <v>0</v>
      </c>
      <c r="EG452" s="408">
        <v>0</v>
      </c>
      <c r="EH452" s="408">
        <v>0</v>
      </c>
      <c r="EI452" s="408">
        <v>0</v>
      </c>
      <c r="EJ452" s="408">
        <v>0</v>
      </c>
      <c r="EK452" s="408">
        <v>0</v>
      </c>
      <c r="EL452" s="408">
        <v>0</v>
      </c>
      <c r="EM452" s="408">
        <v>0</v>
      </c>
      <c r="EN452" s="408">
        <v>0</v>
      </c>
      <c r="EO452" s="408">
        <v>0</v>
      </c>
      <c r="EP452" s="408">
        <v>0</v>
      </c>
      <c r="EQ452" s="408">
        <v>0</v>
      </c>
      <c r="ER452" s="408">
        <v>0</v>
      </c>
      <c r="ES452" s="408">
        <v>0</v>
      </c>
      <c r="ET452" s="408">
        <v>0</v>
      </c>
      <c r="EU452" s="408">
        <v>0</v>
      </c>
      <c r="EV452" s="408">
        <v>257</v>
      </c>
      <c r="EW452" s="408">
        <v>0</v>
      </c>
      <c r="EX452" s="408">
        <v>0</v>
      </c>
      <c r="EY452" s="408">
        <v>0</v>
      </c>
      <c r="EZ452" s="408"/>
      <c r="FA452" s="408">
        <v>0</v>
      </c>
      <c r="FB452" s="408"/>
      <c r="FC452" s="408"/>
      <c r="FD452" s="408"/>
      <c r="FE452" s="408"/>
      <c r="FF452" s="408">
        <v>0</v>
      </c>
      <c r="FG452" s="408">
        <v>0</v>
      </c>
      <c r="FH452" s="408">
        <v>0</v>
      </c>
      <c r="FI452" s="408">
        <v>0</v>
      </c>
    </row>
    <row r="453" spans="1:165">
      <c r="A453" s="408">
        <v>451</v>
      </c>
      <c r="B453" s="408" t="s">
        <v>1035</v>
      </c>
      <c r="C453" s="408" t="s">
        <v>2233</v>
      </c>
      <c r="D453" s="408" t="s">
        <v>1958</v>
      </c>
      <c r="E453" s="408" t="s">
        <v>1000</v>
      </c>
      <c r="F453" s="408" t="s">
        <v>2248</v>
      </c>
      <c r="G453" s="408" t="s">
        <v>1321</v>
      </c>
      <c r="H453" s="408" t="s">
        <v>1321</v>
      </c>
      <c r="I453" s="408" t="s">
        <v>1321</v>
      </c>
      <c r="J453" s="408" t="s">
        <v>2234</v>
      </c>
      <c r="K453" s="828">
        <v>44713</v>
      </c>
      <c r="L453" s="408">
        <v>0</v>
      </c>
      <c r="M453" s="408">
        <v>0</v>
      </c>
      <c r="N453" s="408">
        <v>49.311</v>
      </c>
      <c r="O453" s="408">
        <v>46.352339999999998</v>
      </c>
      <c r="P453" s="408">
        <v>49.311</v>
      </c>
      <c r="Q453" s="408">
        <v>46.352339999999998</v>
      </c>
      <c r="R453" s="408"/>
      <c r="S453" s="408">
        <v>710.91</v>
      </c>
      <c r="T453" s="408">
        <v>256.55</v>
      </c>
      <c r="U453" s="408"/>
      <c r="V453" s="408">
        <v>47706.420060000004</v>
      </c>
      <c r="W453" s="408">
        <v>47706.420060000004</v>
      </c>
      <c r="X453" s="408">
        <v>32566.463730000003</v>
      </c>
      <c r="Y453" s="408">
        <v>0</v>
      </c>
      <c r="Z453" s="408">
        <v>3031.3780144150323</v>
      </c>
      <c r="AA453" s="408">
        <v>0</v>
      </c>
      <c r="AB453" s="408">
        <v>0</v>
      </c>
      <c r="AC453" s="408">
        <v>0</v>
      </c>
      <c r="AD453" s="408">
        <v>6069.3354479940763</v>
      </c>
      <c r="AE453" s="408">
        <v>23516.912051763778</v>
      </c>
      <c r="AF453" s="408">
        <v>12650.861399129217</v>
      </c>
      <c r="AG453" s="408">
        <v>0</v>
      </c>
      <c r="AH453" s="408">
        <v>0</v>
      </c>
      <c r="AI453" s="408">
        <v>0</v>
      </c>
      <c r="AJ453" s="408">
        <v>0</v>
      </c>
      <c r="AK453" s="408">
        <v>0</v>
      </c>
      <c r="AL453" s="408">
        <v>468.66475004361524</v>
      </c>
      <c r="AM453" s="408"/>
      <c r="AN453" s="408">
        <v>108.27732291459429</v>
      </c>
      <c r="AO453" s="408">
        <v>0</v>
      </c>
      <c r="AP453" s="408">
        <v>0</v>
      </c>
      <c r="AQ453" s="408">
        <v>0</v>
      </c>
      <c r="AR453" s="408">
        <v>0</v>
      </c>
      <c r="AS453" s="408">
        <v>0</v>
      </c>
      <c r="AT453" s="408">
        <v>0</v>
      </c>
      <c r="AU453" s="408">
        <v>0</v>
      </c>
      <c r="AV453" s="408">
        <v>0</v>
      </c>
      <c r="AW453" s="408">
        <v>0</v>
      </c>
      <c r="AX453" s="408">
        <v>0</v>
      </c>
      <c r="AY453" s="408">
        <v>0</v>
      </c>
      <c r="AZ453" s="408">
        <v>0</v>
      </c>
      <c r="BA453" s="408"/>
      <c r="BB453" s="408">
        <v>0</v>
      </c>
      <c r="BC453" s="408">
        <v>0</v>
      </c>
      <c r="BD453" s="408">
        <v>73.489185798325906</v>
      </c>
      <c r="BE453" s="408">
        <v>0</v>
      </c>
      <c r="BF453" s="408">
        <v>0</v>
      </c>
      <c r="BG453" s="408">
        <v>1787.6915195748916</v>
      </c>
      <c r="BH453" s="408">
        <v>0</v>
      </c>
      <c r="BI453" s="408">
        <v>84.69</v>
      </c>
      <c r="BJ453" s="408">
        <v>329.93</v>
      </c>
      <c r="BK453" s="408">
        <v>11002.46</v>
      </c>
      <c r="BL453" s="408">
        <v>10</v>
      </c>
      <c r="BM453" s="408"/>
      <c r="BN453" s="408"/>
      <c r="BO453" s="408"/>
      <c r="BP453" s="408"/>
      <c r="BQ453" s="408">
        <v>1953.9878238000013</v>
      </c>
      <c r="BR453" s="408"/>
      <c r="BS453" s="408"/>
      <c r="BT453" s="408"/>
      <c r="BU453" s="408"/>
      <c r="BV453" s="408">
        <v>14512.042104502434</v>
      </c>
      <c r="BW453" s="408"/>
      <c r="BX453" s="408"/>
      <c r="BY453" s="408"/>
      <c r="BZ453" s="408"/>
      <c r="CA453" s="408"/>
      <c r="CB453" s="408"/>
      <c r="CC453" s="408"/>
      <c r="CD453" s="408"/>
      <c r="CE453" s="408"/>
      <c r="CF453" s="408"/>
      <c r="CG453" s="408"/>
      <c r="CH453" s="408"/>
      <c r="CI453" s="408">
        <v>30610.930500000002</v>
      </c>
      <c r="CJ453" s="408">
        <v>-14233.134356399998</v>
      </c>
      <c r="CK453" s="408"/>
      <c r="CL453" s="408"/>
      <c r="CM453" s="408"/>
      <c r="CN453" s="408"/>
      <c r="CO453" s="408">
        <v>-15928.439219999998</v>
      </c>
      <c r="CP453" s="408">
        <v>788.48289000000045</v>
      </c>
      <c r="CQ453" s="408">
        <v>30</v>
      </c>
      <c r="CR453" s="408">
        <v>655.50523276601234</v>
      </c>
      <c r="CS453" s="408">
        <v>0</v>
      </c>
      <c r="CT453" s="408">
        <v>0</v>
      </c>
      <c r="CU453" s="408">
        <v>0</v>
      </c>
      <c r="CV453" s="408">
        <v>0</v>
      </c>
      <c r="CW453" s="408">
        <v>0</v>
      </c>
      <c r="CX453" s="408">
        <v>0</v>
      </c>
      <c r="CY453" s="408">
        <v>0</v>
      </c>
      <c r="CZ453" s="408">
        <v>-27.433777957348866</v>
      </c>
      <c r="DA453" s="408">
        <v>0</v>
      </c>
      <c r="DB453" s="408">
        <v>0</v>
      </c>
      <c r="DC453" s="408">
        <v>788.12929881731907</v>
      </c>
      <c r="DD453" s="408">
        <v>0</v>
      </c>
      <c r="DE453" s="408">
        <v>0</v>
      </c>
      <c r="DF453" s="408">
        <v>4.5782637756095994</v>
      </c>
      <c r="DG453" s="408">
        <v>111.37044501342916</v>
      </c>
      <c r="DH453" s="408">
        <v>0</v>
      </c>
      <c r="DI453" s="408">
        <v>-188.50276642198014</v>
      </c>
      <c r="DJ453" s="408"/>
      <c r="DK453" s="408">
        <v>0</v>
      </c>
      <c r="DL453" s="408">
        <v>0</v>
      </c>
      <c r="DM453" s="408">
        <v>0</v>
      </c>
      <c r="DN453" s="408">
        <v>0</v>
      </c>
      <c r="DO453" s="408">
        <v>-25.716895922313938</v>
      </c>
      <c r="DP453" s="408">
        <v>-6.9193345387079859</v>
      </c>
      <c r="DQ453" s="408">
        <v>0</v>
      </c>
      <c r="DR453" s="408">
        <v>0</v>
      </c>
      <c r="DS453" s="408"/>
      <c r="DT453" s="408"/>
      <c r="DU453" s="408"/>
      <c r="DV453" s="408">
        <v>23516.912051763778</v>
      </c>
      <c r="DW453" s="408">
        <v>0</v>
      </c>
      <c r="DX453" s="408">
        <v>0</v>
      </c>
      <c r="DY453" s="408">
        <v>-15928.43922</v>
      </c>
      <c r="DZ453" s="408">
        <v>788.48289000000113</v>
      </c>
      <c r="EA453" s="408">
        <v>0</v>
      </c>
      <c r="EB453" s="408">
        <v>0</v>
      </c>
      <c r="EC453" s="408">
        <v>-15795.714106660529</v>
      </c>
      <c r="ED453" s="408">
        <v>0</v>
      </c>
      <c r="EE453" s="408">
        <v>0</v>
      </c>
      <c r="EF453" s="408">
        <v>0</v>
      </c>
      <c r="EG453" s="408">
        <v>0</v>
      </c>
      <c r="EH453" s="408">
        <v>0</v>
      </c>
      <c r="EI453" s="408">
        <v>0</v>
      </c>
      <c r="EJ453" s="408">
        <v>0</v>
      </c>
      <c r="EK453" s="408">
        <v>0</v>
      </c>
      <c r="EL453" s="408">
        <v>0</v>
      </c>
      <c r="EM453" s="408">
        <v>0</v>
      </c>
      <c r="EN453" s="408">
        <v>0</v>
      </c>
      <c r="EO453" s="408">
        <v>0</v>
      </c>
      <c r="EP453" s="408">
        <v>0</v>
      </c>
      <c r="EQ453" s="408">
        <v>0</v>
      </c>
      <c r="ER453" s="408">
        <v>0</v>
      </c>
      <c r="ES453" s="408">
        <v>0</v>
      </c>
      <c r="ET453" s="408">
        <v>0</v>
      </c>
      <c r="EU453" s="408">
        <v>0</v>
      </c>
      <c r="EV453" s="408">
        <v>257</v>
      </c>
      <c r="EW453" s="408">
        <v>0</v>
      </c>
      <c r="EX453" s="408">
        <v>0</v>
      </c>
      <c r="EY453" s="408">
        <v>0</v>
      </c>
      <c r="EZ453" s="408"/>
      <c r="FA453" s="408">
        <v>0</v>
      </c>
      <c r="FB453" s="408"/>
      <c r="FC453" s="408"/>
      <c r="FD453" s="408"/>
      <c r="FE453" s="408"/>
      <c r="FF453" s="408">
        <v>0</v>
      </c>
      <c r="FG453" s="408">
        <v>0</v>
      </c>
      <c r="FH453" s="408">
        <v>0</v>
      </c>
      <c r="FI453" s="408">
        <v>0</v>
      </c>
    </row>
    <row r="454" spans="1:165">
      <c r="A454" s="408">
        <v>452</v>
      </c>
      <c r="B454" s="408" t="s">
        <v>1035</v>
      </c>
      <c r="C454" s="408" t="s">
        <v>2241</v>
      </c>
      <c r="D454" s="408" t="s">
        <v>596</v>
      </c>
      <c r="E454" s="408" t="s">
        <v>1000</v>
      </c>
      <c r="F454" s="408" t="s">
        <v>2248</v>
      </c>
      <c r="G454" s="408" t="s">
        <v>1321</v>
      </c>
      <c r="H454" s="408" t="s">
        <v>1321</v>
      </c>
      <c r="I454" s="408" t="s">
        <v>972</v>
      </c>
      <c r="J454" s="408" t="s">
        <v>2234</v>
      </c>
      <c r="K454" s="828">
        <v>44713</v>
      </c>
      <c r="L454" s="408">
        <v>0</v>
      </c>
      <c r="M454" s="408">
        <v>0</v>
      </c>
      <c r="N454" s="408">
        <v>0.91100000000000003</v>
      </c>
      <c r="O454" s="408">
        <v>0.85633999999999999</v>
      </c>
      <c r="P454" s="408">
        <v>0.91100000000000003</v>
      </c>
      <c r="Q454" s="408">
        <v>0.85633999999999999</v>
      </c>
      <c r="R454" s="408"/>
      <c r="S454" s="408">
        <v>3130.62</v>
      </c>
      <c r="T454" s="408">
        <v>256.55</v>
      </c>
      <c r="U454" s="408"/>
      <c r="V454" s="408">
        <v>3085.7118700000001</v>
      </c>
      <c r="W454" s="408">
        <v>3085.7118700000001</v>
      </c>
      <c r="X454" s="408">
        <v>1623.9759300000001</v>
      </c>
      <c r="Y454" s="408">
        <v>0</v>
      </c>
      <c r="Z454" s="408">
        <v>48.722988235584801</v>
      </c>
      <c r="AA454" s="408">
        <v>0</v>
      </c>
      <c r="AB454" s="408">
        <v>0</v>
      </c>
      <c r="AC454" s="408">
        <v>0</v>
      </c>
      <c r="AD454" s="408">
        <v>586.87877842556088</v>
      </c>
      <c r="AE454" s="408">
        <v>2190.1794320099357</v>
      </c>
      <c r="AF454" s="408">
        <v>233.71934729789939</v>
      </c>
      <c r="AG454" s="408">
        <v>0</v>
      </c>
      <c r="AH454" s="408">
        <v>0</v>
      </c>
      <c r="AI454" s="408">
        <v>0</v>
      </c>
      <c r="AJ454" s="408">
        <v>0</v>
      </c>
      <c r="AK454" s="408">
        <v>0</v>
      </c>
      <c r="AL454" s="408">
        <v>8.6583842811894609</v>
      </c>
      <c r="AM454" s="408"/>
      <c r="AN454" s="408">
        <v>1.228989100276219</v>
      </c>
      <c r="AO454" s="408">
        <v>0</v>
      </c>
      <c r="AP454" s="408">
        <v>0</v>
      </c>
      <c r="AQ454" s="408">
        <v>0</v>
      </c>
      <c r="AR454" s="408">
        <v>0</v>
      </c>
      <c r="AS454" s="408">
        <v>0</v>
      </c>
      <c r="AT454" s="408">
        <v>0</v>
      </c>
      <c r="AU454" s="408">
        <v>0</v>
      </c>
      <c r="AV454" s="408">
        <v>0</v>
      </c>
      <c r="AW454" s="408">
        <v>0</v>
      </c>
      <c r="AX454" s="408">
        <v>0</v>
      </c>
      <c r="AY454" s="408">
        <v>0</v>
      </c>
      <c r="AZ454" s="408">
        <v>0</v>
      </c>
      <c r="BA454" s="408"/>
      <c r="BB454" s="408">
        <v>0</v>
      </c>
      <c r="BC454" s="408">
        <v>0</v>
      </c>
      <c r="BD454" s="408">
        <v>1.1223749728748846</v>
      </c>
      <c r="BE454" s="408">
        <v>0</v>
      </c>
      <c r="BF454" s="408">
        <v>0</v>
      </c>
      <c r="BG454" s="408">
        <v>15.203941548009318</v>
      </c>
      <c r="BH454" s="408">
        <v>0</v>
      </c>
      <c r="BI454" s="408">
        <v>0</v>
      </c>
      <c r="BJ454" s="408">
        <v>0</v>
      </c>
      <c r="BK454" s="408">
        <v>0</v>
      </c>
      <c r="BL454" s="408">
        <v>0</v>
      </c>
      <c r="BM454" s="408"/>
      <c r="BN454" s="408"/>
      <c r="BO454" s="408"/>
      <c r="BP454" s="408"/>
      <c r="BQ454" s="408">
        <v>97.438555800000074</v>
      </c>
      <c r="BR454" s="408"/>
      <c r="BS454" s="408"/>
      <c r="BT454" s="408"/>
      <c r="BU454" s="408"/>
      <c r="BV454" s="408">
        <v>250.04566381878359</v>
      </c>
      <c r="BW454" s="408"/>
      <c r="BX454" s="408"/>
      <c r="BY454" s="408"/>
      <c r="BZ454" s="408"/>
      <c r="CA454" s="408"/>
      <c r="CB454" s="408"/>
      <c r="CC454" s="408"/>
      <c r="CD454" s="408"/>
      <c r="CE454" s="408"/>
      <c r="CF454" s="408"/>
      <c r="CG454" s="408"/>
      <c r="CH454" s="408"/>
      <c r="CI454" s="408">
        <v>1533.0617999999999</v>
      </c>
      <c r="CJ454" s="408">
        <v>-1367.5373578000008</v>
      </c>
      <c r="CK454" s="408"/>
      <c r="CL454" s="408"/>
      <c r="CM454" s="408"/>
      <c r="CN454" s="408"/>
      <c r="CO454" s="408">
        <v>-1476.3028300000001</v>
      </c>
      <c r="CP454" s="408">
        <v>14.56689000000001</v>
      </c>
      <c r="CQ454" s="408">
        <v>30</v>
      </c>
      <c r="CR454" s="408">
        <v>9.3413039822304427</v>
      </c>
      <c r="CS454" s="408">
        <v>0</v>
      </c>
      <c r="CT454" s="408">
        <v>0</v>
      </c>
      <c r="CU454" s="408">
        <v>0</v>
      </c>
      <c r="CV454" s="408">
        <v>0</v>
      </c>
      <c r="CW454" s="408">
        <v>0</v>
      </c>
      <c r="CX454" s="408">
        <v>0</v>
      </c>
      <c r="CY454" s="408">
        <v>0</v>
      </c>
      <c r="CZ454" s="408">
        <v>-2.6527289903757492</v>
      </c>
      <c r="DA454" s="408">
        <v>0</v>
      </c>
      <c r="DB454" s="408">
        <v>0</v>
      </c>
      <c r="DC454" s="408">
        <v>14.560357551511373</v>
      </c>
      <c r="DD454" s="408">
        <v>0</v>
      </c>
      <c r="DE454" s="408">
        <v>0</v>
      </c>
      <c r="DF454" s="408">
        <v>6.9922242642142418E-2</v>
      </c>
      <c r="DG454" s="408">
        <v>0.94718228375475988</v>
      </c>
      <c r="DH454" s="408">
        <v>0</v>
      </c>
      <c r="DI454" s="408">
        <v>-3.0297831636565817</v>
      </c>
      <c r="DJ454" s="408"/>
      <c r="DK454" s="408">
        <v>0</v>
      </c>
      <c r="DL454" s="408">
        <v>0</v>
      </c>
      <c r="DM454" s="408">
        <v>0</v>
      </c>
      <c r="DN454" s="408">
        <v>0</v>
      </c>
      <c r="DO454" s="408">
        <v>-0.47510884356893968</v>
      </c>
      <c r="DP454" s="408">
        <v>-7.853709807680298E-2</v>
      </c>
      <c r="DQ454" s="408">
        <v>0</v>
      </c>
      <c r="DR454" s="408">
        <v>0</v>
      </c>
      <c r="DS454" s="408"/>
      <c r="DT454" s="408"/>
      <c r="DU454" s="408"/>
      <c r="DV454" s="408">
        <v>2190.1794320099357</v>
      </c>
      <c r="DW454" s="408">
        <v>0</v>
      </c>
      <c r="DX454" s="408">
        <v>0</v>
      </c>
      <c r="DY454" s="408">
        <v>-1476.3028299999999</v>
      </c>
      <c r="DZ454" s="408">
        <v>14.566890000000001</v>
      </c>
      <c r="EA454" s="408">
        <v>0</v>
      </c>
      <c r="EB454" s="408">
        <v>0</v>
      </c>
      <c r="EC454" s="408">
        <v>-1471.0880439646148</v>
      </c>
      <c r="ED454" s="408">
        <v>0</v>
      </c>
      <c r="EE454" s="408">
        <v>0</v>
      </c>
      <c r="EF454" s="408">
        <v>0</v>
      </c>
      <c r="EG454" s="408">
        <v>0</v>
      </c>
      <c r="EH454" s="408">
        <v>0</v>
      </c>
      <c r="EI454" s="408">
        <v>0</v>
      </c>
      <c r="EJ454" s="408">
        <v>0</v>
      </c>
      <c r="EK454" s="408">
        <v>0</v>
      </c>
      <c r="EL454" s="408">
        <v>0</v>
      </c>
      <c r="EM454" s="408">
        <v>0</v>
      </c>
      <c r="EN454" s="408">
        <v>0</v>
      </c>
      <c r="EO454" s="408">
        <v>0</v>
      </c>
      <c r="EP454" s="408">
        <v>0</v>
      </c>
      <c r="EQ454" s="408">
        <v>0</v>
      </c>
      <c r="ER454" s="408">
        <v>0</v>
      </c>
      <c r="ES454" s="408">
        <v>0</v>
      </c>
      <c r="ET454" s="408">
        <v>0</v>
      </c>
      <c r="EU454" s="408">
        <v>0</v>
      </c>
      <c r="EV454" s="408">
        <v>257</v>
      </c>
      <c r="EW454" s="408">
        <v>0</v>
      </c>
      <c r="EX454" s="408">
        <v>0</v>
      </c>
      <c r="EY454" s="408">
        <v>0</v>
      </c>
      <c r="EZ454" s="408"/>
      <c r="FA454" s="408">
        <v>0</v>
      </c>
      <c r="FB454" s="408"/>
      <c r="FC454" s="408"/>
      <c r="FD454" s="408"/>
      <c r="FE454" s="408"/>
      <c r="FF454" s="408">
        <v>0</v>
      </c>
      <c r="FG454" s="408">
        <v>0</v>
      </c>
      <c r="FH454" s="408">
        <v>0</v>
      </c>
      <c r="FI454" s="408">
        <v>0</v>
      </c>
    </row>
    <row r="455" spans="1:165">
      <c r="A455" s="408">
        <v>453</v>
      </c>
      <c r="B455" s="408" t="s">
        <v>1035</v>
      </c>
      <c r="C455" s="408" t="s">
        <v>2241</v>
      </c>
      <c r="D455" s="408" t="s">
        <v>596</v>
      </c>
      <c r="E455" s="408" t="s">
        <v>1000</v>
      </c>
      <c r="F455" s="408" t="s">
        <v>2248</v>
      </c>
      <c r="G455" s="408" t="s">
        <v>1321</v>
      </c>
      <c r="H455" s="408" t="s">
        <v>1321</v>
      </c>
      <c r="I455" s="408" t="s">
        <v>2242</v>
      </c>
      <c r="J455" s="408" t="s">
        <v>2234</v>
      </c>
      <c r="K455" s="828">
        <v>44713</v>
      </c>
      <c r="L455" s="408">
        <v>0</v>
      </c>
      <c r="M455" s="408">
        <v>0</v>
      </c>
      <c r="N455" s="408">
        <v>17.39</v>
      </c>
      <c r="O455" s="408">
        <v>16.346599999999999</v>
      </c>
      <c r="P455" s="408">
        <v>17.39</v>
      </c>
      <c r="Q455" s="408">
        <v>16.346599999999999</v>
      </c>
      <c r="R455" s="408"/>
      <c r="S455" s="408">
        <v>82.26</v>
      </c>
      <c r="T455" s="408">
        <v>256.55</v>
      </c>
      <c r="U455" s="408"/>
      <c r="V455" s="408">
        <v>5891.9059000000007</v>
      </c>
      <c r="W455" s="408">
        <v>5891.9059000000007</v>
      </c>
      <c r="X455" s="408">
        <v>6120.9322000000011</v>
      </c>
      <c r="Y455" s="408">
        <v>0</v>
      </c>
      <c r="Z455" s="408">
        <v>930.06889727422583</v>
      </c>
      <c r="AA455" s="408">
        <v>0</v>
      </c>
      <c r="AB455" s="408">
        <v>0</v>
      </c>
      <c r="AC455" s="408">
        <v>0</v>
      </c>
      <c r="AD455" s="408">
        <v>0</v>
      </c>
      <c r="AE455" s="408">
        <v>0</v>
      </c>
      <c r="AF455" s="408">
        <v>4461.4483529203844</v>
      </c>
      <c r="AG455" s="408">
        <v>0</v>
      </c>
      <c r="AH455" s="408">
        <v>0</v>
      </c>
      <c r="AI455" s="408">
        <v>0</v>
      </c>
      <c r="AJ455" s="408">
        <v>0</v>
      </c>
      <c r="AK455" s="408">
        <v>0</v>
      </c>
      <c r="AL455" s="408">
        <v>165.27914670678894</v>
      </c>
      <c r="AM455" s="408"/>
      <c r="AN455" s="408">
        <v>23.460066359828154</v>
      </c>
      <c r="AO455" s="408">
        <v>0</v>
      </c>
      <c r="AP455" s="408">
        <v>0</v>
      </c>
      <c r="AQ455" s="408">
        <v>0</v>
      </c>
      <c r="AR455" s="408">
        <v>0</v>
      </c>
      <c r="AS455" s="408">
        <v>0</v>
      </c>
      <c r="AT455" s="408">
        <v>0</v>
      </c>
      <c r="AU455" s="408">
        <v>0</v>
      </c>
      <c r="AV455" s="408">
        <v>0</v>
      </c>
      <c r="AW455" s="408">
        <v>0</v>
      </c>
      <c r="AX455" s="408">
        <v>0</v>
      </c>
      <c r="AY455" s="408">
        <v>0</v>
      </c>
      <c r="AZ455" s="408">
        <v>0</v>
      </c>
      <c r="BA455" s="408"/>
      <c r="BB455" s="408">
        <v>0</v>
      </c>
      <c r="BC455" s="408">
        <v>0</v>
      </c>
      <c r="BD455" s="408">
        <v>21.424918527216516</v>
      </c>
      <c r="BE455" s="408">
        <v>0</v>
      </c>
      <c r="BF455" s="408">
        <v>0</v>
      </c>
      <c r="BG455" s="408">
        <v>290.22672175618226</v>
      </c>
      <c r="BH455" s="408">
        <v>0</v>
      </c>
      <c r="BI455" s="408">
        <v>0</v>
      </c>
      <c r="BJ455" s="408">
        <v>0</v>
      </c>
      <c r="BK455" s="408">
        <v>0</v>
      </c>
      <c r="BL455" s="408">
        <v>0</v>
      </c>
      <c r="BM455" s="408"/>
      <c r="BN455" s="408"/>
      <c r="BO455" s="408"/>
      <c r="BP455" s="408"/>
      <c r="BQ455" s="408">
        <v>367.25593200000071</v>
      </c>
      <c r="BR455" s="408"/>
      <c r="BS455" s="408"/>
      <c r="BT455" s="408"/>
      <c r="BU455" s="408"/>
      <c r="BV455" s="408">
        <v>4773.099993203783</v>
      </c>
      <c r="BW455" s="408"/>
      <c r="BX455" s="408"/>
      <c r="BY455" s="408"/>
      <c r="BZ455" s="408"/>
      <c r="CA455" s="408"/>
      <c r="CB455" s="408"/>
      <c r="CC455" s="408"/>
      <c r="CD455" s="408"/>
      <c r="CE455" s="408"/>
      <c r="CF455" s="408"/>
      <c r="CG455" s="408"/>
      <c r="CH455" s="408"/>
      <c r="CI455" s="408">
        <v>5754.8730000000005</v>
      </c>
      <c r="CJ455" s="408">
        <v>216.45145400000092</v>
      </c>
      <c r="CK455" s="408"/>
      <c r="CL455" s="408"/>
      <c r="CM455" s="408"/>
      <c r="CN455" s="408"/>
      <c r="CO455" s="408">
        <v>-49.039800000000128</v>
      </c>
      <c r="CP455" s="408">
        <v>278.06610000000018</v>
      </c>
      <c r="CQ455" s="408">
        <v>30</v>
      </c>
      <c r="CR455" s="408">
        <v>228.95305531681242</v>
      </c>
      <c r="CS455" s="408">
        <v>0</v>
      </c>
      <c r="CT455" s="408">
        <v>0</v>
      </c>
      <c r="CU455" s="408">
        <v>0</v>
      </c>
      <c r="CV455" s="408">
        <v>0</v>
      </c>
      <c r="CW455" s="408">
        <v>0</v>
      </c>
      <c r="CX455" s="408">
        <v>0</v>
      </c>
      <c r="CY455" s="408">
        <v>0</v>
      </c>
      <c r="CZ455" s="408">
        <v>0</v>
      </c>
      <c r="DA455" s="408">
        <v>0</v>
      </c>
      <c r="DB455" s="408">
        <v>0</v>
      </c>
      <c r="DC455" s="408">
        <v>277.94140265728038</v>
      </c>
      <c r="DD455" s="408">
        <v>0</v>
      </c>
      <c r="DE455" s="408">
        <v>0</v>
      </c>
      <c r="DF455" s="408">
        <v>1.3347396262863391</v>
      </c>
      <c r="DG455" s="408">
        <v>18.080680476943201</v>
      </c>
      <c r="DH455" s="408">
        <v>0</v>
      </c>
      <c r="DI455" s="408">
        <v>-57.835268074630108</v>
      </c>
      <c r="DJ455" s="408"/>
      <c r="DK455" s="408">
        <v>0</v>
      </c>
      <c r="DL455" s="408">
        <v>0</v>
      </c>
      <c r="DM455" s="408">
        <v>0</v>
      </c>
      <c r="DN455" s="408">
        <v>0</v>
      </c>
      <c r="DO455" s="408">
        <v>-9.0693115144499075</v>
      </c>
      <c r="DP455" s="408">
        <v>-1.4991878546164692</v>
      </c>
      <c r="DQ455" s="408">
        <v>0</v>
      </c>
      <c r="DR455" s="408">
        <v>0</v>
      </c>
      <c r="DS455" s="408"/>
      <c r="DT455" s="408"/>
      <c r="DU455" s="408"/>
      <c r="DV455" s="408">
        <v>0</v>
      </c>
      <c r="DW455" s="408">
        <v>0</v>
      </c>
      <c r="DX455" s="408">
        <v>0</v>
      </c>
      <c r="DY455" s="408">
        <v>-49.039800000000014</v>
      </c>
      <c r="DZ455" s="408">
        <v>278.06610000000001</v>
      </c>
      <c r="EA455" s="408">
        <v>0</v>
      </c>
      <c r="EB455" s="408">
        <v>0</v>
      </c>
      <c r="EC455" s="408">
        <v>0</v>
      </c>
      <c r="ED455" s="408">
        <v>0</v>
      </c>
      <c r="EE455" s="408">
        <v>0</v>
      </c>
      <c r="EF455" s="408">
        <v>0</v>
      </c>
      <c r="EG455" s="408">
        <v>0</v>
      </c>
      <c r="EH455" s="408">
        <v>0</v>
      </c>
      <c r="EI455" s="408">
        <v>0</v>
      </c>
      <c r="EJ455" s="408">
        <v>0</v>
      </c>
      <c r="EK455" s="408">
        <v>0</v>
      </c>
      <c r="EL455" s="408">
        <v>0</v>
      </c>
      <c r="EM455" s="408">
        <v>0</v>
      </c>
      <c r="EN455" s="408">
        <v>0</v>
      </c>
      <c r="EO455" s="408">
        <v>0</v>
      </c>
      <c r="EP455" s="408">
        <v>0</v>
      </c>
      <c r="EQ455" s="408">
        <v>0</v>
      </c>
      <c r="ER455" s="408">
        <v>0</v>
      </c>
      <c r="ES455" s="408">
        <v>0</v>
      </c>
      <c r="ET455" s="408">
        <v>0</v>
      </c>
      <c r="EU455" s="408">
        <v>0</v>
      </c>
      <c r="EV455" s="408">
        <v>257</v>
      </c>
      <c r="EW455" s="408">
        <v>0</v>
      </c>
      <c r="EX455" s="408">
        <v>0</v>
      </c>
      <c r="EY455" s="408">
        <v>0</v>
      </c>
      <c r="EZ455" s="408"/>
      <c r="FA455" s="408">
        <v>0</v>
      </c>
      <c r="FB455" s="408"/>
      <c r="FC455" s="408"/>
      <c r="FD455" s="408"/>
      <c r="FE455" s="408"/>
      <c r="FF455" s="408">
        <v>0</v>
      </c>
      <c r="FG455" s="408">
        <v>0</v>
      </c>
      <c r="FH455" s="408">
        <v>0</v>
      </c>
      <c r="FI455" s="408">
        <v>0</v>
      </c>
    </row>
    <row r="456" spans="1:165">
      <c r="A456" s="408">
        <v>454</v>
      </c>
      <c r="B456" s="408" t="s">
        <v>1035</v>
      </c>
      <c r="C456" s="408" t="s">
        <v>2241</v>
      </c>
      <c r="D456" s="408" t="s">
        <v>596</v>
      </c>
      <c r="E456" s="408" t="s">
        <v>1000</v>
      </c>
      <c r="F456" s="408" t="s">
        <v>2248</v>
      </c>
      <c r="G456" s="408" t="s">
        <v>1321</v>
      </c>
      <c r="H456" s="408" t="s">
        <v>1321</v>
      </c>
      <c r="I456" s="408" t="s">
        <v>1321</v>
      </c>
      <c r="J456" s="408" t="s">
        <v>2234</v>
      </c>
      <c r="K456" s="828">
        <v>44713</v>
      </c>
      <c r="L456" s="408">
        <v>79</v>
      </c>
      <c r="M456" s="408">
        <v>74.260000000000005</v>
      </c>
      <c r="N456" s="408">
        <v>0</v>
      </c>
      <c r="O456" s="408">
        <v>0</v>
      </c>
      <c r="P456" s="408">
        <v>0</v>
      </c>
      <c r="Q456" s="408">
        <v>0</v>
      </c>
      <c r="R456" s="408">
        <v>47.39</v>
      </c>
      <c r="S456" s="408"/>
      <c r="T456" s="408"/>
      <c r="U456" s="408">
        <v>3743.81</v>
      </c>
      <c r="V456" s="408"/>
      <c r="W456" s="408">
        <v>3743.81</v>
      </c>
      <c r="X456" s="408">
        <v>2545.38</v>
      </c>
      <c r="Y456" s="408">
        <v>0</v>
      </c>
      <c r="Z456" s="408">
        <v>0</v>
      </c>
      <c r="AA456" s="408">
        <v>0</v>
      </c>
      <c r="AB456" s="408">
        <v>0</v>
      </c>
      <c r="AC456" s="408">
        <v>0</v>
      </c>
      <c r="AD456" s="408">
        <v>1972.6379141777902</v>
      </c>
      <c r="AE456" s="408">
        <v>1771.1695124126304</v>
      </c>
      <c r="AF456" s="408"/>
      <c r="AG456" s="408"/>
      <c r="AH456" s="408"/>
      <c r="AI456" s="408">
        <v>0</v>
      </c>
      <c r="AJ456" s="408">
        <v>0</v>
      </c>
      <c r="AK456" s="408">
        <v>0</v>
      </c>
      <c r="AL456" s="408">
        <v>0</v>
      </c>
      <c r="AM456" s="408"/>
      <c r="AN456" s="408">
        <v>0</v>
      </c>
      <c r="AO456" s="408">
        <v>0</v>
      </c>
      <c r="AP456" s="408">
        <v>0</v>
      </c>
      <c r="AQ456" s="408">
        <v>0</v>
      </c>
      <c r="AR456" s="408">
        <v>0</v>
      </c>
      <c r="AS456" s="408"/>
      <c r="AT456" s="408"/>
      <c r="AU456" s="408">
        <v>0</v>
      </c>
      <c r="AV456" s="408">
        <v>0</v>
      </c>
      <c r="AW456" s="408">
        <v>0</v>
      </c>
      <c r="AX456" s="408"/>
      <c r="AY456" s="408"/>
      <c r="AZ456" s="408">
        <v>0</v>
      </c>
      <c r="BA456" s="408"/>
      <c r="BB456" s="408">
        <v>0</v>
      </c>
      <c r="BC456" s="408">
        <v>0</v>
      </c>
      <c r="BD456" s="408">
        <v>0</v>
      </c>
      <c r="BE456" s="408">
        <v>0</v>
      </c>
      <c r="BF456" s="408"/>
      <c r="BG456" s="408">
        <v>0</v>
      </c>
      <c r="BH456" s="408">
        <v>0</v>
      </c>
      <c r="BI456" s="408">
        <v>26.78</v>
      </c>
      <c r="BJ456" s="408">
        <v>104.24</v>
      </c>
      <c r="BK456" s="408">
        <v>3356.81</v>
      </c>
      <c r="BL456" s="408">
        <v>1</v>
      </c>
      <c r="BM456" s="408"/>
      <c r="BN456" s="408"/>
      <c r="BO456" s="408"/>
      <c r="BP456" s="408"/>
      <c r="BQ456" s="408">
        <v>152.72279999999984</v>
      </c>
      <c r="BR456" s="408"/>
      <c r="BS456" s="408"/>
      <c r="BT456" s="408"/>
      <c r="BU456" s="408"/>
      <c r="BV456" s="408">
        <v>0</v>
      </c>
      <c r="BW456" s="408"/>
      <c r="BX456" s="408"/>
      <c r="BY456" s="408"/>
      <c r="BZ456" s="408"/>
      <c r="CA456" s="408"/>
      <c r="CB456" s="408"/>
      <c r="CC456" s="408"/>
      <c r="CD456" s="408"/>
      <c r="CE456" s="408"/>
      <c r="CF456" s="408"/>
      <c r="CG456" s="408"/>
      <c r="CH456" s="408"/>
      <c r="CI456" s="408">
        <v>2392.6572000000001</v>
      </c>
      <c r="CJ456" s="408">
        <v>-1126.5542000000009</v>
      </c>
      <c r="CK456" s="408"/>
      <c r="CL456" s="408"/>
      <c r="CM456" s="408"/>
      <c r="CN456" s="408"/>
      <c r="CO456" s="408">
        <v>-1198.43</v>
      </c>
      <c r="CP456" s="408">
        <v>0</v>
      </c>
      <c r="CQ456" s="408">
        <v>30</v>
      </c>
      <c r="CR456" s="408">
        <v>-8.9164474416556914</v>
      </c>
      <c r="CS456" s="408">
        <v>0</v>
      </c>
      <c r="CT456" s="408">
        <v>0</v>
      </c>
      <c r="CU456" s="408">
        <v>0</v>
      </c>
      <c r="CV456" s="408">
        <v>0</v>
      </c>
      <c r="CW456" s="408"/>
      <c r="CX456" s="408"/>
      <c r="CY456" s="408"/>
      <c r="CZ456" s="408">
        <v>-8.9164474416556914</v>
      </c>
      <c r="DA456" s="408">
        <v>0</v>
      </c>
      <c r="DB456" s="408">
        <v>0</v>
      </c>
      <c r="DC456" s="408"/>
      <c r="DD456" s="408"/>
      <c r="DE456" s="408">
        <v>0</v>
      </c>
      <c r="DF456" s="408">
        <v>0</v>
      </c>
      <c r="DG456" s="408">
        <v>0</v>
      </c>
      <c r="DH456" s="408">
        <v>0</v>
      </c>
      <c r="DI456" s="408">
        <v>0</v>
      </c>
      <c r="DJ456" s="408"/>
      <c r="DK456" s="408">
        <v>0</v>
      </c>
      <c r="DL456" s="408">
        <v>0</v>
      </c>
      <c r="DM456" s="408"/>
      <c r="DN456" s="408">
        <v>0</v>
      </c>
      <c r="DO456" s="408">
        <v>0</v>
      </c>
      <c r="DP456" s="408">
        <v>0</v>
      </c>
      <c r="DQ456" s="408">
        <v>0</v>
      </c>
      <c r="DR456" s="408">
        <v>0</v>
      </c>
      <c r="DS456" s="408"/>
      <c r="DT456" s="408"/>
      <c r="DU456" s="408">
        <v>1771.1695124126304</v>
      </c>
      <c r="DV456" s="408"/>
      <c r="DW456" s="408">
        <v>0</v>
      </c>
      <c r="DX456" s="408">
        <v>0</v>
      </c>
      <c r="DY456" s="408">
        <v>-1198.4299999999998</v>
      </c>
      <c r="DZ456" s="408"/>
      <c r="EA456" s="408">
        <v>0</v>
      </c>
      <c r="EB456" s="408"/>
      <c r="EC456" s="408">
        <v>-1189.6496951182394</v>
      </c>
      <c r="ED456" s="408"/>
      <c r="EE456" s="408">
        <v>0</v>
      </c>
      <c r="EF456" s="408">
        <v>0</v>
      </c>
      <c r="EG456" s="408"/>
      <c r="EH456" s="408">
        <v>0</v>
      </c>
      <c r="EI456" s="408">
        <v>0</v>
      </c>
      <c r="EJ456" s="408">
        <v>0</v>
      </c>
      <c r="EK456" s="408">
        <v>0</v>
      </c>
      <c r="EL456" s="408">
        <v>0</v>
      </c>
      <c r="EM456" s="408"/>
      <c r="EN456" s="408"/>
      <c r="EO456" s="408">
        <v>0</v>
      </c>
      <c r="EP456" s="408">
        <v>0</v>
      </c>
      <c r="EQ456" s="408"/>
      <c r="ER456" s="408">
        <v>0</v>
      </c>
      <c r="ES456" s="408"/>
      <c r="ET456" s="408">
        <v>0</v>
      </c>
      <c r="EU456" s="408"/>
      <c r="EV456" s="408">
        <v>257</v>
      </c>
      <c r="EW456" s="408"/>
      <c r="EX456" s="408"/>
      <c r="EY456" s="408"/>
      <c r="EZ456" s="408"/>
      <c r="FA456" s="408">
        <v>0</v>
      </c>
      <c r="FB456" s="408"/>
      <c r="FC456" s="408"/>
      <c r="FD456" s="408"/>
      <c r="FE456" s="408"/>
      <c r="FF456" s="408">
        <v>0</v>
      </c>
      <c r="FG456" s="408">
        <v>0</v>
      </c>
      <c r="FH456" s="408">
        <v>0</v>
      </c>
      <c r="FI456" s="408">
        <v>0</v>
      </c>
    </row>
    <row r="457" spans="1:165">
      <c r="A457" s="408">
        <v>455</v>
      </c>
      <c r="B457" s="408" t="s">
        <v>1035</v>
      </c>
      <c r="C457" s="408" t="s">
        <v>2233</v>
      </c>
      <c r="D457" s="408" t="s">
        <v>1958</v>
      </c>
      <c r="E457" s="408" t="s">
        <v>2249</v>
      </c>
      <c r="F457" s="408" t="s">
        <v>1321</v>
      </c>
      <c r="G457" s="408" t="s">
        <v>1321</v>
      </c>
      <c r="H457" s="408" t="s">
        <v>1321</v>
      </c>
      <c r="I457" s="408" t="s">
        <v>1321</v>
      </c>
      <c r="J457" s="408" t="s">
        <v>2234</v>
      </c>
      <c r="K457" s="828">
        <v>44713</v>
      </c>
      <c r="L457" s="408">
        <v>0</v>
      </c>
      <c r="M457" s="408">
        <v>0</v>
      </c>
      <c r="N457" s="408">
        <v>1.1679999999999999</v>
      </c>
      <c r="O457" s="408">
        <v>1.1679999999999999</v>
      </c>
      <c r="P457" s="408">
        <v>1.1679999999999999</v>
      </c>
      <c r="Q457" s="408">
        <v>1.1679999999999999</v>
      </c>
      <c r="R457" s="408"/>
      <c r="S457" s="408">
        <v>710.91</v>
      </c>
      <c r="T457" s="408">
        <v>256.55</v>
      </c>
      <c r="U457" s="408"/>
      <c r="V457" s="408">
        <v>1129.9932799999999</v>
      </c>
      <c r="W457" s="408">
        <v>1129.9932799999999</v>
      </c>
      <c r="X457" s="408">
        <v>771.38223999999991</v>
      </c>
      <c r="Y457" s="408">
        <v>0</v>
      </c>
      <c r="Z457" s="408">
        <v>71.802427872822648</v>
      </c>
      <c r="AA457" s="408">
        <v>0</v>
      </c>
      <c r="AB457" s="408">
        <v>0</v>
      </c>
      <c r="AC457" s="408">
        <v>0</v>
      </c>
      <c r="AD457" s="408">
        <v>143.76069849033848</v>
      </c>
      <c r="AE457" s="408">
        <v>557.03095204842919</v>
      </c>
      <c r="AF457" s="408">
        <v>299.65334538303671</v>
      </c>
      <c r="AG457" s="408">
        <v>0</v>
      </c>
      <c r="AH457" s="408">
        <v>0</v>
      </c>
      <c r="AI457" s="408">
        <v>0</v>
      </c>
      <c r="AJ457" s="408">
        <v>0</v>
      </c>
      <c r="AK457" s="408">
        <v>0</v>
      </c>
      <c r="AL457" s="408">
        <v>11.100980066332919</v>
      </c>
      <c r="AM457" s="408"/>
      <c r="AN457" s="408">
        <v>2.5646998268995991</v>
      </c>
      <c r="AO457" s="408">
        <v>0</v>
      </c>
      <c r="AP457" s="408">
        <v>0</v>
      </c>
      <c r="AQ457" s="408">
        <v>0</v>
      </c>
      <c r="AR457" s="408">
        <v>0</v>
      </c>
      <c r="AS457" s="408">
        <v>0</v>
      </c>
      <c r="AT457" s="408">
        <v>0</v>
      </c>
      <c r="AU457" s="408">
        <v>0</v>
      </c>
      <c r="AV457" s="408">
        <v>0</v>
      </c>
      <c r="AW457" s="408">
        <v>0</v>
      </c>
      <c r="AX457" s="408">
        <v>0</v>
      </c>
      <c r="AY457" s="408">
        <v>0</v>
      </c>
      <c r="AZ457" s="408">
        <v>0</v>
      </c>
      <c r="BA457" s="408"/>
      <c r="BB457" s="408">
        <v>0</v>
      </c>
      <c r="BC457" s="408">
        <v>0</v>
      </c>
      <c r="BD457" s="408">
        <v>1.7406941455749154</v>
      </c>
      <c r="BE457" s="408">
        <v>0</v>
      </c>
      <c r="BF457" s="408">
        <v>0</v>
      </c>
      <c r="BG457" s="408">
        <v>42.343973857019193</v>
      </c>
      <c r="BH457" s="408">
        <v>0</v>
      </c>
      <c r="BI457" s="408">
        <v>2.11</v>
      </c>
      <c r="BJ457" s="408">
        <v>8.31</v>
      </c>
      <c r="BK457" s="408">
        <v>260.58</v>
      </c>
      <c r="BL457" s="408">
        <v>5</v>
      </c>
      <c r="BM457" s="408"/>
      <c r="BN457" s="408"/>
      <c r="BO457" s="408"/>
      <c r="BP457" s="408"/>
      <c r="BQ457" s="408"/>
      <c r="BR457" s="408"/>
      <c r="BS457" s="408"/>
      <c r="BT457" s="408"/>
      <c r="BU457" s="408"/>
      <c r="BV457" s="408">
        <v>343.73801338563084</v>
      </c>
      <c r="BW457" s="408"/>
      <c r="BX457" s="408"/>
      <c r="BY457" s="408"/>
      <c r="BZ457" s="408"/>
      <c r="CA457" s="408"/>
      <c r="CB457" s="408"/>
      <c r="CC457" s="408"/>
      <c r="CD457" s="408"/>
      <c r="CE457" s="408"/>
      <c r="CF457" s="408"/>
      <c r="CG457" s="408"/>
      <c r="CH457" s="408"/>
      <c r="CI457" s="408">
        <v>772.70309999999995</v>
      </c>
      <c r="CJ457" s="408">
        <v>-357.32017999999994</v>
      </c>
      <c r="CK457" s="408"/>
      <c r="CL457" s="408"/>
      <c r="CM457" s="408"/>
      <c r="CN457" s="408"/>
      <c r="CO457" s="408">
        <v>-377.28735999999998</v>
      </c>
      <c r="CP457" s="408">
        <v>18.676320000000011</v>
      </c>
      <c r="CQ457" s="408">
        <v>30</v>
      </c>
      <c r="CR457" s="408">
        <v>15.526558209541349</v>
      </c>
      <c r="CS457" s="408">
        <v>0</v>
      </c>
      <c r="CT457" s="408">
        <v>0</v>
      </c>
      <c r="CU457" s="408">
        <v>0</v>
      </c>
      <c r="CV457" s="408">
        <v>0</v>
      </c>
      <c r="CW457" s="408">
        <v>0</v>
      </c>
      <c r="CX457" s="408">
        <v>0</v>
      </c>
      <c r="CY457" s="408">
        <v>0</v>
      </c>
      <c r="CZ457" s="408">
        <v>-0.64980739904248708</v>
      </c>
      <c r="DA457" s="408">
        <v>0</v>
      </c>
      <c r="DB457" s="408">
        <v>0</v>
      </c>
      <c r="DC457" s="408">
        <v>18.667944698315353</v>
      </c>
      <c r="DD457" s="408">
        <v>0</v>
      </c>
      <c r="DE457" s="408">
        <v>0</v>
      </c>
      <c r="DF457" s="408">
        <v>0.10844258055833422</v>
      </c>
      <c r="DG457" s="408">
        <v>2.6379647497654659</v>
      </c>
      <c r="DH457" s="408">
        <v>0</v>
      </c>
      <c r="DI457" s="408">
        <v>-4.4649516574572203</v>
      </c>
      <c r="DJ457" s="408"/>
      <c r="DK457" s="408">
        <v>0</v>
      </c>
      <c r="DL457" s="408">
        <v>0</v>
      </c>
      <c r="DM457" s="408">
        <v>0</v>
      </c>
      <c r="DN457" s="408">
        <v>0</v>
      </c>
      <c r="DO457" s="408">
        <v>-0.60914064685896996</v>
      </c>
      <c r="DP457" s="408">
        <v>-0.16389411573910317</v>
      </c>
      <c r="DQ457" s="408">
        <v>0</v>
      </c>
      <c r="DR457" s="408">
        <v>0</v>
      </c>
      <c r="DS457" s="408"/>
      <c r="DT457" s="408"/>
      <c r="DU457" s="408"/>
      <c r="DV457" s="408">
        <v>557.03095204842919</v>
      </c>
      <c r="DW457" s="408">
        <v>0</v>
      </c>
      <c r="DX457" s="408">
        <v>0</v>
      </c>
      <c r="DY457" s="408">
        <v>-377.28735999999998</v>
      </c>
      <c r="DZ457" s="408">
        <v>18.676320000000032</v>
      </c>
      <c r="EA457" s="408">
        <v>0</v>
      </c>
      <c r="EB457" s="408">
        <v>0</v>
      </c>
      <c r="EC457" s="408">
        <v>-374.14358006488408</v>
      </c>
      <c r="ED457" s="408">
        <v>0</v>
      </c>
      <c r="EE457" s="408">
        <v>0</v>
      </c>
      <c r="EF457" s="408">
        <v>0</v>
      </c>
      <c r="EG457" s="408">
        <v>0</v>
      </c>
      <c r="EH457" s="408">
        <v>0</v>
      </c>
      <c r="EI457" s="408">
        <v>0</v>
      </c>
      <c r="EJ457" s="408">
        <v>0</v>
      </c>
      <c r="EK457" s="408">
        <v>0</v>
      </c>
      <c r="EL457" s="408">
        <v>0</v>
      </c>
      <c r="EM457" s="408">
        <v>0</v>
      </c>
      <c r="EN457" s="408">
        <v>0</v>
      </c>
      <c r="EO457" s="408">
        <v>0</v>
      </c>
      <c r="EP457" s="408">
        <v>0</v>
      </c>
      <c r="EQ457" s="408">
        <v>0</v>
      </c>
      <c r="ER457" s="408">
        <v>0</v>
      </c>
      <c r="ES457" s="408">
        <v>0</v>
      </c>
      <c r="ET457" s="408">
        <v>0</v>
      </c>
      <c r="EU457" s="408">
        <v>0</v>
      </c>
      <c r="EV457" s="408">
        <v>257</v>
      </c>
      <c r="EW457" s="408">
        <v>0</v>
      </c>
      <c r="EX457" s="408">
        <v>0</v>
      </c>
      <c r="EY457" s="408">
        <v>0</v>
      </c>
      <c r="EZ457" s="408"/>
      <c r="FA457" s="408">
        <v>0</v>
      </c>
      <c r="FB457" s="408"/>
      <c r="FC457" s="408"/>
      <c r="FD457" s="408"/>
      <c r="FE457" s="408"/>
      <c r="FF457" s="408">
        <v>0</v>
      </c>
      <c r="FG457" s="408">
        <v>0</v>
      </c>
      <c r="FH457" s="408">
        <v>0</v>
      </c>
      <c r="FI457" s="408">
        <v>0</v>
      </c>
    </row>
    <row r="458" spans="1:165">
      <c r="A458" s="408">
        <v>456</v>
      </c>
      <c r="B458" s="408" t="s">
        <v>1035</v>
      </c>
      <c r="C458" s="408" t="s">
        <v>2241</v>
      </c>
      <c r="D458" s="408" t="s">
        <v>596</v>
      </c>
      <c r="E458" s="408" t="s">
        <v>969</v>
      </c>
      <c r="F458" s="408" t="s">
        <v>1321</v>
      </c>
      <c r="G458" s="408" t="s">
        <v>2314</v>
      </c>
      <c r="H458" s="408" t="s">
        <v>1321</v>
      </c>
      <c r="I458" s="408" t="s">
        <v>972</v>
      </c>
      <c r="J458" s="408" t="s">
        <v>2315</v>
      </c>
      <c r="K458" s="828">
        <v>44378</v>
      </c>
      <c r="L458" s="408">
        <v>0</v>
      </c>
      <c r="M458" s="408">
        <v>0</v>
      </c>
      <c r="N458" s="408">
        <v>12.842000000000001</v>
      </c>
      <c r="O458" s="408">
        <v>6.4210000000000003</v>
      </c>
      <c r="P458" s="408">
        <v>0</v>
      </c>
      <c r="Q458" s="408">
        <v>0</v>
      </c>
      <c r="R458" s="408"/>
      <c r="S458" s="408">
        <v>3130.62</v>
      </c>
      <c r="T458" s="408"/>
      <c r="U458" s="408"/>
      <c r="V458" s="408">
        <v>40203.422039999998</v>
      </c>
      <c r="W458" s="408">
        <v>40203.422039999998</v>
      </c>
      <c r="X458" s="408">
        <v>19392.575779999999</v>
      </c>
      <c r="Y458" s="408">
        <v>0</v>
      </c>
      <c r="Z458" s="408">
        <v>686.82833690601547</v>
      </c>
      <c r="AA458" s="408">
        <v>0</v>
      </c>
      <c r="AB458" s="408">
        <v>0</v>
      </c>
      <c r="AC458" s="408">
        <v>0</v>
      </c>
      <c r="AD458" s="408">
        <v>8272.9937129978625</v>
      </c>
      <c r="AE458" s="408">
        <v>30874.077130484733</v>
      </c>
      <c r="AF458" s="408"/>
      <c r="AG458" s="408"/>
      <c r="AH458" s="408"/>
      <c r="AI458" s="408">
        <v>0</v>
      </c>
      <c r="AJ458" s="408">
        <v>0</v>
      </c>
      <c r="AK458" s="408">
        <v>0</v>
      </c>
      <c r="AL458" s="408">
        <v>122.05375514712958</v>
      </c>
      <c r="AM458" s="408"/>
      <c r="AN458" s="408">
        <v>17.324564243410762</v>
      </c>
      <c r="AO458" s="408">
        <v>0</v>
      </c>
      <c r="AP458" s="408">
        <v>0</v>
      </c>
      <c r="AQ458" s="408">
        <v>0</v>
      </c>
      <c r="AR458" s="408">
        <v>0</v>
      </c>
      <c r="AS458" s="408"/>
      <c r="AT458" s="408"/>
      <c r="AU458" s="408">
        <v>0</v>
      </c>
      <c r="AV458" s="408">
        <v>0</v>
      </c>
      <c r="AW458" s="408">
        <v>0</v>
      </c>
      <c r="AX458" s="408"/>
      <c r="AY458" s="408"/>
      <c r="AZ458" s="408">
        <v>0</v>
      </c>
      <c r="BA458" s="408"/>
      <c r="BB458" s="408">
        <v>0</v>
      </c>
      <c r="BC458" s="408">
        <v>0</v>
      </c>
      <c r="BD458" s="408">
        <v>15.821667839362535</v>
      </c>
      <c r="BE458" s="408">
        <v>0</v>
      </c>
      <c r="BF458" s="408"/>
      <c r="BG458" s="408">
        <v>214.32383903351885</v>
      </c>
      <c r="BH458" s="408">
        <v>0</v>
      </c>
      <c r="BI458" s="408">
        <v>0</v>
      </c>
      <c r="BJ458" s="408">
        <v>0</v>
      </c>
      <c r="BK458" s="408">
        <v>0</v>
      </c>
      <c r="BL458" s="408">
        <v>0</v>
      </c>
      <c r="BM458" s="408"/>
      <c r="BN458" s="408">
        <v>9696.2878899999996</v>
      </c>
      <c r="BO458" s="408"/>
      <c r="BP458" s="408"/>
      <c r="BQ458" s="408"/>
      <c r="BR458" s="408"/>
      <c r="BS458" s="408"/>
      <c r="BT458" s="408"/>
      <c r="BU458" s="408"/>
      <c r="BV458" s="408">
        <v>230.14550687288138</v>
      </c>
      <c r="BW458" s="408"/>
      <c r="BX458" s="408"/>
      <c r="BY458" s="408"/>
      <c r="BZ458" s="408"/>
      <c r="CA458" s="408"/>
      <c r="CB458" s="408"/>
      <c r="CC458" s="408"/>
      <c r="CD458" s="408"/>
      <c r="CE458" s="408"/>
      <c r="CF458" s="408"/>
      <c r="CG458" s="408"/>
      <c r="CH458" s="408"/>
      <c r="CI458" s="408">
        <v>9694.7777999999998</v>
      </c>
      <c r="CJ458" s="408">
        <v>-10406.963219999994</v>
      </c>
      <c r="CK458" s="408"/>
      <c r="CL458" s="408"/>
      <c r="CM458" s="408"/>
      <c r="CN458" s="408"/>
      <c r="CO458" s="408">
        <v>-20810.846260000002</v>
      </c>
      <c r="CP458" s="408">
        <v>0</v>
      </c>
      <c r="CQ458" s="408">
        <v>31</v>
      </c>
      <c r="CR458" s="408">
        <v>-73.570895649516387</v>
      </c>
      <c r="CS458" s="408">
        <v>0</v>
      </c>
      <c r="CT458" s="408">
        <v>0</v>
      </c>
      <c r="CU458" s="408">
        <v>0</v>
      </c>
      <c r="CV458" s="408">
        <v>0</v>
      </c>
      <c r="CW458" s="408"/>
      <c r="CX458" s="408"/>
      <c r="CY458" s="408"/>
      <c r="CZ458" s="408">
        <v>-37.394451914826277</v>
      </c>
      <c r="DA458" s="408">
        <v>0</v>
      </c>
      <c r="DB458" s="408">
        <v>0</v>
      </c>
      <c r="DC458" s="408"/>
      <c r="DD458" s="408"/>
      <c r="DE458" s="408">
        <v>0</v>
      </c>
      <c r="DF458" s="408">
        <v>0.98566568607068383</v>
      </c>
      <c r="DG458" s="408">
        <v>13.352047077912857</v>
      </c>
      <c r="DH458" s="408">
        <v>0</v>
      </c>
      <c r="DI458" s="408">
        <v>-42.709632697780421</v>
      </c>
      <c r="DJ458" s="408"/>
      <c r="DK458" s="408">
        <v>0</v>
      </c>
      <c r="DL458" s="408">
        <v>0</v>
      </c>
      <c r="DM458" s="408"/>
      <c r="DN458" s="408">
        <v>0</v>
      </c>
      <c r="DO458" s="408">
        <v>-6.6974179682901251</v>
      </c>
      <c r="DP458" s="408">
        <v>-1.1071058326040664</v>
      </c>
      <c r="DQ458" s="408">
        <v>0</v>
      </c>
      <c r="DR458" s="408">
        <v>0</v>
      </c>
      <c r="DS458" s="408"/>
      <c r="DT458" s="408"/>
      <c r="DU458" s="408"/>
      <c r="DV458" s="408">
        <v>30874.077130484733</v>
      </c>
      <c r="DW458" s="408">
        <v>0</v>
      </c>
      <c r="DX458" s="408">
        <v>0</v>
      </c>
      <c r="DY458" s="408">
        <v>-20810.846259999998</v>
      </c>
      <c r="DZ458" s="408"/>
      <c r="EA458" s="408">
        <v>0</v>
      </c>
      <c r="EB458" s="408"/>
      <c r="EC458" s="408">
        <v>-20737.335522056623</v>
      </c>
      <c r="ED458" s="408"/>
      <c r="EE458" s="408">
        <v>0</v>
      </c>
      <c r="EF458" s="408">
        <v>0</v>
      </c>
      <c r="EG458" s="408"/>
      <c r="EH458" s="408">
        <v>0</v>
      </c>
      <c r="EI458" s="408">
        <v>0</v>
      </c>
      <c r="EJ458" s="408">
        <v>0</v>
      </c>
      <c r="EK458" s="408">
        <v>0</v>
      </c>
      <c r="EL458" s="408">
        <v>0</v>
      </c>
      <c r="EM458" s="408"/>
      <c r="EN458" s="408"/>
      <c r="EO458" s="408">
        <v>0</v>
      </c>
      <c r="EP458" s="408">
        <v>0</v>
      </c>
      <c r="EQ458" s="408"/>
      <c r="ER458" s="408">
        <v>0</v>
      </c>
      <c r="ES458" s="408"/>
      <c r="ET458" s="408">
        <v>0</v>
      </c>
      <c r="EU458" s="408"/>
      <c r="EV458" s="408">
        <v>257</v>
      </c>
      <c r="EW458" s="408"/>
      <c r="EX458" s="408"/>
      <c r="EY458" s="408"/>
      <c r="EZ458" s="408"/>
      <c r="FA458" s="408">
        <v>0</v>
      </c>
      <c r="FB458" s="408"/>
      <c r="FC458" s="408"/>
      <c r="FD458" s="408"/>
      <c r="FE458" s="408"/>
      <c r="FF458" s="408">
        <v>0</v>
      </c>
      <c r="FG458" s="408">
        <v>0</v>
      </c>
      <c r="FH458" s="408">
        <v>0</v>
      </c>
      <c r="FI458" s="408">
        <v>0</v>
      </c>
    </row>
    <row r="459" spans="1:165">
      <c r="A459" s="408">
        <v>457</v>
      </c>
      <c r="B459" s="408" t="s">
        <v>1035</v>
      </c>
      <c r="C459" s="408" t="s">
        <v>2241</v>
      </c>
      <c r="D459" s="408" t="s">
        <v>596</v>
      </c>
      <c r="E459" s="408" t="s">
        <v>969</v>
      </c>
      <c r="F459" s="408" t="s">
        <v>1321</v>
      </c>
      <c r="G459" s="408" t="s">
        <v>2314</v>
      </c>
      <c r="H459" s="408" t="s">
        <v>1321</v>
      </c>
      <c r="I459" s="408" t="s">
        <v>2242</v>
      </c>
      <c r="J459" s="408" t="s">
        <v>2315</v>
      </c>
      <c r="K459" s="828">
        <v>44378</v>
      </c>
      <c r="L459" s="408">
        <v>0</v>
      </c>
      <c r="M459" s="408">
        <v>0</v>
      </c>
      <c r="N459" s="408">
        <v>210.84200000000001</v>
      </c>
      <c r="O459" s="408">
        <v>105.42100000000001</v>
      </c>
      <c r="P459" s="408">
        <v>0</v>
      </c>
      <c r="Q459" s="408">
        <v>0</v>
      </c>
      <c r="R459" s="408"/>
      <c r="S459" s="408">
        <v>82.26</v>
      </c>
      <c r="T459" s="408"/>
      <c r="U459" s="408"/>
      <c r="V459" s="408">
        <v>17343.862920000003</v>
      </c>
      <c r="W459" s="408">
        <v>17343.862920000003</v>
      </c>
      <c r="X459" s="408">
        <v>16749.288479999999</v>
      </c>
      <c r="Y459" s="408">
        <v>0</v>
      </c>
      <c r="Z459" s="408">
        <v>11276.456954519397</v>
      </c>
      <c r="AA459" s="408">
        <v>0</v>
      </c>
      <c r="AB459" s="408">
        <v>0</v>
      </c>
      <c r="AC459" s="408">
        <v>0</v>
      </c>
      <c r="AD459" s="408">
        <v>0</v>
      </c>
      <c r="AE459" s="408">
        <v>0</v>
      </c>
      <c r="AF459" s="408"/>
      <c r="AG459" s="408"/>
      <c r="AH459" s="408"/>
      <c r="AI459" s="408">
        <v>0</v>
      </c>
      <c r="AJ459" s="408">
        <v>0</v>
      </c>
      <c r="AK459" s="408">
        <v>0</v>
      </c>
      <c r="AL459" s="408">
        <v>2003.8979787206897</v>
      </c>
      <c r="AM459" s="408"/>
      <c r="AN459" s="408">
        <v>284.43745321672731</v>
      </c>
      <c r="AO459" s="408">
        <v>0</v>
      </c>
      <c r="AP459" s="408">
        <v>0</v>
      </c>
      <c r="AQ459" s="408">
        <v>0</v>
      </c>
      <c r="AR459" s="408">
        <v>0</v>
      </c>
      <c r="AS459" s="408"/>
      <c r="AT459" s="408"/>
      <c r="AU459" s="408">
        <v>0</v>
      </c>
      <c r="AV459" s="408">
        <v>0</v>
      </c>
      <c r="AW459" s="408">
        <v>0</v>
      </c>
      <c r="AX459" s="408"/>
      <c r="AY459" s="408"/>
      <c r="AZ459" s="408">
        <v>0</v>
      </c>
      <c r="BA459" s="408"/>
      <c r="BB459" s="408">
        <v>0</v>
      </c>
      <c r="BC459" s="408">
        <v>0</v>
      </c>
      <c r="BD459" s="408">
        <v>259.76266084619806</v>
      </c>
      <c r="BE459" s="408">
        <v>0</v>
      </c>
      <c r="BF459" s="408"/>
      <c r="BG459" s="408">
        <v>3518.8029021573884</v>
      </c>
      <c r="BH459" s="408">
        <v>0</v>
      </c>
      <c r="BI459" s="408">
        <v>0</v>
      </c>
      <c r="BJ459" s="408">
        <v>0</v>
      </c>
      <c r="BK459" s="408">
        <v>0</v>
      </c>
      <c r="BL459" s="408">
        <v>0</v>
      </c>
      <c r="BM459" s="408"/>
      <c r="BN459" s="408">
        <v>8374.6442399999996</v>
      </c>
      <c r="BO459" s="408"/>
      <c r="BP459" s="408"/>
      <c r="BQ459" s="408"/>
      <c r="BR459" s="408"/>
      <c r="BS459" s="408"/>
      <c r="BT459" s="408"/>
      <c r="BU459" s="408"/>
      <c r="BV459" s="408">
        <v>3778.5655630035862</v>
      </c>
      <c r="BW459" s="408"/>
      <c r="BX459" s="408"/>
      <c r="BY459" s="408"/>
      <c r="BZ459" s="408"/>
      <c r="CA459" s="408"/>
      <c r="CB459" s="408"/>
      <c r="CC459" s="408"/>
      <c r="CD459" s="408"/>
      <c r="CE459" s="408"/>
      <c r="CF459" s="408"/>
      <c r="CG459" s="408"/>
      <c r="CH459" s="408"/>
      <c r="CI459" s="408">
        <v>8374.5648000000001</v>
      </c>
      <c r="CJ459" s="408">
        <v>-297.39666000000216</v>
      </c>
      <c r="CK459" s="408"/>
      <c r="CL459" s="408"/>
      <c r="CM459" s="408"/>
      <c r="CN459" s="408"/>
      <c r="CO459" s="408">
        <v>-594.57444000000157</v>
      </c>
      <c r="CP459" s="408">
        <v>0</v>
      </c>
      <c r="CQ459" s="408">
        <v>31</v>
      </c>
      <c r="CR459" s="408">
        <v>-593.95061126846849</v>
      </c>
      <c r="CS459" s="408">
        <v>0</v>
      </c>
      <c r="CT459" s="408">
        <v>0</v>
      </c>
      <c r="CU459" s="408">
        <v>0</v>
      </c>
      <c r="CV459" s="408">
        <v>0</v>
      </c>
      <c r="CW459" s="408"/>
      <c r="CX459" s="408"/>
      <c r="CY459" s="408"/>
      <c r="CZ459" s="408">
        <v>0</v>
      </c>
      <c r="DA459" s="408">
        <v>0</v>
      </c>
      <c r="DB459" s="408">
        <v>0</v>
      </c>
      <c r="DC459" s="408"/>
      <c r="DD459" s="408"/>
      <c r="DE459" s="408">
        <v>0</v>
      </c>
      <c r="DF459" s="408">
        <v>16.18281611762302</v>
      </c>
      <c r="DG459" s="408">
        <v>219.21603410693842</v>
      </c>
      <c r="DH459" s="408">
        <v>0</v>
      </c>
      <c r="DI459" s="408">
        <v>-701.21354752105617</v>
      </c>
      <c r="DJ459" s="408"/>
      <c r="DK459" s="408">
        <v>0</v>
      </c>
      <c r="DL459" s="408">
        <v>0</v>
      </c>
      <c r="DM459" s="408"/>
      <c r="DN459" s="408">
        <v>0</v>
      </c>
      <c r="DO459" s="408">
        <v>-109.95927419951954</v>
      </c>
      <c r="DP459" s="408">
        <v>-18.176639772458088</v>
      </c>
      <c r="DQ459" s="408">
        <v>0</v>
      </c>
      <c r="DR459" s="408">
        <v>0</v>
      </c>
      <c r="DS459" s="408"/>
      <c r="DT459" s="408"/>
      <c r="DU459" s="408"/>
      <c r="DV459" s="408">
        <v>0</v>
      </c>
      <c r="DW459" s="408">
        <v>0</v>
      </c>
      <c r="DX459" s="408">
        <v>0</v>
      </c>
      <c r="DY459" s="408">
        <v>-594.57444000000396</v>
      </c>
      <c r="DZ459" s="408"/>
      <c r="EA459" s="408">
        <v>0</v>
      </c>
      <c r="EB459" s="408"/>
      <c r="EC459" s="408">
        <v>0</v>
      </c>
      <c r="ED459" s="408"/>
      <c r="EE459" s="408">
        <v>0</v>
      </c>
      <c r="EF459" s="408">
        <v>0</v>
      </c>
      <c r="EG459" s="408"/>
      <c r="EH459" s="408">
        <v>0</v>
      </c>
      <c r="EI459" s="408">
        <v>0</v>
      </c>
      <c r="EJ459" s="408">
        <v>0</v>
      </c>
      <c r="EK459" s="408">
        <v>0</v>
      </c>
      <c r="EL459" s="408">
        <v>0</v>
      </c>
      <c r="EM459" s="408"/>
      <c r="EN459" s="408"/>
      <c r="EO459" s="408">
        <v>0</v>
      </c>
      <c r="EP459" s="408">
        <v>0</v>
      </c>
      <c r="EQ459" s="408"/>
      <c r="ER459" s="408">
        <v>0</v>
      </c>
      <c r="ES459" s="408"/>
      <c r="ET459" s="408">
        <v>0</v>
      </c>
      <c r="EU459" s="408"/>
      <c r="EV459" s="408">
        <v>257</v>
      </c>
      <c r="EW459" s="408"/>
      <c r="EX459" s="408"/>
      <c r="EY459" s="408"/>
      <c r="EZ459" s="408"/>
      <c r="FA459" s="408">
        <v>0</v>
      </c>
      <c r="FB459" s="408"/>
      <c r="FC459" s="408"/>
      <c r="FD459" s="408"/>
      <c r="FE459" s="408"/>
      <c r="FF459" s="408">
        <v>0</v>
      </c>
      <c r="FG459" s="408">
        <v>0</v>
      </c>
      <c r="FH459" s="408">
        <v>0</v>
      </c>
      <c r="FI459" s="408">
        <v>0</v>
      </c>
    </row>
    <row r="460" spans="1:165">
      <c r="A460" s="408">
        <v>458</v>
      </c>
      <c r="B460" s="408" t="s">
        <v>1035</v>
      </c>
      <c r="C460" s="408" t="s">
        <v>2241</v>
      </c>
      <c r="D460" s="408" t="s">
        <v>596</v>
      </c>
      <c r="E460" s="408" t="s">
        <v>969</v>
      </c>
      <c r="F460" s="408" t="s">
        <v>1321</v>
      </c>
      <c r="G460" s="408" t="s">
        <v>2314</v>
      </c>
      <c r="H460" s="408" t="s">
        <v>1321</v>
      </c>
      <c r="I460" s="408" t="s">
        <v>1321</v>
      </c>
      <c r="J460" s="408" t="s">
        <v>2315</v>
      </c>
      <c r="K460" s="828">
        <v>44378</v>
      </c>
      <c r="L460" s="408">
        <v>955</v>
      </c>
      <c r="M460" s="408">
        <v>477.5</v>
      </c>
      <c r="N460" s="408">
        <v>0</v>
      </c>
      <c r="O460" s="408">
        <v>0</v>
      </c>
      <c r="P460" s="408">
        <v>0</v>
      </c>
      <c r="Q460" s="408">
        <v>0</v>
      </c>
      <c r="R460" s="408">
        <v>47.39</v>
      </c>
      <c r="S460" s="408"/>
      <c r="T460" s="408"/>
      <c r="U460" s="408">
        <v>45257.45</v>
      </c>
      <c r="V460" s="408"/>
      <c r="W460" s="408">
        <v>45257.45</v>
      </c>
      <c r="X460" s="408">
        <v>30770.1</v>
      </c>
      <c r="Y460" s="408">
        <v>0</v>
      </c>
      <c r="Z460" s="408">
        <v>0</v>
      </c>
      <c r="AA460" s="408">
        <v>0</v>
      </c>
      <c r="AB460" s="408">
        <v>0</v>
      </c>
      <c r="AC460" s="408">
        <v>0</v>
      </c>
      <c r="AD460" s="408">
        <v>23846.445671389742</v>
      </c>
      <c r="AE460" s="408">
        <v>21410.973219671672</v>
      </c>
      <c r="AF460" s="408"/>
      <c r="AG460" s="408"/>
      <c r="AH460" s="408"/>
      <c r="AI460" s="408">
        <v>0</v>
      </c>
      <c r="AJ460" s="408">
        <v>0</v>
      </c>
      <c r="AK460" s="408">
        <v>0</v>
      </c>
      <c r="AL460" s="408">
        <v>0</v>
      </c>
      <c r="AM460" s="408"/>
      <c r="AN460" s="408">
        <v>0</v>
      </c>
      <c r="AO460" s="408">
        <v>0</v>
      </c>
      <c r="AP460" s="408">
        <v>0</v>
      </c>
      <c r="AQ460" s="408">
        <v>0</v>
      </c>
      <c r="AR460" s="408">
        <v>0</v>
      </c>
      <c r="AS460" s="408"/>
      <c r="AT460" s="408"/>
      <c r="AU460" s="408">
        <v>0</v>
      </c>
      <c r="AV460" s="408">
        <v>0</v>
      </c>
      <c r="AW460" s="408">
        <v>0</v>
      </c>
      <c r="AX460" s="408"/>
      <c r="AY460" s="408"/>
      <c r="AZ460" s="408">
        <v>0</v>
      </c>
      <c r="BA460" s="408"/>
      <c r="BB460" s="408">
        <v>0</v>
      </c>
      <c r="BC460" s="408">
        <v>0</v>
      </c>
      <c r="BD460" s="408">
        <v>0</v>
      </c>
      <c r="BE460" s="408">
        <v>0</v>
      </c>
      <c r="BF460" s="408"/>
      <c r="BG460" s="408">
        <v>0</v>
      </c>
      <c r="BH460" s="408">
        <v>0</v>
      </c>
      <c r="BI460" s="408">
        <v>76.040000000000006</v>
      </c>
      <c r="BJ460" s="408">
        <v>0</v>
      </c>
      <c r="BK460" s="408">
        <v>8778.61</v>
      </c>
      <c r="BL460" s="408">
        <v>2</v>
      </c>
      <c r="BM460" s="408"/>
      <c r="BN460" s="408">
        <v>15385.05</v>
      </c>
      <c r="BO460" s="408"/>
      <c r="BP460" s="408"/>
      <c r="BQ460" s="408"/>
      <c r="BR460" s="408"/>
      <c r="BS460" s="408"/>
      <c r="BT460" s="408"/>
      <c r="BU460" s="408"/>
      <c r="BV460" s="408">
        <v>0</v>
      </c>
      <c r="BW460" s="408"/>
      <c r="BX460" s="408"/>
      <c r="BY460" s="408"/>
      <c r="BZ460" s="408"/>
      <c r="CA460" s="408"/>
      <c r="CB460" s="408"/>
      <c r="CC460" s="408"/>
      <c r="CD460" s="408"/>
      <c r="CE460" s="408"/>
      <c r="CF460" s="408"/>
      <c r="CG460" s="408"/>
      <c r="CH460" s="408"/>
      <c r="CI460" s="408">
        <v>15385.05</v>
      </c>
      <c r="CJ460" s="408">
        <v>-7243.7049999999945</v>
      </c>
      <c r="CK460" s="408"/>
      <c r="CL460" s="408"/>
      <c r="CM460" s="408"/>
      <c r="CN460" s="408"/>
      <c r="CO460" s="408">
        <v>-14487.350000000002</v>
      </c>
      <c r="CP460" s="408">
        <v>0</v>
      </c>
      <c r="CQ460" s="408">
        <v>31</v>
      </c>
      <c r="CR460" s="408">
        <v>-107.787434263053</v>
      </c>
      <c r="CS460" s="408">
        <v>0</v>
      </c>
      <c r="CT460" s="408">
        <v>0</v>
      </c>
      <c r="CU460" s="408">
        <v>0</v>
      </c>
      <c r="CV460" s="408">
        <v>0</v>
      </c>
      <c r="CW460" s="408"/>
      <c r="CX460" s="408"/>
      <c r="CY460" s="408"/>
      <c r="CZ460" s="408">
        <v>-107.787434263053</v>
      </c>
      <c r="DA460" s="408">
        <v>0</v>
      </c>
      <c r="DB460" s="408">
        <v>0</v>
      </c>
      <c r="DC460" s="408"/>
      <c r="DD460" s="408"/>
      <c r="DE460" s="408">
        <v>0</v>
      </c>
      <c r="DF460" s="408">
        <v>0</v>
      </c>
      <c r="DG460" s="408">
        <v>0</v>
      </c>
      <c r="DH460" s="408">
        <v>0</v>
      </c>
      <c r="DI460" s="408">
        <v>0</v>
      </c>
      <c r="DJ460" s="408"/>
      <c r="DK460" s="408">
        <v>0</v>
      </c>
      <c r="DL460" s="408">
        <v>0</v>
      </c>
      <c r="DM460" s="408"/>
      <c r="DN460" s="408">
        <v>0</v>
      </c>
      <c r="DO460" s="408">
        <v>0</v>
      </c>
      <c r="DP460" s="408">
        <v>0</v>
      </c>
      <c r="DQ460" s="408">
        <v>0</v>
      </c>
      <c r="DR460" s="408">
        <v>0</v>
      </c>
      <c r="DS460" s="408"/>
      <c r="DT460" s="408"/>
      <c r="DU460" s="408">
        <v>21410.973219671672</v>
      </c>
      <c r="DV460" s="408"/>
      <c r="DW460" s="408">
        <v>0</v>
      </c>
      <c r="DX460" s="408">
        <v>0</v>
      </c>
      <c r="DY460" s="408">
        <v>-14487.349999999999</v>
      </c>
      <c r="DZ460" s="408"/>
      <c r="EA460" s="408">
        <v>0</v>
      </c>
      <c r="EB460" s="408"/>
      <c r="EC460" s="408">
        <v>-14381.20833972049</v>
      </c>
      <c r="ED460" s="408"/>
      <c r="EE460" s="408">
        <v>0</v>
      </c>
      <c r="EF460" s="408">
        <v>0</v>
      </c>
      <c r="EG460" s="408"/>
      <c r="EH460" s="408">
        <v>0</v>
      </c>
      <c r="EI460" s="408">
        <v>0</v>
      </c>
      <c r="EJ460" s="408">
        <v>0</v>
      </c>
      <c r="EK460" s="408">
        <v>0</v>
      </c>
      <c r="EL460" s="408">
        <v>0</v>
      </c>
      <c r="EM460" s="408"/>
      <c r="EN460" s="408"/>
      <c r="EO460" s="408">
        <v>0</v>
      </c>
      <c r="EP460" s="408">
        <v>0</v>
      </c>
      <c r="EQ460" s="408"/>
      <c r="ER460" s="408">
        <v>0</v>
      </c>
      <c r="ES460" s="408"/>
      <c r="ET460" s="408">
        <v>0</v>
      </c>
      <c r="EU460" s="408"/>
      <c r="EV460" s="408">
        <v>257</v>
      </c>
      <c r="EW460" s="408"/>
      <c r="EX460" s="408"/>
      <c r="EY460" s="408"/>
      <c r="EZ460" s="408"/>
      <c r="FA460" s="408">
        <v>0</v>
      </c>
      <c r="FB460" s="408"/>
      <c r="FC460" s="408"/>
      <c r="FD460" s="408"/>
      <c r="FE460" s="408"/>
      <c r="FF460" s="408">
        <v>0</v>
      </c>
      <c r="FG460" s="408">
        <v>0</v>
      </c>
      <c r="FH460" s="408">
        <v>0</v>
      </c>
      <c r="FI460" s="408">
        <v>0</v>
      </c>
    </row>
    <row r="461" spans="1:165">
      <c r="A461" s="408">
        <v>459</v>
      </c>
      <c r="B461" s="408" t="s">
        <v>1035</v>
      </c>
      <c r="C461" s="408" t="s">
        <v>992</v>
      </c>
      <c r="D461" s="408" t="s">
        <v>596</v>
      </c>
      <c r="E461" s="408" t="s">
        <v>1321</v>
      </c>
      <c r="F461" s="408" t="s">
        <v>1321</v>
      </c>
      <c r="G461" s="408" t="s">
        <v>1321</v>
      </c>
      <c r="H461" s="408" t="s">
        <v>2316</v>
      </c>
      <c r="I461" s="408" t="s">
        <v>1321</v>
      </c>
      <c r="J461" s="408" t="s">
        <v>2250</v>
      </c>
      <c r="K461" s="828">
        <v>44378</v>
      </c>
      <c r="L461" s="408">
        <v>1000</v>
      </c>
      <c r="M461" s="408">
        <v>500</v>
      </c>
      <c r="N461" s="408">
        <v>0</v>
      </c>
      <c r="O461" s="408">
        <v>0</v>
      </c>
      <c r="P461" s="408">
        <v>0</v>
      </c>
      <c r="Q461" s="408">
        <v>0</v>
      </c>
      <c r="R461" s="408">
        <v>15.78</v>
      </c>
      <c r="S461" s="408"/>
      <c r="T461" s="408"/>
      <c r="U461" s="408">
        <v>15780</v>
      </c>
      <c r="V461" s="408"/>
      <c r="W461" s="408">
        <v>15780</v>
      </c>
      <c r="X461" s="408">
        <v>5200</v>
      </c>
      <c r="Y461" s="408">
        <v>0</v>
      </c>
      <c r="Z461" s="408">
        <v>0</v>
      </c>
      <c r="AA461" s="408">
        <v>0</v>
      </c>
      <c r="AB461" s="408">
        <v>0</v>
      </c>
      <c r="AC461" s="408">
        <v>0</v>
      </c>
      <c r="AD461" s="408">
        <v>0</v>
      </c>
      <c r="AE461" s="408">
        <v>15739.433553196899</v>
      </c>
      <c r="AF461" s="408"/>
      <c r="AG461" s="408"/>
      <c r="AH461" s="408"/>
      <c r="AI461" s="408">
        <v>0</v>
      </c>
      <c r="AJ461" s="408">
        <v>0</v>
      </c>
      <c r="AK461" s="408">
        <v>0</v>
      </c>
      <c r="AL461" s="408">
        <v>0</v>
      </c>
      <c r="AM461" s="408"/>
      <c r="AN461" s="408">
        <v>38.248486219299501</v>
      </c>
      <c r="AO461" s="408">
        <v>0</v>
      </c>
      <c r="AP461" s="408">
        <v>0</v>
      </c>
      <c r="AQ461" s="408">
        <v>0</v>
      </c>
      <c r="AR461" s="408">
        <v>0</v>
      </c>
      <c r="AS461" s="408"/>
      <c r="AT461" s="408"/>
      <c r="AU461" s="408">
        <v>0</v>
      </c>
      <c r="AV461" s="408">
        <v>0</v>
      </c>
      <c r="AW461" s="408">
        <v>0</v>
      </c>
      <c r="AX461" s="408"/>
      <c r="AY461" s="408"/>
      <c r="AZ461" s="408">
        <v>0</v>
      </c>
      <c r="BA461" s="408"/>
      <c r="BB461" s="408">
        <v>0</v>
      </c>
      <c r="BC461" s="408">
        <v>0</v>
      </c>
      <c r="BD461" s="408">
        <v>0</v>
      </c>
      <c r="BE461" s="408">
        <v>0</v>
      </c>
      <c r="BF461" s="408"/>
      <c r="BG461" s="408">
        <v>0</v>
      </c>
      <c r="BH461" s="408">
        <v>0</v>
      </c>
      <c r="BI461" s="408">
        <v>4.6500000000000004</v>
      </c>
      <c r="BJ461" s="408">
        <v>0</v>
      </c>
      <c r="BK461" s="408">
        <v>537.62</v>
      </c>
      <c r="BL461" s="408">
        <v>0</v>
      </c>
      <c r="BM461" s="408"/>
      <c r="BN461" s="408"/>
      <c r="BO461" s="408">
        <v>2600</v>
      </c>
      <c r="BP461" s="408"/>
      <c r="BQ461" s="408"/>
      <c r="BR461" s="408"/>
      <c r="BS461" s="408"/>
      <c r="BT461" s="408"/>
      <c r="BU461" s="408"/>
      <c r="BV461" s="408">
        <v>0</v>
      </c>
      <c r="BW461" s="408"/>
      <c r="BX461" s="408"/>
      <c r="BY461" s="408"/>
      <c r="BZ461" s="408"/>
      <c r="CA461" s="408"/>
      <c r="CB461" s="408"/>
      <c r="CC461" s="408"/>
      <c r="CD461" s="408"/>
      <c r="CE461" s="408"/>
      <c r="CF461" s="408"/>
      <c r="CG461" s="408"/>
      <c r="CH461" s="408"/>
      <c r="CI461" s="408">
        <v>2600</v>
      </c>
      <c r="CJ461" s="408">
        <v>-5290.0300000000007</v>
      </c>
      <c r="CK461" s="408"/>
      <c r="CL461" s="408"/>
      <c r="CM461" s="408"/>
      <c r="CN461" s="408"/>
      <c r="CO461" s="408">
        <v>-10579.999999999998</v>
      </c>
      <c r="CP461" s="408">
        <v>0</v>
      </c>
      <c r="CQ461" s="408">
        <v>31</v>
      </c>
      <c r="CR461" s="408">
        <v>-2.4442243733642997</v>
      </c>
      <c r="CS461" s="408">
        <v>0</v>
      </c>
      <c r="CT461" s="408">
        <v>0</v>
      </c>
      <c r="CU461" s="408">
        <v>0</v>
      </c>
      <c r="CV461" s="408">
        <v>0</v>
      </c>
      <c r="CW461" s="408"/>
      <c r="CX461" s="408"/>
      <c r="CY461" s="408"/>
      <c r="CZ461" s="408">
        <v>0</v>
      </c>
      <c r="DA461" s="408">
        <v>0</v>
      </c>
      <c r="DB461" s="408">
        <v>0</v>
      </c>
      <c r="DC461" s="408"/>
      <c r="DD461" s="408"/>
      <c r="DE461" s="408">
        <v>0</v>
      </c>
      <c r="DF461" s="408">
        <v>0</v>
      </c>
      <c r="DG461" s="408">
        <v>0</v>
      </c>
      <c r="DH461" s="408">
        <v>0</v>
      </c>
      <c r="DI461" s="408">
        <v>0</v>
      </c>
      <c r="DJ461" s="408"/>
      <c r="DK461" s="408">
        <v>0</v>
      </c>
      <c r="DL461" s="408">
        <v>0</v>
      </c>
      <c r="DM461" s="408"/>
      <c r="DN461" s="408">
        <v>0</v>
      </c>
      <c r="DO461" s="408">
        <v>0</v>
      </c>
      <c r="DP461" s="408">
        <v>-2.4442243733642997</v>
      </c>
      <c r="DQ461" s="408">
        <v>0</v>
      </c>
      <c r="DR461" s="408">
        <v>0</v>
      </c>
      <c r="DS461" s="408"/>
      <c r="DT461" s="408"/>
      <c r="DU461" s="408">
        <v>15739.433553196899</v>
      </c>
      <c r="DV461" s="408"/>
      <c r="DW461" s="408">
        <v>0</v>
      </c>
      <c r="DX461" s="408">
        <v>0</v>
      </c>
      <c r="DY461" s="408">
        <v>-10580</v>
      </c>
      <c r="DZ461" s="408"/>
      <c r="EA461" s="408">
        <v>0</v>
      </c>
      <c r="EB461" s="408"/>
      <c r="EC461" s="408">
        <v>-10571.778814320649</v>
      </c>
      <c r="ED461" s="408"/>
      <c r="EE461" s="408">
        <v>0</v>
      </c>
      <c r="EF461" s="408">
        <v>0</v>
      </c>
      <c r="EG461" s="408"/>
      <c r="EH461" s="408">
        <v>0</v>
      </c>
      <c r="EI461" s="408">
        <v>0</v>
      </c>
      <c r="EJ461" s="408">
        <v>0</v>
      </c>
      <c r="EK461" s="408">
        <v>0</v>
      </c>
      <c r="EL461" s="408">
        <v>0</v>
      </c>
      <c r="EM461" s="408"/>
      <c r="EN461" s="408"/>
      <c r="EO461" s="408">
        <v>0</v>
      </c>
      <c r="EP461" s="408">
        <v>0</v>
      </c>
      <c r="EQ461" s="408"/>
      <c r="ER461" s="408">
        <v>0</v>
      </c>
      <c r="ES461" s="408"/>
      <c r="ET461" s="408">
        <v>0</v>
      </c>
      <c r="EU461" s="408"/>
      <c r="EV461" s="408">
        <v>257</v>
      </c>
      <c r="EW461" s="408"/>
      <c r="EX461" s="408"/>
      <c r="EY461" s="408"/>
      <c r="EZ461" s="408"/>
      <c r="FA461" s="408">
        <v>0</v>
      </c>
      <c r="FB461" s="408"/>
      <c r="FC461" s="408"/>
      <c r="FD461" s="408"/>
      <c r="FE461" s="408"/>
      <c r="FF461" s="408">
        <v>0</v>
      </c>
      <c r="FG461" s="408">
        <v>0</v>
      </c>
      <c r="FH461" s="408">
        <v>0</v>
      </c>
      <c r="FI461" s="408">
        <v>0</v>
      </c>
    </row>
    <row r="462" spans="1:165">
      <c r="A462" s="408">
        <v>460</v>
      </c>
      <c r="B462" s="408" t="s">
        <v>1035</v>
      </c>
      <c r="C462" s="408" t="s">
        <v>992</v>
      </c>
      <c r="D462" s="408" t="s">
        <v>596</v>
      </c>
      <c r="E462" s="408" t="s">
        <v>1321</v>
      </c>
      <c r="F462" s="408" t="s">
        <v>1321</v>
      </c>
      <c r="G462" s="408" t="s">
        <v>1321</v>
      </c>
      <c r="H462" s="408" t="s">
        <v>2317</v>
      </c>
      <c r="I462" s="408" t="s">
        <v>1321</v>
      </c>
      <c r="J462" s="408" t="s">
        <v>2250</v>
      </c>
      <c r="K462" s="828">
        <v>44378</v>
      </c>
      <c r="L462" s="408">
        <v>790</v>
      </c>
      <c r="M462" s="408">
        <v>395</v>
      </c>
      <c r="N462" s="408">
        <v>0</v>
      </c>
      <c r="O462" s="408">
        <v>0</v>
      </c>
      <c r="P462" s="408">
        <v>0</v>
      </c>
      <c r="Q462" s="408">
        <v>0</v>
      </c>
      <c r="R462" s="408">
        <v>15.78</v>
      </c>
      <c r="S462" s="408"/>
      <c r="T462" s="408"/>
      <c r="U462" s="408">
        <v>12466.199999999999</v>
      </c>
      <c r="V462" s="408"/>
      <c r="W462" s="408">
        <v>12466.199999999999</v>
      </c>
      <c r="X462" s="408">
        <v>4108</v>
      </c>
      <c r="Y462" s="408">
        <v>0</v>
      </c>
      <c r="Z462" s="408">
        <v>0</v>
      </c>
      <c r="AA462" s="408">
        <v>0</v>
      </c>
      <c r="AB462" s="408">
        <v>0</v>
      </c>
      <c r="AC462" s="408">
        <v>0</v>
      </c>
      <c r="AD462" s="408">
        <v>0</v>
      </c>
      <c r="AE462" s="408">
        <v>12434.15250702555</v>
      </c>
      <c r="AF462" s="408"/>
      <c r="AG462" s="408"/>
      <c r="AH462" s="408"/>
      <c r="AI462" s="408">
        <v>0</v>
      </c>
      <c r="AJ462" s="408">
        <v>0</v>
      </c>
      <c r="AK462" s="408">
        <v>0</v>
      </c>
      <c r="AL462" s="408">
        <v>0</v>
      </c>
      <c r="AM462" s="408"/>
      <c r="AN462" s="408">
        <v>30.216304113246604</v>
      </c>
      <c r="AO462" s="408">
        <v>0</v>
      </c>
      <c r="AP462" s="408">
        <v>0</v>
      </c>
      <c r="AQ462" s="408">
        <v>0</v>
      </c>
      <c r="AR462" s="408">
        <v>0</v>
      </c>
      <c r="AS462" s="408"/>
      <c r="AT462" s="408"/>
      <c r="AU462" s="408">
        <v>0</v>
      </c>
      <c r="AV462" s="408">
        <v>0</v>
      </c>
      <c r="AW462" s="408">
        <v>0</v>
      </c>
      <c r="AX462" s="408"/>
      <c r="AY462" s="408"/>
      <c r="AZ462" s="408">
        <v>0</v>
      </c>
      <c r="BA462" s="408"/>
      <c r="BB462" s="408">
        <v>0</v>
      </c>
      <c r="BC462" s="408">
        <v>0</v>
      </c>
      <c r="BD462" s="408">
        <v>0</v>
      </c>
      <c r="BE462" s="408">
        <v>0</v>
      </c>
      <c r="BF462" s="408"/>
      <c r="BG462" s="408">
        <v>0</v>
      </c>
      <c r="BH462" s="408">
        <v>0</v>
      </c>
      <c r="BI462" s="408">
        <v>3.67</v>
      </c>
      <c r="BJ462" s="408">
        <v>0</v>
      </c>
      <c r="BK462" s="408">
        <v>424.71</v>
      </c>
      <c r="BL462" s="408">
        <v>0</v>
      </c>
      <c r="BM462" s="408"/>
      <c r="BN462" s="408"/>
      <c r="BO462" s="408">
        <v>2054</v>
      </c>
      <c r="BP462" s="408"/>
      <c r="BQ462" s="408"/>
      <c r="BR462" s="408"/>
      <c r="BS462" s="408"/>
      <c r="BT462" s="408"/>
      <c r="BU462" s="408"/>
      <c r="BV462" s="408">
        <v>0</v>
      </c>
      <c r="BW462" s="408"/>
      <c r="BX462" s="408"/>
      <c r="BY462" s="408"/>
      <c r="BZ462" s="408"/>
      <c r="CA462" s="408"/>
      <c r="CB462" s="408"/>
      <c r="CC462" s="408"/>
      <c r="CD462" s="408"/>
      <c r="CE462" s="408"/>
      <c r="CF462" s="408"/>
      <c r="CG462" s="408"/>
      <c r="CH462" s="408"/>
      <c r="CI462" s="408">
        <v>2054</v>
      </c>
      <c r="CJ462" s="408">
        <v>-4179.13</v>
      </c>
      <c r="CK462" s="408"/>
      <c r="CL462" s="408"/>
      <c r="CM462" s="408"/>
      <c r="CN462" s="408"/>
      <c r="CO462" s="408">
        <v>-8358.1999999999989</v>
      </c>
      <c r="CP462" s="408">
        <v>0</v>
      </c>
      <c r="CQ462" s="408">
        <v>31</v>
      </c>
      <c r="CR462" s="408">
        <v>-1.9309372549577972</v>
      </c>
      <c r="CS462" s="408">
        <v>0</v>
      </c>
      <c r="CT462" s="408">
        <v>0</v>
      </c>
      <c r="CU462" s="408">
        <v>0</v>
      </c>
      <c r="CV462" s="408">
        <v>0</v>
      </c>
      <c r="CW462" s="408"/>
      <c r="CX462" s="408"/>
      <c r="CY462" s="408"/>
      <c r="CZ462" s="408">
        <v>0</v>
      </c>
      <c r="DA462" s="408">
        <v>0</v>
      </c>
      <c r="DB462" s="408">
        <v>0</v>
      </c>
      <c r="DC462" s="408"/>
      <c r="DD462" s="408"/>
      <c r="DE462" s="408">
        <v>0</v>
      </c>
      <c r="DF462" s="408">
        <v>0</v>
      </c>
      <c r="DG462" s="408">
        <v>0</v>
      </c>
      <c r="DH462" s="408">
        <v>0</v>
      </c>
      <c r="DI462" s="408">
        <v>0</v>
      </c>
      <c r="DJ462" s="408"/>
      <c r="DK462" s="408">
        <v>0</v>
      </c>
      <c r="DL462" s="408">
        <v>0</v>
      </c>
      <c r="DM462" s="408"/>
      <c r="DN462" s="408">
        <v>0</v>
      </c>
      <c r="DO462" s="408">
        <v>0</v>
      </c>
      <c r="DP462" s="408">
        <v>-1.9309372549577972</v>
      </c>
      <c r="DQ462" s="408">
        <v>0</v>
      </c>
      <c r="DR462" s="408">
        <v>0</v>
      </c>
      <c r="DS462" s="408"/>
      <c r="DT462" s="408"/>
      <c r="DU462" s="408">
        <v>12434.15250702555</v>
      </c>
      <c r="DV462" s="408"/>
      <c r="DW462" s="408">
        <v>0</v>
      </c>
      <c r="DX462" s="408">
        <v>0</v>
      </c>
      <c r="DY462" s="408">
        <v>-8358.1999999999989</v>
      </c>
      <c r="DZ462" s="408"/>
      <c r="EA462" s="408">
        <v>0</v>
      </c>
      <c r="EB462" s="408"/>
      <c r="EC462" s="408">
        <v>-8351.7052633133135</v>
      </c>
      <c r="ED462" s="408"/>
      <c r="EE462" s="408">
        <v>0</v>
      </c>
      <c r="EF462" s="408">
        <v>0</v>
      </c>
      <c r="EG462" s="408"/>
      <c r="EH462" s="408">
        <v>0</v>
      </c>
      <c r="EI462" s="408">
        <v>0</v>
      </c>
      <c r="EJ462" s="408">
        <v>0</v>
      </c>
      <c r="EK462" s="408">
        <v>0</v>
      </c>
      <c r="EL462" s="408">
        <v>0</v>
      </c>
      <c r="EM462" s="408"/>
      <c r="EN462" s="408"/>
      <c r="EO462" s="408">
        <v>0</v>
      </c>
      <c r="EP462" s="408">
        <v>0</v>
      </c>
      <c r="EQ462" s="408"/>
      <c r="ER462" s="408">
        <v>0</v>
      </c>
      <c r="ES462" s="408"/>
      <c r="ET462" s="408">
        <v>0</v>
      </c>
      <c r="EU462" s="408"/>
      <c r="EV462" s="408">
        <v>257</v>
      </c>
      <c r="EW462" s="408"/>
      <c r="EX462" s="408"/>
      <c r="EY462" s="408"/>
      <c r="EZ462" s="408"/>
      <c r="FA462" s="408">
        <v>0</v>
      </c>
      <c r="FB462" s="408"/>
      <c r="FC462" s="408"/>
      <c r="FD462" s="408"/>
      <c r="FE462" s="408"/>
      <c r="FF462" s="408">
        <v>0</v>
      </c>
      <c r="FG462" s="408">
        <v>0</v>
      </c>
      <c r="FH462" s="408">
        <v>0</v>
      </c>
      <c r="FI462" s="408">
        <v>0</v>
      </c>
    </row>
    <row r="463" spans="1:165">
      <c r="A463" s="408">
        <v>461</v>
      </c>
      <c r="B463" s="408" t="s">
        <v>1035</v>
      </c>
      <c r="C463" s="408" t="s">
        <v>2241</v>
      </c>
      <c r="D463" s="408" t="s">
        <v>596</v>
      </c>
      <c r="E463" s="408" t="s">
        <v>969</v>
      </c>
      <c r="F463" s="408" t="s">
        <v>1321</v>
      </c>
      <c r="G463" s="408" t="s">
        <v>2314</v>
      </c>
      <c r="H463" s="408" t="s">
        <v>1321</v>
      </c>
      <c r="I463" s="408" t="s">
        <v>972</v>
      </c>
      <c r="J463" s="408" t="s">
        <v>2315</v>
      </c>
      <c r="K463" s="828">
        <v>44409</v>
      </c>
      <c r="L463" s="408">
        <v>0</v>
      </c>
      <c r="M463" s="408">
        <v>0</v>
      </c>
      <c r="N463" s="408">
        <v>13.657999999999999</v>
      </c>
      <c r="O463" s="408">
        <v>6.8289999999999997</v>
      </c>
      <c r="P463" s="408">
        <v>0</v>
      </c>
      <c r="Q463" s="408">
        <v>0</v>
      </c>
      <c r="R463" s="408"/>
      <c r="S463" s="408">
        <v>3130.62</v>
      </c>
      <c r="T463" s="408"/>
      <c r="U463" s="408"/>
      <c r="V463" s="408">
        <v>42758.007959999995</v>
      </c>
      <c r="W463" s="408">
        <v>42758.007959999995</v>
      </c>
      <c r="X463" s="408">
        <v>20624.809219999999</v>
      </c>
      <c r="Y463" s="408">
        <v>0</v>
      </c>
      <c r="Z463" s="408">
        <v>730.47044272405833</v>
      </c>
      <c r="AA463" s="408">
        <v>0</v>
      </c>
      <c r="AB463" s="408">
        <v>0</v>
      </c>
      <c r="AC463" s="408">
        <v>0</v>
      </c>
      <c r="AD463" s="408">
        <v>8798.6721797325026</v>
      </c>
      <c r="AE463" s="408">
        <v>32835.862439507902</v>
      </c>
      <c r="AF463" s="408"/>
      <c r="AG463" s="408"/>
      <c r="AH463" s="408"/>
      <c r="AI463" s="408">
        <v>0</v>
      </c>
      <c r="AJ463" s="408">
        <v>0</v>
      </c>
      <c r="AK463" s="408">
        <v>0</v>
      </c>
      <c r="AL463" s="408">
        <v>129.80923437155394</v>
      </c>
      <c r="AM463" s="408"/>
      <c r="AN463" s="408">
        <v>18.425393119179581</v>
      </c>
      <c r="AO463" s="408">
        <v>0</v>
      </c>
      <c r="AP463" s="408">
        <v>0</v>
      </c>
      <c r="AQ463" s="408">
        <v>0</v>
      </c>
      <c r="AR463" s="408">
        <v>0</v>
      </c>
      <c r="AS463" s="408"/>
      <c r="AT463" s="408"/>
      <c r="AU463" s="408">
        <v>0</v>
      </c>
      <c r="AV463" s="408">
        <v>0</v>
      </c>
      <c r="AW463" s="408">
        <v>0</v>
      </c>
      <c r="AX463" s="408"/>
      <c r="AY463" s="408"/>
      <c r="AZ463" s="408">
        <v>0</v>
      </c>
      <c r="BA463" s="408"/>
      <c r="BB463" s="408">
        <v>0</v>
      </c>
      <c r="BC463" s="408">
        <v>0</v>
      </c>
      <c r="BD463" s="408">
        <v>16.827000416602825</v>
      </c>
      <c r="BE463" s="408">
        <v>0</v>
      </c>
      <c r="BF463" s="408"/>
      <c r="BG463" s="408">
        <v>227.9422982027566</v>
      </c>
      <c r="BH463" s="408">
        <v>0</v>
      </c>
      <c r="BI463" s="408">
        <v>0</v>
      </c>
      <c r="BJ463" s="408">
        <v>0</v>
      </c>
      <c r="BK463" s="408">
        <v>0</v>
      </c>
      <c r="BL463" s="408">
        <v>0</v>
      </c>
      <c r="BM463" s="408"/>
      <c r="BN463" s="408">
        <v>10312.40461</v>
      </c>
      <c r="BO463" s="408"/>
      <c r="BP463" s="408"/>
      <c r="BQ463" s="408"/>
      <c r="BR463" s="408"/>
      <c r="BS463" s="408"/>
      <c r="BT463" s="408"/>
      <c r="BU463" s="408"/>
      <c r="BV463" s="408">
        <v>244.76929861935943</v>
      </c>
      <c r="BW463" s="408"/>
      <c r="BX463" s="408"/>
      <c r="BY463" s="408"/>
      <c r="BZ463" s="408"/>
      <c r="CA463" s="408"/>
      <c r="CB463" s="408"/>
      <c r="CC463" s="408"/>
      <c r="CD463" s="408"/>
      <c r="CE463" s="408"/>
      <c r="CF463" s="408"/>
      <c r="CG463" s="408"/>
      <c r="CH463" s="408"/>
      <c r="CI463" s="408">
        <v>10313.914699999999</v>
      </c>
      <c r="CJ463" s="408">
        <v>-11065.119279999994</v>
      </c>
      <c r="CK463" s="408"/>
      <c r="CL463" s="408"/>
      <c r="CM463" s="408"/>
      <c r="CN463" s="408"/>
      <c r="CO463" s="408">
        <v>-22133.19874</v>
      </c>
      <c r="CP463" s="408">
        <v>0</v>
      </c>
      <c r="CQ463" s="408">
        <v>31</v>
      </c>
      <c r="CR463" s="408">
        <v>-78.245701041978464</v>
      </c>
      <c r="CS463" s="408">
        <v>0</v>
      </c>
      <c r="CT463" s="408">
        <v>0</v>
      </c>
      <c r="CU463" s="408">
        <v>0</v>
      </c>
      <c r="CV463" s="408">
        <v>0</v>
      </c>
      <c r="CW463" s="408"/>
      <c r="CX463" s="408"/>
      <c r="CY463" s="408"/>
      <c r="CZ463" s="408">
        <v>-39.77055164714875</v>
      </c>
      <c r="DA463" s="408">
        <v>0</v>
      </c>
      <c r="DB463" s="408">
        <v>0</v>
      </c>
      <c r="DC463" s="408"/>
      <c r="DD463" s="408"/>
      <c r="DE463" s="408">
        <v>0</v>
      </c>
      <c r="DF463" s="408">
        <v>1.0482963666370786</v>
      </c>
      <c r="DG463" s="408">
        <v>14.200456236577907</v>
      </c>
      <c r="DH463" s="408">
        <v>0</v>
      </c>
      <c r="DI463" s="408">
        <v>-45.423467013415575</v>
      </c>
      <c r="DJ463" s="408"/>
      <c r="DK463" s="408">
        <v>0</v>
      </c>
      <c r="DL463" s="408">
        <v>0</v>
      </c>
      <c r="DM463" s="408"/>
      <c r="DN463" s="408">
        <v>0</v>
      </c>
      <c r="DO463" s="408">
        <v>-7.1229819818491364</v>
      </c>
      <c r="DP463" s="408">
        <v>-1.1774530027804353</v>
      </c>
      <c r="DQ463" s="408">
        <v>0</v>
      </c>
      <c r="DR463" s="408">
        <v>0</v>
      </c>
      <c r="DS463" s="408"/>
      <c r="DT463" s="408"/>
      <c r="DU463" s="408"/>
      <c r="DV463" s="408">
        <v>32835.862439507902</v>
      </c>
      <c r="DW463" s="408">
        <v>0</v>
      </c>
      <c r="DX463" s="408">
        <v>0</v>
      </c>
      <c r="DY463" s="408">
        <v>-22133.198739999996</v>
      </c>
      <c r="DZ463" s="408"/>
      <c r="EA463" s="408">
        <v>0</v>
      </c>
      <c r="EB463" s="408"/>
      <c r="EC463" s="408">
        <v>-22055.01701917531</v>
      </c>
      <c r="ED463" s="408"/>
      <c r="EE463" s="408">
        <v>0</v>
      </c>
      <c r="EF463" s="408">
        <v>0</v>
      </c>
      <c r="EG463" s="408"/>
      <c r="EH463" s="408">
        <v>0</v>
      </c>
      <c r="EI463" s="408">
        <v>0</v>
      </c>
      <c r="EJ463" s="408">
        <v>0</v>
      </c>
      <c r="EK463" s="408">
        <v>0</v>
      </c>
      <c r="EL463" s="408">
        <v>0</v>
      </c>
      <c r="EM463" s="408"/>
      <c r="EN463" s="408"/>
      <c r="EO463" s="408">
        <v>0</v>
      </c>
      <c r="EP463" s="408">
        <v>0</v>
      </c>
      <c r="EQ463" s="408"/>
      <c r="ER463" s="408">
        <v>0</v>
      </c>
      <c r="ES463" s="408"/>
      <c r="ET463" s="408">
        <v>0</v>
      </c>
      <c r="EU463" s="408"/>
      <c r="EV463" s="408">
        <v>257</v>
      </c>
      <c r="EW463" s="408"/>
      <c r="EX463" s="408"/>
      <c r="EY463" s="408"/>
      <c r="EZ463" s="408"/>
      <c r="FA463" s="408">
        <v>0</v>
      </c>
      <c r="FB463" s="408"/>
      <c r="FC463" s="408"/>
      <c r="FD463" s="408"/>
      <c r="FE463" s="408"/>
      <c r="FF463" s="408">
        <v>0</v>
      </c>
      <c r="FG463" s="408">
        <v>0</v>
      </c>
      <c r="FH463" s="408">
        <v>0</v>
      </c>
      <c r="FI463" s="408">
        <v>0</v>
      </c>
    </row>
    <row r="464" spans="1:165">
      <c r="A464" s="408">
        <v>462</v>
      </c>
      <c r="B464" s="408" t="s">
        <v>1035</v>
      </c>
      <c r="C464" s="408" t="s">
        <v>2241</v>
      </c>
      <c r="D464" s="408" t="s">
        <v>596</v>
      </c>
      <c r="E464" s="408" t="s">
        <v>969</v>
      </c>
      <c r="F464" s="408" t="s">
        <v>1321</v>
      </c>
      <c r="G464" s="408" t="s">
        <v>2314</v>
      </c>
      <c r="H464" s="408" t="s">
        <v>1321</v>
      </c>
      <c r="I464" s="408" t="s">
        <v>2242</v>
      </c>
      <c r="J464" s="408" t="s">
        <v>2315</v>
      </c>
      <c r="K464" s="828">
        <v>44409</v>
      </c>
      <c r="L464" s="408">
        <v>0</v>
      </c>
      <c r="M464" s="408">
        <v>0</v>
      </c>
      <c r="N464" s="408">
        <v>220.905</v>
      </c>
      <c r="O464" s="408">
        <v>110.4525</v>
      </c>
      <c r="P464" s="408">
        <v>0</v>
      </c>
      <c r="Q464" s="408">
        <v>0</v>
      </c>
      <c r="R464" s="408"/>
      <c r="S464" s="408">
        <v>82.26</v>
      </c>
      <c r="T464" s="408"/>
      <c r="U464" s="408"/>
      <c r="V464" s="408">
        <v>18171.6453</v>
      </c>
      <c r="W464" s="408">
        <v>18171.6453</v>
      </c>
      <c r="X464" s="408">
        <v>17548.693199999998</v>
      </c>
      <c r="Y464" s="408">
        <v>0</v>
      </c>
      <c r="Z464" s="408">
        <v>11814.656109969112</v>
      </c>
      <c r="AA464" s="408">
        <v>0</v>
      </c>
      <c r="AB464" s="408">
        <v>0</v>
      </c>
      <c r="AC464" s="408">
        <v>0</v>
      </c>
      <c r="AD464" s="408">
        <v>0</v>
      </c>
      <c r="AE464" s="408">
        <v>0</v>
      </c>
      <c r="AF464" s="408"/>
      <c r="AG464" s="408"/>
      <c r="AH464" s="408"/>
      <c r="AI464" s="408">
        <v>0</v>
      </c>
      <c r="AJ464" s="408">
        <v>0</v>
      </c>
      <c r="AK464" s="408">
        <v>0</v>
      </c>
      <c r="AL464" s="408">
        <v>2099.5393848915014</v>
      </c>
      <c r="AM464" s="408"/>
      <c r="AN464" s="408">
        <v>298.01299362954791</v>
      </c>
      <c r="AO464" s="408">
        <v>0</v>
      </c>
      <c r="AP464" s="408">
        <v>0</v>
      </c>
      <c r="AQ464" s="408">
        <v>0</v>
      </c>
      <c r="AR464" s="408">
        <v>0</v>
      </c>
      <c r="AS464" s="408"/>
      <c r="AT464" s="408"/>
      <c r="AU464" s="408">
        <v>0</v>
      </c>
      <c r="AV464" s="408">
        <v>0</v>
      </c>
      <c r="AW464" s="408">
        <v>0</v>
      </c>
      <c r="AX464" s="408"/>
      <c r="AY464" s="408"/>
      <c r="AZ464" s="408">
        <v>0</v>
      </c>
      <c r="BA464" s="408"/>
      <c r="BB464" s="408">
        <v>0</v>
      </c>
      <c r="BC464" s="408">
        <v>0</v>
      </c>
      <c r="BD464" s="408">
        <v>272.16053060694446</v>
      </c>
      <c r="BE464" s="408">
        <v>0</v>
      </c>
      <c r="BF464" s="408"/>
      <c r="BG464" s="408">
        <v>3686.7472092897897</v>
      </c>
      <c r="BH464" s="408">
        <v>0</v>
      </c>
      <c r="BI464" s="408">
        <v>0</v>
      </c>
      <c r="BJ464" s="408">
        <v>0</v>
      </c>
      <c r="BK464" s="408">
        <v>0</v>
      </c>
      <c r="BL464" s="408">
        <v>0</v>
      </c>
      <c r="BM464" s="408"/>
      <c r="BN464" s="408">
        <v>8774.3465999999989</v>
      </c>
      <c r="BO464" s="408"/>
      <c r="BP464" s="408"/>
      <c r="BQ464" s="408"/>
      <c r="BR464" s="408"/>
      <c r="BS464" s="408"/>
      <c r="BT464" s="408"/>
      <c r="BU464" s="408"/>
      <c r="BV464" s="408">
        <v>3958.9077398967343</v>
      </c>
      <c r="BW464" s="408"/>
      <c r="BX464" s="408"/>
      <c r="BY464" s="408"/>
      <c r="BZ464" s="408"/>
      <c r="CA464" s="408"/>
      <c r="CB464" s="408"/>
      <c r="CC464" s="408"/>
      <c r="CD464" s="408"/>
      <c r="CE464" s="408"/>
      <c r="CF464" s="408"/>
      <c r="CG464" s="408"/>
      <c r="CH464" s="408"/>
      <c r="CI464" s="408">
        <v>8774.1479999999992</v>
      </c>
      <c r="CJ464" s="408">
        <v>-311.70465000000149</v>
      </c>
      <c r="CK464" s="408"/>
      <c r="CL464" s="408"/>
      <c r="CM464" s="408"/>
      <c r="CN464" s="408"/>
      <c r="CO464" s="408">
        <v>-622.95210000000168</v>
      </c>
      <c r="CP464" s="408">
        <v>0</v>
      </c>
      <c r="CQ464" s="408">
        <v>31</v>
      </c>
      <c r="CR464" s="408">
        <v>-622.29849736894175</v>
      </c>
      <c r="CS464" s="408">
        <v>0</v>
      </c>
      <c r="CT464" s="408">
        <v>0</v>
      </c>
      <c r="CU464" s="408">
        <v>0</v>
      </c>
      <c r="CV464" s="408">
        <v>0</v>
      </c>
      <c r="CW464" s="408"/>
      <c r="CX464" s="408"/>
      <c r="CY464" s="408"/>
      <c r="CZ464" s="408">
        <v>0</v>
      </c>
      <c r="DA464" s="408">
        <v>0</v>
      </c>
      <c r="DB464" s="408">
        <v>0</v>
      </c>
      <c r="DC464" s="408"/>
      <c r="DD464" s="408"/>
      <c r="DE464" s="408">
        <v>0</v>
      </c>
      <c r="DF464" s="408">
        <v>16.95518442465692</v>
      </c>
      <c r="DG464" s="408">
        <v>229.67870734670123</v>
      </c>
      <c r="DH464" s="408">
        <v>0</v>
      </c>
      <c r="DI464" s="408">
        <v>-734.68084496987649</v>
      </c>
      <c r="DJ464" s="408"/>
      <c r="DK464" s="408">
        <v>0</v>
      </c>
      <c r="DL464" s="408">
        <v>0</v>
      </c>
      <c r="DM464" s="408"/>
      <c r="DN464" s="408">
        <v>0</v>
      </c>
      <c r="DO464" s="408">
        <v>-115.20737550888748</v>
      </c>
      <c r="DP464" s="408">
        <v>-19.044168661532581</v>
      </c>
      <c r="DQ464" s="408">
        <v>0</v>
      </c>
      <c r="DR464" s="408">
        <v>0</v>
      </c>
      <c r="DS464" s="408"/>
      <c r="DT464" s="408"/>
      <c r="DU464" s="408"/>
      <c r="DV464" s="408">
        <v>0</v>
      </c>
      <c r="DW464" s="408">
        <v>0</v>
      </c>
      <c r="DX464" s="408">
        <v>0</v>
      </c>
      <c r="DY464" s="408">
        <v>-622.95210000000225</v>
      </c>
      <c r="DZ464" s="408"/>
      <c r="EA464" s="408">
        <v>0</v>
      </c>
      <c r="EB464" s="408"/>
      <c r="EC464" s="408">
        <v>0</v>
      </c>
      <c r="ED464" s="408"/>
      <c r="EE464" s="408">
        <v>0</v>
      </c>
      <c r="EF464" s="408">
        <v>0</v>
      </c>
      <c r="EG464" s="408"/>
      <c r="EH464" s="408">
        <v>0</v>
      </c>
      <c r="EI464" s="408">
        <v>0</v>
      </c>
      <c r="EJ464" s="408">
        <v>0</v>
      </c>
      <c r="EK464" s="408">
        <v>0</v>
      </c>
      <c r="EL464" s="408">
        <v>0</v>
      </c>
      <c r="EM464" s="408"/>
      <c r="EN464" s="408"/>
      <c r="EO464" s="408">
        <v>0</v>
      </c>
      <c r="EP464" s="408">
        <v>0</v>
      </c>
      <c r="EQ464" s="408"/>
      <c r="ER464" s="408">
        <v>0</v>
      </c>
      <c r="ES464" s="408"/>
      <c r="ET464" s="408">
        <v>0</v>
      </c>
      <c r="EU464" s="408"/>
      <c r="EV464" s="408">
        <v>257</v>
      </c>
      <c r="EW464" s="408"/>
      <c r="EX464" s="408"/>
      <c r="EY464" s="408"/>
      <c r="EZ464" s="408"/>
      <c r="FA464" s="408">
        <v>0</v>
      </c>
      <c r="FB464" s="408"/>
      <c r="FC464" s="408"/>
      <c r="FD464" s="408"/>
      <c r="FE464" s="408"/>
      <c r="FF464" s="408">
        <v>0</v>
      </c>
      <c r="FG464" s="408">
        <v>0</v>
      </c>
      <c r="FH464" s="408">
        <v>0</v>
      </c>
      <c r="FI464" s="408">
        <v>0</v>
      </c>
    </row>
    <row r="465" spans="1:165">
      <c r="A465" s="408">
        <v>463</v>
      </c>
      <c r="B465" s="408" t="s">
        <v>1035</v>
      </c>
      <c r="C465" s="408" t="s">
        <v>2241</v>
      </c>
      <c r="D465" s="408" t="s">
        <v>596</v>
      </c>
      <c r="E465" s="408" t="s">
        <v>969</v>
      </c>
      <c r="F465" s="408" t="s">
        <v>1321</v>
      </c>
      <c r="G465" s="408" t="s">
        <v>2314</v>
      </c>
      <c r="H465" s="408" t="s">
        <v>1321</v>
      </c>
      <c r="I465" s="408" t="s">
        <v>1321</v>
      </c>
      <c r="J465" s="408" t="s">
        <v>2315</v>
      </c>
      <c r="K465" s="828">
        <v>44409</v>
      </c>
      <c r="L465" s="408">
        <v>962</v>
      </c>
      <c r="M465" s="408">
        <v>481</v>
      </c>
      <c r="N465" s="408">
        <v>0</v>
      </c>
      <c r="O465" s="408">
        <v>0</v>
      </c>
      <c r="P465" s="408">
        <v>0</v>
      </c>
      <c r="Q465" s="408">
        <v>0</v>
      </c>
      <c r="R465" s="408">
        <v>47.39</v>
      </c>
      <c r="S465" s="408"/>
      <c r="T465" s="408"/>
      <c r="U465" s="408">
        <v>45589.18</v>
      </c>
      <c r="V465" s="408"/>
      <c r="W465" s="408">
        <v>45589.18</v>
      </c>
      <c r="X465" s="408">
        <v>30995.64</v>
      </c>
      <c r="Y465" s="408">
        <v>0</v>
      </c>
      <c r="Z465" s="408">
        <v>0</v>
      </c>
      <c r="AA465" s="408">
        <v>0</v>
      </c>
      <c r="AB465" s="408">
        <v>0</v>
      </c>
      <c r="AC465" s="408">
        <v>0</v>
      </c>
      <c r="AD465" s="408">
        <v>24021.236372646003</v>
      </c>
      <c r="AE465" s="408">
        <v>21567.912290391778</v>
      </c>
      <c r="AF465" s="408"/>
      <c r="AG465" s="408"/>
      <c r="AH465" s="408"/>
      <c r="AI465" s="408">
        <v>0</v>
      </c>
      <c r="AJ465" s="408">
        <v>0</v>
      </c>
      <c r="AK465" s="408">
        <v>0</v>
      </c>
      <c r="AL465" s="408">
        <v>0</v>
      </c>
      <c r="AM465" s="408"/>
      <c r="AN465" s="408">
        <v>0</v>
      </c>
      <c r="AO465" s="408">
        <v>0</v>
      </c>
      <c r="AP465" s="408">
        <v>0</v>
      </c>
      <c r="AQ465" s="408">
        <v>0</v>
      </c>
      <c r="AR465" s="408">
        <v>0</v>
      </c>
      <c r="AS465" s="408"/>
      <c r="AT465" s="408"/>
      <c r="AU465" s="408">
        <v>0</v>
      </c>
      <c r="AV465" s="408">
        <v>0</v>
      </c>
      <c r="AW465" s="408">
        <v>0</v>
      </c>
      <c r="AX465" s="408"/>
      <c r="AY465" s="408"/>
      <c r="AZ465" s="408">
        <v>0</v>
      </c>
      <c r="BA465" s="408"/>
      <c r="BB465" s="408">
        <v>0</v>
      </c>
      <c r="BC465" s="408">
        <v>0</v>
      </c>
      <c r="BD465" s="408">
        <v>0</v>
      </c>
      <c r="BE465" s="408">
        <v>0</v>
      </c>
      <c r="BF465" s="408"/>
      <c r="BG465" s="408">
        <v>0</v>
      </c>
      <c r="BH465" s="408">
        <v>0</v>
      </c>
      <c r="BI465" s="408">
        <v>80.98</v>
      </c>
      <c r="BJ465" s="408">
        <v>0</v>
      </c>
      <c r="BK465" s="408">
        <v>9347.84</v>
      </c>
      <c r="BL465" s="408">
        <v>2</v>
      </c>
      <c r="BM465" s="408"/>
      <c r="BN465" s="408">
        <v>15497.82</v>
      </c>
      <c r="BO465" s="408"/>
      <c r="BP465" s="408"/>
      <c r="BQ465" s="408"/>
      <c r="BR465" s="408"/>
      <c r="BS465" s="408"/>
      <c r="BT465" s="408"/>
      <c r="BU465" s="408"/>
      <c r="BV465" s="408">
        <v>0</v>
      </c>
      <c r="BW465" s="408"/>
      <c r="BX465" s="408"/>
      <c r="BY465" s="408"/>
      <c r="BZ465" s="408"/>
      <c r="CA465" s="408"/>
      <c r="CB465" s="408"/>
      <c r="CC465" s="408"/>
      <c r="CD465" s="408"/>
      <c r="CE465" s="408"/>
      <c r="CF465" s="408"/>
      <c r="CG465" s="408"/>
      <c r="CH465" s="408"/>
      <c r="CI465" s="408">
        <v>15497.82</v>
      </c>
      <c r="CJ465" s="408">
        <v>-7296.7999999999956</v>
      </c>
      <c r="CK465" s="408"/>
      <c r="CL465" s="408"/>
      <c r="CM465" s="408"/>
      <c r="CN465" s="408"/>
      <c r="CO465" s="408">
        <v>-14593.54</v>
      </c>
      <c r="CP465" s="408">
        <v>0</v>
      </c>
      <c r="CQ465" s="408">
        <v>31</v>
      </c>
      <c r="CR465" s="408">
        <v>-108.57749922623771</v>
      </c>
      <c r="CS465" s="408">
        <v>0</v>
      </c>
      <c r="CT465" s="408">
        <v>0</v>
      </c>
      <c r="CU465" s="408">
        <v>0</v>
      </c>
      <c r="CV465" s="408">
        <v>0</v>
      </c>
      <c r="CW465" s="408"/>
      <c r="CX465" s="408"/>
      <c r="CY465" s="408"/>
      <c r="CZ465" s="408">
        <v>-108.57749922623771</v>
      </c>
      <c r="DA465" s="408">
        <v>0</v>
      </c>
      <c r="DB465" s="408">
        <v>0</v>
      </c>
      <c r="DC465" s="408"/>
      <c r="DD465" s="408"/>
      <c r="DE465" s="408">
        <v>0</v>
      </c>
      <c r="DF465" s="408">
        <v>0</v>
      </c>
      <c r="DG465" s="408">
        <v>0</v>
      </c>
      <c r="DH465" s="408">
        <v>0</v>
      </c>
      <c r="DI465" s="408">
        <v>0</v>
      </c>
      <c r="DJ465" s="408"/>
      <c r="DK465" s="408">
        <v>0</v>
      </c>
      <c r="DL465" s="408">
        <v>0</v>
      </c>
      <c r="DM465" s="408"/>
      <c r="DN465" s="408">
        <v>0</v>
      </c>
      <c r="DO465" s="408">
        <v>0</v>
      </c>
      <c r="DP465" s="408">
        <v>0</v>
      </c>
      <c r="DQ465" s="408">
        <v>0</v>
      </c>
      <c r="DR465" s="408">
        <v>0</v>
      </c>
      <c r="DS465" s="408"/>
      <c r="DT465" s="408"/>
      <c r="DU465" s="408">
        <v>21567.912290391778</v>
      </c>
      <c r="DV465" s="408"/>
      <c r="DW465" s="408">
        <v>0</v>
      </c>
      <c r="DX465" s="408">
        <v>0</v>
      </c>
      <c r="DY465" s="408">
        <v>-14593.54</v>
      </c>
      <c r="DZ465" s="408"/>
      <c r="EA465" s="408">
        <v>0</v>
      </c>
      <c r="EB465" s="408"/>
      <c r="EC465" s="408">
        <v>-14486.620338022105</v>
      </c>
      <c r="ED465" s="408"/>
      <c r="EE465" s="408">
        <v>0</v>
      </c>
      <c r="EF465" s="408">
        <v>0</v>
      </c>
      <c r="EG465" s="408"/>
      <c r="EH465" s="408">
        <v>0</v>
      </c>
      <c r="EI465" s="408">
        <v>0</v>
      </c>
      <c r="EJ465" s="408">
        <v>0</v>
      </c>
      <c r="EK465" s="408">
        <v>0</v>
      </c>
      <c r="EL465" s="408">
        <v>0</v>
      </c>
      <c r="EM465" s="408"/>
      <c r="EN465" s="408"/>
      <c r="EO465" s="408">
        <v>0</v>
      </c>
      <c r="EP465" s="408">
        <v>0</v>
      </c>
      <c r="EQ465" s="408"/>
      <c r="ER465" s="408">
        <v>0</v>
      </c>
      <c r="ES465" s="408"/>
      <c r="ET465" s="408">
        <v>0</v>
      </c>
      <c r="EU465" s="408"/>
      <c r="EV465" s="408">
        <v>257</v>
      </c>
      <c r="EW465" s="408"/>
      <c r="EX465" s="408"/>
      <c r="EY465" s="408"/>
      <c r="EZ465" s="408"/>
      <c r="FA465" s="408">
        <v>0</v>
      </c>
      <c r="FB465" s="408"/>
      <c r="FC465" s="408"/>
      <c r="FD465" s="408"/>
      <c r="FE465" s="408"/>
      <c r="FF465" s="408">
        <v>0</v>
      </c>
      <c r="FG465" s="408">
        <v>0</v>
      </c>
      <c r="FH465" s="408">
        <v>0</v>
      </c>
      <c r="FI465" s="408">
        <v>0</v>
      </c>
    </row>
    <row r="466" spans="1:165">
      <c r="A466" s="408">
        <v>464</v>
      </c>
      <c r="B466" s="408" t="s">
        <v>1035</v>
      </c>
      <c r="C466" s="408" t="s">
        <v>992</v>
      </c>
      <c r="D466" s="408" t="s">
        <v>596</v>
      </c>
      <c r="E466" s="408" t="s">
        <v>1321</v>
      </c>
      <c r="F466" s="408" t="s">
        <v>1321</v>
      </c>
      <c r="G466" s="408" t="s">
        <v>1321</v>
      </c>
      <c r="H466" s="408" t="s">
        <v>2316</v>
      </c>
      <c r="I466" s="408" t="s">
        <v>1321</v>
      </c>
      <c r="J466" s="408" t="s">
        <v>2250</v>
      </c>
      <c r="K466" s="828">
        <v>44409</v>
      </c>
      <c r="L466" s="408">
        <v>1000</v>
      </c>
      <c r="M466" s="408">
        <v>500</v>
      </c>
      <c r="N466" s="408">
        <v>0</v>
      </c>
      <c r="O466" s="408">
        <v>0</v>
      </c>
      <c r="P466" s="408">
        <v>0</v>
      </c>
      <c r="Q466" s="408">
        <v>0</v>
      </c>
      <c r="R466" s="408">
        <v>15.78</v>
      </c>
      <c r="S466" s="408"/>
      <c r="T466" s="408"/>
      <c r="U466" s="408">
        <v>15780</v>
      </c>
      <c r="V466" s="408"/>
      <c r="W466" s="408">
        <v>15780</v>
      </c>
      <c r="X466" s="408">
        <v>5200</v>
      </c>
      <c r="Y466" s="408">
        <v>0</v>
      </c>
      <c r="Z466" s="408">
        <v>0</v>
      </c>
      <c r="AA466" s="408">
        <v>0</v>
      </c>
      <c r="AB466" s="408">
        <v>0</v>
      </c>
      <c r="AC466" s="408">
        <v>0</v>
      </c>
      <c r="AD466" s="408">
        <v>0</v>
      </c>
      <c r="AE466" s="408">
        <v>15739.433553196899</v>
      </c>
      <c r="AF466" s="408"/>
      <c r="AG466" s="408"/>
      <c r="AH466" s="408"/>
      <c r="AI466" s="408">
        <v>0</v>
      </c>
      <c r="AJ466" s="408">
        <v>0</v>
      </c>
      <c r="AK466" s="408">
        <v>0</v>
      </c>
      <c r="AL466" s="408">
        <v>0</v>
      </c>
      <c r="AM466" s="408"/>
      <c r="AN466" s="408">
        <v>38.248486219299501</v>
      </c>
      <c r="AO466" s="408">
        <v>0</v>
      </c>
      <c r="AP466" s="408">
        <v>0</v>
      </c>
      <c r="AQ466" s="408">
        <v>0</v>
      </c>
      <c r="AR466" s="408">
        <v>0</v>
      </c>
      <c r="AS466" s="408"/>
      <c r="AT466" s="408"/>
      <c r="AU466" s="408">
        <v>0</v>
      </c>
      <c r="AV466" s="408">
        <v>0</v>
      </c>
      <c r="AW466" s="408">
        <v>0</v>
      </c>
      <c r="AX466" s="408"/>
      <c r="AY466" s="408"/>
      <c r="AZ466" s="408">
        <v>0</v>
      </c>
      <c r="BA466" s="408"/>
      <c r="BB466" s="408">
        <v>0</v>
      </c>
      <c r="BC466" s="408">
        <v>0</v>
      </c>
      <c r="BD466" s="408">
        <v>0</v>
      </c>
      <c r="BE466" s="408">
        <v>0</v>
      </c>
      <c r="BF466" s="408"/>
      <c r="BG466" s="408">
        <v>0</v>
      </c>
      <c r="BH466" s="408">
        <v>0</v>
      </c>
      <c r="BI466" s="408">
        <v>4.78</v>
      </c>
      <c r="BJ466" s="408">
        <v>0</v>
      </c>
      <c r="BK466" s="408">
        <v>552.53</v>
      </c>
      <c r="BL466" s="408">
        <v>0</v>
      </c>
      <c r="BM466" s="408"/>
      <c r="BN466" s="408"/>
      <c r="BO466" s="408">
        <v>2600</v>
      </c>
      <c r="BP466" s="408"/>
      <c r="BQ466" s="408"/>
      <c r="BR466" s="408"/>
      <c r="BS466" s="408"/>
      <c r="BT466" s="408"/>
      <c r="BU466" s="408"/>
      <c r="BV466" s="408">
        <v>0</v>
      </c>
      <c r="BW466" s="408"/>
      <c r="BX466" s="408"/>
      <c r="BY466" s="408"/>
      <c r="BZ466" s="408"/>
      <c r="CA466" s="408"/>
      <c r="CB466" s="408"/>
      <c r="CC466" s="408"/>
      <c r="CD466" s="408"/>
      <c r="CE466" s="408"/>
      <c r="CF466" s="408"/>
      <c r="CG466" s="408"/>
      <c r="CH466" s="408"/>
      <c r="CI466" s="408">
        <v>2600</v>
      </c>
      <c r="CJ466" s="408">
        <v>-5290.0300000000007</v>
      </c>
      <c r="CK466" s="408"/>
      <c r="CL466" s="408"/>
      <c r="CM466" s="408"/>
      <c r="CN466" s="408"/>
      <c r="CO466" s="408">
        <v>-10579.999999999998</v>
      </c>
      <c r="CP466" s="408">
        <v>0</v>
      </c>
      <c r="CQ466" s="408">
        <v>31</v>
      </c>
      <c r="CR466" s="408">
        <v>-2.4442243733642997</v>
      </c>
      <c r="CS466" s="408">
        <v>0</v>
      </c>
      <c r="CT466" s="408">
        <v>0</v>
      </c>
      <c r="CU466" s="408">
        <v>0</v>
      </c>
      <c r="CV466" s="408">
        <v>0</v>
      </c>
      <c r="CW466" s="408"/>
      <c r="CX466" s="408"/>
      <c r="CY466" s="408"/>
      <c r="CZ466" s="408">
        <v>0</v>
      </c>
      <c r="DA466" s="408">
        <v>0</v>
      </c>
      <c r="DB466" s="408">
        <v>0</v>
      </c>
      <c r="DC466" s="408"/>
      <c r="DD466" s="408"/>
      <c r="DE466" s="408">
        <v>0</v>
      </c>
      <c r="DF466" s="408">
        <v>0</v>
      </c>
      <c r="DG466" s="408">
        <v>0</v>
      </c>
      <c r="DH466" s="408">
        <v>0</v>
      </c>
      <c r="DI466" s="408">
        <v>0</v>
      </c>
      <c r="DJ466" s="408"/>
      <c r="DK466" s="408">
        <v>0</v>
      </c>
      <c r="DL466" s="408">
        <v>0</v>
      </c>
      <c r="DM466" s="408"/>
      <c r="DN466" s="408">
        <v>0</v>
      </c>
      <c r="DO466" s="408">
        <v>0</v>
      </c>
      <c r="DP466" s="408">
        <v>-2.4442243733642997</v>
      </c>
      <c r="DQ466" s="408">
        <v>0</v>
      </c>
      <c r="DR466" s="408">
        <v>0</v>
      </c>
      <c r="DS466" s="408"/>
      <c r="DT466" s="408"/>
      <c r="DU466" s="408">
        <v>15739.433553196899</v>
      </c>
      <c r="DV466" s="408"/>
      <c r="DW466" s="408">
        <v>0</v>
      </c>
      <c r="DX466" s="408">
        <v>0</v>
      </c>
      <c r="DY466" s="408">
        <v>-10580</v>
      </c>
      <c r="DZ466" s="408"/>
      <c r="EA466" s="408">
        <v>0</v>
      </c>
      <c r="EB466" s="408"/>
      <c r="EC466" s="408">
        <v>-10571.778814320649</v>
      </c>
      <c r="ED466" s="408"/>
      <c r="EE466" s="408">
        <v>0</v>
      </c>
      <c r="EF466" s="408">
        <v>0</v>
      </c>
      <c r="EG466" s="408"/>
      <c r="EH466" s="408">
        <v>0</v>
      </c>
      <c r="EI466" s="408">
        <v>0</v>
      </c>
      <c r="EJ466" s="408">
        <v>0</v>
      </c>
      <c r="EK466" s="408">
        <v>0</v>
      </c>
      <c r="EL466" s="408">
        <v>0</v>
      </c>
      <c r="EM466" s="408"/>
      <c r="EN466" s="408"/>
      <c r="EO466" s="408">
        <v>0</v>
      </c>
      <c r="EP466" s="408">
        <v>0</v>
      </c>
      <c r="EQ466" s="408"/>
      <c r="ER466" s="408">
        <v>0</v>
      </c>
      <c r="ES466" s="408"/>
      <c r="ET466" s="408">
        <v>0</v>
      </c>
      <c r="EU466" s="408"/>
      <c r="EV466" s="408">
        <v>257</v>
      </c>
      <c r="EW466" s="408"/>
      <c r="EX466" s="408"/>
      <c r="EY466" s="408"/>
      <c r="EZ466" s="408"/>
      <c r="FA466" s="408">
        <v>0</v>
      </c>
      <c r="FB466" s="408"/>
      <c r="FC466" s="408"/>
      <c r="FD466" s="408"/>
      <c r="FE466" s="408"/>
      <c r="FF466" s="408">
        <v>0</v>
      </c>
      <c r="FG466" s="408">
        <v>0</v>
      </c>
      <c r="FH466" s="408">
        <v>0</v>
      </c>
      <c r="FI466" s="408">
        <v>0</v>
      </c>
    </row>
    <row r="467" spans="1:165">
      <c r="A467" s="408">
        <v>465</v>
      </c>
      <c r="B467" s="408" t="s">
        <v>1035</v>
      </c>
      <c r="C467" s="408" t="s">
        <v>992</v>
      </c>
      <c r="D467" s="408" t="s">
        <v>596</v>
      </c>
      <c r="E467" s="408" t="s">
        <v>1321</v>
      </c>
      <c r="F467" s="408" t="s">
        <v>1321</v>
      </c>
      <c r="G467" s="408" t="s">
        <v>1321</v>
      </c>
      <c r="H467" s="408" t="s">
        <v>2317</v>
      </c>
      <c r="I467" s="408" t="s">
        <v>1321</v>
      </c>
      <c r="J467" s="408" t="s">
        <v>2250</v>
      </c>
      <c r="K467" s="828">
        <v>44409</v>
      </c>
      <c r="L467" s="408">
        <v>790</v>
      </c>
      <c r="M467" s="408">
        <v>395</v>
      </c>
      <c r="N467" s="408">
        <v>0</v>
      </c>
      <c r="O467" s="408">
        <v>0</v>
      </c>
      <c r="P467" s="408">
        <v>0</v>
      </c>
      <c r="Q467" s="408">
        <v>0</v>
      </c>
      <c r="R467" s="408">
        <v>15.78</v>
      </c>
      <c r="S467" s="408"/>
      <c r="T467" s="408"/>
      <c r="U467" s="408">
        <v>12466.199999999999</v>
      </c>
      <c r="V467" s="408"/>
      <c r="W467" s="408">
        <v>12466.199999999999</v>
      </c>
      <c r="X467" s="408">
        <v>4108</v>
      </c>
      <c r="Y467" s="408">
        <v>0</v>
      </c>
      <c r="Z467" s="408">
        <v>0</v>
      </c>
      <c r="AA467" s="408">
        <v>0</v>
      </c>
      <c r="AB467" s="408">
        <v>0</v>
      </c>
      <c r="AC467" s="408">
        <v>0</v>
      </c>
      <c r="AD467" s="408">
        <v>0</v>
      </c>
      <c r="AE467" s="408">
        <v>12434.15250702555</v>
      </c>
      <c r="AF467" s="408"/>
      <c r="AG467" s="408"/>
      <c r="AH467" s="408"/>
      <c r="AI467" s="408">
        <v>0</v>
      </c>
      <c r="AJ467" s="408">
        <v>0</v>
      </c>
      <c r="AK467" s="408">
        <v>0</v>
      </c>
      <c r="AL467" s="408">
        <v>0</v>
      </c>
      <c r="AM467" s="408"/>
      <c r="AN467" s="408">
        <v>30.216304113246604</v>
      </c>
      <c r="AO467" s="408">
        <v>0</v>
      </c>
      <c r="AP467" s="408">
        <v>0</v>
      </c>
      <c r="AQ467" s="408">
        <v>0</v>
      </c>
      <c r="AR467" s="408">
        <v>0</v>
      </c>
      <c r="AS467" s="408"/>
      <c r="AT467" s="408"/>
      <c r="AU467" s="408">
        <v>0</v>
      </c>
      <c r="AV467" s="408">
        <v>0</v>
      </c>
      <c r="AW467" s="408">
        <v>0</v>
      </c>
      <c r="AX467" s="408"/>
      <c r="AY467" s="408"/>
      <c r="AZ467" s="408">
        <v>0</v>
      </c>
      <c r="BA467" s="408"/>
      <c r="BB467" s="408">
        <v>0</v>
      </c>
      <c r="BC467" s="408">
        <v>0</v>
      </c>
      <c r="BD467" s="408">
        <v>0</v>
      </c>
      <c r="BE467" s="408">
        <v>0</v>
      </c>
      <c r="BF467" s="408"/>
      <c r="BG467" s="408">
        <v>0</v>
      </c>
      <c r="BH467" s="408">
        <v>0</v>
      </c>
      <c r="BI467" s="408">
        <v>3.77</v>
      </c>
      <c r="BJ467" s="408">
        <v>0</v>
      </c>
      <c r="BK467" s="408">
        <v>436.49</v>
      </c>
      <c r="BL467" s="408">
        <v>0</v>
      </c>
      <c r="BM467" s="408"/>
      <c r="BN467" s="408"/>
      <c r="BO467" s="408">
        <v>2054</v>
      </c>
      <c r="BP467" s="408"/>
      <c r="BQ467" s="408"/>
      <c r="BR467" s="408"/>
      <c r="BS467" s="408"/>
      <c r="BT467" s="408"/>
      <c r="BU467" s="408"/>
      <c r="BV467" s="408">
        <v>0</v>
      </c>
      <c r="BW467" s="408"/>
      <c r="BX467" s="408"/>
      <c r="BY467" s="408"/>
      <c r="BZ467" s="408"/>
      <c r="CA467" s="408"/>
      <c r="CB467" s="408"/>
      <c r="CC467" s="408"/>
      <c r="CD467" s="408"/>
      <c r="CE467" s="408"/>
      <c r="CF467" s="408"/>
      <c r="CG467" s="408"/>
      <c r="CH467" s="408"/>
      <c r="CI467" s="408">
        <v>2054</v>
      </c>
      <c r="CJ467" s="408">
        <v>-4179.13</v>
      </c>
      <c r="CK467" s="408"/>
      <c r="CL467" s="408"/>
      <c r="CM467" s="408"/>
      <c r="CN467" s="408"/>
      <c r="CO467" s="408">
        <v>-8358.1999999999989</v>
      </c>
      <c r="CP467" s="408">
        <v>0</v>
      </c>
      <c r="CQ467" s="408">
        <v>31</v>
      </c>
      <c r="CR467" s="408">
        <v>-1.9309372549577972</v>
      </c>
      <c r="CS467" s="408">
        <v>0</v>
      </c>
      <c r="CT467" s="408">
        <v>0</v>
      </c>
      <c r="CU467" s="408">
        <v>0</v>
      </c>
      <c r="CV467" s="408">
        <v>0</v>
      </c>
      <c r="CW467" s="408"/>
      <c r="CX467" s="408"/>
      <c r="CY467" s="408"/>
      <c r="CZ467" s="408">
        <v>0</v>
      </c>
      <c r="DA467" s="408">
        <v>0</v>
      </c>
      <c r="DB467" s="408">
        <v>0</v>
      </c>
      <c r="DC467" s="408"/>
      <c r="DD467" s="408"/>
      <c r="DE467" s="408">
        <v>0</v>
      </c>
      <c r="DF467" s="408">
        <v>0</v>
      </c>
      <c r="DG467" s="408">
        <v>0</v>
      </c>
      <c r="DH467" s="408">
        <v>0</v>
      </c>
      <c r="DI467" s="408">
        <v>0</v>
      </c>
      <c r="DJ467" s="408"/>
      <c r="DK467" s="408">
        <v>0</v>
      </c>
      <c r="DL467" s="408">
        <v>0</v>
      </c>
      <c r="DM467" s="408"/>
      <c r="DN467" s="408">
        <v>0</v>
      </c>
      <c r="DO467" s="408">
        <v>0</v>
      </c>
      <c r="DP467" s="408">
        <v>-1.9309372549577972</v>
      </c>
      <c r="DQ467" s="408">
        <v>0</v>
      </c>
      <c r="DR467" s="408">
        <v>0</v>
      </c>
      <c r="DS467" s="408"/>
      <c r="DT467" s="408"/>
      <c r="DU467" s="408">
        <v>12434.15250702555</v>
      </c>
      <c r="DV467" s="408"/>
      <c r="DW467" s="408">
        <v>0</v>
      </c>
      <c r="DX467" s="408">
        <v>0</v>
      </c>
      <c r="DY467" s="408">
        <v>-8358.1999999999989</v>
      </c>
      <c r="DZ467" s="408"/>
      <c r="EA467" s="408">
        <v>0</v>
      </c>
      <c r="EB467" s="408"/>
      <c r="EC467" s="408">
        <v>-8351.7052633133135</v>
      </c>
      <c r="ED467" s="408"/>
      <c r="EE467" s="408">
        <v>0</v>
      </c>
      <c r="EF467" s="408">
        <v>0</v>
      </c>
      <c r="EG467" s="408"/>
      <c r="EH467" s="408">
        <v>0</v>
      </c>
      <c r="EI467" s="408">
        <v>0</v>
      </c>
      <c r="EJ467" s="408">
        <v>0</v>
      </c>
      <c r="EK467" s="408">
        <v>0</v>
      </c>
      <c r="EL467" s="408">
        <v>0</v>
      </c>
      <c r="EM467" s="408"/>
      <c r="EN467" s="408"/>
      <c r="EO467" s="408">
        <v>0</v>
      </c>
      <c r="EP467" s="408">
        <v>0</v>
      </c>
      <c r="EQ467" s="408"/>
      <c r="ER467" s="408">
        <v>0</v>
      </c>
      <c r="ES467" s="408"/>
      <c r="ET467" s="408">
        <v>0</v>
      </c>
      <c r="EU467" s="408"/>
      <c r="EV467" s="408">
        <v>257</v>
      </c>
      <c r="EW467" s="408"/>
      <c r="EX467" s="408"/>
      <c r="EY467" s="408"/>
      <c r="EZ467" s="408"/>
      <c r="FA467" s="408">
        <v>0</v>
      </c>
      <c r="FB467" s="408"/>
      <c r="FC467" s="408"/>
      <c r="FD467" s="408"/>
      <c r="FE467" s="408"/>
      <c r="FF467" s="408">
        <v>0</v>
      </c>
      <c r="FG467" s="408">
        <v>0</v>
      </c>
      <c r="FH467" s="408">
        <v>0</v>
      </c>
      <c r="FI467" s="408">
        <v>0</v>
      </c>
    </row>
    <row r="468" spans="1:165">
      <c r="A468" s="408">
        <v>466</v>
      </c>
      <c r="B468" s="408" t="s">
        <v>1035</v>
      </c>
      <c r="C468" s="408" t="s">
        <v>2241</v>
      </c>
      <c r="D468" s="408" t="s">
        <v>596</v>
      </c>
      <c r="E468" s="408" t="s">
        <v>969</v>
      </c>
      <c r="F468" s="408" t="s">
        <v>1321</v>
      </c>
      <c r="G468" s="408" t="s">
        <v>2314</v>
      </c>
      <c r="H468" s="408" t="s">
        <v>1321</v>
      </c>
      <c r="I468" s="408" t="s">
        <v>972</v>
      </c>
      <c r="J468" s="408" t="s">
        <v>2315</v>
      </c>
      <c r="K468" s="828">
        <v>44440</v>
      </c>
      <c r="L468" s="408">
        <v>0</v>
      </c>
      <c r="M468" s="408">
        <v>0</v>
      </c>
      <c r="N468" s="408">
        <v>14.189</v>
      </c>
      <c r="O468" s="408">
        <v>7.0945</v>
      </c>
      <c r="P468" s="408">
        <v>0</v>
      </c>
      <c r="Q468" s="408">
        <v>0</v>
      </c>
      <c r="R468" s="408"/>
      <c r="S468" s="408">
        <v>3130.62</v>
      </c>
      <c r="T468" s="408"/>
      <c r="U468" s="408"/>
      <c r="V468" s="408">
        <v>44420.367180000001</v>
      </c>
      <c r="W468" s="408">
        <v>44420.367180000001</v>
      </c>
      <c r="X468" s="408">
        <v>21426.667009999997</v>
      </c>
      <c r="Y468" s="408">
        <v>0</v>
      </c>
      <c r="Z468" s="408">
        <v>758.86990128947616</v>
      </c>
      <c r="AA468" s="408">
        <v>0</v>
      </c>
      <c r="AB468" s="408">
        <v>0</v>
      </c>
      <c r="AC468" s="408">
        <v>0</v>
      </c>
      <c r="AD468" s="408">
        <v>9140.7497113943828</v>
      </c>
      <c r="AE468" s="408">
        <v>34112.465379570771</v>
      </c>
      <c r="AF468" s="408"/>
      <c r="AG468" s="408"/>
      <c r="AH468" s="408"/>
      <c r="AI468" s="408">
        <v>0</v>
      </c>
      <c r="AJ468" s="408">
        <v>0</v>
      </c>
      <c r="AK468" s="408">
        <v>0</v>
      </c>
      <c r="AL468" s="408">
        <v>134.85599842568305</v>
      </c>
      <c r="AM468" s="408"/>
      <c r="AN468" s="408">
        <v>19.141741321426203</v>
      </c>
      <c r="AO468" s="408">
        <v>0</v>
      </c>
      <c r="AP468" s="408">
        <v>0</v>
      </c>
      <c r="AQ468" s="408">
        <v>0</v>
      </c>
      <c r="AR468" s="408">
        <v>0</v>
      </c>
      <c r="AS468" s="408"/>
      <c r="AT468" s="408"/>
      <c r="AU468" s="408">
        <v>0</v>
      </c>
      <c r="AV468" s="408">
        <v>0</v>
      </c>
      <c r="AW468" s="408">
        <v>0</v>
      </c>
      <c r="AX468" s="408"/>
      <c r="AY468" s="408"/>
      <c r="AZ468" s="408">
        <v>0</v>
      </c>
      <c r="BA468" s="408"/>
      <c r="BB468" s="408">
        <v>0</v>
      </c>
      <c r="BC468" s="408">
        <v>0</v>
      </c>
      <c r="BD468" s="408">
        <v>17.481205806939339</v>
      </c>
      <c r="BE468" s="408">
        <v>0</v>
      </c>
      <c r="BF468" s="408"/>
      <c r="BG468" s="408">
        <v>236.80431023567971</v>
      </c>
      <c r="BH468" s="408">
        <v>0</v>
      </c>
      <c r="BI468" s="408">
        <v>0</v>
      </c>
      <c r="BJ468" s="408">
        <v>0</v>
      </c>
      <c r="BK468" s="408">
        <v>0</v>
      </c>
      <c r="BL468" s="408">
        <v>0</v>
      </c>
      <c r="BM468" s="408"/>
      <c r="BN468" s="408">
        <v>10713.333504999999</v>
      </c>
      <c r="BO468" s="408"/>
      <c r="BP468" s="408"/>
      <c r="BQ468" s="408"/>
      <c r="BR468" s="408"/>
      <c r="BS468" s="408"/>
      <c r="BT468" s="408"/>
      <c r="BU468" s="408"/>
      <c r="BV468" s="408">
        <v>254.28551604261904</v>
      </c>
      <c r="BW468" s="408"/>
      <c r="BX468" s="408"/>
      <c r="BY468" s="408"/>
      <c r="BZ468" s="408"/>
      <c r="CA468" s="408"/>
      <c r="CB468" s="408"/>
      <c r="CC468" s="408"/>
      <c r="CD468" s="408"/>
      <c r="CE468" s="408"/>
      <c r="CF468" s="408"/>
      <c r="CG468" s="408"/>
      <c r="CH468" s="408"/>
      <c r="CI468" s="408">
        <v>10706.5381</v>
      </c>
      <c r="CJ468" s="408">
        <v>-11503.675489999996</v>
      </c>
      <c r="CK468" s="408"/>
      <c r="CL468" s="408"/>
      <c r="CM468" s="408"/>
      <c r="CN468" s="408"/>
      <c r="CO468" s="408">
        <v>-22993.70017</v>
      </c>
      <c r="CP468" s="408">
        <v>0</v>
      </c>
      <c r="CQ468" s="408">
        <v>30</v>
      </c>
      <c r="CR468" s="408">
        <v>-81.287761903982755</v>
      </c>
      <c r="CS468" s="408">
        <v>0</v>
      </c>
      <c r="CT468" s="408">
        <v>0</v>
      </c>
      <c r="CU468" s="408">
        <v>0</v>
      </c>
      <c r="CV468" s="408">
        <v>0</v>
      </c>
      <c r="CW468" s="408"/>
      <c r="CX468" s="408"/>
      <c r="CY468" s="408"/>
      <c r="CZ468" s="408">
        <v>-41.316763605314918</v>
      </c>
      <c r="DA468" s="408">
        <v>0</v>
      </c>
      <c r="DB468" s="408">
        <v>0</v>
      </c>
      <c r="DC468" s="408"/>
      <c r="DD468" s="408"/>
      <c r="DE468" s="408">
        <v>0</v>
      </c>
      <c r="DF468" s="408">
        <v>1.0890523609762432</v>
      </c>
      <c r="DG468" s="408">
        <v>14.752546019973948</v>
      </c>
      <c r="DH468" s="408">
        <v>0</v>
      </c>
      <c r="DI468" s="408">
        <v>-47.18945478498722</v>
      </c>
      <c r="DJ468" s="408"/>
      <c r="DK468" s="408">
        <v>0</v>
      </c>
      <c r="DL468" s="408">
        <v>0</v>
      </c>
      <c r="DM468" s="408"/>
      <c r="DN468" s="408">
        <v>0</v>
      </c>
      <c r="DO468" s="408">
        <v>-7.3999115053783697</v>
      </c>
      <c r="DP468" s="408">
        <v>-1.2232303892554981</v>
      </c>
      <c r="DQ468" s="408">
        <v>0</v>
      </c>
      <c r="DR468" s="408">
        <v>0</v>
      </c>
      <c r="DS468" s="408"/>
      <c r="DT468" s="408"/>
      <c r="DU468" s="408"/>
      <c r="DV468" s="408">
        <v>34112.465379570771</v>
      </c>
      <c r="DW468" s="408">
        <v>0</v>
      </c>
      <c r="DX468" s="408">
        <v>0</v>
      </c>
      <c r="DY468" s="408">
        <v>-22993.700170000004</v>
      </c>
      <c r="DZ468" s="408"/>
      <c r="EA468" s="408">
        <v>0</v>
      </c>
      <c r="EB468" s="408"/>
      <c r="EC468" s="408">
        <v>-22912.47887575622</v>
      </c>
      <c r="ED468" s="408"/>
      <c r="EE468" s="408">
        <v>0</v>
      </c>
      <c r="EF468" s="408">
        <v>0</v>
      </c>
      <c r="EG468" s="408"/>
      <c r="EH468" s="408">
        <v>0</v>
      </c>
      <c r="EI468" s="408">
        <v>0</v>
      </c>
      <c r="EJ468" s="408">
        <v>0</v>
      </c>
      <c r="EK468" s="408">
        <v>0</v>
      </c>
      <c r="EL468" s="408">
        <v>0</v>
      </c>
      <c r="EM468" s="408"/>
      <c r="EN468" s="408"/>
      <c r="EO468" s="408">
        <v>0</v>
      </c>
      <c r="EP468" s="408">
        <v>0</v>
      </c>
      <c r="EQ468" s="408"/>
      <c r="ER468" s="408">
        <v>0</v>
      </c>
      <c r="ES468" s="408"/>
      <c r="ET468" s="408">
        <v>0</v>
      </c>
      <c r="EU468" s="408"/>
      <c r="EV468" s="408">
        <v>257</v>
      </c>
      <c r="EW468" s="408"/>
      <c r="EX468" s="408"/>
      <c r="EY468" s="408"/>
      <c r="EZ468" s="408"/>
      <c r="FA468" s="408">
        <v>0</v>
      </c>
      <c r="FB468" s="408"/>
      <c r="FC468" s="408"/>
      <c r="FD468" s="408"/>
      <c r="FE468" s="408"/>
      <c r="FF468" s="408">
        <v>0</v>
      </c>
      <c r="FG468" s="408">
        <v>0</v>
      </c>
      <c r="FH468" s="408">
        <v>0</v>
      </c>
      <c r="FI468" s="408">
        <v>0</v>
      </c>
    </row>
    <row r="469" spans="1:165">
      <c r="A469" s="408">
        <v>467</v>
      </c>
      <c r="B469" s="408" t="s">
        <v>1035</v>
      </c>
      <c r="C469" s="408" t="s">
        <v>2241</v>
      </c>
      <c r="D469" s="408" t="s">
        <v>596</v>
      </c>
      <c r="E469" s="408" t="s">
        <v>969</v>
      </c>
      <c r="F469" s="408" t="s">
        <v>1321</v>
      </c>
      <c r="G469" s="408" t="s">
        <v>2314</v>
      </c>
      <c r="H469" s="408" t="s">
        <v>1321</v>
      </c>
      <c r="I469" s="408" t="s">
        <v>2242</v>
      </c>
      <c r="J469" s="408" t="s">
        <v>2315</v>
      </c>
      <c r="K469" s="828">
        <v>44440</v>
      </c>
      <c r="L469" s="408">
        <v>0</v>
      </c>
      <c r="M469" s="408">
        <v>0</v>
      </c>
      <c r="N469" s="408">
        <v>215.87700000000001</v>
      </c>
      <c r="O469" s="408">
        <v>107.9385</v>
      </c>
      <c r="P469" s="408">
        <v>0</v>
      </c>
      <c r="Q469" s="408">
        <v>0</v>
      </c>
      <c r="R469" s="408"/>
      <c r="S469" s="408">
        <v>82.26</v>
      </c>
      <c r="T469" s="408"/>
      <c r="U469" s="408"/>
      <c r="V469" s="408">
        <v>17758.042020000001</v>
      </c>
      <c r="W469" s="408">
        <v>17758.042020000001</v>
      </c>
      <c r="X469" s="408">
        <v>17149.26888</v>
      </c>
      <c r="Y469" s="408">
        <v>0</v>
      </c>
      <c r="Z469" s="408">
        <v>11545.743722649111</v>
      </c>
      <c r="AA469" s="408">
        <v>0</v>
      </c>
      <c r="AB469" s="408">
        <v>0</v>
      </c>
      <c r="AC469" s="408">
        <v>0</v>
      </c>
      <c r="AD469" s="408">
        <v>0</v>
      </c>
      <c r="AE469" s="408">
        <v>0</v>
      </c>
      <c r="AF469" s="408"/>
      <c r="AG469" s="408"/>
      <c r="AH469" s="408"/>
      <c r="AI469" s="408">
        <v>0</v>
      </c>
      <c r="AJ469" s="408">
        <v>0</v>
      </c>
      <c r="AK469" s="408">
        <v>0</v>
      </c>
      <c r="AL469" s="408">
        <v>2051.7519467292395</v>
      </c>
      <c r="AM469" s="408"/>
      <c r="AN469" s="408">
        <v>291.22994511561944</v>
      </c>
      <c r="AO469" s="408">
        <v>0</v>
      </c>
      <c r="AP469" s="408">
        <v>0</v>
      </c>
      <c r="AQ469" s="408">
        <v>0</v>
      </c>
      <c r="AR469" s="408">
        <v>0</v>
      </c>
      <c r="AS469" s="408"/>
      <c r="AT469" s="408"/>
      <c r="AU469" s="408">
        <v>0</v>
      </c>
      <c r="AV469" s="408">
        <v>0</v>
      </c>
      <c r="AW469" s="408">
        <v>0</v>
      </c>
      <c r="AX469" s="408"/>
      <c r="AY469" s="408"/>
      <c r="AZ469" s="408">
        <v>0</v>
      </c>
      <c r="BA469" s="408"/>
      <c r="BB469" s="408">
        <v>0</v>
      </c>
      <c r="BC469" s="408">
        <v>0</v>
      </c>
      <c r="BD469" s="408">
        <v>265.9659078148315</v>
      </c>
      <c r="BE469" s="408">
        <v>0</v>
      </c>
      <c r="BF469" s="408"/>
      <c r="BG469" s="408">
        <v>3602.8334682322807</v>
      </c>
      <c r="BH469" s="408">
        <v>0</v>
      </c>
      <c r="BI469" s="408">
        <v>0</v>
      </c>
      <c r="BJ469" s="408">
        <v>0</v>
      </c>
      <c r="BK469" s="408">
        <v>0</v>
      </c>
      <c r="BL469" s="408">
        <v>0</v>
      </c>
      <c r="BM469" s="408"/>
      <c r="BN469" s="408">
        <v>8574.6344399999998</v>
      </c>
      <c r="BO469" s="408"/>
      <c r="BP469" s="408"/>
      <c r="BQ469" s="408"/>
      <c r="BR469" s="408"/>
      <c r="BS469" s="408"/>
      <c r="BT469" s="408"/>
      <c r="BU469" s="408"/>
      <c r="BV469" s="408">
        <v>3868.7993760471122</v>
      </c>
      <c r="BW469" s="408"/>
      <c r="BX469" s="408"/>
      <c r="BY469" s="408"/>
      <c r="BZ469" s="408"/>
      <c r="CA469" s="408"/>
      <c r="CB469" s="408"/>
      <c r="CC469" s="408"/>
      <c r="CD469" s="408"/>
      <c r="CE469" s="408"/>
      <c r="CF469" s="408"/>
      <c r="CG469" s="408"/>
      <c r="CH469" s="408"/>
      <c r="CI469" s="408">
        <v>8574.7536</v>
      </c>
      <c r="CJ469" s="408">
        <v>-304.29741000000104</v>
      </c>
      <c r="CK469" s="408"/>
      <c r="CL469" s="408"/>
      <c r="CM469" s="408"/>
      <c r="CN469" s="408"/>
      <c r="CO469" s="408">
        <v>-608.7731400000016</v>
      </c>
      <c r="CP469" s="408">
        <v>0</v>
      </c>
      <c r="CQ469" s="408">
        <v>30</v>
      </c>
      <c r="CR469" s="408">
        <v>-608.13441396307462</v>
      </c>
      <c r="CS469" s="408">
        <v>0</v>
      </c>
      <c r="CT469" s="408">
        <v>0</v>
      </c>
      <c r="CU469" s="408">
        <v>0</v>
      </c>
      <c r="CV469" s="408">
        <v>0</v>
      </c>
      <c r="CW469" s="408"/>
      <c r="CX469" s="408"/>
      <c r="CY469" s="408"/>
      <c r="CZ469" s="408">
        <v>0</v>
      </c>
      <c r="DA469" s="408">
        <v>0</v>
      </c>
      <c r="DB469" s="408">
        <v>0</v>
      </c>
      <c r="DC469" s="408"/>
      <c r="DD469" s="408"/>
      <c r="DE469" s="408">
        <v>0</v>
      </c>
      <c r="DF469" s="408">
        <v>16.569268907637479</v>
      </c>
      <c r="DG469" s="408">
        <v>224.4510097366915</v>
      </c>
      <c r="DH469" s="408">
        <v>0</v>
      </c>
      <c r="DI469" s="408">
        <v>-717.95883646618313</v>
      </c>
      <c r="DJ469" s="408"/>
      <c r="DK469" s="408">
        <v>0</v>
      </c>
      <c r="DL469" s="408">
        <v>0</v>
      </c>
      <c r="DM469" s="408"/>
      <c r="DN469" s="408">
        <v>0</v>
      </c>
      <c r="DO469" s="408">
        <v>-112.58515019004608</v>
      </c>
      <c r="DP469" s="408">
        <v>-18.610705951181103</v>
      </c>
      <c r="DQ469" s="408">
        <v>0</v>
      </c>
      <c r="DR469" s="408">
        <v>0</v>
      </c>
      <c r="DS469" s="408"/>
      <c r="DT469" s="408"/>
      <c r="DU469" s="408"/>
      <c r="DV469" s="408">
        <v>0</v>
      </c>
      <c r="DW469" s="408">
        <v>0</v>
      </c>
      <c r="DX469" s="408">
        <v>0</v>
      </c>
      <c r="DY469" s="408">
        <v>-608.77314000000115</v>
      </c>
      <c r="DZ469" s="408"/>
      <c r="EA469" s="408">
        <v>0</v>
      </c>
      <c r="EB469" s="408"/>
      <c r="EC469" s="408">
        <v>0</v>
      </c>
      <c r="ED469" s="408"/>
      <c r="EE469" s="408">
        <v>0</v>
      </c>
      <c r="EF469" s="408">
        <v>0</v>
      </c>
      <c r="EG469" s="408"/>
      <c r="EH469" s="408">
        <v>0</v>
      </c>
      <c r="EI469" s="408">
        <v>0</v>
      </c>
      <c r="EJ469" s="408">
        <v>0</v>
      </c>
      <c r="EK469" s="408">
        <v>0</v>
      </c>
      <c r="EL469" s="408">
        <v>0</v>
      </c>
      <c r="EM469" s="408"/>
      <c r="EN469" s="408"/>
      <c r="EO469" s="408">
        <v>0</v>
      </c>
      <c r="EP469" s="408">
        <v>0</v>
      </c>
      <c r="EQ469" s="408"/>
      <c r="ER469" s="408">
        <v>0</v>
      </c>
      <c r="ES469" s="408"/>
      <c r="ET469" s="408">
        <v>0</v>
      </c>
      <c r="EU469" s="408"/>
      <c r="EV469" s="408">
        <v>257</v>
      </c>
      <c r="EW469" s="408"/>
      <c r="EX469" s="408"/>
      <c r="EY469" s="408"/>
      <c r="EZ469" s="408"/>
      <c r="FA469" s="408">
        <v>0</v>
      </c>
      <c r="FB469" s="408"/>
      <c r="FC469" s="408"/>
      <c r="FD469" s="408"/>
      <c r="FE469" s="408"/>
      <c r="FF469" s="408">
        <v>0</v>
      </c>
      <c r="FG469" s="408">
        <v>0</v>
      </c>
      <c r="FH469" s="408">
        <v>0</v>
      </c>
      <c r="FI469" s="408">
        <v>0</v>
      </c>
    </row>
    <row r="470" spans="1:165">
      <c r="A470" s="408">
        <v>468</v>
      </c>
      <c r="B470" s="408" t="s">
        <v>1035</v>
      </c>
      <c r="C470" s="408" t="s">
        <v>2241</v>
      </c>
      <c r="D470" s="408" t="s">
        <v>596</v>
      </c>
      <c r="E470" s="408" t="s">
        <v>969</v>
      </c>
      <c r="F470" s="408" t="s">
        <v>1321</v>
      </c>
      <c r="G470" s="408" t="s">
        <v>2314</v>
      </c>
      <c r="H470" s="408" t="s">
        <v>1321</v>
      </c>
      <c r="I470" s="408" t="s">
        <v>1321</v>
      </c>
      <c r="J470" s="408" t="s">
        <v>2315</v>
      </c>
      <c r="K470" s="828">
        <v>44440</v>
      </c>
      <c r="L470" s="408">
        <v>963</v>
      </c>
      <c r="M470" s="408">
        <v>481.5</v>
      </c>
      <c r="N470" s="408">
        <v>0</v>
      </c>
      <c r="O470" s="408">
        <v>0</v>
      </c>
      <c r="P470" s="408">
        <v>0</v>
      </c>
      <c r="Q470" s="408">
        <v>0</v>
      </c>
      <c r="R470" s="408">
        <v>47.39</v>
      </c>
      <c r="S470" s="408"/>
      <c r="T470" s="408"/>
      <c r="U470" s="408">
        <v>45636.57</v>
      </c>
      <c r="V470" s="408"/>
      <c r="W470" s="408">
        <v>45636.57</v>
      </c>
      <c r="X470" s="408">
        <v>31027.86</v>
      </c>
      <c r="Y470" s="408">
        <v>0</v>
      </c>
      <c r="Z470" s="408">
        <v>0</v>
      </c>
      <c r="AA470" s="408">
        <v>0</v>
      </c>
      <c r="AB470" s="408">
        <v>0</v>
      </c>
      <c r="AC470" s="408">
        <v>0</v>
      </c>
      <c r="AD470" s="408">
        <v>24046.20647282547</v>
      </c>
      <c r="AE470" s="408">
        <v>21590.332157637509</v>
      </c>
      <c r="AF470" s="408"/>
      <c r="AG470" s="408"/>
      <c r="AH470" s="408"/>
      <c r="AI470" s="408">
        <v>0</v>
      </c>
      <c r="AJ470" s="408">
        <v>0</v>
      </c>
      <c r="AK470" s="408">
        <v>0</v>
      </c>
      <c r="AL470" s="408">
        <v>0</v>
      </c>
      <c r="AM470" s="408"/>
      <c r="AN470" s="408">
        <v>0</v>
      </c>
      <c r="AO470" s="408">
        <v>0</v>
      </c>
      <c r="AP470" s="408">
        <v>0</v>
      </c>
      <c r="AQ470" s="408">
        <v>0</v>
      </c>
      <c r="AR470" s="408">
        <v>0</v>
      </c>
      <c r="AS470" s="408"/>
      <c r="AT470" s="408"/>
      <c r="AU470" s="408">
        <v>0</v>
      </c>
      <c r="AV470" s="408">
        <v>0</v>
      </c>
      <c r="AW470" s="408">
        <v>0</v>
      </c>
      <c r="AX470" s="408"/>
      <c r="AY470" s="408"/>
      <c r="AZ470" s="408">
        <v>0</v>
      </c>
      <c r="BA470" s="408"/>
      <c r="BB470" s="408">
        <v>0</v>
      </c>
      <c r="BC470" s="408">
        <v>0</v>
      </c>
      <c r="BD470" s="408">
        <v>0</v>
      </c>
      <c r="BE470" s="408">
        <v>0</v>
      </c>
      <c r="BF470" s="408"/>
      <c r="BG470" s="408">
        <v>0</v>
      </c>
      <c r="BH470" s="408">
        <v>0</v>
      </c>
      <c r="BI470" s="408">
        <v>80.930000000000007</v>
      </c>
      <c r="BJ470" s="408">
        <v>0</v>
      </c>
      <c r="BK470" s="408">
        <v>9342.74</v>
      </c>
      <c r="BL470" s="408">
        <v>2</v>
      </c>
      <c r="BM470" s="408"/>
      <c r="BN470" s="408">
        <v>15513.93</v>
      </c>
      <c r="BO470" s="408"/>
      <c r="BP470" s="408"/>
      <c r="BQ470" s="408"/>
      <c r="BR470" s="408"/>
      <c r="BS470" s="408"/>
      <c r="BT470" s="408"/>
      <c r="BU470" s="408"/>
      <c r="BV470" s="408">
        <v>0</v>
      </c>
      <c r="BW470" s="408"/>
      <c r="BX470" s="408"/>
      <c r="BY470" s="408"/>
      <c r="BZ470" s="408"/>
      <c r="CA470" s="408"/>
      <c r="CB470" s="408"/>
      <c r="CC470" s="408"/>
      <c r="CD470" s="408"/>
      <c r="CE470" s="408"/>
      <c r="CF470" s="408"/>
      <c r="CG470" s="408"/>
      <c r="CH470" s="408"/>
      <c r="CI470" s="408">
        <v>15513.93</v>
      </c>
      <c r="CJ470" s="408">
        <v>-7304.3849999999948</v>
      </c>
      <c r="CK470" s="408"/>
      <c r="CL470" s="408"/>
      <c r="CM470" s="408"/>
      <c r="CN470" s="408"/>
      <c r="CO470" s="408">
        <v>-14608.710000000001</v>
      </c>
      <c r="CP470" s="408">
        <v>0</v>
      </c>
      <c r="CQ470" s="408">
        <v>30</v>
      </c>
      <c r="CR470" s="408">
        <v>-108.6903656495524</v>
      </c>
      <c r="CS470" s="408">
        <v>0</v>
      </c>
      <c r="CT470" s="408">
        <v>0</v>
      </c>
      <c r="CU470" s="408">
        <v>0</v>
      </c>
      <c r="CV470" s="408">
        <v>0</v>
      </c>
      <c r="CW470" s="408"/>
      <c r="CX470" s="408"/>
      <c r="CY470" s="408"/>
      <c r="CZ470" s="408">
        <v>-108.6903656495524</v>
      </c>
      <c r="DA470" s="408">
        <v>0</v>
      </c>
      <c r="DB470" s="408">
        <v>0</v>
      </c>
      <c r="DC470" s="408"/>
      <c r="DD470" s="408"/>
      <c r="DE470" s="408">
        <v>0</v>
      </c>
      <c r="DF470" s="408">
        <v>0</v>
      </c>
      <c r="DG470" s="408">
        <v>0</v>
      </c>
      <c r="DH470" s="408">
        <v>0</v>
      </c>
      <c r="DI470" s="408">
        <v>0</v>
      </c>
      <c r="DJ470" s="408"/>
      <c r="DK470" s="408">
        <v>0</v>
      </c>
      <c r="DL470" s="408">
        <v>0</v>
      </c>
      <c r="DM470" s="408"/>
      <c r="DN470" s="408">
        <v>0</v>
      </c>
      <c r="DO470" s="408">
        <v>0</v>
      </c>
      <c r="DP470" s="408">
        <v>0</v>
      </c>
      <c r="DQ470" s="408">
        <v>0</v>
      </c>
      <c r="DR470" s="408">
        <v>0</v>
      </c>
      <c r="DS470" s="408"/>
      <c r="DT470" s="408"/>
      <c r="DU470" s="408">
        <v>21590.332157637509</v>
      </c>
      <c r="DV470" s="408"/>
      <c r="DW470" s="408">
        <v>0</v>
      </c>
      <c r="DX470" s="408">
        <v>0</v>
      </c>
      <c r="DY470" s="408">
        <v>-14608.71</v>
      </c>
      <c r="DZ470" s="408"/>
      <c r="EA470" s="408">
        <v>0</v>
      </c>
      <c r="EB470" s="408"/>
      <c r="EC470" s="408">
        <v>-14501.679194922337</v>
      </c>
      <c r="ED470" s="408"/>
      <c r="EE470" s="408">
        <v>0</v>
      </c>
      <c r="EF470" s="408">
        <v>0</v>
      </c>
      <c r="EG470" s="408"/>
      <c r="EH470" s="408">
        <v>0</v>
      </c>
      <c r="EI470" s="408">
        <v>0</v>
      </c>
      <c r="EJ470" s="408">
        <v>0</v>
      </c>
      <c r="EK470" s="408">
        <v>0</v>
      </c>
      <c r="EL470" s="408">
        <v>0</v>
      </c>
      <c r="EM470" s="408"/>
      <c r="EN470" s="408"/>
      <c r="EO470" s="408">
        <v>0</v>
      </c>
      <c r="EP470" s="408">
        <v>0</v>
      </c>
      <c r="EQ470" s="408"/>
      <c r="ER470" s="408">
        <v>0</v>
      </c>
      <c r="ES470" s="408"/>
      <c r="ET470" s="408">
        <v>0</v>
      </c>
      <c r="EU470" s="408"/>
      <c r="EV470" s="408">
        <v>257</v>
      </c>
      <c r="EW470" s="408"/>
      <c r="EX470" s="408"/>
      <c r="EY470" s="408"/>
      <c r="EZ470" s="408"/>
      <c r="FA470" s="408">
        <v>0</v>
      </c>
      <c r="FB470" s="408"/>
      <c r="FC470" s="408"/>
      <c r="FD470" s="408"/>
      <c r="FE470" s="408"/>
      <c r="FF470" s="408">
        <v>0</v>
      </c>
      <c r="FG470" s="408">
        <v>0</v>
      </c>
      <c r="FH470" s="408">
        <v>0</v>
      </c>
      <c r="FI470" s="408">
        <v>0</v>
      </c>
    </row>
    <row r="471" spans="1:165">
      <c r="A471" s="408">
        <v>469</v>
      </c>
      <c r="B471" s="408" t="s">
        <v>1035</v>
      </c>
      <c r="C471" s="408" t="s">
        <v>992</v>
      </c>
      <c r="D471" s="408" t="s">
        <v>596</v>
      </c>
      <c r="E471" s="408" t="s">
        <v>1321</v>
      </c>
      <c r="F471" s="408" t="s">
        <v>1321</v>
      </c>
      <c r="G471" s="408" t="s">
        <v>1321</v>
      </c>
      <c r="H471" s="408" t="s">
        <v>2316</v>
      </c>
      <c r="I471" s="408" t="s">
        <v>1321</v>
      </c>
      <c r="J471" s="408" t="s">
        <v>2250</v>
      </c>
      <c r="K471" s="828">
        <v>44440</v>
      </c>
      <c r="L471" s="408">
        <v>1000</v>
      </c>
      <c r="M471" s="408">
        <v>500</v>
      </c>
      <c r="N471" s="408">
        <v>0</v>
      </c>
      <c r="O471" s="408">
        <v>0</v>
      </c>
      <c r="P471" s="408">
        <v>0</v>
      </c>
      <c r="Q471" s="408">
        <v>0</v>
      </c>
      <c r="R471" s="408">
        <v>15.78</v>
      </c>
      <c r="S471" s="408"/>
      <c r="T471" s="408"/>
      <c r="U471" s="408">
        <v>15780</v>
      </c>
      <c r="V471" s="408"/>
      <c r="W471" s="408">
        <v>15780</v>
      </c>
      <c r="X471" s="408">
        <v>5200</v>
      </c>
      <c r="Y471" s="408">
        <v>0</v>
      </c>
      <c r="Z471" s="408">
        <v>0</v>
      </c>
      <c r="AA471" s="408">
        <v>0</v>
      </c>
      <c r="AB471" s="408">
        <v>0</v>
      </c>
      <c r="AC471" s="408">
        <v>0</v>
      </c>
      <c r="AD471" s="408">
        <v>0</v>
      </c>
      <c r="AE471" s="408">
        <v>15739.433553196899</v>
      </c>
      <c r="AF471" s="408"/>
      <c r="AG471" s="408"/>
      <c r="AH471" s="408"/>
      <c r="AI471" s="408">
        <v>0</v>
      </c>
      <c r="AJ471" s="408">
        <v>0</v>
      </c>
      <c r="AK471" s="408">
        <v>0</v>
      </c>
      <c r="AL471" s="408">
        <v>0</v>
      </c>
      <c r="AM471" s="408"/>
      <c r="AN471" s="408">
        <v>38.248486219299501</v>
      </c>
      <c r="AO471" s="408">
        <v>0</v>
      </c>
      <c r="AP471" s="408">
        <v>0</v>
      </c>
      <c r="AQ471" s="408">
        <v>0</v>
      </c>
      <c r="AR471" s="408">
        <v>0</v>
      </c>
      <c r="AS471" s="408"/>
      <c r="AT471" s="408"/>
      <c r="AU471" s="408">
        <v>0</v>
      </c>
      <c r="AV471" s="408">
        <v>0</v>
      </c>
      <c r="AW471" s="408">
        <v>0</v>
      </c>
      <c r="AX471" s="408"/>
      <c r="AY471" s="408"/>
      <c r="AZ471" s="408">
        <v>0</v>
      </c>
      <c r="BA471" s="408"/>
      <c r="BB471" s="408">
        <v>0</v>
      </c>
      <c r="BC471" s="408">
        <v>0</v>
      </c>
      <c r="BD471" s="408">
        <v>0</v>
      </c>
      <c r="BE471" s="408">
        <v>0</v>
      </c>
      <c r="BF471" s="408"/>
      <c r="BG471" s="408">
        <v>0</v>
      </c>
      <c r="BH471" s="408">
        <v>0</v>
      </c>
      <c r="BI471" s="408">
        <v>4.78</v>
      </c>
      <c r="BJ471" s="408">
        <v>0</v>
      </c>
      <c r="BK471" s="408">
        <v>552.53</v>
      </c>
      <c r="BL471" s="408">
        <v>0</v>
      </c>
      <c r="BM471" s="408"/>
      <c r="BN471" s="408"/>
      <c r="BO471" s="408">
        <v>2600</v>
      </c>
      <c r="BP471" s="408"/>
      <c r="BQ471" s="408"/>
      <c r="BR471" s="408"/>
      <c r="BS471" s="408"/>
      <c r="BT471" s="408"/>
      <c r="BU471" s="408"/>
      <c r="BV471" s="408">
        <v>0</v>
      </c>
      <c r="BW471" s="408"/>
      <c r="BX471" s="408"/>
      <c r="BY471" s="408"/>
      <c r="BZ471" s="408"/>
      <c r="CA471" s="408"/>
      <c r="CB471" s="408"/>
      <c r="CC471" s="408"/>
      <c r="CD471" s="408"/>
      <c r="CE471" s="408"/>
      <c r="CF471" s="408"/>
      <c r="CG471" s="408"/>
      <c r="CH471" s="408"/>
      <c r="CI471" s="408">
        <v>2600</v>
      </c>
      <c r="CJ471" s="408">
        <v>-5290.0300000000007</v>
      </c>
      <c r="CK471" s="408"/>
      <c r="CL471" s="408"/>
      <c r="CM471" s="408"/>
      <c r="CN471" s="408"/>
      <c r="CO471" s="408">
        <v>-10579.999999999998</v>
      </c>
      <c r="CP471" s="408">
        <v>0</v>
      </c>
      <c r="CQ471" s="408">
        <v>30</v>
      </c>
      <c r="CR471" s="408">
        <v>-2.4442243733642997</v>
      </c>
      <c r="CS471" s="408">
        <v>0</v>
      </c>
      <c r="CT471" s="408">
        <v>0</v>
      </c>
      <c r="CU471" s="408">
        <v>0</v>
      </c>
      <c r="CV471" s="408">
        <v>0</v>
      </c>
      <c r="CW471" s="408"/>
      <c r="CX471" s="408"/>
      <c r="CY471" s="408"/>
      <c r="CZ471" s="408">
        <v>0</v>
      </c>
      <c r="DA471" s="408">
        <v>0</v>
      </c>
      <c r="DB471" s="408">
        <v>0</v>
      </c>
      <c r="DC471" s="408"/>
      <c r="DD471" s="408"/>
      <c r="DE471" s="408">
        <v>0</v>
      </c>
      <c r="DF471" s="408">
        <v>0</v>
      </c>
      <c r="DG471" s="408">
        <v>0</v>
      </c>
      <c r="DH471" s="408">
        <v>0</v>
      </c>
      <c r="DI471" s="408">
        <v>0</v>
      </c>
      <c r="DJ471" s="408"/>
      <c r="DK471" s="408">
        <v>0</v>
      </c>
      <c r="DL471" s="408">
        <v>0</v>
      </c>
      <c r="DM471" s="408"/>
      <c r="DN471" s="408">
        <v>0</v>
      </c>
      <c r="DO471" s="408">
        <v>0</v>
      </c>
      <c r="DP471" s="408">
        <v>-2.4442243733642997</v>
      </c>
      <c r="DQ471" s="408">
        <v>0</v>
      </c>
      <c r="DR471" s="408">
        <v>0</v>
      </c>
      <c r="DS471" s="408"/>
      <c r="DT471" s="408"/>
      <c r="DU471" s="408">
        <v>15739.433553196899</v>
      </c>
      <c r="DV471" s="408"/>
      <c r="DW471" s="408">
        <v>0</v>
      </c>
      <c r="DX471" s="408">
        <v>0</v>
      </c>
      <c r="DY471" s="408">
        <v>-10580</v>
      </c>
      <c r="DZ471" s="408"/>
      <c r="EA471" s="408">
        <v>0</v>
      </c>
      <c r="EB471" s="408"/>
      <c r="EC471" s="408">
        <v>-10571.778814320649</v>
      </c>
      <c r="ED471" s="408"/>
      <c r="EE471" s="408">
        <v>0</v>
      </c>
      <c r="EF471" s="408">
        <v>0</v>
      </c>
      <c r="EG471" s="408"/>
      <c r="EH471" s="408">
        <v>0</v>
      </c>
      <c r="EI471" s="408">
        <v>0</v>
      </c>
      <c r="EJ471" s="408">
        <v>0</v>
      </c>
      <c r="EK471" s="408">
        <v>0</v>
      </c>
      <c r="EL471" s="408">
        <v>0</v>
      </c>
      <c r="EM471" s="408"/>
      <c r="EN471" s="408"/>
      <c r="EO471" s="408">
        <v>0</v>
      </c>
      <c r="EP471" s="408">
        <v>0</v>
      </c>
      <c r="EQ471" s="408"/>
      <c r="ER471" s="408">
        <v>0</v>
      </c>
      <c r="ES471" s="408"/>
      <c r="ET471" s="408">
        <v>0</v>
      </c>
      <c r="EU471" s="408"/>
      <c r="EV471" s="408">
        <v>257</v>
      </c>
      <c r="EW471" s="408"/>
      <c r="EX471" s="408"/>
      <c r="EY471" s="408"/>
      <c r="EZ471" s="408"/>
      <c r="FA471" s="408">
        <v>0</v>
      </c>
      <c r="FB471" s="408"/>
      <c r="FC471" s="408"/>
      <c r="FD471" s="408"/>
      <c r="FE471" s="408"/>
      <c r="FF471" s="408">
        <v>0</v>
      </c>
      <c r="FG471" s="408">
        <v>0</v>
      </c>
      <c r="FH471" s="408">
        <v>0</v>
      </c>
      <c r="FI471" s="408">
        <v>0</v>
      </c>
    </row>
    <row r="472" spans="1:165">
      <c r="A472" s="408">
        <v>470</v>
      </c>
      <c r="B472" s="408" t="s">
        <v>1035</v>
      </c>
      <c r="C472" s="408" t="s">
        <v>992</v>
      </c>
      <c r="D472" s="408" t="s">
        <v>596</v>
      </c>
      <c r="E472" s="408" t="s">
        <v>1321</v>
      </c>
      <c r="F472" s="408" t="s">
        <v>1321</v>
      </c>
      <c r="G472" s="408" t="s">
        <v>1321</v>
      </c>
      <c r="H472" s="408" t="s">
        <v>2317</v>
      </c>
      <c r="I472" s="408" t="s">
        <v>1321</v>
      </c>
      <c r="J472" s="408" t="s">
        <v>2250</v>
      </c>
      <c r="K472" s="828">
        <v>44440</v>
      </c>
      <c r="L472" s="408">
        <v>790</v>
      </c>
      <c r="M472" s="408">
        <v>395</v>
      </c>
      <c r="N472" s="408">
        <v>0</v>
      </c>
      <c r="O472" s="408">
        <v>0</v>
      </c>
      <c r="P472" s="408">
        <v>0</v>
      </c>
      <c r="Q472" s="408">
        <v>0</v>
      </c>
      <c r="R472" s="408">
        <v>15.78</v>
      </c>
      <c r="S472" s="408"/>
      <c r="T472" s="408"/>
      <c r="U472" s="408">
        <v>12466.199999999999</v>
      </c>
      <c r="V472" s="408"/>
      <c r="W472" s="408">
        <v>12466.199999999999</v>
      </c>
      <c r="X472" s="408">
        <v>4108</v>
      </c>
      <c r="Y472" s="408">
        <v>0</v>
      </c>
      <c r="Z472" s="408">
        <v>0</v>
      </c>
      <c r="AA472" s="408">
        <v>0</v>
      </c>
      <c r="AB472" s="408">
        <v>0</v>
      </c>
      <c r="AC472" s="408">
        <v>0</v>
      </c>
      <c r="AD472" s="408">
        <v>0</v>
      </c>
      <c r="AE472" s="408">
        <v>12434.15250702555</v>
      </c>
      <c r="AF472" s="408"/>
      <c r="AG472" s="408"/>
      <c r="AH472" s="408"/>
      <c r="AI472" s="408">
        <v>0</v>
      </c>
      <c r="AJ472" s="408">
        <v>0</v>
      </c>
      <c r="AK472" s="408">
        <v>0</v>
      </c>
      <c r="AL472" s="408">
        <v>0</v>
      </c>
      <c r="AM472" s="408"/>
      <c r="AN472" s="408">
        <v>30.216304113246604</v>
      </c>
      <c r="AO472" s="408">
        <v>0</v>
      </c>
      <c r="AP472" s="408">
        <v>0</v>
      </c>
      <c r="AQ472" s="408">
        <v>0</v>
      </c>
      <c r="AR472" s="408">
        <v>0</v>
      </c>
      <c r="AS472" s="408"/>
      <c r="AT472" s="408"/>
      <c r="AU472" s="408">
        <v>0</v>
      </c>
      <c r="AV472" s="408">
        <v>0</v>
      </c>
      <c r="AW472" s="408">
        <v>0</v>
      </c>
      <c r="AX472" s="408"/>
      <c r="AY472" s="408"/>
      <c r="AZ472" s="408">
        <v>0</v>
      </c>
      <c r="BA472" s="408"/>
      <c r="BB472" s="408">
        <v>0</v>
      </c>
      <c r="BC472" s="408">
        <v>0</v>
      </c>
      <c r="BD472" s="408">
        <v>0</v>
      </c>
      <c r="BE472" s="408">
        <v>0</v>
      </c>
      <c r="BF472" s="408"/>
      <c r="BG472" s="408">
        <v>0</v>
      </c>
      <c r="BH472" s="408">
        <v>0</v>
      </c>
      <c r="BI472" s="408">
        <v>3.77</v>
      </c>
      <c r="BJ472" s="408">
        <v>0</v>
      </c>
      <c r="BK472" s="408">
        <v>436.49</v>
      </c>
      <c r="BL472" s="408">
        <v>0</v>
      </c>
      <c r="BM472" s="408"/>
      <c r="BN472" s="408"/>
      <c r="BO472" s="408">
        <v>2054</v>
      </c>
      <c r="BP472" s="408"/>
      <c r="BQ472" s="408"/>
      <c r="BR472" s="408"/>
      <c r="BS472" s="408"/>
      <c r="BT472" s="408"/>
      <c r="BU472" s="408"/>
      <c r="BV472" s="408">
        <v>0</v>
      </c>
      <c r="BW472" s="408"/>
      <c r="BX472" s="408"/>
      <c r="BY472" s="408"/>
      <c r="BZ472" s="408"/>
      <c r="CA472" s="408"/>
      <c r="CB472" s="408"/>
      <c r="CC472" s="408"/>
      <c r="CD472" s="408"/>
      <c r="CE472" s="408"/>
      <c r="CF472" s="408"/>
      <c r="CG472" s="408"/>
      <c r="CH472" s="408"/>
      <c r="CI472" s="408">
        <v>2054</v>
      </c>
      <c r="CJ472" s="408">
        <v>-4179.13</v>
      </c>
      <c r="CK472" s="408"/>
      <c r="CL472" s="408"/>
      <c r="CM472" s="408"/>
      <c r="CN472" s="408"/>
      <c r="CO472" s="408">
        <v>-8358.1999999999989</v>
      </c>
      <c r="CP472" s="408">
        <v>0</v>
      </c>
      <c r="CQ472" s="408">
        <v>30</v>
      </c>
      <c r="CR472" s="408">
        <v>-1.9309372549577972</v>
      </c>
      <c r="CS472" s="408">
        <v>0</v>
      </c>
      <c r="CT472" s="408">
        <v>0</v>
      </c>
      <c r="CU472" s="408">
        <v>0</v>
      </c>
      <c r="CV472" s="408">
        <v>0</v>
      </c>
      <c r="CW472" s="408"/>
      <c r="CX472" s="408"/>
      <c r="CY472" s="408"/>
      <c r="CZ472" s="408">
        <v>0</v>
      </c>
      <c r="DA472" s="408">
        <v>0</v>
      </c>
      <c r="DB472" s="408">
        <v>0</v>
      </c>
      <c r="DC472" s="408"/>
      <c r="DD472" s="408"/>
      <c r="DE472" s="408">
        <v>0</v>
      </c>
      <c r="DF472" s="408">
        <v>0</v>
      </c>
      <c r="DG472" s="408">
        <v>0</v>
      </c>
      <c r="DH472" s="408">
        <v>0</v>
      </c>
      <c r="DI472" s="408">
        <v>0</v>
      </c>
      <c r="DJ472" s="408"/>
      <c r="DK472" s="408">
        <v>0</v>
      </c>
      <c r="DL472" s="408">
        <v>0</v>
      </c>
      <c r="DM472" s="408"/>
      <c r="DN472" s="408">
        <v>0</v>
      </c>
      <c r="DO472" s="408">
        <v>0</v>
      </c>
      <c r="DP472" s="408">
        <v>-1.9309372549577972</v>
      </c>
      <c r="DQ472" s="408">
        <v>0</v>
      </c>
      <c r="DR472" s="408">
        <v>0</v>
      </c>
      <c r="DS472" s="408"/>
      <c r="DT472" s="408"/>
      <c r="DU472" s="408">
        <v>12434.15250702555</v>
      </c>
      <c r="DV472" s="408"/>
      <c r="DW472" s="408">
        <v>0</v>
      </c>
      <c r="DX472" s="408">
        <v>0</v>
      </c>
      <c r="DY472" s="408">
        <v>-8358.1999999999989</v>
      </c>
      <c r="DZ472" s="408"/>
      <c r="EA472" s="408">
        <v>0</v>
      </c>
      <c r="EB472" s="408"/>
      <c r="EC472" s="408">
        <v>-8351.7052633133135</v>
      </c>
      <c r="ED472" s="408"/>
      <c r="EE472" s="408">
        <v>0</v>
      </c>
      <c r="EF472" s="408">
        <v>0</v>
      </c>
      <c r="EG472" s="408"/>
      <c r="EH472" s="408">
        <v>0</v>
      </c>
      <c r="EI472" s="408">
        <v>0</v>
      </c>
      <c r="EJ472" s="408">
        <v>0</v>
      </c>
      <c r="EK472" s="408">
        <v>0</v>
      </c>
      <c r="EL472" s="408">
        <v>0</v>
      </c>
      <c r="EM472" s="408"/>
      <c r="EN472" s="408"/>
      <c r="EO472" s="408">
        <v>0</v>
      </c>
      <c r="EP472" s="408">
        <v>0</v>
      </c>
      <c r="EQ472" s="408"/>
      <c r="ER472" s="408">
        <v>0</v>
      </c>
      <c r="ES472" s="408"/>
      <c r="ET472" s="408">
        <v>0</v>
      </c>
      <c r="EU472" s="408"/>
      <c r="EV472" s="408">
        <v>257</v>
      </c>
      <c r="EW472" s="408"/>
      <c r="EX472" s="408"/>
      <c r="EY472" s="408"/>
      <c r="EZ472" s="408"/>
      <c r="FA472" s="408">
        <v>0</v>
      </c>
      <c r="FB472" s="408"/>
      <c r="FC472" s="408"/>
      <c r="FD472" s="408"/>
      <c r="FE472" s="408"/>
      <c r="FF472" s="408">
        <v>0</v>
      </c>
      <c r="FG472" s="408">
        <v>0</v>
      </c>
      <c r="FH472" s="408">
        <v>0</v>
      </c>
      <c r="FI472" s="408">
        <v>0</v>
      </c>
    </row>
    <row r="473" spans="1:165">
      <c r="A473" s="408">
        <v>471</v>
      </c>
      <c r="B473" s="408" t="s">
        <v>1035</v>
      </c>
      <c r="C473" s="408" t="s">
        <v>2241</v>
      </c>
      <c r="D473" s="408" t="s">
        <v>596</v>
      </c>
      <c r="E473" s="408" t="s">
        <v>969</v>
      </c>
      <c r="F473" s="408" t="s">
        <v>1321</v>
      </c>
      <c r="G473" s="408" t="s">
        <v>2314</v>
      </c>
      <c r="H473" s="408" t="s">
        <v>1321</v>
      </c>
      <c r="I473" s="408" t="s">
        <v>972</v>
      </c>
      <c r="J473" s="408" t="s">
        <v>2315</v>
      </c>
      <c r="K473" s="828">
        <v>44470</v>
      </c>
      <c r="L473" s="408">
        <v>0</v>
      </c>
      <c r="M473" s="408">
        <v>0</v>
      </c>
      <c r="N473" s="408">
        <v>15.577999999999999</v>
      </c>
      <c r="O473" s="408">
        <v>7.7889999999999997</v>
      </c>
      <c r="P473" s="408">
        <v>0</v>
      </c>
      <c r="Q473" s="408">
        <v>0</v>
      </c>
      <c r="R473" s="408"/>
      <c r="S473" s="408">
        <v>3130.62</v>
      </c>
      <c r="T473" s="408"/>
      <c r="U473" s="408"/>
      <c r="V473" s="408">
        <v>48768.798359999993</v>
      </c>
      <c r="W473" s="408">
        <v>48768.798359999993</v>
      </c>
      <c r="X473" s="408">
        <v>23524.182019999997</v>
      </c>
      <c r="Y473" s="408">
        <v>0</v>
      </c>
      <c r="Z473" s="408">
        <v>833.15775053121843</v>
      </c>
      <c r="AA473" s="408">
        <v>0</v>
      </c>
      <c r="AB473" s="408">
        <v>0</v>
      </c>
      <c r="AC473" s="408">
        <v>0</v>
      </c>
      <c r="AD473" s="408">
        <v>10035.562689696362</v>
      </c>
      <c r="AE473" s="408">
        <v>37451.827872503593</v>
      </c>
      <c r="AF473" s="408"/>
      <c r="AG473" s="408"/>
      <c r="AH473" s="408"/>
      <c r="AI473" s="408">
        <v>0</v>
      </c>
      <c r="AJ473" s="408">
        <v>0</v>
      </c>
      <c r="AK473" s="408">
        <v>0</v>
      </c>
      <c r="AL473" s="408">
        <v>148.05742078196423</v>
      </c>
      <c r="AM473" s="408"/>
      <c r="AN473" s="408">
        <v>21.015578709223863</v>
      </c>
      <c r="AO473" s="408">
        <v>0</v>
      </c>
      <c r="AP473" s="408">
        <v>0</v>
      </c>
      <c r="AQ473" s="408">
        <v>0</v>
      </c>
      <c r="AR473" s="408">
        <v>0</v>
      </c>
      <c r="AS473" s="408"/>
      <c r="AT473" s="408"/>
      <c r="AU473" s="408">
        <v>0</v>
      </c>
      <c r="AV473" s="408">
        <v>0</v>
      </c>
      <c r="AW473" s="408">
        <v>0</v>
      </c>
      <c r="AX473" s="408"/>
      <c r="AY473" s="408"/>
      <c r="AZ473" s="408">
        <v>0</v>
      </c>
      <c r="BA473" s="408"/>
      <c r="BB473" s="408">
        <v>0</v>
      </c>
      <c r="BC473" s="408">
        <v>0</v>
      </c>
      <c r="BD473" s="408">
        <v>19.192488833638805</v>
      </c>
      <c r="BE473" s="408">
        <v>0</v>
      </c>
      <c r="BF473" s="408"/>
      <c r="BG473" s="408">
        <v>259.98573154213955</v>
      </c>
      <c r="BH473" s="408">
        <v>0</v>
      </c>
      <c r="BI473" s="408">
        <v>0</v>
      </c>
      <c r="BJ473" s="408">
        <v>0</v>
      </c>
      <c r="BK473" s="408">
        <v>0</v>
      </c>
      <c r="BL473" s="408">
        <v>0</v>
      </c>
      <c r="BM473" s="408"/>
      <c r="BN473" s="408">
        <v>11762.091009999998</v>
      </c>
      <c r="BO473" s="408"/>
      <c r="BP473" s="408"/>
      <c r="BQ473" s="408"/>
      <c r="BR473" s="408"/>
      <c r="BS473" s="408"/>
      <c r="BT473" s="408"/>
      <c r="BU473" s="408"/>
      <c r="BV473" s="408">
        <v>279.17822037577832</v>
      </c>
      <c r="BW473" s="408"/>
      <c r="BX473" s="408"/>
      <c r="BY473" s="408"/>
      <c r="BZ473" s="408"/>
      <c r="CA473" s="408"/>
      <c r="CB473" s="408"/>
      <c r="CC473" s="408"/>
      <c r="CD473" s="408"/>
      <c r="CE473" s="408"/>
      <c r="CF473" s="408"/>
      <c r="CG473" s="408"/>
      <c r="CH473" s="408"/>
      <c r="CI473" s="408">
        <v>11763.6011</v>
      </c>
      <c r="CJ473" s="408">
        <v>-12620.828079999992</v>
      </c>
      <c r="CK473" s="408"/>
      <c r="CL473" s="408"/>
      <c r="CM473" s="408"/>
      <c r="CN473" s="408"/>
      <c r="CO473" s="408">
        <v>-25244.616339999997</v>
      </c>
      <c r="CP473" s="408">
        <v>0</v>
      </c>
      <c r="CQ473" s="408">
        <v>31</v>
      </c>
      <c r="CR473" s="408">
        <v>-89.245243141891478</v>
      </c>
      <c r="CS473" s="408">
        <v>0</v>
      </c>
      <c r="CT473" s="408">
        <v>0</v>
      </c>
      <c r="CU473" s="408">
        <v>0</v>
      </c>
      <c r="CV473" s="408">
        <v>0</v>
      </c>
      <c r="CW473" s="408"/>
      <c r="CX473" s="408"/>
      <c r="CY473" s="408"/>
      <c r="CZ473" s="408">
        <v>-45.361374546731895</v>
      </c>
      <c r="DA473" s="408">
        <v>0</v>
      </c>
      <c r="DB473" s="408">
        <v>0</v>
      </c>
      <c r="DC473" s="408"/>
      <c r="DD473" s="408"/>
      <c r="DE473" s="408">
        <v>0</v>
      </c>
      <c r="DF473" s="408">
        <v>1.1956626738521337</v>
      </c>
      <c r="DG473" s="408">
        <v>16.196713080495783</v>
      </c>
      <c r="DH473" s="408">
        <v>0</v>
      </c>
      <c r="DI473" s="408">
        <v>-51.808959520792882</v>
      </c>
      <c r="DJ473" s="408"/>
      <c r="DK473" s="408">
        <v>0</v>
      </c>
      <c r="DL473" s="408">
        <v>0</v>
      </c>
      <c r="DM473" s="408"/>
      <c r="DN473" s="408">
        <v>0</v>
      </c>
      <c r="DO473" s="408">
        <v>-8.1243090725762102</v>
      </c>
      <c r="DP473" s="408">
        <v>-1.342975756136596</v>
      </c>
      <c r="DQ473" s="408">
        <v>0</v>
      </c>
      <c r="DR473" s="408">
        <v>0</v>
      </c>
      <c r="DS473" s="408"/>
      <c r="DT473" s="408"/>
      <c r="DU473" s="408"/>
      <c r="DV473" s="408">
        <v>37451.827872503593</v>
      </c>
      <c r="DW473" s="408">
        <v>0</v>
      </c>
      <c r="DX473" s="408">
        <v>0</v>
      </c>
      <c r="DY473" s="408">
        <v>-25244.616339999997</v>
      </c>
      <c r="DZ473" s="408"/>
      <c r="EA473" s="408">
        <v>0</v>
      </c>
      <c r="EB473" s="408"/>
      <c r="EC473" s="408">
        <v>-25155.444071219281</v>
      </c>
      <c r="ED473" s="408"/>
      <c r="EE473" s="408">
        <v>0</v>
      </c>
      <c r="EF473" s="408">
        <v>0</v>
      </c>
      <c r="EG473" s="408"/>
      <c r="EH473" s="408">
        <v>0</v>
      </c>
      <c r="EI473" s="408">
        <v>0</v>
      </c>
      <c r="EJ473" s="408">
        <v>0</v>
      </c>
      <c r="EK473" s="408">
        <v>0</v>
      </c>
      <c r="EL473" s="408">
        <v>0</v>
      </c>
      <c r="EM473" s="408"/>
      <c r="EN473" s="408"/>
      <c r="EO473" s="408">
        <v>0</v>
      </c>
      <c r="EP473" s="408">
        <v>0</v>
      </c>
      <c r="EQ473" s="408"/>
      <c r="ER473" s="408">
        <v>0</v>
      </c>
      <c r="ES473" s="408"/>
      <c r="ET473" s="408">
        <v>0</v>
      </c>
      <c r="EU473" s="408"/>
      <c r="EV473" s="408">
        <v>257</v>
      </c>
      <c r="EW473" s="408"/>
      <c r="EX473" s="408"/>
      <c r="EY473" s="408"/>
      <c r="EZ473" s="408"/>
      <c r="FA473" s="408">
        <v>0</v>
      </c>
      <c r="FB473" s="408"/>
      <c r="FC473" s="408"/>
      <c r="FD473" s="408"/>
      <c r="FE473" s="408"/>
      <c r="FF473" s="408">
        <v>0</v>
      </c>
      <c r="FG473" s="408">
        <v>0</v>
      </c>
      <c r="FH473" s="408">
        <v>0</v>
      </c>
      <c r="FI473" s="408">
        <v>0</v>
      </c>
    </row>
    <row r="474" spans="1:165">
      <c r="A474" s="408">
        <v>472</v>
      </c>
      <c r="B474" s="408" t="s">
        <v>1035</v>
      </c>
      <c r="C474" s="408" t="s">
        <v>2241</v>
      </c>
      <c r="D474" s="408" t="s">
        <v>596</v>
      </c>
      <c r="E474" s="408" t="s">
        <v>969</v>
      </c>
      <c r="F474" s="408" t="s">
        <v>1321</v>
      </c>
      <c r="G474" s="408" t="s">
        <v>2314</v>
      </c>
      <c r="H474" s="408" t="s">
        <v>1321</v>
      </c>
      <c r="I474" s="408" t="s">
        <v>2242</v>
      </c>
      <c r="J474" s="408" t="s">
        <v>2315</v>
      </c>
      <c r="K474" s="828">
        <v>44470</v>
      </c>
      <c r="L474" s="408">
        <v>0</v>
      </c>
      <c r="M474" s="408">
        <v>0</v>
      </c>
      <c r="N474" s="408">
        <v>233.029</v>
      </c>
      <c r="O474" s="408">
        <v>116.5145</v>
      </c>
      <c r="P474" s="408">
        <v>0</v>
      </c>
      <c r="Q474" s="408">
        <v>0</v>
      </c>
      <c r="R474" s="408"/>
      <c r="S474" s="408">
        <v>82.26</v>
      </c>
      <c r="T474" s="408"/>
      <c r="U474" s="408"/>
      <c r="V474" s="408">
        <v>19168.965540000001</v>
      </c>
      <c r="W474" s="408">
        <v>19168.965540000001</v>
      </c>
      <c r="X474" s="408">
        <v>18511.823759999999</v>
      </c>
      <c r="Y474" s="408">
        <v>0</v>
      </c>
      <c r="Z474" s="408">
        <v>12463.083672393073</v>
      </c>
      <c r="AA474" s="408">
        <v>0</v>
      </c>
      <c r="AB474" s="408">
        <v>0</v>
      </c>
      <c r="AC474" s="408">
        <v>0</v>
      </c>
      <c r="AD474" s="408">
        <v>0</v>
      </c>
      <c r="AE474" s="408">
        <v>0</v>
      </c>
      <c r="AF474" s="408"/>
      <c r="AG474" s="408"/>
      <c r="AH474" s="408"/>
      <c r="AI474" s="408">
        <v>0</v>
      </c>
      <c r="AJ474" s="408">
        <v>0</v>
      </c>
      <c r="AK474" s="408">
        <v>0</v>
      </c>
      <c r="AL474" s="408">
        <v>2214.7690786622379</v>
      </c>
      <c r="AM474" s="408"/>
      <c r="AN474" s="408">
        <v>314.3689363866817</v>
      </c>
      <c r="AO474" s="408">
        <v>0</v>
      </c>
      <c r="AP474" s="408">
        <v>0</v>
      </c>
      <c r="AQ474" s="408">
        <v>0</v>
      </c>
      <c r="AR474" s="408">
        <v>0</v>
      </c>
      <c r="AS474" s="408"/>
      <c r="AT474" s="408"/>
      <c r="AU474" s="408">
        <v>0</v>
      </c>
      <c r="AV474" s="408">
        <v>0</v>
      </c>
      <c r="AW474" s="408">
        <v>0</v>
      </c>
      <c r="AX474" s="408"/>
      <c r="AY474" s="408"/>
      <c r="AZ474" s="408">
        <v>0</v>
      </c>
      <c r="BA474" s="408"/>
      <c r="BB474" s="408">
        <v>0</v>
      </c>
      <c r="BC474" s="408">
        <v>0</v>
      </c>
      <c r="BD474" s="408">
        <v>287.09760434035292</v>
      </c>
      <c r="BE474" s="408">
        <v>0</v>
      </c>
      <c r="BF474" s="408"/>
      <c r="BG474" s="408">
        <v>3889.088139397435</v>
      </c>
      <c r="BH474" s="408">
        <v>0</v>
      </c>
      <c r="BI474" s="408">
        <v>0</v>
      </c>
      <c r="BJ474" s="408">
        <v>0</v>
      </c>
      <c r="BK474" s="408">
        <v>0</v>
      </c>
      <c r="BL474" s="408">
        <v>0</v>
      </c>
      <c r="BM474" s="408"/>
      <c r="BN474" s="408">
        <v>9255.9118799999997</v>
      </c>
      <c r="BO474" s="408"/>
      <c r="BP474" s="408"/>
      <c r="BQ474" s="408"/>
      <c r="BR474" s="408"/>
      <c r="BS474" s="408"/>
      <c r="BT474" s="408"/>
      <c r="BU474" s="408"/>
      <c r="BV474" s="408">
        <v>4176.1857437377876</v>
      </c>
      <c r="BW474" s="408"/>
      <c r="BX474" s="408"/>
      <c r="BY474" s="408"/>
      <c r="BZ474" s="408"/>
      <c r="CA474" s="408"/>
      <c r="CB474" s="408"/>
      <c r="CC474" s="408"/>
      <c r="CD474" s="408"/>
      <c r="CE474" s="408"/>
      <c r="CF474" s="408"/>
      <c r="CG474" s="408"/>
      <c r="CH474" s="408"/>
      <c r="CI474" s="408">
        <v>9255.5544000000009</v>
      </c>
      <c r="CJ474" s="408">
        <v>-328.95837000000029</v>
      </c>
      <c r="CK474" s="408"/>
      <c r="CL474" s="408"/>
      <c r="CM474" s="408"/>
      <c r="CN474" s="408"/>
      <c r="CO474" s="408">
        <v>-657.14178000000175</v>
      </c>
      <c r="CP474" s="408">
        <v>0</v>
      </c>
      <c r="CQ474" s="408">
        <v>31</v>
      </c>
      <c r="CR474" s="408">
        <v>-656.45230548600739</v>
      </c>
      <c r="CS474" s="408">
        <v>0</v>
      </c>
      <c r="CT474" s="408">
        <v>0</v>
      </c>
      <c r="CU474" s="408">
        <v>0</v>
      </c>
      <c r="CV474" s="408">
        <v>0</v>
      </c>
      <c r="CW474" s="408"/>
      <c r="CX474" s="408"/>
      <c r="CY474" s="408"/>
      <c r="CZ474" s="408">
        <v>0</v>
      </c>
      <c r="DA474" s="408">
        <v>0</v>
      </c>
      <c r="DB474" s="408">
        <v>0</v>
      </c>
      <c r="DC474" s="408"/>
      <c r="DD474" s="408"/>
      <c r="DE474" s="408">
        <v>0</v>
      </c>
      <c r="DF474" s="408">
        <v>17.885741252091975</v>
      </c>
      <c r="DG474" s="408">
        <v>242.284237542357</v>
      </c>
      <c r="DH474" s="408">
        <v>0</v>
      </c>
      <c r="DI474" s="408">
        <v>-775.00256953208554</v>
      </c>
      <c r="DJ474" s="408"/>
      <c r="DK474" s="408">
        <v>0</v>
      </c>
      <c r="DL474" s="408">
        <v>0</v>
      </c>
      <c r="DM474" s="408"/>
      <c r="DN474" s="408">
        <v>0</v>
      </c>
      <c r="DO474" s="408">
        <v>-121.53033886720777</v>
      </c>
      <c r="DP474" s="408">
        <v>-20.089375881162823</v>
      </c>
      <c r="DQ474" s="408">
        <v>0</v>
      </c>
      <c r="DR474" s="408">
        <v>0</v>
      </c>
      <c r="DS474" s="408"/>
      <c r="DT474" s="408"/>
      <c r="DU474" s="408"/>
      <c r="DV474" s="408">
        <v>0</v>
      </c>
      <c r="DW474" s="408">
        <v>0</v>
      </c>
      <c r="DX474" s="408">
        <v>0</v>
      </c>
      <c r="DY474" s="408">
        <v>-657.14178000000175</v>
      </c>
      <c r="DZ474" s="408"/>
      <c r="EA474" s="408">
        <v>0</v>
      </c>
      <c r="EB474" s="408"/>
      <c r="EC474" s="408">
        <v>0</v>
      </c>
      <c r="ED474" s="408"/>
      <c r="EE474" s="408">
        <v>0</v>
      </c>
      <c r="EF474" s="408">
        <v>0</v>
      </c>
      <c r="EG474" s="408"/>
      <c r="EH474" s="408">
        <v>0</v>
      </c>
      <c r="EI474" s="408">
        <v>0</v>
      </c>
      <c r="EJ474" s="408">
        <v>0</v>
      </c>
      <c r="EK474" s="408">
        <v>0</v>
      </c>
      <c r="EL474" s="408">
        <v>0</v>
      </c>
      <c r="EM474" s="408"/>
      <c r="EN474" s="408"/>
      <c r="EO474" s="408">
        <v>0</v>
      </c>
      <c r="EP474" s="408">
        <v>0</v>
      </c>
      <c r="EQ474" s="408"/>
      <c r="ER474" s="408">
        <v>0</v>
      </c>
      <c r="ES474" s="408"/>
      <c r="ET474" s="408">
        <v>0</v>
      </c>
      <c r="EU474" s="408"/>
      <c r="EV474" s="408">
        <v>257</v>
      </c>
      <c r="EW474" s="408"/>
      <c r="EX474" s="408"/>
      <c r="EY474" s="408"/>
      <c r="EZ474" s="408"/>
      <c r="FA474" s="408">
        <v>0</v>
      </c>
      <c r="FB474" s="408"/>
      <c r="FC474" s="408"/>
      <c r="FD474" s="408"/>
      <c r="FE474" s="408"/>
      <c r="FF474" s="408">
        <v>0</v>
      </c>
      <c r="FG474" s="408">
        <v>0</v>
      </c>
      <c r="FH474" s="408">
        <v>0</v>
      </c>
      <c r="FI474" s="408">
        <v>0</v>
      </c>
    </row>
    <row r="475" spans="1:165">
      <c r="A475" s="408">
        <v>473</v>
      </c>
      <c r="B475" s="408" t="s">
        <v>1035</v>
      </c>
      <c r="C475" s="408" t="s">
        <v>2241</v>
      </c>
      <c r="D475" s="408" t="s">
        <v>596</v>
      </c>
      <c r="E475" s="408" t="s">
        <v>969</v>
      </c>
      <c r="F475" s="408" t="s">
        <v>1321</v>
      </c>
      <c r="G475" s="408" t="s">
        <v>2314</v>
      </c>
      <c r="H475" s="408" t="s">
        <v>1321</v>
      </c>
      <c r="I475" s="408" t="s">
        <v>1321</v>
      </c>
      <c r="J475" s="408" t="s">
        <v>2315</v>
      </c>
      <c r="K475" s="828">
        <v>44470</v>
      </c>
      <c r="L475" s="408">
        <v>977</v>
      </c>
      <c r="M475" s="408">
        <v>488.5</v>
      </c>
      <c r="N475" s="408">
        <v>0</v>
      </c>
      <c r="O475" s="408">
        <v>0</v>
      </c>
      <c r="P475" s="408">
        <v>0</v>
      </c>
      <c r="Q475" s="408">
        <v>0</v>
      </c>
      <c r="R475" s="408">
        <v>47.39</v>
      </c>
      <c r="S475" s="408"/>
      <c r="T475" s="408"/>
      <c r="U475" s="408">
        <v>46300.03</v>
      </c>
      <c r="V475" s="408"/>
      <c r="W475" s="408">
        <v>46300.03</v>
      </c>
      <c r="X475" s="408">
        <v>31478.94</v>
      </c>
      <c r="Y475" s="408">
        <v>0</v>
      </c>
      <c r="Z475" s="408">
        <v>0</v>
      </c>
      <c r="AA475" s="408">
        <v>0</v>
      </c>
      <c r="AB475" s="408">
        <v>0</v>
      </c>
      <c r="AC475" s="408">
        <v>0</v>
      </c>
      <c r="AD475" s="408">
        <v>24395.787875337988</v>
      </c>
      <c r="AE475" s="408">
        <v>21904.21029907772</v>
      </c>
      <c r="AF475" s="408"/>
      <c r="AG475" s="408"/>
      <c r="AH475" s="408"/>
      <c r="AI475" s="408">
        <v>0</v>
      </c>
      <c r="AJ475" s="408">
        <v>0</v>
      </c>
      <c r="AK475" s="408">
        <v>0</v>
      </c>
      <c r="AL475" s="408">
        <v>0</v>
      </c>
      <c r="AM475" s="408"/>
      <c r="AN475" s="408">
        <v>0</v>
      </c>
      <c r="AO475" s="408">
        <v>0</v>
      </c>
      <c r="AP475" s="408">
        <v>0</v>
      </c>
      <c r="AQ475" s="408">
        <v>0</v>
      </c>
      <c r="AR475" s="408">
        <v>0</v>
      </c>
      <c r="AS475" s="408"/>
      <c r="AT475" s="408"/>
      <c r="AU475" s="408">
        <v>0</v>
      </c>
      <c r="AV475" s="408">
        <v>0</v>
      </c>
      <c r="AW475" s="408">
        <v>0</v>
      </c>
      <c r="AX475" s="408"/>
      <c r="AY475" s="408"/>
      <c r="AZ475" s="408">
        <v>0</v>
      </c>
      <c r="BA475" s="408"/>
      <c r="BB475" s="408">
        <v>0</v>
      </c>
      <c r="BC475" s="408">
        <v>0</v>
      </c>
      <c r="BD475" s="408">
        <v>0</v>
      </c>
      <c r="BE475" s="408">
        <v>0</v>
      </c>
      <c r="BF475" s="408"/>
      <c r="BG475" s="408">
        <v>0</v>
      </c>
      <c r="BH475" s="408">
        <v>0</v>
      </c>
      <c r="BI475" s="408">
        <v>607.91999999999996</v>
      </c>
      <c r="BJ475" s="408">
        <v>0</v>
      </c>
      <c r="BK475" s="408">
        <v>10033.65</v>
      </c>
      <c r="BL475" s="408">
        <v>2</v>
      </c>
      <c r="BM475" s="408"/>
      <c r="BN475" s="408">
        <v>15739.47</v>
      </c>
      <c r="BO475" s="408"/>
      <c r="BP475" s="408"/>
      <c r="BQ475" s="408"/>
      <c r="BR475" s="408"/>
      <c r="BS475" s="408"/>
      <c r="BT475" s="408"/>
      <c r="BU475" s="408"/>
      <c r="BV475" s="408">
        <v>0</v>
      </c>
      <c r="BW475" s="408"/>
      <c r="BX475" s="408"/>
      <c r="BY475" s="408"/>
      <c r="BZ475" s="408"/>
      <c r="CA475" s="408"/>
      <c r="CB475" s="408"/>
      <c r="CC475" s="408"/>
      <c r="CD475" s="408"/>
      <c r="CE475" s="408"/>
      <c r="CF475" s="408"/>
      <c r="CG475" s="408"/>
      <c r="CH475" s="408"/>
      <c r="CI475" s="408">
        <v>15739.47</v>
      </c>
      <c r="CJ475" s="408">
        <v>-7410.5749999999953</v>
      </c>
      <c r="CK475" s="408"/>
      <c r="CL475" s="408"/>
      <c r="CM475" s="408"/>
      <c r="CN475" s="408"/>
      <c r="CO475" s="408">
        <v>-14821.090000000002</v>
      </c>
      <c r="CP475" s="408">
        <v>0</v>
      </c>
      <c r="CQ475" s="408">
        <v>31</v>
      </c>
      <c r="CR475" s="408">
        <v>-110.27049557592181</v>
      </c>
      <c r="CS475" s="408">
        <v>0</v>
      </c>
      <c r="CT475" s="408">
        <v>0</v>
      </c>
      <c r="CU475" s="408">
        <v>0</v>
      </c>
      <c r="CV475" s="408">
        <v>0</v>
      </c>
      <c r="CW475" s="408"/>
      <c r="CX475" s="408"/>
      <c r="CY475" s="408"/>
      <c r="CZ475" s="408">
        <v>-110.27049557592181</v>
      </c>
      <c r="DA475" s="408">
        <v>0</v>
      </c>
      <c r="DB475" s="408">
        <v>0</v>
      </c>
      <c r="DC475" s="408"/>
      <c r="DD475" s="408"/>
      <c r="DE475" s="408">
        <v>0</v>
      </c>
      <c r="DF475" s="408">
        <v>0</v>
      </c>
      <c r="DG475" s="408">
        <v>0</v>
      </c>
      <c r="DH475" s="408">
        <v>0</v>
      </c>
      <c r="DI475" s="408">
        <v>0</v>
      </c>
      <c r="DJ475" s="408"/>
      <c r="DK475" s="408">
        <v>0</v>
      </c>
      <c r="DL475" s="408">
        <v>0</v>
      </c>
      <c r="DM475" s="408"/>
      <c r="DN475" s="408">
        <v>0</v>
      </c>
      <c r="DO475" s="408">
        <v>0</v>
      </c>
      <c r="DP475" s="408">
        <v>0</v>
      </c>
      <c r="DQ475" s="408">
        <v>0</v>
      </c>
      <c r="DR475" s="408">
        <v>0</v>
      </c>
      <c r="DS475" s="408"/>
      <c r="DT475" s="408"/>
      <c r="DU475" s="408">
        <v>21904.21029907772</v>
      </c>
      <c r="DV475" s="408"/>
      <c r="DW475" s="408">
        <v>0</v>
      </c>
      <c r="DX475" s="408">
        <v>0</v>
      </c>
      <c r="DY475" s="408">
        <v>-14821.09</v>
      </c>
      <c r="DZ475" s="408"/>
      <c r="EA475" s="408">
        <v>0</v>
      </c>
      <c r="EB475" s="408"/>
      <c r="EC475" s="408">
        <v>-14712.503191525568</v>
      </c>
      <c r="ED475" s="408"/>
      <c r="EE475" s="408">
        <v>0</v>
      </c>
      <c r="EF475" s="408">
        <v>0</v>
      </c>
      <c r="EG475" s="408"/>
      <c r="EH475" s="408">
        <v>0</v>
      </c>
      <c r="EI475" s="408">
        <v>0</v>
      </c>
      <c r="EJ475" s="408">
        <v>0</v>
      </c>
      <c r="EK475" s="408">
        <v>0</v>
      </c>
      <c r="EL475" s="408">
        <v>0</v>
      </c>
      <c r="EM475" s="408"/>
      <c r="EN475" s="408"/>
      <c r="EO475" s="408">
        <v>0</v>
      </c>
      <c r="EP475" s="408">
        <v>0</v>
      </c>
      <c r="EQ475" s="408"/>
      <c r="ER475" s="408">
        <v>0</v>
      </c>
      <c r="ES475" s="408"/>
      <c r="ET475" s="408">
        <v>0</v>
      </c>
      <c r="EU475" s="408"/>
      <c r="EV475" s="408">
        <v>257</v>
      </c>
      <c r="EW475" s="408"/>
      <c r="EX475" s="408"/>
      <c r="EY475" s="408"/>
      <c r="EZ475" s="408"/>
      <c r="FA475" s="408">
        <v>0</v>
      </c>
      <c r="FB475" s="408"/>
      <c r="FC475" s="408"/>
      <c r="FD475" s="408"/>
      <c r="FE475" s="408"/>
      <c r="FF475" s="408">
        <v>0</v>
      </c>
      <c r="FG475" s="408">
        <v>0</v>
      </c>
      <c r="FH475" s="408">
        <v>0</v>
      </c>
      <c r="FI475" s="408">
        <v>0</v>
      </c>
    </row>
    <row r="476" spans="1:165">
      <c r="A476" s="408">
        <v>474</v>
      </c>
      <c r="B476" s="408" t="s">
        <v>1035</v>
      </c>
      <c r="C476" s="408" t="s">
        <v>992</v>
      </c>
      <c r="D476" s="408" t="s">
        <v>596</v>
      </c>
      <c r="E476" s="408" t="s">
        <v>1321</v>
      </c>
      <c r="F476" s="408" t="s">
        <v>1321</v>
      </c>
      <c r="G476" s="408" t="s">
        <v>1321</v>
      </c>
      <c r="H476" s="408" t="s">
        <v>2316</v>
      </c>
      <c r="I476" s="408" t="s">
        <v>1321</v>
      </c>
      <c r="J476" s="408" t="s">
        <v>2250</v>
      </c>
      <c r="K476" s="828">
        <v>44470</v>
      </c>
      <c r="L476" s="408">
        <v>1000</v>
      </c>
      <c r="M476" s="408">
        <v>500</v>
      </c>
      <c r="N476" s="408">
        <v>0</v>
      </c>
      <c r="O476" s="408">
        <v>0</v>
      </c>
      <c r="P476" s="408">
        <v>0</v>
      </c>
      <c r="Q476" s="408">
        <v>0</v>
      </c>
      <c r="R476" s="408">
        <v>15.78</v>
      </c>
      <c r="S476" s="408"/>
      <c r="T476" s="408"/>
      <c r="U476" s="408">
        <v>15780</v>
      </c>
      <c r="V476" s="408"/>
      <c r="W476" s="408">
        <v>15780</v>
      </c>
      <c r="X476" s="408">
        <v>5200</v>
      </c>
      <c r="Y476" s="408">
        <v>0</v>
      </c>
      <c r="Z476" s="408">
        <v>0</v>
      </c>
      <c r="AA476" s="408">
        <v>0</v>
      </c>
      <c r="AB476" s="408">
        <v>0</v>
      </c>
      <c r="AC476" s="408">
        <v>0</v>
      </c>
      <c r="AD476" s="408">
        <v>0</v>
      </c>
      <c r="AE476" s="408">
        <v>15739.433553196899</v>
      </c>
      <c r="AF476" s="408"/>
      <c r="AG476" s="408"/>
      <c r="AH476" s="408"/>
      <c r="AI476" s="408">
        <v>0</v>
      </c>
      <c r="AJ476" s="408">
        <v>0</v>
      </c>
      <c r="AK476" s="408">
        <v>0</v>
      </c>
      <c r="AL476" s="408">
        <v>0</v>
      </c>
      <c r="AM476" s="408"/>
      <c r="AN476" s="408">
        <v>38.248486219299501</v>
      </c>
      <c r="AO476" s="408">
        <v>0</v>
      </c>
      <c r="AP476" s="408">
        <v>0</v>
      </c>
      <c r="AQ476" s="408">
        <v>0</v>
      </c>
      <c r="AR476" s="408">
        <v>0</v>
      </c>
      <c r="AS476" s="408"/>
      <c r="AT476" s="408"/>
      <c r="AU476" s="408">
        <v>0</v>
      </c>
      <c r="AV476" s="408">
        <v>0</v>
      </c>
      <c r="AW476" s="408">
        <v>0</v>
      </c>
      <c r="AX476" s="408"/>
      <c r="AY476" s="408"/>
      <c r="AZ476" s="408">
        <v>0</v>
      </c>
      <c r="BA476" s="408"/>
      <c r="BB476" s="408">
        <v>0</v>
      </c>
      <c r="BC476" s="408">
        <v>0</v>
      </c>
      <c r="BD476" s="408">
        <v>0</v>
      </c>
      <c r="BE476" s="408">
        <v>0</v>
      </c>
      <c r="BF476" s="408"/>
      <c r="BG476" s="408">
        <v>0</v>
      </c>
      <c r="BH476" s="408">
        <v>0</v>
      </c>
      <c r="BI476" s="408">
        <v>33.840000000000003</v>
      </c>
      <c r="BJ476" s="408">
        <v>0</v>
      </c>
      <c r="BK476" s="408">
        <v>558.69000000000005</v>
      </c>
      <c r="BL476" s="408">
        <v>0</v>
      </c>
      <c r="BM476" s="408"/>
      <c r="BN476" s="408"/>
      <c r="BO476" s="408">
        <v>2600</v>
      </c>
      <c r="BP476" s="408"/>
      <c r="BQ476" s="408"/>
      <c r="BR476" s="408"/>
      <c r="BS476" s="408"/>
      <c r="BT476" s="408"/>
      <c r="BU476" s="408"/>
      <c r="BV476" s="408">
        <v>0</v>
      </c>
      <c r="BW476" s="408"/>
      <c r="BX476" s="408"/>
      <c r="BY476" s="408"/>
      <c r="BZ476" s="408"/>
      <c r="CA476" s="408"/>
      <c r="CB476" s="408"/>
      <c r="CC476" s="408"/>
      <c r="CD476" s="408"/>
      <c r="CE476" s="408"/>
      <c r="CF476" s="408"/>
      <c r="CG476" s="408"/>
      <c r="CH476" s="408"/>
      <c r="CI476" s="408">
        <v>2600</v>
      </c>
      <c r="CJ476" s="408">
        <v>-5290.0300000000007</v>
      </c>
      <c r="CK476" s="408"/>
      <c r="CL476" s="408"/>
      <c r="CM476" s="408"/>
      <c r="CN476" s="408"/>
      <c r="CO476" s="408">
        <v>-10579.999999999998</v>
      </c>
      <c r="CP476" s="408">
        <v>0</v>
      </c>
      <c r="CQ476" s="408">
        <v>31</v>
      </c>
      <c r="CR476" s="408">
        <v>-2.4442243733642997</v>
      </c>
      <c r="CS476" s="408">
        <v>0</v>
      </c>
      <c r="CT476" s="408">
        <v>0</v>
      </c>
      <c r="CU476" s="408">
        <v>0</v>
      </c>
      <c r="CV476" s="408">
        <v>0</v>
      </c>
      <c r="CW476" s="408"/>
      <c r="CX476" s="408"/>
      <c r="CY476" s="408"/>
      <c r="CZ476" s="408">
        <v>0</v>
      </c>
      <c r="DA476" s="408">
        <v>0</v>
      </c>
      <c r="DB476" s="408">
        <v>0</v>
      </c>
      <c r="DC476" s="408"/>
      <c r="DD476" s="408"/>
      <c r="DE476" s="408">
        <v>0</v>
      </c>
      <c r="DF476" s="408">
        <v>0</v>
      </c>
      <c r="DG476" s="408">
        <v>0</v>
      </c>
      <c r="DH476" s="408">
        <v>0</v>
      </c>
      <c r="DI476" s="408">
        <v>0</v>
      </c>
      <c r="DJ476" s="408"/>
      <c r="DK476" s="408">
        <v>0</v>
      </c>
      <c r="DL476" s="408">
        <v>0</v>
      </c>
      <c r="DM476" s="408"/>
      <c r="DN476" s="408">
        <v>0</v>
      </c>
      <c r="DO476" s="408">
        <v>0</v>
      </c>
      <c r="DP476" s="408">
        <v>-2.4442243733642997</v>
      </c>
      <c r="DQ476" s="408">
        <v>0</v>
      </c>
      <c r="DR476" s="408">
        <v>0</v>
      </c>
      <c r="DS476" s="408"/>
      <c r="DT476" s="408"/>
      <c r="DU476" s="408">
        <v>15739.433553196899</v>
      </c>
      <c r="DV476" s="408"/>
      <c r="DW476" s="408">
        <v>0</v>
      </c>
      <c r="DX476" s="408">
        <v>0</v>
      </c>
      <c r="DY476" s="408">
        <v>-10580</v>
      </c>
      <c r="DZ476" s="408"/>
      <c r="EA476" s="408">
        <v>0</v>
      </c>
      <c r="EB476" s="408"/>
      <c r="EC476" s="408">
        <v>-10571.778814320649</v>
      </c>
      <c r="ED476" s="408"/>
      <c r="EE476" s="408">
        <v>0</v>
      </c>
      <c r="EF476" s="408">
        <v>0</v>
      </c>
      <c r="EG476" s="408"/>
      <c r="EH476" s="408">
        <v>0</v>
      </c>
      <c r="EI476" s="408">
        <v>0</v>
      </c>
      <c r="EJ476" s="408">
        <v>0</v>
      </c>
      <c r="EK476" s="408">
        <v>0</v>
      </c>
      <c r="EL476" s="408">
        <v>0</v>
      </c>
      <c r="EM476" s="408"/>
      <c r="EN476" s="408"/>
      <c r="EO476" s="408">
        <v>0</v>
      </c>
      <c r="EP476" s="408">
        <v>0</v>
      </c>
      <c r="EQ476" s="408"/>
      <c r="ER476" s="408">
        <v>0</v>
      </c>
      <c r="ES476" s="408"/>
      <c r="ET476" s="408">
        <v>0</v>
      </c>
      <c r="EU476" s="408"/>
      <c r="EV476" s="408">
        <v>257</v>
      </c>
      <c r="EW476" s="408"/>
      <c r="EX476" s="408"/>
      <c r="EY476" s="408"/>
      <c r="EZ476" s="408"/>
      <c r="FA476" s="408">
        <v>0</v>
      </c>
      <c r="FB476" s="408"/>
      <c r="FC476" s="408"/>
      <c r="FD476" s="408"/>
      <c r="FE476" s="408"/>
      <c r="FF476" s="408">
        <v>0</v>
      </c>
      <c r="FG476" s="408">
        <v>0</v>
      </c>
      <c r="FH476" s="408">
        <v>0</v>
      </c>
      <c r="FI476" s="408">
        <v>0</v>
      </c>
    </row>
    <row r="477" spans="1:165">
      <c r="A477" s="408">
        <v>475</v>
      </c>
      <c r="B477" s="408" t="s">
        <v>1035</v>
      </c>
      <c r="C477" s="408" t="s">
        <v>992</v>
      </c>
      <c r="D477" s="408" t="s">
        <v>596</v>
      </c>
      <c r="E477" s="408" t="s">
        <v>1321</v>
      </c>
      <c r="F477" s="408" t="s">
        <v>1321</v>
      </c>
      <c r="G477" s="408" t="s">
        <v>1321</v>
      </c>
      <c r="H477" s="408" t="s">
        <v>2317</v>
      </c>
      <c r="I477" s="408" t="s">
        <v>1321</v>
      </c>
      <c r="J477" s="408" t="s">
        <v>2250</v>
      </c>
      <c r="K477" s="828">
        <v>44470</v>
      </c>
      <c r="L477" s="408">
        <v>790</v>
      </c>
      <c r="M477" s="408">
        <v>395</v>
      </c>
      <c r="N477" s="408">
        <v>0</v>
      </c>
      <c r="O477" s="408">
        <v>0</v>
      </c>
      <c r="P477" s="408">
        <v>0</v>
      </c>
      <c r="Q477" s="408">
        <v>0</v>
      </c>
      <c r="R477" s="408">
        <v>15.78</v>
      </c>
      <c r="S477" s="408"/>
      <c r="T477" s="408"/>
      <c r="U477" s="408">
        <v>12466.199999999999</v>
      </c>
      <c r="V477" s="408"/>
      <c r="W477" s="408">
        <v>12466.199999999999</v>
      </c>
      <c r="X477" s="408">
        <v>4108</v>
      </c>
      <c r="Y477" s="408">
        <v>0</v>
      </c>
      <c r="Z477" s="408">
        <v>0</v>
      </c>
      <c r="AA477" s="408">
        <v>0</v>
      </c>
      <c r="AB477" s="408">
        <v>0</v>
      </c>
      <c r="AC477" s="408">
        <v>0</v>
      </c>
      <c r="AD477" s="408">
        <v>0</v>
      </c>
      <c r="AE477" s="408">
        <v>12434.15250702555</v>
      </c>
      <c r="AF477" s="408"/>
      <c r="AG477" s="408"/>
      <c r="AH477" s="408"/>
      <c r="AI477" s="408">
        <v>0</v>
      </c>
      <c r="AJ477" s="408">
        <v>0</v>
      </c>
      <c r="AK477" s="408">
        <v>0</v>
      </c>
      <c r="AL477" s="408">
        <v>0</v>
      </c>
      <c r="AM477" s="408"/>
      <c r="AN477" s="408">
        <v>30.216304113246604</v>
      </c>
      <c r="AO477" s="408">
        <v>0</v>
      </c>
      <c r="AP477" s="408">
        <v>0</v>
      </c>
      <c r="AQ477" s="408">
        <v>0</v>
      </c>
      <c r="AR477" s="408">
        <v>0</v>
      </c>
      <c r="AS477" s="408"/>
      <c r="AT477" s="408"/>
      <c r="AU477" s="408">
        <v>0</v>
      </c>
      <c r="AV477" s="408">
        <v>0</v>
      </c>
      <c r="AW477" s="408">
        <v>0</v>
      </c>
      <c r="AX477" s="408"/>
      <c r="AY477" s="408"/>
      <c r="AZ477" s="408">
        <v>0</v>
      </c>
      <c r="BA477" s="408"/>
      <c r="BB477" s="408">
        <v>0</v>
      </c>
      <c r="BC477" s="408">
        <v>0</v>
      </c>
      <c r="BD477" s="408">
        <v>0</v>
      </c>
      <c r="BE477" s="408">
        <v>0</v>
      </c>
      <c r="BF477" s="408"/>
      <c r="BG477" s="408">
        <v>0</v>
      </c>
      <c r="BH477" s="408">
        <v>0</v>
      </c>
      <c r="BI477" s="408">
        <v>26.73</v>
      </c>
      <c r="BJ477" s="408">
        <v>0</v>
      </c>
      <c r="BK477" s="408">
        <v>441.36</v>
      </c>
      <c r="BL477" s="408">
        <v>0</v>
      </c>
      <c r="BM477" s="408"/>
      <c r="BN477" s="408"/>
      <c r="BO477" s="408">
        <v>2054</v>
      </c>
      <c r="BP477" s="408"/>
      <c r="BQ477" s="408"/>
      <c r="BR477" s="408"/>
      <c r="BS477" s="408"/>
      <c r="BT477" s="408"/>
      <c r="BU477" s="408"/>
      <c r="BV477" s="408">
        <v>0</v>
      </c>
      <c r="BW477" s="408"/>
      <c r="BX477" s="408"/>
      <c r="BY477" s="408"/>
      <c r="BZ477" s="408"/>
      <c r="CA477" s="408"/>
      <c r="CB477" s="408"/>
      <c r="CC477" s="408"/>
      <c r="CD477" s="408"/>
      <c r="CE477" s="408"/>
      <c r="CF477" s="408"/>
      <c r="CG477" s="408"/>
      <c r="CH477" s="408"/>
      <c r="CI477" s="408">
        <v>2054</v>
      </c>
      <c r="CJ477" s="408">
        <v>-4179.13</v>
      </c>
      <c r="CK477" s="408"/>
      <c r="CL477" s="408"/>
      <c r="CM477" s="408"/>
      <c r="CN477" s="408"/>
      <c r="CO477" s="408">
        <v>-8358.1999999999989</v>
      </c>
      <c r="CP477" s="408">
        <v>0</v>
      </c>
      <c r="CQ477" s="408">
        <v>31</v>
      </c>
      <c r="CR477" s="408">
        <v>-1.9309372549577972</v>
      </c>
      <c r="CS477" s="408">
        <v>0</v>
      </c>
      <c r="CT477" s="408">
        <v>0</v>
      </c>
      <c r="CU477" s="408">
        <v>0</v>
      </c>
      <c r="CV477" s="408">
        <v>0</v>
      </c>
      <c r="CW477" s="408"/>
      <c r="CX477" s="408"/>
      <c r="CY477" s="408"/>
      <c r="CZ477" s="408">
        <v>0</v>
      </c>
      <c r="DA477" s="408">
        <v>0</v>
      </c>
      <c r="DB477" s="408">
        <v>0</v>
      </c>
      <c r="DC477" s="408"/>
      <c r="DD477" s="408"/>
      <c r="DE477" s="408">
        <v>0</v>
      </c>
      <c r="DF477" s="408">
        <v>0</v>
      </c>
      <c r="DG477" s="408">
        <v>0</v>
      </c>
      <c r="DH477" s="408">
        <v>0</v>
      </c>
      <c r="DI477" s="408">
        <v>0</v>
      </c>
      <c r="DJ477" s="408"/>
      <c r="DK477" s="408">
        <v>0</v>
      </c>
      <c r="DL477" s="408">
        <v>0</v>
      </c>
      <c r="DM477" s="408"/>
      <c r="DN477" s="408">
        <v>0</v>
      </c>
      <c r="DO477" s="408">
        <v>0</v>
      </c>
      <c r="DP477" s="408">
        <v>-1.9309372549577972</v>
      </c>
      <c r="DQ477" s="408">
        <v>0</v>
      </c>
      <c r="DR477" s="408">
        <v>0</v>
      </c>
      <c r="DS477" s="408"/>
      <c r="DT477" s="408"/>
      <c r="DU477" s="408">
        <v>12434.15250702555</v>
      </c>
      <c r="DV477" s="408"/>
      <c r="DW477" s="408">
        <v>0</v>
      </c>
      <c r="DX477" s="408">
        <v>0</v>
      </c>
      <c r="DY477" s="408">
        <v>-8358.1999999999989</v>
      </c>
      <c r="DZ477" s="408"/>
      <c r="EA477" s="408">
        <v>0</v>
      </c>
      <c r="EB477" s="408"/>
      <c r="EC477" s="408">
        <v>-8351.7052633133135</v>
      </c>
      <c r="ED477" s="408"/>
      <c r="EE477" s="408">
        <v>0</v>
      </c>
      <c r="EF477" s="408">
        <v>0</v>
      </c>
      <c r="EG477" s="408"/>
      <c r="EH477" s="408">
        <v>0</v>
      </c>
      <c r="EI477" s="408">
        <v>0</v>
      </c>
      <c r="EJ477" s="408">
        <v>0</v>
      </c>
      <c r="EK477" s="408">
        <v>0</v>
      </c>
      <c r="EL477" s="408">
        <v>0</v>
      </c>
      <c r="EM477" s="408"/>
      <c r="EN477" s="408"/>
      <c r="EO477" s="408">
        <v>0</v>
      </c>
      <c r="EP477" s="408">
        <v>0</v>
      </c>
      <c r="EQ477" s="408"/>
      <c r="ER477" s="408">
        <v>0</v>
      </c>
      <c r="ES477" s="408"/>
      <c r="ET477" s="408">
        <v>0</v>
      </c>
      <c r="EU477" s="408"/>
      <c r="EV477" s="408">
        <v>257</v>
      </c>
      <c r="EW477" s="408"/>
      <c r="EX477" s="408"/>
      <c r="EY477" s="408"/>
      <c r="EZ477" s="408"/>
      <c r="FA477" s="408">
        <v>0</v>
      </c>
      <c r="FB477" s="408"/>
      <c r="FC477" s="408"/>
      <c r="FD477" s="408"/>
      <c r="FE477" s="408"/>
      <c r="FF477" s="408">
        <v>0</v>
      </c>
      <c r="FG477" s="408">
        <v>0</v>
      </c>
      <c r="FH477" s="408">
        <v>0</v>
      </c>
      <c r="FI477" s="408">
        <v>0</v>
      </c>
    </row>
    <row r="478" spans="1:165">
      <c r="A478" s="408">
        <v>476</v>
      </c>
      <c r="B478" s="408" t="s">
        <v>1035</v>
      </c>
      <c r="C478" s="408" t="s">
        <v>2241</v>
      </c>
      <c r="D478" s="408" t="s">
        <v>596</v>
      </c>
      <c r="E478" s="408" t="s">
        <v>969</v>
      </c>
      <c r="F478" s="408" t="s">
        <v>1321</v>
      </c>
      <c r="G478" s="408" t="s">
        <v>2314</v>
      </c>
      <c r="H478" s="408" t="s">
        <v>1321</v>
      </c>
      <c r="I478" s="408" t="s">
        <v>972</v>
      </c>
      <c r="J478" s="408" t="s">
        <v>2315</v>
      </c>
      <c r="K478" s="828">
        <v>44501</v>
      </c>
      <c r="L478" s="408">
        <v>0</v>
      </c>
      <c r="M478" s="408">
        <v>0</v>
      </c>
      <c r="N478" s="408">
        <v>18.954999999999998</v>
      </c>
      <c r="O478" s="408">
        <v>9.4774999999999991</v>
      </c>
      <c r="P478" s="408">
        <v>0</v>
      </c>
      <c r="Q478" s="408">
        <v>0</v>
      </c>
      <c r="R478" s="408"/>
      <c r="S478" s="408">
        <v>3130.62</v>
      </c>
      <c r="T478" s="408"/>
      <c r="U478" s="408"/>
      <c r="V478" s="408">
        <v>59340.902099999992</v>
      </c>
      <c r="W478" s="408">
        <v>59340.902099999992</v>
      </c>
      <c r="X478" s="408">
        <v>28623.755949999995</v>
      </c>
      <c r="Y478" s="408">
        <v>0</v>
      </c>
      <c r="Z478" s="408">
        <v>1013.7697497316244</v>
      </c>
      <c r="AA478" s="408">
        <v>0</v>
      </c>
      <c r="AB478" s="408">
        <v>0</v>
      </c>
      <c r="AC478" s="408">
        <v>0</v>
      </c>
      <c r="AD478" s="408">
        <v>12211.072716856756</v>
      </c>
      <c r="AE478" s="408">
        <v>45570.637907517368</v>
      </c>
      <c r="AF478" s="408"/>
      <c r="AG478" s="408"/>
      <c r="AH478" s="408"/>
      <c r="AI478" s="408">
        <v>0</v>
      </c>
      <c r="AJ478" s="408">
        <v>0</v>
      </c>
      <c r="AK478" s="408">
        <v>0</v>
      </c>
      <c r="AL478" s="408">
        <v>180.15331948402437</v>
      </c>
      <c r="AM478" s="408"/>
      <c r="AN478" s="408">
        <v>25.571337426713203</v>
      </c>
      <c r="AO478" s="408">
        <v>0</v>
      </c>
      <c r="AP478" s="408">
        <v>0</v>
      </c>
      <c r="AQ478" s="408">
        <v>0</v>
      </c>
      <c r="AR478" s="408">
        <v>0</v>
      </c>
      <c r="AS478" s="408"/>
      <c r="AT478" s="408"/>
      <c r="AU478" s="408">
        <v>0</v>
      </c>
      <c r="AV478" s="408">
        <v>0</v>
      </c>
      <c r="AW478" s="408">
        <v>0</v>
      </c>
      <c r="AX478" s="408"/>
      <c r="AY478" s="408"/>
      <c r="AZ478" s="408">
        <v>0</v>
      </c>
      <c r="BA478" s="408"/>
      <c r="BB478" s="408">
        <v>0</v>
      </c>
      <c r="BC478" s="408">
        <v>0</v>
      </c>
      <c r="BD478" s="408">
        <v>23.353037992144277</v>
      </c>
      <c r="BE478" s="408">
        <v>0</v>
      </c>
      <c r="BF478" s="408"/>
      <c r="BG478" s="408">
        <v>316.34545778541889</v>
      </c>
      <c r="BH478" s="408">
        <v>0</v>
      </c>
      <c r="BI478" s="408">
        <v>0</v>
      </c>
      <c r="BJ478" s="408">
        <v>0</v>
      </c>
      <c r="BK478" s="408">
        <v>0</v>
      </c>
      <c r="BL478" s="408">
        <v>0</v>
      </c>
      <c r="BM478" s="408"/>
      <c r="BN478" s="408">
        <v>14311.877974999998</v>
      </c>
      <c r="BO478" s="408"/>
      <c r="BP478" s="408"/>
      <c r="BQ478" s="408"/>
      <c r="BR478" s="408"/>
      <c r="BS478" s="408"/>
      <c r="BT478" s="408"/>
      <c r="BU478" s="408"/>
      <c r="BV478" s="408">
        <v>339.69849577756315</v>
      </c>
      <c r="BW478" s="408"/>
      <c r="BX478" s="408"/>
      <c r="BY478" s="408"/>
      <c r="BZ478" s="408"/>
      <c r="CA478" s="408"/>
      <c r="CB478" s="408"/>
      <c r="CC478" s="408"/>
      <c r="CD478" s="408"/>
      <c r="CE478" s="408"/>
      <c r="CF478" s="408"/>
      <c r="CG478" s="408"/>
      <c r="CH478" s="408"/>
      <c r="CI478" s="408">
        <v>14315.653200000001</v>
      </c>
      <c r="CJ478" s="408">
        <v>-15354.827849999991</v>
      </c>
      <c r="CK478" s="408"/>
      <c r="CL478" s="408"/>
      <c r="CM478" s="408"/>
      <c r="CN478" s="408"/>
      <c r="CO478" s="408">
        <v>-30717.146149999997</v>
      </c>
      <c r="CP478" s="408">
        <v>0</v>
      </c>
      <c r="CQ478" s="408">
        <v>30</v>
      </c>
      <c r="CR478" s="408">
        <v>-108.59183359574672</v>
      </c>
      <c r="CS478" s="408">
        <v>0</v>
      </c>
      <c r="CT478" s="408">
        <v>0</v>
      </c>
      <c r="CU478" s="408">
        <v>0</v>
      </c>
      <c r="CV478" s="408">
        <v>0</v>
      </c>
      <c r="CW478" s="408"/>
      <c r="CX478" s="408"/>
      <c r="CY478" s="408"/>
      <c r="CZ478" s="408">
        <v>-55.194816698762224</v>
      </c>
      <c r="DA478" s="408">
        <v>0</v>
      </c>
      <c r="DB478" s="408">
        <v>0</v>
      </c>
      <c r="DC478" s="408"/>
      <c r="DD478" s="408"/>
      <c r="DE478" s="408">
        <v>0</v>
      </c>
      <c r="DF478" s="408">
        <v>1.4548585173236077</v>
      </c>
      <c r="DG478" s="408">
        <v>19.707837748157431</v>
      </c>
      <c r="DH478" s="408">
        <v>0</v>
      </c>
      <c r="DI478" s="408">
        <v>-63.040109623612011</v>
      </c>
      <c r="DJ478" s="408"/>
      <c r="DK478" s="408">
        <v>0</v>
      </c>
      <c r="DL478" s="408">
        <v>0</v>
      </c>
      <c r="DM478" s="408"/>
      <c r="DN478" s="408">
        <v>0</v>
      </c>
      <c r="DO478" s="408">
        <v>-9.8854973982977299</v>
      </c>
      <c r="DP478" s="408">
        <v>-1.6341061405552146</v>
      </c>
      <c r="DQ478" s="408">
        <v>0</v>
      </c>
      <c r="DR478" s="408">
        <v>0</v>
      </c>
      <c r="DS478" s="408"/>
      <c r="DT478" s="408"/>
      <c r="DU478" s="408"/>
      <c r="DV478" s="408">
        <v>45570.637907517368</v>
      </c>
      <c r="DW478" s="408">
        <v>0</v>
      </c>
      <c r="DX478" s="408">
        <v>0</v>
      </c>
      <c r="DY478" s="408">
        <v>-30717.146149999997</v>
      </c>
      <c r="DZ478" s="408"/>
      <c r="EA478" s="408">
        <v>0</v>
      </c>
      <c r="EB478" s="408"/>
      <c r="EC478" s="408">
        <v>-30608.643110152872</v>
      </c>
      <c r="ED478" s="408"/>
      <c r="EE478" s="408">
        <v>0</v>
      </c>
      <c r="EF478" s="408">
        <v>0</v>
      </c>
      <c r="EG478" s="408"/>
      <c r="EH478" s="408">
        <v>0</v>
      </c>
      <c r="EI478" s="408">
        <v>0</v>
      </c>
      <c r="EJ478" s="408">
        <v>0</v>
      </c>
      <c r="EK478" s="408">
        <v>0</v>
      </c>
      <c r="EL478" s="408">
        <v>0</v>
      </c>
      <c r="EM478" s="408"/>
      <c r="EN478" s="408"/>
      <c r="EO478" s="408">
        <v>0</v>
      </c>
      <c r="EP478" s="408">
        <v>0</v>
      </c>
      <c r="EQ478" s="408"/>
      <c r="ER478" s="408">
        <v>0</v>
      </c>
      <c r="ES478" s="408"/>
      <c r="ET478" s="408">
        <v>0</v>
      </c>
      <c r="EU478" s="408"/>
      <c r="EV478" s="408">
        <v>257</v>
      </c>
      <c r="EW478" s="408"/>
      <c r="EX478" s="408"/>
      <c r="EY478" s="408"/>
      <c r="EZ478" s="408"/>
      <c r="FA478" s="408">
        <v>0</v>
      </c>
      <c r="FB478" s="408"/>
      <c r="FC478" s="408"/>
      <c r="FD478" s="408"/>
      <c r="FE478" s="408"/>
      <c r="FF478" s="408">
        <v>0</v>
      </c>
      <c r="FG478" s="408">
        <v>0</v>
      </c>
      <c r="FH478" s="408">
        <v>0</v>
      </c>
      <c r="FI478" s="408">
        <v>0</v>
      </c>
    </row>
    <row r="479" spans="1:165">
      <c r="A479" s="408">
        <v>477</v>
      </c>
      <c r="B479" s="408" t="s">
        <v>1035</v>
      </c>
      <c r="C479" s="408" t="s">
        <v>2241</v>
      </c>
      <c r="D479" s="408" t="s">
        <v>596</v>
      </c>
      <c r="E479" s="408" t="s">
        <v>969</v>
      </c>
      <c r="F479" s="408" t="s">
        <v>1321</v>
      </c>
      <c r="G479" s="408" t="s">
        <v>2314</v>
      </c>
      <c r="H479" s="408" t="s">
        <v>1321</v>
      </c>
      <c r="I479" s="408" t="s">
        <v>2242</v>
      </c>
      <c r="J479" s="408" t="s">
        <v>2315</v>
      </c>
      <c r="K479" s="828">
        <v>44501</v>
      </c>
      <c r="L479" s="408">
        <v>0</v>
      </c>
      <c r="M479" s="408">
        <v>0</v>
      </c>
      <c r="N479" s="408">
        <v>231.59</v>
      </c>
      <c r="O479" s="408">
        <v>115.795</v>
      </c>
      <c r="P479" s="408">
        <v>0</v>
      </c>
      <c r="Q479" s="408">
        <v>0</v>
      </c>
      <c r="R479" s="408"/>
      <c r="S479" s="408">
        <v>82.26</v>
      </c>
      <c r="T479" s="408"/>
      <c r="U479" s="408"/>
      <c r="V479" s="408">
        <v>19050.593400000002</v>
      </c>
      <c r="W479" s="408">
        <v>19050.593400000002</v>
      </c>
      <c r="X479" s="408">
        <v>18397.509600000001</v>
      </c>
      <c r="Y479" s="408">
        <v>0</v>
      </c>
      <c r="Z479" s="408">
        <v>12386.121674510521</v>
      </c>
      <c r="AA479" s="408">
        <v>0</v>
      </c>
      <c r="AB479" s="408">
        <v>0</v>
      </c>
      <c r="AC479" s="408">
        <v>0</v>
      </c>
      <c r="AD479" s="408">
        <v>0</v>
      </c>
      <c r="AE479" s="408">
        <v>0</v>
      </c>
      <c r="AF479" s="408"/>
      <c r="AG479" s="408"/>
      <c r="AH479" s="408"/>
      <c r="AI479" s="408">
        <v>0</v>
      </c>
      <c r="AJ479" s="408">
        <v>0</v>
      </c>
      <c r="AK479" s="408">
        <v>0</v>
      </c>
      <c r="AL479" s="408">
        <v>2201.0924431181857</v>
      </c>
      <c r="AM479" s="408"/>
      <c r="AN479" s="408">
        <v>312.42764624914332</v>
      </c>
      <c r="AO479" s="408">
        <v>0</v>
      </c>
      <c r="AP479" s="408">
        <v>0</v>
      </c>
      <c r="AQ479" s="408">
        <v>0</v>
      </c>
      <c r="AR479" s="408">
        <v>0</v>
      </c>
      <c r="AS479" s="408"/>
      <c r="AT479" s="408"/>
      <c r="AU479" s="408">
        <v>0</v>
      </c>
      <c r="AV479" s="408">
        <v>0</v>
      </c>
      <c r="AW479" s="408">
        <v>0</v>
      </c>
      <c r="AX479" s="408"/>
      <c r="AY479" s="408"/>
      <c r="AZ479" s="408">
        <v>0</v>
      </c>
      <c r="BA479" s="408"/>
      <c r="BB479" s="408">
        <v>0</v>
      </c>
      <c r="BC479" s="408">
        <v>0</v>
      </c>
      <c r="BD479" s="408">
        <v>285.32472005279311</v>
      </c>
      <c r="BE479" s="408">
        <v>0</v>
      </c>
      <c r="BF479" s="408"/>
      <c r="BG479" s="408">
        <v>3865.0722536810954</v>
      </c>
      <c r="BH479" s="408">
        <v>0</v>
      </c>
      <c r="BI479" s="408">
        <v>0</v>
      </c>
      <c r="BJ479" s="408">
        <v>0</v>
      </c>
      <c r="BK479" s="408">
        <v>0</v>
      </c>
      <c r="BL479" s="408">
        <v>0</v>
      </c>
      <c r="BM479" s="408"/>
      <c r="BN479" s="408">
        <v>9198.7548000000006</v>
      </c>
      <c r="BO479" s="408"/>
      <c r="BP479" s="408"/>
      <c r="BQ479" s="408"/>
      <c r="BR479" s="408"/>
      <c r="BS479" s="408"/>
      <c r="BT479" s="408"/>
      <c r="BU479" s="408"/>
      <c r="BV479" s="408">
        <v>4150.3969737338884</v>
      </c>
      <c r="BW479" s="408"/>
      <c r="BX479" s="408"/>
      <c r="BY479" s="408"/>
      <c r="BZ479" s="408"/>
      <c r="CA479" s="408"/>
      <c r="CB479" s="408"/>
      <c r="CC479" s="408"/>
      <c r="CD479" s="408"/>
      <c r="CE479" s="408"/>
      <c r="CF479" s="408"/>
      <c r="CG479" s="408"/>
      <c r="CH479" s="408"/>
      <c r="CI479" s="408">
        <v>9199.152</v>
      </c>
      <c r="CJ479" s="408">
        <v>-326.17470000000139</v>
      </c>
      <c r="CK479" s="408"/>
      <c r="CL479" s="408"/>
      <c r="CM479" s="408"/>
      <c r="CN479" s="408"/>
      <c r="CO479" s="408">
        <v>-653.0838000000017</v>
      </c>
      <c r="CP479" s="408">
        <v>0</v>
      </c>
      <c r="CQ479" s="408">
        <v>30</v>
      </c>
      <c r="CR479" s="408">
        <v>-652.39858312701472</v>
      </c>
      <c r="CS479" s="408">
        <v>0</v>
      </c>
      <c r="CT479" s="408">
        <v>0</v>
      </c>
      <c r="CU479" s="408">
        <v>0</v>
      </c>
      <c r="CV479" s="408">
        <v>0</v>
      </c>
      <c r="CW479" s="408"/>
      <c r="CX479" s="408"/>
      <c r="CY479" s="408"/>
      <c r="CZ479" s="408">
        <v>0</v>
      </c>
      <c r="DA479" s="408">
        <v>0</v>
      </c>
      <c r="DB479" s="408">
        <v>0</v>
      </c>
      <c r="DC479" s="408"/>
      <c r="DD479" s="408"/>
      <c r="DE479" s="408">
        <v>0</v>
      </c>
      <c r="DF479" s="408">
        <v>17.775293274965691</v>
      </c>
      <c r="DG479" s="408">
        <v>240.78808462652523</v>
      </c>
      <c r="DH479" s="408">
        <v>0</v>
      </c>
      <c r="DI479" s="408">
        <v>-770.21677592890228</v>
      </c>
      <c r="DJ479" s="408"/>
      <c r="DK479" s="408">
        <v>0</v>
      </c>
      <c r="DL479" s="408">
        <v>0</v>
      </c>
      <c r="DM479" s="408"/>
      <c r="DN479" s="408">
        <v>0</v>
      </c>
      <c r="DO479" s="408">
        <v>-120.77986507368905</v>
      </c>
      <c r="DP479" s="408">
        <v>-19.965320025913115</v>
      </c>
      <c r="DQ479" s="408">
        <v>0</v>
      </c>
      <c r="DR479" s="408">
        <v>0</v>
      </c>
      <c r="DS479" s="408"/>
      <c r="DT479" s="408"/>
      <c r="DU479" s="408"/>
      <c r="DV479" s="408">
        <v>0</v>
      </c>
      <c r="DW479" s="408">
        <v>0</v>
      </c>
      <c r="DX479" s="408">
        <v>0</v>
      </c>
      <c r="DY479" s="408">
        <v>-653.08380000000034</v>
      </c>
      <c r="DZ479" s="408"/>
      <c r="EA479" s="408">
        <v>0</v>
      </c>
      <c r="EB479" s="408"/>
      <c r="EC479" s="408">
        <v>0</v>
      </c>
      <c r="ED479" s="408"/>
      <c r="EE479" s="408">
        <v>0</v>
      </c>
      <c r="EF479" s="408">
        <v>0</v>
      </c>
      <c r="EG479" s="408"/>
      <c r="EH479" s="408">
        <v>0</v>
      </c>
      <c r="EI479" s="408">
        <v>0</v>
      </c>
      <c r="EJ479" s="408">
        <v>0</v>
      </c>
      <c r="EK479" s="408">
        <v>0</v>
      </c>
      <c r="EL479" s="408">
        <v>0</v>
      </c>
      <c r="EM479" s="408"/>
      <c r="EN479" s="408"/>
      <c r="EO479" s="408">
        <v>0</v>
      </c>
      <c r="EP479" s="408">
        <v>0</v>
      </c>
      <c r="EQ479" s="408"/>
      <c r="ER479" s="408">
        <v>0</v>
      </c>
      <c r="ES479" s="408"/>
      <c r="ET479" s="408">
        <v>0</v>
      </c>
      <c r="EU479" s="408"/>
      <c r="EV479" s="408">
        <v>257</v>
      </c>
      <c r="EW479" s="408"/>
      <c r="EX479" s="408"/>
      <c r="EY479" s="408"/>
      <c r="EZ479" s="408"/>
      <c r="FA479" s="408">
        <v>0</v>
      </c>
      <c r="FB479" s="408"/>
      <c r="FC479" s="408"/>
      <c r="FD479" s="408"/>
      <c r="FE479" s="408"/>
      <c r="FF479" s="408">
        <v>0</v>
      </c>
      <c r="FG479" s="408">
        <v>0</v>
      </c>
      <c r="FH479" s="408">
        <v>0</v>
      </c>
      <c r="FI479" s="408">
        <v>0</v>
      </c>
    </row>
    <row r="480" spans="1:165">
      <c r="A480" s="408">
        <v>478</v>
      </c>
      <c r="B480" s="408" t="s">
        <v>1035</v>
      </c>
      <c r="C480" s="408" t="s">
        <v>2241</v>
      </c>
      <c r="D480" s="408" t="s">
        <v>596</v>
      </c>
      <c r="E480" s="408" t="s">
        <v>969</v>
      </c>
      <c r="F480" s="408" t="s">
        <v>1321</v>
      </c>
      <c r="G480" s="408" t="s">
        <v>2314</v>
      </c>
      <c r="H480" s="408" t="s">
        <v>1321</v>
      </c>
      <c r="I480" s="408" t="s">
        <v>1321</v>
      </c>
      <c r="J480" s="408" t="s">
        <v>2315</v>
      </c>
      <c r="K480" s="828">
        <v>44501</v>
      </c>
      <c r="L480" s="408">
        <v>1008</v>
      </c>
      <c r="M480" s="408">
        <v>504</v>
      </c>
      <c r="N480" s="408">
        <v>0</v>
      </c>
      <c r="O480" s="408">
        <v>0</v>
      </c>
      <c r="P480" s="408">
        <v>0</v>
      </c>
      <c r="Q480" s="408">
        <v>0</v>
      </c>
      <c r="R480" s="408">
        <v>47.39</v>
      </c>
      <c r="S480" s="408"/>
      <c r="T480" s="408"/>
      <c r="U480" s="408">
        <v>47769.120000000003</v>
      </c>
      <c r="V480" s="408"/>
      <c r="W480" s="408">
        <v>47769.120000000003</v>
      </c>
      <c r="X480" s="408">
        <v>32477.759999999998</v>
      </c>
      <c r="Y480" s="408">
        <v>0</v>
      </c>
      <c r="Z480" s="408">
        <v>0</v>
      </c>
      <c r="AA480" s="408">
        <v>0</v>
      </c>
      <c r="AB480" s="408">
        <v>0</v>
      </c>
      <c r="AC480" s="408">
        <v>0</v>
      </c>
      <c r="AD480" s="408">
        <v>25169.860980901427</v>
      </c>
      <c r="AE480" s="408">
        <v>22599.226183695337</v>
      </c>
      <c r="AF480" s="408"/>
      <c r="AG480" s="408"/>
      <c r="AH480" s="408"/>
      <c r="AI480" s="408">
        <v>0</v>
      </c>
      <c r="AJ480" s="408">
        <v>0</v>
      </c>
      <c r="AK480" s="408">
        <v>0</v>
      </c>
      <c r="AL480" s="408">
        <v>0</v>
      </c>
      <c r="AM480" s="408"/>
      <c r="AN480" s="408">
        <v>0</v>
      </c>
      <c r="AO480" s="408">
        <v>0</v>
      </c>
      <c r="AP480" s="408">
        <v>0</v>
      </c>
      <c r="AQ480" s="408">
        <v>0</v>
      </c>
      <c r="AR480" s="408">
        <v>0</v>
      </c>
      <c r="AS480" s="408"/>
      <c r="AT480" s="408"/>
      <c r="AU480" s="408">
        <v>0</v>
      </c>
      <c r="AV480" s="408">
        <v>0</v>
      </c>
      <c r="AW480" s="408">
        <v>0</v>
      </c>
      <c r="AX480" s="408"/>
      <c r="AY480" s="408"/>
      <c r="AZ480" s="408">
        <v>0</v>
      </c>
      <c r="BA480" s="408"/>
      <c r="BB480" s="408">
        <v>0</v>
      </c>
      <c r="BC480" s="408">
        <v>0</v>
      </c>
      <c r="BD480" s="408">
        <v>0</v>
      </c>
      <c r="BE480" s="408">
        <v>0</v>
      </c>
      <c r="BF480" s="408"/>
      <c r="BG480" s="408">
        <v>0</v>
      </c>
      <c r="BH480" s="408">
        <v>0</v>
      </c>
      <c r="BI480" s="408">
        <v>544.77</v>
      </c>
      <c r="BJ480" s="408">
        <v>0</v>
      </c>
      <c r="BK480" s="408">
        <v>10719.17</v>
      </c>
      <c r="BL480" s="408">
        <v>2</v>
      </c>
      <c r="BM480" s="408"/>
      <c r="BN480" s="408">
        <v>16238.88</v>
      </c>
      <c r="BO480" s="408"/>
      <c r="BP480" s="408"/>
      <c r="BQ480" s="408"/>
      <c r="BR480" s="408"/>
      <c r="BS480" s="408"/>
      <c r="BT480" s="408"/>
      <c r="BU480" s="408"/>
      <c r="BV480" s="408">
        <v>0</v>
      </c>
      <c r="BW480" s="408"/>
      <c r="BX480" s="408"/>
      <c r="BY480" s="408"/>
      <c r="BZ480" s="408"/>
      <c r="CA480" s="408"/>
      <c r="CB480" s="408"/>
      <c r="CC480" s="408"/>
      <c r="CD480" s="408"/>
      <c r="CE480" s="408"/>
      <c r="CF480" s="408"/>
      <c r="CG480" s="408"/>
      <c r="CH480" s="408"/>
      <c r="CI480" s="408">
        <v>16238.88</v>
      </c>
      <c r="CJ480" s="408">
        <v>-7645.7099999999973</v>
      </c>
      <c r="CK480" s="408"/>
      <c r="CL480" s="408"/>
      <c r="CM480" s="408"/>
      <c r="CN480" s="408"/>
      <c r="CO480" s="408">
        <v>-15291.360000000002</v>
      </c>
      <c r="CP480" s="408">
        <v>0</v>
      </c>
      <c r="CQ480" s="408">
        <v>30</v>
      </c>
      <c r="CR480" s="408">
        <v>-113.76935469859745</v>
      </c>
      <c r="CS480" s="408">
        <v>0</v>
      </c>
      <c r="CT480" s="408">
        <v>0</v>
      </c>
      <c r="CU480" s="408">
        <v>0</v>
      </c>
      <c r="CV480" s="408">
        <v>0</v>
      </c>
      <c r="CW480" s="408"/>
      <c r="CX480" s="408"/>
      <c r="CY480" s="408"/>
      <c r="CZ480" s="408">
        <v>-113.76935469859745</v>
      </c>
      <c r="DA480" s="408">
        <v>0</v>
      </c>
      <c r="DB480" s="408">
        <v>0</v>
      </c>
      <c r="DC480" s="408"/>
      <c r="DD480" s="408"/>
      <c r="DE480" s="408">
        <v>0</v>
      </c>
      <c r="DF480" s="408">
        <v>0</v>
      </c>
      <c r="DG480" s="408">
        <v>0</v>
      </c>
      <c r="DH480" s="408">
        <v>0</v>
      </c>
      <c r="DI480" s="408">
        <v>0</v>
      </c>
      <c r="DJ480" s="408"/>
      <c r="DK480" s="408">
        <v>0</v>
      </c>
      <c r="DL480" s="408">
        <v>0</v>
      </c>
      <c r="DM480" s="408"/>
      <c r="DN480" s="408">
        <v>0</v>
      </c>
      <c r="DO480" s="408">
        <v>0</v>
      </c>
      <c r="DP480" s="408">
        <v>0</v>
      </c>
      <c r="DQ480" s="408">
        <v>0</v>
      </c>
      <c r="DR480" s="408">
        <v>0</v>
      </c>
      <c r="DS480" s="408"/>
      <c r="DT480" s="408"/>
      <c r="DU480" s="408">
        <v>22599.226183695337</v>
      </c>
      <c r="DV480" s="408"/>
      <c r="DW480" s="408">
        <v>0</v>
      </c>
      <c r="DX480" s="408">
        <v>0</v>
      </c>
      <c r="DY480" s="408">
        <v>-15291.360000000004</v>
      </c>
      <c r="DZ480" s="408"/>
      <c r="EA480" s="408">
        <v>0</v>
      </c>
      <c r="EB480" s="408"/>
      <c r="EC480" s="408">
        <v>-15179.327755432729</v>
      </c>
      <c r="ED480" s="408"/>
      <c r="EE480" s="408">
        <v>0</v>
      </c>
      <c r="EF480" s="408">
        <v>0</v>
      </c>
      <c r="EG480" s="408"/>
      <c r="EH480" s="408">
        <v>0</v>
      </c>
      <c r="EI480" s="408">
        <v>0</v>
      </c>
      <c r="EJ480" s="408">
        <v>0</v>
      </c>
      <c r="EK480" s="408">
        <v>0</v>
      </c>
      <c r="EL480" s="408">
        <v>0</v>
      </c>
      <c r="EM480" s="408"/>
      <c r="EN480" s="408"/>
      <c r="EO480" s="408">
        <v>0</v>
      </c>
      <c r="EP480" s="408">
        <v>0</v>
      </c>
      <c r="EQ480" s="408"/>
      <c r="ER480" s="408">
        <v>0</v>
      </c>
      <c r="ES480" s="408"/>
      <c r="ET480" s="408">
        <v>0</v>
      </c>
      <c r="EU480" s="408"/>
      <c r="EV480" s="408">
        <v>257</v>
      </c>
      <c r="EW480" s="408"/>
      <c r="EX480" s="408"/>
      <c r="EY480" s="408"/>
      <c r="EZ480" s="408"/>
      <c r="FA480" s="408">
        <v>0</v>
      </c>
      <c r="FB480" s="408"/>
      <c r="FC480" s="408"/>
      <c r="FD480" s="408"/>
      <c r="FE480" s="408"/>
      <c r="FF480" s="408">
        <v>0</v>
      </c>
      <c r="FG480" s="408">
        <v>0</v>
      </c>
      <c r="FH480" s="408">
        <v>0</v>
      </c>
      <c r="FI480" s="408">
        <v>0</v>
      </c>
    </row>
    <row r="481" spans="1:165">
      <c r="A481" s="408">
        <v>479</v>
      </c>
      <c r="B481" s="408" t="s">
        <v>1035</v>
      </c>
      <c r="C481" s="408" t="s">
        <v>992</v>
      </c>
      <c r="D481" s="408" t="s">
        <v>596</v>
      </c>
      <c r="E481" s="408" t="s">
        <v>1321</v>
      </c>
      <c r="F481" s="408" t="s">
        <v>1321</v>
      </c>
      <c r="G481" s="408" t="s">
        <v>1321</v>
      </c>
      <c r="H481" s="408" t="s">
        <v>2316</v>
      </c>
      <c r="I481" s="408" t="s">
        <v>1321</v>
      </c>
      <c r="J481" s="408" t="s">
        <v>2250</v>
      </c>
      <c r="K481" s="828">
        <v>44501</v>
      </c>
      <c r="L481" s="408">
        <v>1000</v>
      </c>
      <c r="M481" s="408">
        <v>500</v>
      </c>
      <c r="N481" s="408">
        <v>0</v>
      </c>
      <c r="O481" s="408">
        <v>0</v>
      </c>
      <c r="P481" s="408">
        <v>0</v>
      </c>
      <c r="Q481" s="408">
        <v>0</v>
      </c>
      <c r="R481" s="408">
        <v>15.78</v>
      </c>
      <c r="S481" s="408"/>
      <c r="T481" s="408"/>
      <c r="U481" s="408">
        <v>15780</v>
      </c>
      <c r="V481" s="408"/>
      <c r="W481" s="408">
        <v>15780</v>
      </c>
      <c r="X481" s="408">
        <v>5200</v>
      </c>
      <c r="Y481" s="408">
        <v>0</v>
      </c>
      <c r="Z481" s="408">
        <v>0</v>
      </c>
      <c r="AA481" s="408">
        <v>0</v>
      </c>
      <c r="AB481" s="408">
        <v>0</v>
      </c>
      <c r="AC481" s="408">
        <v>0</v>
      </c>
      <c r="AD481" s="408">
        <v>0</v>
      </c>
      <c r="AE481" s="408">
        <v>15739.433553196899</v>
      </c>
      <c r="AF481" s="408"/>
      <c r="AG481" s="408"/>
      <c r="AH481" s="408"/>
      <c r="AI481" s="408">
        <v>0</v>
      </c>
      <c r="AJ481" s="408">
        <v>0</v>
      </c>
      <c r="AK481" s="408">
        <v>0</v>
      </c>
      <c r="AL481" s="408">
        <v>0</v>
      </c>
      <c r="AM481" s="408"/>
      <c r="AN481" s="408">
        <v>38.248486219299501</v>
      </c>
      <c r="AO481" s="408">
        <v>0</v>
      </c>
      <c r="AP481" s="408">
        <v>0</v>
      </c>
      <c r="AQ481" s="408">
        <v>0</v>
      </c>
      <c r="AR481" s="408">
        <v>0</v>
      </c>
      <c r="AS481" s="408"/>
      <c r="AT481" s="408"/>
      <c r="AU481" s="408">
        <v>0</v>
      </c>
      <c r="AV481" s="408">
        <v>0</v>
      </c>
      <c r="AW481" s="408">
        <v>0</v>
      </c>
      <c r="AX481" s="408"/>
      <c r="AY481" s="408"/>
      <c r="AZ481" s="408">
        <v>0</v>
      </c>
      <c r="BA481" s="408"/>
      <c r="BB481" s="408">
        <v>0</v>
      </c>
      <c r="BC481" s="408">
        <v>0</v>
      </c>
      <c r="BD481" s="408">
        <v>0</v>
      </c>
      <c r="BE481" s="408">
        <v>0</v>
      </c>
      <c r="BF481" s="408"/>
      <c r="BG481" s="408">
        <v>0</v>
      </c>
      <c r="BH481" s="408">
        <v>0</v>
      </c>
      <c r="BI481" s="408">
        <v>28.33</v>
      </c>
      <c r="BJ481" s="408">
        <v>0</v>
      </c>
      <c r="BK481" s="408">
        <v>557.52</v>
      </c>
      <c r="BL481" s="408">
        <v>0</v>
      </c>
      <c r="BM481" s="408"/>
      <c r="BN481" s="408"/>
      <c r="BO481" s="408">
        <v>2600</v>
      </c>
      <c r="BP481" s="408"/>
      <c r="BQ481" s="408"/>
      <c r="BR481" s="408"/>
      <c r="BS481" s="408"/>
      <c r="BT481" s="408"/>
      <c r="BU481" s="408"/>
      <c r="BV481" s="408">
        <v>0</v>
      </c>
      <c r="BW481" s="408"/>
      <c r="BX481" s="408"/>
      <c r="BY481" s="408"/>
      <c r="BZ481" s="408"/>
      <c r="CA481" s="408"/>
      <c r="CB481" s="408"/>
      <c r="CC481" s="408"/>
      <c r="CD481" s="408"/>
      <c r="CE481" s="408"/>
      <c r="CF481" s="408"/>
      <c r="CG481" s="408"/>
      <c r="CH481" s="408"/>
      <c r="CI481" s="408">
        <v>2600</v>
      </c>
      <c r="CJ481" s="408">
        <v>-5290.0300000000007</v>
      </c>
      <c r="CK481" s="408"/>
      <c r="CL481" s="408"/>
      <c r="CM481" s="408"/>
      <c r="CN481" s="408"/>
      <c r="CO481" s="408">
        <v>-10579.999999999998</v>
      </c>
      <c r="CP481" s="408">
        <v>0</v>
      </c>
      <c r="CQ481" s="408">
        <v>30</v>
      </c>
      <c r="CR481" s="408">
        <v>-2.4442243733642997</v>
      </c>
      <c r="CS481" s="408">
        <v>0</v>
      </c>
      <c r="CT481" s="408">
        <v>0</v>
      </c>
      <c r="CU481" s="408">
        <v>0</v>
      </c>
      <c r="CV481" s="408">
        <v>0</v>
      </c>
      <c r="CW481" s="408"/>
      <c r="CX481" s="408"/>
      <c r="CY481" s="408"/>
      <c r="CZ481" s="408">
        <v>0</v>
      </c>
      <c r="DA481" s="408">
        <v>0</v>
      </c>
      <c r="DB481" s="408">
        <v>0</v>
      </c>
      <c r="DC481" s="408"/>
      <c r="DD481" s="408"/>
      <c r="DE481" s="408">
        <v>0</v>
      </c>
      <c r="DF481" s="408">
        <v>0</v>
      </c>
      <c r="DG481" s="408">
        <v>0</v>
      </c>
      <c r="DH481" s="408">
        <v>0</v>
      </c>
      <c r="DI481" s="408">
        <v>0</v>
      </c>
      <c r="DJ481" s="408"/>
      <c r="DK481" s="408">
        <v>0</v>
      </c>
      <c r="DL481" s="408">
        <v>0</v>
      </c>
      <c r="DM481" s="408"/>
      <c r="DN481" s="408">
        <v>0</v>
      </c>
      <c r="DO481" s="408">
        <v>0</v>
      </c>
      <c r="DP481" s="408">
        <v>-2.4442243733642997</v>
      </c>
      <c r="DQ481" s="408">
        <v>0</v>
      </c>
      <c r="DR481" s="408">
        <v>0</v>
      </c>
      <c r="DS481" s="408"/>
      <c r="DT481" s="408"/>
      <c r="DU481" s="408">
        <v>15739.433553196899</v>
      </c>
      <c r="DV481" s="408"/>
      <c r="DW481" s="408">
        <v>0</v>
      </c>
      <c r="DX481" s="408">
        <v>0</v>
      </c>
      <c r="DY481" s="408">
        <v>-10580</v>
      </c>
      <c r="DZ481" s="408"/>
      <c r="EA481" s="408">
        <v>0</v>
      </c>
      <c r="EB481" s="408"/>
      <c r="EC481" s="408">
        <v>-10571.778814320649</v>
      </c>
      <c r="ED481" s="408"/>
      <c r="EE481" s="408">
        <v>0</v>
      </c>
      <c r="EF481" s="408">
        <v>0</v>
      </c>
      <c r="EG481" s="408"/>
      <c r="EH481" s="408">
        <v>0</v>
      </c>
      <c r="EI481" s="408">
        <v>0</v>
      </c>
      <c r="EJ481" s="408">
        <v>0</v>
      </c>
      <c r="EK481" s="408">
        <v>0</v>
      </c>
      <c r="EL481" s="408">
        <v>0</v>
      </c>
      <c r="EM481" s="408"/>
      <c r="EN481" s="408"/>
      <c r="EO481" s="408">
        <v>0</v>
      </c>
      <c r="EP481" s="408">
        <v>0</v>
      </c>
      <c r="EQ481" s="408"/>
      <c r="ER481" s="408">
        <v>0</v>
      </c>
      <c r="ES481" s="408"/>
      <c r="ET481" s="408">
        <v>0</v>
      </c>
      <c r="EU481" s="408"/>
      <c r="EV481" s="408">
        <v>257</v>
      </c>
      <c r="EW481" s="408"/>
      <c r="EX481" s="408"/>
      <c r="EY481" s="408"/>
      <c r="EZ481" s="408"/>
      <c r="FA481" s="408">
        <v>0</v>
      </c>
      <c r="FB481" s="408"/>
      <c r="FC481" s="408"/>
      <c r="FD481" s="408"/>
      <c r="FE481" s="408"/>
      <c r="FF481" s="408">
        <v>0</v>
      </c>
      <c r="FG481" s="408">
        <v>0</v>
      </c>
      <c r="FH481" s="408">
        <v>0</v>
      </c>
      <c r="FI481" s="408">
        <v>0</v>
      </c>
    </row>
    <row r="482" spans="1:165">
      <c r="A482" s="408">
        <v>480</v>
      </c>
      <c r="B482" s="408" t="s">
        <v>1035</v>
      </c>
      <c r="C482" s="408" t="s">
        <v>992</v>
      </c>
      <c r="D482" s="408" t="s">
        <v>596</v>
      </c>
      <c r="E482" s="408" t="s">
        <v>1321</v>
      </c>
      <c r="F482" s="408" t="s">
        <v>1321</v>
      </c>
      <c r="G482" s="408" t="s">
        <v>1321</v>
      </c>
      <c r="H482" s="408" t="s">
        <v>2317</v>
      </c>
      <c r="I482" s="408" t="s">
        <v>1321</v>
      </c>
      <c r="J482" s="408" t="s">
        <v>2250</v>
      </c>
      <c r="K482" s="828">
        <v>44501</v>
      </c>
      <c r="L482" s="408">
        <v>790</v>
      </c>
      <c r="M482" s="408">
        <v>395</v>
      </c>
      <c r="N482" s="408">
        <v>0</v>
      </c>
      <c r="O482" s="408">
        <v>0</v>
      </c>
      <c r="P482" s="408">
        <v>0</v>
      </c>
      <c r="Q482" s="408">
        <v>0</v>
      </c>
      <c r="R482" s="408">
        <v>15.78</v>
      </c>
      <c r="S482" s="408"/>
      <c r="T482" s="408"/>
      <c r="U482" s="408">
        <v>12466.199999999999</v>
      </c>
      <c r="V482" s="408"/>
      <c r="W482" s="408">
        <v>12466.199999999999</v>
      </c>
      <c r="X482" s="408">
        <v>4108</v>
      </c>
      <c r="Y482" s="408">
        <v>0</v>
      </c>
      <c r="Z482" s="408">
        <v>0</v>
      </c>
      <c r="AA482" s="408">
        <v>0</v>
      </c>
      <c r="AB482" s="408">
        <v>0</v>
      </c>
      <c r="AC482" s="408">
        <v>0</v>
      </c>
      <c r="AD482" s="408">
        <v>0</v>
      </c>
      <c r="AE482" s="408">
        <v>12434.15250702555</v>
      </c>
      <c r="AF482" s="408"/>
      <c r="AG482" s="408"/>
      <c r="AH482" s="408"/>
      <c r="AI482" s="408">
        <v>0</v>
      </c>
      <c r="AJ482" s="408">
        <v>0</v>
      </c>
      <c r="AK482" s="408">
        <v>0</v>
      </c>
      <c r="AL482" s="408">
        <v>0</v>
      </c>
      <c r="AM482" s="408"/>
      <c r="AN482" s="408">
        <v>30.216304113246604</v>
      </c>
      <c r="AO482" s="408">
        <v>0</v>
      </c>
      <c r="AP482" s="408">
        <v>0</v>
      </c>
      <c r="AQ482" s="408">
        <v>0</v>
      </c>
      <c r="AR482" s="408">
        <v>0</v>
      </c>
      <c r="AS482" s="408"/>
      <c r="AT482" s="408"/>
      <c r="AU482" s="408">
        <v>0</v>
      </c>
      <c r="AV482" s="408">
        <v>0</v>
      </c>
      <c r="AW482" s="408">
        <v>0</v>
      </c>
      <c r="AX482" s="408"/>
      <c r="AY482" s="408"/>
      <c r="AZ482" s="408">
        <v>0</v>
      </c>
      <c r="BA482" s="408"/>
      <c r="BB482" s="408">
        <v>0</v>
      </c>
      <c r="BC482" s="408">
        <v>0</v>
      </c>
      <c r="BD482" s="408">
        <v>0</v>
      </c>
      <c r="BE482" s="408">
        <v>0</v>
      </c>
      <c r="BF482" s="408"/>
      <c r="BG482" s="408">
        <v>0</v>
      </c>
      <c r="BH482" s="408">
        <v>0</v>
      </c>
      <c r="BI482" s="408">
        <v>22.37</v>
      </c>
      <c r="BJ482" s="408">
        <v>0</v>
      </c>
      <c r="BK482" s="408">
        <v>440.44</v>
      </c>
      <c r="BL482" s="408">
        <v>0</v>
      </c>
      <c r="BM482" s="408"/>
      <c r="BN482" s="408"/>
      <c r="BO482" s="408">
        <v>2054</v>
      </c>
      <c r="BP482" s="408"/>
      <c r="BQ482" s="408"/>
      <c r="BR482" s="408"/>
      <c r="BS482" s="408"/>
      <c r="BT482" s="408"/>
      <c r="BU482" s="408"/>
      <c r="BV482" s="408">
        <v>0</v>
      </c>
      <c r="BW482" s="408"/>
      <c r="BX482" s="408"/>
      <c r="BY482" s="408"/>
      <c r="BZ482" s="408"/>
      <c r="CA482" s="408"/>
      <c r="CB482" s="408"/>
      <c r="CC482" s="408"/>
      <c r="CD482" s="408"/>
      <c r="CE482" s="408"/>
      <c r="CF482" s="408"/>
      <c r="CG482" s="408"/>
      <c r="CH482" s="408"/>
      <c r="CI482" s="408">
        <v>2054</v>
      </c>
      <c r="CJ482" s="408">
        <v>-4179.13</v>
      </c>
      <c r="CK482" s="408"/>
      <c r="CL482" s="408"/>
      <c r="CM482" s="408"/>
      <c r="CN482" s="408"/>
      <c r="CO482" s="408">
        <v>-8358.1999999999989</v>
      </c>
      <c r="CP482" s="408">
        <v>0</v>
      </c>
      <c r="CQ482" s="408">
        <v>30</v>
      </c>
      <c r="CR482" s="408">
        <v>-1.9309372549577972</v>
      </c>
      <c r="CS482" s="408">
        <v>0</v>
      </c>
      <c r="CT482" s="408">
        <v>0</v>
      </c>
      <c r="CU482" s="408">
        <v>0</v>
      </c>
      <c r="CV482" s="408">
        <v>0</v>
      </c>
      <c r="CW482" s="408"/>
      <c r="CX482" s="408"/>
      <c r="CY482" s="408"/>
      <c r="CZ482" s="408">
        <v>0</v>
      </c>
      <c r="DA482" s="408">
        <v>0</v>
      </c>
      <c r="DB482" s="408">
        <v>0</v>
      </c>
      <c r="DC482" s="408"/>
      <c r="DD482" s="408"/>
      <c r="DE482" s="408">
        <v>0</v>
      </c>
      <c r="DF482" s="408">
        <v>0</v>
      </c>
      <c r="DG482" s="408">
        <v>0</v>
      </c>
      <c r="DH482" s="408">
        <v>0</v>
      </c>
      <c r="DI482" s="408">
        <v>0</v>
      </c>
      <c r="DJ482" s="408"/>
      <c r="DK482" s="408">
        <v>0</v>
      </c>
      <c r="DL482" s="408">
        <v>0</v>
      </c>
      <c r="DM482" s="408"/>
      <c r="DN482" s="408">
        <v>0</v>
      </c>
      <c r="DO482" s="408">
        <v>0</v>
      </c>
      <c r="DP482" s="408">
        <v>-1.9309372549577972</v>
      </c>
      <c r="DQ482" s="408">
        <v>0</v>
      </c>
      <c r="DR482" s="408">
        <v>0</v>
      </c>
      <c r="DS482" s="408"/>
      <c r="DT482" s="408"/>
      <c r="DU482" s="408">
        <v>12434.15250702555</v>
      </c>
      <c r="DV482" s="408"/>
      <c r="DW482" s="408">
        <v>0</v>
      </c>
      <c r="DX482" s="408">
        <v>0</v>
      </c>
      <c r="DY482" s="408">
        <v>-8358.1999999999989</v>
      </c>
      <c r="DZ482" s="408"/>
      <c r="EA482" s="408">
        <v>0</v>
      </c>
      <c r="EB482" s="408"/>
      <c r="EC482" s="408">
        <v>-8351.7052633133135</v>
      </c>
      <c r="ED482" s="408"/>
      <c r="EE482" s="408">
        <v>0</v>
      </c>
      <c r="EF482" s="408">
        <v>0</v>
      </c>
      <c r="EG482" s="408"/>
      <c r="EH482" s="408">
        <v>0</v>
      </c>
      <c r="EI482" s="408">
        <v>0</v>
      </c>
      <c r="EJ482" s="408">
        <v>0</v>
      </c>
      <c r="EK482" s="408">
        <v>0</v>
      </c>
      <c r="EL482" s="408">
        <v>0</v>
      </c>
      <c r="EM482" s="408"/>
      <c r="EN482" s="408"/>
      <c r="EO482" s="408">
        <v>0</v>
      </c>
      <c r="EP482" s="408">
        <v>0</v>
      </c>
      <c r="EQ482" s="408"/>
      <c r="ER482" s="408">
        <v>0</v>
      </c>
      <c r="ES482" s="408"/>
      <c r="ET482" s="408">
        <v>0</v>
      </c>
      <c r="EU482" s="408"/>
      <c r="EV482" s="408">
        <v>257</v>
      </c>
      <c r="EW482" s="408"/>
      <c r="EX482" s="408"/>
      <c r="EY482" s="408"/>
      <c r="EZ482" s="408"/>
      <c r="FA482" s="408">
        <v>0</v>
      </c>
      <c r="FB482" s="408"/>
      <c r="FC482" s="408"/>
      <c r="FD482" s="408"/>
      <c r="FE482" s="408"/>
      <c r="FF482" s="408">
        <v>0</v>
      </c>
      <c r="FG482" s="408">
        <v>0</v>
      </c>
      <c r="FH482" s="408">
        <v>0</v>
      </c>
      <c r="FI482" s="408">
        <v>0</v>
      </c>
    </row>
    <row r="483" spans="1:165">
      <c r="A483" s="408">
        <v>481</v>
      </c>
      <c r="B483" s="408" t="s">
        <v>1035</v>
      </c>
      <c r="C483" s="408" t="s">
        <v>2241</v>
      </c>
      <c r="D483" s="408" t="s">
        <v>596</v>
      </c>
      <c r="E483" s="408" t="s">
        <v>969</v>
      </c>
      <c r="F483" s="408" t="s">
        <v>1321</v>
      </c>
      <c r="G483" s="408" t="s">
        <v>2314</v>
      </c>
      <c r="H483" s="408" t="s">
        <v>1321</v>
      </c>
      <c r="I483" s="408" t="s">
        <v>972</v>
      </c>
      <c r="J483" s="408" t="s">
        <v>2315</v>
      </c>
      <c r="K483" s="828">
        <v>44531</v>
      </c>
      <c r="L483" s="408">
        <v>0</v>
      </c>
      <c r="M483" s="408">
        <v>0</v>
      </c>
      <c r="N483" s="408">
        <v>17.771000000000001</v>
      </c>
      <c r="O483" s="408">
        <v>8.8855000000000004</v>
      </c>
      <c r="P483" s="408">
        <v>0</v>
      </c>
      <c r="Q483" s="408">
        <v>0</v>
      </c>
      <c r="R483" s="408"/>
      <c r="S483" s="408">
        <v>3130.62</v>
      </c>
      <c r="T483" s="408"/>
      <c r="U483" s="408"/>
      <c r="V483" s="408">
        <v>55634.248019999999</v>
      </c>
      <c r="W483" s="408">
        <v>55634.248019999999</v>
      </c>
      <c r="X483" s="408">
        <v>26835.809389999999</v>
      </c>
      <c r="Y483" s="408">
        <v>0</v>
      </c>
      <c r="Z483" s="408">
        <v>950.44590991720918</v>
      </c>
      <c r="AA483" s="408">
        <v>0</v>
      </c>
      <c r="AB483" s="408">
        <v>0</v>
      </c>
      <c r="AC483" s="408">
        <v>0</v>
      </c>
      <c r="AD483" s="408">
        <v>11448.32356904571</v>
      </c>
      <c r="AE483" s="408">
        <v>42724.125890503368</v>
      </c>
      <c r="AF483" s="408"/>
      <c r="AG483" s="408"/>
      <c r="AH483" s="408"/>
      <c r="AI483" s="408">
        <v>0</v>
      </c>
      <c r="AJ483" s="408">
        <v>0</v>
      </c>
      <c r="AK483" s="408">
        <v>0</v>
      </c>
      <c r="AL483" s="408">
        <v>168.90027119760472</v>
      </c>
      <c r="AM483" s="408"/>
      <c r="AN483" s="408">
        <v>23.974056312852568</v>
      </c>
      <c r="AO483" s="408">
        <v>0</v>
      </c>
      <c r="AP483" s="408">
        <v>0</v>
      </c>
      <c r="AQ483" s="408">
        <v>0</v>
      </c>
      <c r="AR483" s="408">
        <v>0</v>
      </c>
      <c r="AS483" s="408"/>
      <c r="AT483" s="408"/>
      <c r="AU483" s="408">
        <v>0</v>
      </c>
      <c r="AV483" s="408">
        <v>0</v>
      </c>
      <c r="AW483" s="408">
        <v>0</v>
      </c>
      <c r="AX483" s="408"/>
      <c r="AY483" s="408"/>
      <c r="AZ483" s="408">
        <v>0</v>
      </c>
      <c r="BA483" s="408"/>
      <c r="BB483" s="408">
        <v>0</v>
      </c>
      <c r="BC483" s="408">
        <v>0</v>
      </c>
      <c r="BD483" s="408">
        <v>21.894320134972091</v>
      </c>
      <c r="BE483" s="408">
        <v>0</v>
      </c>
      <c r="BF483" s="408"/>
      <c r="BG483" s="408">
        <v>296.58534055946609</v>
      </c>
      <c r="BH483" s="408">
        <v>0</v>
      </c>
      <c r="BI483" s="408">
        <v>0</v>
      </c>
      <c r="BJ483" s="408">
        <v>0</v>
      </c>
      <c r="BK483" s="408">
        <v>0</v>
      </c>
      <c r="BL483" s="408">
        <v>0</v>
      </c>
      <c r="BM483" s="408"/>
      <c r="BN483" s="408">
        <v>13417.904694999999</v>
      </c>
      <c r="BO483" s="408"/>
      <c r="BP483" s="408"/>
      <c r="BQ483" s="408"/>
      <c r="BR483" s="408"/>
      <c r="BS483" s="408"/>
      <c r="BT483" s="408"/>
      <c r="BU483" s="408"/>
      <c r="BV483" s="408">
        <v>318.47966069443817</v>
      </c>
      <c r="BW483" s="408"/>
      <c r="BX483" s="408"/>
      <c r="BY483" s="408"/>
      <c r="BZ483" s="408"/>
      <c r="CA483" s="408"/>
      <c r="CB483" s="408"/>
      <c r="CC483" s="408"/>
      <c r="CD483" s="408"/>
      <c r="CE483" s="408"/>
      <c r="CF483" s="408"/>
      <c r="CG483" s="408"/>
      <c r="CH483" s="408"/>
      <c r="CI483" s="408">
        <v>13424.7001</v>
      </c>
      <c r="CJ483" s="408">
        <v>-14392.453909999995</v>
      </c>
      <c r="CK483" s="408"/>
      <c r="CL483" s="408"/>
      <c r="CM483" s="408"/>
      <c r="CN483" s="408"/>
      <c r="CO483" s="408">
        <v>-28798.438630000001</v>
      </c>
      <c r="CP483" s="408">
        <v>0</v>
      </c>
      <c r="CQ483" s="408"/>
      <c r="CR483" s="408">
        <v>-101.80878263413251</v>
      </c>
      <c r="CS483" s="408">
        <v>0</v>
      </c>
      <c r="CT483" s="408">
        <v>0</v>
      </c>
      <c r="CU483" s="408">
        <v>0</v>
      </c>
      <c r="CV483" s="408">
        <v>0</v>
      </c>
      <c r="CW483" s="408"/>
      <c r="CX483" s="408"/>
      <c r="CY483" s="408"/>
      <c r="CZ483" s="408">
        <v>-51.747142577351042</v>
      </c>
      <c r="DA483" s="408">
        <v>0</v>
      </c>
      <c r="DB483" s="408">
        <v>0</v>
      </c>
      <c r="DC483" s="408"/>
      <c r="DD483" s="408"/>
      <c r="DE483" s="408">
        <v>0</v>
      </c>
      <c r="DF483" s="408">
        <v>1.3639826278743286</v>
      </c>
      <c r="DG483" s="408">
        <v>18.476812694408125</v>
      </c>
      <c r="DH483" s="408">
        <v>0</v>
      </c>
      <c r="DI483" s="408">
        <v>-59.102389244062806</v>
      </c>
      <c r="DJ483" s="408"/>
      <c r="DK483" s="408">
        <v>0</v>
      </c>
      <c r="DL483" s="408">
        <v>0</v>
      </c>
      <c r="DM483" s="408"/>
      <c r="DN483" s="408">
        <v>0</v>
      </c>
      <c r="DO483" s="408">
        <v>-9.2680123590160406</v>
      </c>
      <c r="DP483" s="408">
        <v>-1.5320337759855853</v>
      </c>
      <c r="DQ483" s="408">
        <v>0</v>
      </c>
      <c r="DR483" s="408">
        <v>0</v>
      </c>
      <c r="DS483" s="408"/>
      <c r="DT483" s="408"/>
      <c r="DU483" s="408"/>
      <c r="DV483" s="408">
        <v>42724.125890503368</v>
      </c>
      <c r="DW483" s="408">
        <v>0</v>
      </c>
      <c r="DX483" s="408">
        <v>0</v>
      </c>
      <c r="DY483" s="408">
        <v>-28798.438630000001</v>
      </c>
      <c r="DZ483" s="408"/>
      <c r="EA483" s="408">
        <v>0</v>
      </c>
      <c r="EB483" s="408"/>
      <c r="EC483" s="408">
        <v>-28696.713094725765</v>
      </c>
      <c r="ED483" s="408"/>
      <c r="EE483" s="408">
        <v>0</v>
      </c>
      <c r="EF483" s="408">
        <v>0</v>
      </c>
      <c r="EG483" s="408"/>
      <c r="EH483" s="408">
        <v>0</v>
      </c>
      <c r="EI483" s="408">
        <v>0</v>
      </c>
      <c r="EJ483" s="408">
        <v>0</v>
      </c>
      <c r="EK483" s="408">
        <v>0</v>
      </c>
      <c r="EL483" s="408">
        <v>0</v>
      </c>
      <c r="EM483" s="408"/>
      <c r="EN483" s="408"/>
      <c r="EO483" s="408">
        <v>0</v>
      </c>
      <c r="EP483" s="408">
        <v>0</v>
      </c>
      <c r="EQ483" s="408"/>
      <c r="ER483" s="408">
        <v>0</v>
      </c>
      <c r="ES483" s="408"/>
      <c r="ET483" s="408">
        <v>0</v>
      </c>
      <c r="EU483" s="408"/>
      <c r="EV483" s="408">
        <v>257</v>
      </c>
      <c r="EW483" s="408"/>
      <c r="EX483" s="408"/>
      <c r="EY483" s="408"/>
      <c r="EZ483" s="408"/>
      <c r="FA483" s="408">
        <v>0</v>
      </c>
      <c r="FB483" s="408"/>
      <c r="FC483" s="408"/>
      <c r="FD483" s="408"/>
      <c r="FE483" s="408"/>
      <c r="FF483" s="408">
        <v>0</v>
      </c>
      <c r="FG483" s="408">
        <v>0</v>
      </c>
      <c r="FH483" s="408">
        <v>0</v>
      </c>
      <c r="FI483" s="408">
        <v>0</v>
      </c>
    </row>
    <row r="484" spans="1:165">
      <c r="A484" s="408">
        <v>482</v>
      </c>
      <c r="B484" s="408" t="s">
        <v>1035</v>
      </c>
      <c r="C484" s="408" t="s">
        <v>2241</v>
      </c>
      <c r="D484" s="408" t="s">
        <v>596</v>
      </c>
      <c r="E484" s="408" t="s">
        <v>969</v>
      </c>
      <c r="F484" s="408" t="s">
        <v>1321</v>
      </c>
      <c r="G484" s="408" t="s">
        <v>2314</v>
      </c>
      <c r="H484" s="408" t="s">
        <v>1321</v>
      </c>
      <c r="I484" s="408" t="s">
        <v>2242</v>
      </c>
      <c r="J484" s="408" t="s">
        <v>2315</v>
      </c>
      <c r="K484" s="828">
        <v>44531</v>
      </c>
      <c r="L484" s="408">
        <v>0</v>
      </c>
      <c r="M484" s="408">
        <v>0</v>
      </c>
      <c r="N484" s="408">
        <v>216.15</v>
      </c>
      <c r="O484" s="408">
        <v>108.075</v>
      </c>
      <c r="P484" s="408">
        <v>0</v>
      </c>
      <c r="Q484" s="408">
        <v>0</v>
      </c>
      <c r="R484" s="408"/>
      <c r="S484" s="408">
        <v>82.26</v>
      </c>
      <c r="T484" s="408"/>
      <c r="U484" s="408"/>
      <c r="V484" s="408">
        <v>17780.499</v>
      </c>
      <c r="W484" s="408">
        <v>17780.499</v>
      </c>
      <c r="X484" s="408">
        <v>17170.955999999998</v>
      </c>
      <c r="Y484" s="408">
        <v>0</v>
      </c>
      <c r="Z484" s="408">
        <v>11560.344574227942</v>
      </c>
      <c r="AA484" s="408">
        <v>0</v>
      </c>
      <c r="AB484" s="408">
        <v>0</v>
      </c>
      <c r="AC484" s="408">
        <v>0</v>
      </c>
      <c r="AD484" s="408">
        <v>0</v>
      </c>
      <c r="AE484" s="408">
        <v>0</v>
      </c>
      <c r="AF484" s="408"/>
      <c r="AG484" s="408"/>
      <c r="AH484" s="408"/>
      <c r="AI484" s="408">
        <v>0</v>
      </c>
      <c r="AJ484" s="408">
        <v>0</v>
      </c>
      <c r="AK484" s="408">
        <v>0</v>
      </c>
      <c r="AL484" s="408">
        <v>2054.3466107344698</v>
      </c>
      <c r="AM484" s="408"/>
      <c r="AN484" s="408">
        <v>291.59823712920388</v>
      </c>
      <c r="AO484" s="408">
        <v>0</v>
      </c>
      <c r="AP484" s="408">
        <v>0</v>
      </c>
      <c r="AQ484" s="408">
        <v>0</v>
      </c>
      <c r="AR484" s="408">
        <v>0</v>
      </c>
      <c r="AS484" s="408"/>
      <c r="AT484" s="408"/>
      <c r="AU484" s="408">
        <v>0</v>
      </c>
      <c r="AV484" s="408">
        <v>0</v>
      </c>
      <c r="AW484" s="408">
        <v>0</v>
      </c>
      <c r="AX484" s="408"/>
      <c r="AY484" s="408"/>
      <c r="AZ484" s="408">
        <v>0</v>
      </c>
      <c r="BA484" s="408"/>
      <c r="BB484" s="408">
        <v>0</v>
      </c>
      <c r="BC484" s="408">
        <v>0</v>
      </c>
      <c r="BD484" s="408">
        <v>266.30225069912876</v>
      </c>
      <c r="BE484" s="408">
        <v>0</v>
      </c>
      <c r="BF484" s="408"/>
      <c r="BG484" s="408">
        <v>3607.3896439102241</v>
      </c>
      <c r="BH484" s="408">
        <v>0</v>
      </c>
      <c r="BI484" s="408">
        <v>0</v>
      </c>
      <c r="BJ484" s="408">
        <v>0</v>
      </c>
      <c r="BK484" s="408">
        <v>0</v>
      </c>
      <c r="BL484" s="408">
        <v>0</v>
      </c>
      <c r="BM484" s="408"/>
      <c r="BN484" s="408">
        <v>8585.4779999999992</v>
      </c>
      <c r="BO484" s="408"/>
      <c r="BP484" s="408"/>
      <c r="BQ484" s="408"/>
      <c r="BR484" s="408"/>
      <c r="BS484" s="408"/>
      <c r="BT484" s="408"/>
      <c r="BU484" s="408"/>
      <c r="BV484" s="408">
        <v>3873.6918946093529</v>
      </c>
      <c r="BW484" s="408"/>
      <c r="BX484" s="408"/>
      <c r="BY484" s="408"/>
      <c r="BZ484" s="408"/>
      <c r="CA484" s="408"/>
      <c r="CB484" s="408"/>
      <c r="CC484" s="408"/>
      <c r="CD484" s="408"/>
      <c r="CE484" s="408"/>
      <c r="CF484" s="408"/>
      <c r="CG484" s="408"/>
      <c r="CH484" s="408"/>
      <c r="CI484" s="408">
        <v>8585.8752000000004</v>
      </c>
      <c r="CJ484" s="408">
        <v>-304.40430000000015</v>
      </c>
      <c r="CK484" s="408"/>
      <c r="CL484" s="408"/>
      <c r="CM484" s="408"/>
      <c r="CN484" s="408"/>
      <c r="CO484" s="408">
        <v>-609.5430000000016</v>
      </c>
      <c r="CP484" s="408">
        <v>0</v>
      </c>
      <c r="CQ484" s="408"/>
      <c r="CR484" s="408">
        <v>-608.90346622437937</v>
      </c>
      <c r="CS484" s="408">
        <v>0</v>
      </c>
      <c r="CT484" s="408">
        <v>0</v>
      </c>
      <c r="CU484" s="408">
        <v>0</v>
      </c>
      <c r="CV484" s="408">
        <v>0</v>
      </c>
      <c r="CW484" s="408"/>
      <c r="CX484" s="408"/>
      <c r="CY484" s="408"/>
      <c r="CZ484" s="408">
        <v>0</v>
      </c>
      <c r="DA484" s="408">
        <v>0</v>
      </c>
      <c r="DB484" s="408">
        <v>0</v>
      </c>
      <c r="DC484" s="408"/>
      <c r="DD484" s="408"/>
      <c r="DE484" s="408">
        <v>0</v>
      </c>
      <c r="DF484" s="408">
        <v>16.590222554444665</v>
      </c>
      <c r="DG484" s="408">
        <v>224.73485250668591</v>
      </c>
      <c r="DH484" s="408">
        <v>0</v>
      </c>
      <c r="DI484" s="408">
        <v>-718.86677368207529</v>
      </c>
      <c r="DJ484" s="408"/>
      <c r="DK484" s="408">
        <v>0</v>
      </c>
      <c r="DL484" s="408">
        <v>0</v>
      </c>
      <c r="DM484" s="408"/>
      <c r="DN484" s="408">
        <v>0</v>
      </c>
      <c r="DO484" s="408">
        <v>-112.72752638575889</v>
      </c>
      <c r="DP484" s="408">
        <v>-18.634241217673946</v>
      </c>
      <c r="DQ484" s="408">
        <v>0</v>
      </c>
      <c r="DR484" s="408">
        <v>0</v>
      </c>
      <c r="DS484" s="408"/>
      <c r="DT484" s="408"/>
      <c r="DU484" s="408"/>
      <c r="DV484" s="408">
        <v>0</v>
      </c>
      <c r="DW484" s="408">
        <v>0</v>
      </c>
      <c r="DX484" s="408">
        <v>0</v>
      </c>
      <c r="DY484" s="408">
        <v>-609.54300000000148</v>
      </c>
      <c r="DZ484" s="408"/>
      <c r="EA484" s="408">
        <v>0</v>
      </c>
      <c r="EB484" s="408"/>
      <c r="EC484" s="408">
        <v>0</v>
      </c>
      <c r="ED484" s="408"/>
      <c r="EE484" s="408">
        <v>0</v>
      </c>
      <c r="EF484" s="408">
        <v>0</v>
      </c>
      <c r="EG484" s="408"/>
      <c r="EH484" s="408">
        <v>0</v>
      </c>
      <c r="EI484" s="408">
        <v>0</v>
      </c>
      <c r="EJ484" s="408">
        <v>0</v>
      </c>
      <c r="EK484" s="408">
        <v>0</v>
      </c>
      <c r="EL484" s="408">
        <v>0</v>
      </c>
      <c r="EM484" s="408"/>
      <c r="EN484" s="408"/>
      <c r="EO484" s="408">
        <v>0</v>
      </c>
      <c r="EP484" s="408">
        <v>0</v>
      </c>
      <c r="EQ484" s="408"/>
      <c r="ER484" s="408">
        <v>0</v>
      </c>
      <c r="ES484" s="408"/>
      <c r="ET484" s="408">
        <v>0</v>
      </c>
      <c r="EU484" s="408"/>
      <c r="EV484" s="408">
        <v>257</v>
      </c>
      <c r="EW484" s="408"/>
      <c r="EX484" s="408"/>
      <c r="EY484" s="408"/>
      <c r="EZ484" s="408"/>
      <c r="FA484" s="408">
        <v>0</v>
      </c>
      <c r="FB484" s="408"/>
      <c r="FC484" s="408"/>
      <c r="FD484" s="408"/>
      <c r="FE484" s="408"/>
      <c r="FF484" s="408">
        <v>0</v>
      </c>
      <c r="FG484" s="408">
        <v>0</v>
      </c>
      <c r="FH484" s="408">
        <v>0</v>
      </c>
      <c r="FI484" s="408">
        <v>0</v>
      </c>
    </row>
    <row r="485" spans="1:165">
      <c r="A485" s="408">
        <v>483</v>
      </c>
      <c r="B485" s="408" t="s">
        <v>1035</v>
      </c>
      <c r="C485" s="408" t="s">
        <v>2241</v>
      </c>
      <c r="D485" s="408" t="s">
        <v>596</v>
      </c>
      <c r="E485" s="408" t="s">
        <v>969</v>
      </c>
      <c r="F485" s="408" t="s">
        <v>1321</v>
      </c>
      <c r="G485" s="408" t="s">
        <v>2314</v>
      </c>
      <c r="H485" s="408" t="s">
        <v>1321</v>
      </c>
      <c r="I485" s="408" t="s">
        <v>1321</v>
      </c>
      <c r="J485" s="408" t="s">
        <v>2315</v>
      </c>
      <c r="K485" s="828">
        <v>44531</v>
      </c>
      <c r="L485" s="408">
        <v>1029</v>
      </c>
      <c r="M485" s="408">
        <v>514.5</v>
      </c>
      <c r="N485" s="408">
        <v>0</v>
      </c>
      <c r="O485" s="408">
        <v>0</v>
      </c>
      <c r="P485" s="408">
        <v>0</v>
      </c>
      <c r="Q485" s="408">
        <v>0</v>
      </c>
      <c r="R485" s="408">
        <v>47.39</v>
      </c>
      <c r="S485" s="408"/>
      <c r="T485" s="408"/>
      <c r="U485" s="408">
        <v>48764.31</v>
      </c>
      <c r="V485" s="408"/>
      <c r="W485" s="408">
        <v>48764.31</v>
      </c>
      <c r="X485" s="408">
        <v>33154.379999999997</v>
      </c>
      <c r="Y485" s="408">
        <v>0</v>
      </c>
      <c r="Z485" s="408">
        <v>0</v>
      </c>
      <c r="AA485" s="408">
        <v>0</v>
      </c>
      <c r="AB485" s="408">
        <v>0</v>
      </c>
      <c r="AC485" s="408">
        <v>0</v>
      </c>
      <c r="AD485" s="408">
        <v>25694.233084670206</v>
      </c>
      <c r="AE485" s="408">
        <v>23070.043395855653</v>
      </c>
      <c r="AF485" s="408"/>
      <c r="AG485" s="408"/>
      <c r="AH485" s="408"/>
      <c r="AI485" s="408">
        <v>0</v>
      </c>
      <c r="AJ485" s="408">
        <v>0</v>
      </c>
      <c r="AK485" s="408">
        <v>0</v>
      </c>
      <c r="AL485" s="408">
        <v>0</v>
      </c>
      <c r="AM485" s="408"/>
      <c r="AN485" s="408">
        <v>0</v>
      </c>
      <c r="AO485" s="408">
        <v>0</v>
      </c>
      <c r="AP485" s="408">
        <v>0</v>
      </c>
      <c r="AQ485" s="408">
        <v>0</v>
      </c>
      <c r="AR485" s="408">
        <v>0</v>
      </c>
      <c r="AS485" s="408"/>
      <c r="AT485" s="408"/>
      <c r="AU485" s="408">
        <v>0</v>
      </c>
      <c r="AV485" s="408">
        <v>0</v>
      </c>
      <c r="AW485" s="408">
        <v>0</v>
      </c>
      <c r="AX485" s="408"/>
      <c r="AY485" s="408"/>
      <c r="AZ485" s="408">
        <v>0</v>
      </c>
      <c r="BA485" s="408"/>
      <c r="BB485" s="408">
        <v>0</v>
      </c>
      <c r="BC485" s="408">
        <v>0</v>
      </c>
      <c r="BD485" s="408">
        <v>0</v>
      </c>
      <c r="BE485" s="408">
        <v>0</v>
      </c>
      <c r="BF485" s="408"/>
      <c r="BG485" s="408">
        <v>0</v>
      </c>
      <c r="BH485" s="408">
        <v>0</v>
      </c>
      <c r="BI485" s="408">
        <v>376.89</v>
      </c>
      <c r="BJ485" s="408">
        <v>0</v>
      </c>
      <c r="BK485" s="408">
        <v>10358.51</v>
      </c>
      <c r="BL485" s="408">
        <v>2</v>
      </c>
      <c r="BM485" s="408"/>
      <c r="BN485" s="408">
        <v>16577.189999999999</v>
      </c>
      <c r="BO485" s="408"/>
      <c r="BP485" s="408"/>
      <c r="BQ485" s="408"/>
      <c r="BR485" s="408"/>
      <c r="BS485" s="408"/>
      <c r="BT485" s="408"/>
      <c r="BU485" s="408"/>
      <c r="BV485" s="408">
        <v>0</v>
      </c>
      <c r="BW485" s="408"/>
      <c r="BX485" s="408"/>
      <c r="BY485" s="408"/>
      <c r="BZ485" s="408"/>
      <c r="CA485" s="408"/>
      <c r="CB485" s="408"/>
      <c r="CC485" s="408"/>
      <c r="CD485" s="408"/>
      <c r="CE485" s="408"/>
      <c r="CF485" s="408"/>
      <c r="CG485" s="408"/>
      <c r="CH485" s="408"/>
      <c r="CI485" s="408">
        <v>16577.189999999999</v>
      </c>
      <c r="CJ485" s="408">
        <v>-7804.9949999999953</v>
      </c>
      <c r="CK485" s="408"/>
      <c r="CL485" s="408"/>
      <c r="CM485" s="408"/>
      <c r="CN485" s="408"/>
      <c r="CO485" s="408">
        <v>-15609.930000000002</v>
      </c>
      <c r="CP485" s="408">
        <v>0</v>
      </c>
      <c r="CQ485" s="408"/>
      <c r="CR485" s="408">
        <v>-116.13954958815157</v>
      </c>
      <c r="CS485" s="408">
        <v>0</v>
      </c>
      <c r="CT485" s="408">
        <v>0</v>
      </c>
      <c r="CU485" s="408">
        <v>0</v>
      </c>
      <c r="CV485" s="408">
        <v>0</v>
      </c>
      <c r="CW485" s="408"/>
      <c r="CX485" s="408"/>
      <c r="CY485" s="408"/>
      <c r="CZ485" s="408">
        <v>-116.13954958815157</v>
      </c>
      <c r="DA485" s="408">
        <v>0</v>
      </c>
      <c r="DB485" s="408">
        <v>0</v>
      </c>
      <c r="DC485" s="408"/>
      <c r="DD485" s="408"/>
      <c r="DE485" s="408">
        <v>0</v>
      </c>
      <c r="DF485" s="408">
        <v>0</v>
      </c>
      <c r="DG485" s="408">
        <v>0</v>
      </c>
      <c r="DH485" s="408">
        <v>0</v>
      </c>
      <c r="DI485" s="408">
        <v>0</v>
      </c>
      <c r="DJ485" s="408"/>
      <c r="DK485" s="408">
        <v>0</v>
      </c>
      <c r="DL485" s="408">
        <v>0</v>
      </c>
      <c r="DM485" s="408"/>
      <c r="DN485" s="408">
        <v>0</v>
      </c>
      <c r="DO485" s="408">
        <v>0</v>
      </c>
      <c r="DP485" s="408">
        <v>0</v>
      </c>
      <c r="DQ485" s="408">
        <v>0</v>
      </c>
      <c r="DR485" s="408">
        <v>0</v>
      </c>
      <c r="DS485" s="408"/>
      <c r="DT485" s="408"/>
      <c r="DU485" s="408">
        <v>23070.043395855653</v>
      </c>
      <c r="DV485" s="408"/>
      <c r="DW485" s="408">
        <v>0</v>
      </c>
      <c r="DX485" s="408">
        <v>0</v>
      </c>
      <c r="DY485" s="408">
        <v>-15609.93</v>
      </c>
      <c r="DZ485" s="408"/>
      <c r="EA485" s="408">
        <v>0</v>
      </c>
      <c r="EB485" s="408"/>
      <c r="EC485" s="408">
        <v>-15495.563750337573</v>
      </c>
      <c r="ED485" s="408"/>
      <c r="EE485" s="408">
        <v>0</v>
      </c>
      <c r="EF485" s="408">
        <v>0</v>
      </c>
      <c r="EG485" s="408"/>
      <c r="EH485" s="408">
        <v>0</v>
      </c>
      <c r="EI485" s="408">
        <v>0</v>
      </c>
      <c r="EJ485" s="408">
        <v>0</v>
      </c>
      <c r="EK485" s="408">
        <v>0</v>
      </c>
      <c r="EL485" s="408">
        <v>0</v>
      </c>
      <c r="EM485" s="408"/>
      <c r="EN485" s="408"/>
      <c r="EO485" s="408">
        <v>0</v>
      </c>
      <c r="EP485" s="408">
        <v>0</v>
      </c>
      <c r="EQ485" s="408"/>
      <c r="ER485" s="408">
        <v>0</v>
      </c>
      <c r="ES485" s="408"/>
      <c r="ET485" s="408">
        <v>0</v>
      </c>
      <c r="EU485" s="408"/>
      <c r="EV485" s="408">
        <v>257</v>
      </c>
      <c r="EW485" s="408"/>
      <c r="EX485" s="408"/>
      <c r="EY485" s="408"/>
      <c r="EZ485" s="408"/>
      <c r="FA485" s="408">
        <v>0</v>
      </c>
      <c r="FB485" s="408"/>
      <c r="FC485" s="408"/>
      <c r="FD485" s="408"/>
      <c r="FE485" s="408"/>
      <c r="FF485" s="408">
        <v>0</v>
      </c>
      <c r="FG485" s="408">
        <v>0</v>
      </c>
      <c r="FH485" s="408">
        <v>0</v>
      </c>
      <c r="FI485" s="408">
        <v>0</v>
      </c>
    </row>
    <row r="486" spans="1:165">
      <c r="A486" s="408">
        <v>484</v>
      </c>
      <c r="B486" s="408" t="s">
        <v>1035</v>
      </c>
      <c r="C486" s="408" t="s">
        <v>992</v>
      </c>
      <c r="D486" s="408" t="s">
        <v>596</v>
      </c>
      <c r="E486" s="408" t="s">
        <v>1321</v>
      </c>
      <c r="F486" s="408" t="s">
        <v>1321</v>
      </c>
      <c r="G486" s="408" t="s">
        <v>1321</v>
      </c>
      <c r="H486" s="408" t="s">
        <v>2316</v>
      </c>
      <c r="I486" s="408" t="s">
        <v>1321</v>
      </c>
      <c r="J486" s="408" t="s">
        <v>2250</v>
      </c>
      <c r="K486" s="828">
        <v>44531</v>
      </c>
      <c r="L486" s="408">
        <v>1000</v>
      </c>
      <c r="M486" s="408">
        <v>500</v>
      </c>
      <c r="N486" s="408">
        <v>0</v>
      </c>
      <c r="O486" s="408">
        <v>0</v>
      </c>
      <c r="P486" s="408">
        <v>0</v>
      </c>
      <c r="Q486" s="408">
        <v>0</v>
      </c>
      <c r="R486" s="408">
        <v>15.78</v>
      </c>
      <c r="S486" s="408"/>
      <c r="T486" s="408"/>
      <c r="U486" s="408">
        <v>15780</v>
      </c>
      <c r="V486" s="408"/>
      <c r="W486" s="408">
        <v>15780</v>
      </c>
      <c r="X486" s="408">
        <v>5200</v>
      </c>
      <c r="Y486" s="408">
        <v>0</v>
      </c>
      <c r="Z486" s="408">
        <v>0</v>
      </c>
      <c r="AA486" s="408">
        <v>0</v>
      </c>
      <c r="AB486" s="408">
        <v>0</v>
      </c>
      <c r="AC486" s="408">
        <v>0</v>
      </c>
      <c r="AD486" s="408">
        <v>0</v>
      </c>
      <c r="AE486" s="408">
        <v>15739.433553196899</v>
      </c>
      <c r="AF486" s="408"/>
      <c r="AG486" s="408"/>
      <c r="AH486" s="408"/>
      <c r="AI486" s="408">
        <v>0</v>
      </c>
      <c r="AJ486" s="408">
        <v>0</v>
      </c>
      <c r="AK486" s="408">
        <v>0</v>
      </c>
      <c r="AL486" s="408">
        <v>0</v>
      </c>
      <c r="AM486" s="408"/>
      <c r="AN486" s="408">
        <v>38.248486219299501</v>
      </c>
      <c r="AO486" s="408">
        <v>0</v>
      </c>
      <c r="AP486" s="408">
        <v>0</v>
      </c>
      <c r="AQ486" s="408">
        <v>0</v>
      </c>
      <c r="AR486" s="408">
        <v>0</v>
      </c>
      <c r="AS486" s="408"/>
      <c r="AT486" s="408"/>
      <c r="AU486" s="408">
        <v>0</v>
      </c>
      <c r="AV486" s="408">
        <v>0</v>
      </c>
      <c r="AW486" s="408">
        <v>0</v>
      </c>
      <c r="AX486" s="408"/>
      <c r="AY486" s="408"/>
      <c r="AZ486" s="408">
        <v>0</v>
      </c>
      <c r="BA486" s="408"/>
      <c r="BB486" s="408">
        <v>0</v>
      </c>
      <c r="BC486" s="408">
        <v>0</v>
      </c>
      <c r="BD486" s="408">
        <v>0</v>
      </c>
      <c r="BE486" s="408">
        <v>0</v>
      </c>
      <c r="BF486" s="408"/>
      <c r="BG486" s="408">
        <v>0</v>
      </c>
      <c r="BH486" s="408">
        <v>0</v>
      </c>
      <c r="BI486" s="408">
        <v>20.22</v>
      </c>
      <c r="BJ486" s="408">
        <v>0</v>
      </c>
      <c r="BK486" s="408">
        <v>555.79999999999995</v>
      </c>
      <c r="BL486" s="408">
        <v>0</v>
      </c>
      <c r="BM486" s="408"/>
      <c r="BN486" s="408"/>
      <c r="BO486" s="408">
        <v>2600</v>
      </c>
      <c r="BP486" s="408"/>
      <c r="BQ486" s="408"/>
      <c r="BR486" s="408"/>
      <c r="BS486" s="408"/>
      <c r="BT486" s="408"/>
      <c r="BU486" s="408"/>
      <c r="BV486" s="408">
        <v>0</v>
      </c>
      <c r="BW486" s="408"/>
      <c r="BX486" s="408"/>
      <c r="BY486" s="408"/>
      <c r="BZ486" s="408"/>
      <c r="CA486" s="408"/>
      <c r="CB486" s="408"/>
      <c r="CC486" s="408"/>
      <c r="CD486" s="408"/>
      <c r="CE486" s="408"/>
      <c r="CF486" s="408"/>
      <c r="CG486" s="408"/>
      <c r="CH486" s="408"/>
      <c r="CI486" s="408">
        <v>2600</v>
      </c>
      <c r="CJ486" s="408">
        <v>-5290.0300000000007</v>
      </c>
      <c r="CK486" s="408"/>
      <c r="CL486" s="408"/>
      <c r="CM486" s="408"/>
      <c r="CN486" s="408"/>
      <c r="CO486" s="408">
        <v>-10579.999999999998</v>
      </c>
      <c r="CP486" s="408">
        <v>0</v>
      </c>
      <c r="CQ486" s="408"/>
      <c r="CR486" s="408">
        <v>-2.4442243733642997</v>
      </c>
      <c r="CS486" s="408">
        <v>0</v>
      </c>
      <c r="CT486" s="408">
        <v>0</v>
      </c>
      <c r="CU486" s="408">
        <v>0</v>
      </c>
      <c r="CV486" s="408">
        <v>0</v>
      </c>
      <c r="CW486" s="408"/>
      <c r="CX486" s="408"/>
      <c r="CY486" s="408"/>
      <c r="CZ486" s="408">
        <v>0</v>
      </c>
      <c r="DA486" s="408">
        <v>0</v>
      </c>
      <c r="DB486" s="408">
        <v>0</v>
      </c>
      <c r="DC486" s="408"/>
      <c r="DD486" s="408"/>
      <c r="DE486" s="408">
        <v>0</v>
      </c>
      <c r="DF486" s="408">
        <v>0</v>
      </c>
      <c r="DG486" s="408">
        <v>0</v>
      </c>
      <c r="DH486" s="408">
        <v>0</v>
      </c>
      <c r="DI486" s="408">
        <v>0</v>
      </c>
      <c r="DJ486" s="408"/>
      <c r="DK486" s="408">
        <v>0</v>
      </c>
      <c r="DL486" s="408">
        <v>0</v>
      </c>
      <c r="DM486" s="408"/>
      <c r="DN486" s="408">
        <v>0</v>
      </c>
      <c r="DO486" s="408">
        <v>0</v>
      </c>
      <c r="DP486" s="408">
        <v>-2.4442243733642997</v>
      </c>
      <c r="DQ486" s="408">
        <v>0</v>
      </c>
      <c r="DR486" s="408">
        <v>0</v>
      </c>
      <c r="DS486" s="408"/>
      <c r="DT486" s="408"/>
      <c r="DU486" s="408">
        <v>15739.433553196899</v>
      </c>
      <c r="DV486" s="408"/>
      <c r="DW486" s="408">
        <v>0</v>
      </c>
      <c r="DX486" s="408">
        <v>0</v>
      </c>
      <c r="DY486" s="408">
        <v>-10580</v>
      </c>
      <c r="DZ486" s="408"/>
      <c r="EA486" s="408">
        <v>0</v>
      </c>
      <c r="EB486" s="408"/>
      <c r="EC486" s="408">
        <v>-10571.778814320649</v>
      </c>
      <c r="ED486" s="408"/>
      <c r="EE486" s="408">
        <v>0</v>
      </c>
      <c r="EF486" s="408">
        <v>0</v>
      </c>
      <c r="EG486" s="408"/>
      <c r="EH486" s="408">
        <v>0</v>
      </c>
      <c r="EI486" s="408">
        <v>0</v>
      </c>
      <c r="EJ486" s="408">
        <v>0</v>
      </c>
      <c r="EK486" s="408">
        <v>0</v>
      </c>
      <c r="EL486" s="408">
        <v>0</v>
      </c>
      <c r="EM486" s="408"/>
      <c r="EN486" s="408"/>
      <c r="EO486" s="408">
        <v>0</v>
      </c>
      <c r="EP486" s="408">
        <v>0</v>
      </c>
      <c r="EQ486" s="408"/>
      <c r="ER486" s="408">
        <v>0</v>
      </c>
      <c r="ES486" s="408"/>
      <c r="ET486" s="408">
        <v>0</v>
      </c>
      <c r="EU486" s="408"/>
      <c r="EV486" s="408">
        <v>257</v>
      </c>
      <c r="EW486" s="408"/>
      <c r="EX486" s="408"/>
      <c r="EY486" s="408"/>
      <c r="EZ486" s="408"/>
      <c r="FA486" s="408">
        <v>0</v>
      </c>
      <c r="FB486" s="408"/>
      <c r="FC486" s="408"/>
      <c r="FD486" s="408"/>
      <c r="FE486" s="408"/>
      <c r="FF486" s="408">
        <v>0</v>
      </c>
      <c r="FG486" s="408">
        <v>0</v>
      </c>
      <c r="FH486" s="408">
        <v>0</v>
      </c>
      <c r="FI486" s="408">
        <v>0</v>
      </c>
    </row>
    <row r="487" spans="1:165">
      <c r="A487" s="408">
        <v>485</v>
      </c>
      <c r="B487" s="408" t="s">
        <v>1035</v>
      </c>
      <c r="C487" s="408" t="s">
        <v>992</v>
      </c>
      <c r="D487" s="408" t="s">
        <v>596</v>
      </c>
      <c r="E487" s="408" t="s">
        <v>1321</v>
      </c>
      <c r="F487" s="408" t="s">
        <v>1321</v>
      </c>
      <c r="G487" s="408" t="s">
        <v>1321</v>
      </c>
      <c r="H487" s="408" t="s">
        <v>2317</v>
      </c>
      <c r="I487" s="408" t="s">
        <v>1321</v>
      </c>
      <c r="J487" s="408" t="s">
        <v>2250</v>
      </c>
      <c r="K487" s="828">
        <v>44531</v>
      </c>
      <c r="L487" s="408">
        <v>790</v>
      </c>
      <c r="M487" s="408">
        <v>395</v>
      </c>
      <c r="N487" s="408">
        <v>0</v>
      </c>
      <c r="O487" s="408">
        <v>0</v>
      </c>
      <c r="P487" s="408">
        <v>0</v>
      </c>
      <c r="Q487" s="408">
        <v>0</v>
      </c>
      <c r="R487" s="408">
        <v>15.78</v>
      </c>
      <c r="S487" s="408"/>
      <c r="T487" s="408"/>
      <c r="U487" s="408">
        <v>12466.199999999999</v>
      </c>
      <c r="V487" s="408"/>
      <c r="W487" s="408">
        <v>12466.199999999999</v>
      </c>
      <c r="X487" s="408">
        <v>4108</v>
      </c>
      <c r="Y487" s="408">
        <v>0</v>
      </c>
      <c r="Z487" s="408">
        <v>0</v>
      </c>
      <c r="AA487" s="408">
        <v>0</v>
      </c>
      <c r="AB487" s="408">
        <v>0</v>
      </c>
      <c r="AC487" s="408">
        <v>0</v>
      </c>
      <c r="AD487" s="408">
        <v>0</v>
      </c>
      <c r="AE487" s="408">
        <v>12434.15250702555</v>
      </c>
      <c r="AF487" s="408"/>
      <c r="AG487" s="408"/>
      <c r="AH487" s="408"/>
      <c r="AI487" s="408">
        <v>0</v>
      </c>
      <c r="AJ487" s="408">
        <v>0</v>
      </c>
      <c r="AK487" s="408">
        <v>0</v>
      </c>
      <c r="AL487" s="408">
        <v>0</v>
      </c>
      <c r="AM487" s="408"/>
      <c r="AN487" s="408">
        <v>30.216304113246604</v>
      </c>
      <c r="AO487" s="408">
        <v>0</v>
      </c>
      <c r="AP487" s="408">
        <v>0</v>
      </c>
      <c r="AQ487" s="408">
        <v>0</v>
      </c>
      <c r="AR487" s="408">
        <v>0</v>
      </c>
      <c r="AS487" s="408"/>
      <c r="AT487" s="408"/>
      <c r="AU487" s="408">
        <v>0</v>
      </c>
      <c r="AV487" s="408">
        <v>0</v>
      </c>
      <c r="AW487" s="408">
        <v>0</v>
      </c>
      <c r="AX487" s="408"/>
      <c r="AY487" s="408"/>
      <c r="AZ487" s="408">
        <v>0</v>
      </c>
      <c r="BA487" s="408"/>
      <c r="BB487" s="408">
        <v>0</v>
      </c>
      <c r="BC487" s="408">
        <v>0</v>
      </c>
      <c r="BD487" s="408">
        <v>0</v>
      </c>
      <c r="BE487" s="408">
        <v>0</v>
      </c>
      <c r="BF487" s="408"/>
      <c r="BG487" s="408">
        <v>0</v>
      </c>
      <c r="BH487" s="408">
        <v>0</v>
      </c>
      <c r="BI487" s="408">
        <v>15.97</v>
      </c>
      <c r="BJ487" s="408">
        <v>0</v>
      </c>
      <c r="BK487" s="408">
        <v>439.08</v>
      </c>
      <c r="BL487" s="408">
        <v>0</v>
      </c>
      <c r="BM487" s="408"/>
      <c r="BN487" s="408"/>
      <c r="BO487" s="408">
        <v>2054</v>
      </c>
      <c r="BP487" s="408"/>
      <c r="BQ487" s="408"/>
      <c r="BR487" s="408"/>
      <c r="BS487" s="408"/>
      <c r="BT487" s="408"/>
      <c r="BU487" s="408"/>
      <c r="BV487" s="408">
        <v>0</v>
      </c>
      <c r="BW487" s="408"/>
      <c r="BX487" s="408"/>
      <c r="BY487" s="408"/>
      <c r="BZ487" s="408"/>
      <c r="CA487" s="408"/>
      <c r="CB487" s="408"/>
      <c r="CC487" s="408"/>
      <c r="CD487" s="408"/>
      <c r="CE487" s="408"/>
      <c r="CF487" s="408"/>
      <c r="CG487" s="408"/>
      <c r="CH487" s="408"/>
      <c r="CI487" s="408">
        <v>2054</v>
      </c>
      <c r="CJ487" s="408">
        <v>-4179.13</v>
      </c>
      <c r="CK487" s="408"/>
      <c r="CL487" s="408"/>
      <c r="CM487" s="408"/>
      <c r="CN487" s="408"/>
      <c r="CO487" s="408">
        <v>-8358.1999999999989</v>
      </c>
      <c r="CP487" s="408">
        <v>0</v>
      </c>
      <c r="CQ487" s="408"/>
      <c r="CR487" s="408">
        <v>-1.9309372549577972</v>
      </c>
      <c r="CS487" s="408">
        <v>0</v>
      </c>
      <c r="CT487" s="408">
        <v>0</v>
      </c>
      <c r="CU487" s="408">
        <v>0</v>
      </c>
      <c r="CV487" s="408">
        <v>0</v>
      </c>
      <c r="CW487" s="408"/>
      <c r="CX487" s="408"/>
      <c r="CY487" s="408"/>
      <c r="CZ487" s="408">
        <v>0</v>
      </c>
      <c r="DA487" s="408">
        <v>0</v>
      </c>
      <c r="DB487" s="408">
        <v>0</v>
      </c>
      <c r="DC487" s="408"/>
      <c r="DD487" s="408"/>
      <c r="DE487" s="408">
        <v>0</v>
      </c>
      <c r="DF487" s="408">
        <v>0</v>
      </c>
      <c r="DG487" s="408">
        <v>0</v>
      </c>
      <c r="DH487" s="408">
        <v>0</v>
      </c>
      <c r="DI487" s="408">
        <v>0</v>
      </c>
      <c r="DJ487" s="408"/>
      <c r="DK487" s="408">
        <v>0</v>
      </c>
      <c r="DL487" s="408">
        <v>0</v>
      </c>
      <c r="DM487" s="408"/>
      <c r="DN487" s="408">
        <v>0</v>
      </c>
      <c r="DO487" s="408">
        <v>0</v>
      </c>
      <c r="DP487" s="408">
        <v>-1.9309372549577972</v>
      </c>
      <c r="DQ487" s="408">
        <v>0</v>
      </c>
      <c r="DR487" s="408">
        <v>0</v>
      </c>
      <c r="DS487" s="408"/>
      <c r="DT487" s="408"/>
      <c r="DU487" s="408">
        <v>12434.15250702555</v>
      </c>
      <c r="DV487" s="408"/>
      <c r="DW487" s="408">
        <v>0</v>
      </c>
      <c r="DX487" s="408">
        <v>0</v>
      </c>
      <c r="DY487" s="408">
        <v>-8358.1999999999989</v>
      </c>
      <c r="DZ487" s="408"/>
      <c r="EA487" s="408">
        <v>0</v>
      </c>
      <c r="EB487" s="408"/>
      <c r="EC487" s="408">
        <v>-8351.7052633133135</v>
      </c>
      <c r="ED487" s="408"/>
      <c r="EE487" s="408">
        <v>0</v>
      </c>
      <c r="EF487" s="408">
        <v>0</v>
      </c>
      <c r="EG487" s="408"/>
      <c r="EH487" s="408">
        <v>0</v>
      </c>
      <c r="EI487" s="408">
        <v>0</v>
      </c>
      <c r="EJ487" s="408">
        <v>0</v>
      </c>
      <c r="EK487" s="408">
        <v>0</v>
      </c>
      <c r="EL487" s="408">
        <v>0</v>
      </c>
      <c r="EM487" s="408"/>
      <c r="EN487" s="408"/>
      <c r="EO487" s="408">
        <v>0</v>
      </c>
      <c r="EP487" s="408">
        <v>0</v>
      </c>
      <c r="EQ487" s="408"/>
      <c r="ER487" s="408">
        <v>0</v>
      </c>
      <c r="ES487" s="408"/>
      <c r="ET487" s="408">
        <v>0</v>
      </c>
      <c r="EU487" s="408"/>
      <c r="EV487" s="408">
        <v>257</v>
      </c>
      <c r="EW487" s="408"/>
      <c r="EX487" s="408"/>
      <c r="EY487" s="408"/>
      <c r="EZ487" s="408"/>
      <c r="FA487" s="408">
        <v>0</v>
      </c>
      <c r="FB487" s="408"/>
      <c r="FC487" s="408"/>
      <c r="FD487" s="408"/>
      <c r="FE487" s="408"/>
      <c r="FF487" s="408">
        <v>0</v>
      </c>
      <c r="FG487" s="408">
        <v>0</v>
      </c>
      <c r="FH487" s="408">
        <v>0</v>
      </c>
      <c r="FI487" s="408">
        <v>0</v>
      </c>
    </row>
    <row r="488" spans="1:165">
      <c r="A488" s="408">
        <v>486</v>
      </c>
      <c r="B488" s="408" t="s">
        <v>1035</v>
      </c>
      <c r="C488" s="408" t="s">
        <v>2241</v>
      </c>
      <c r="D488" s="408" t="s">
        <v>596</v>
      </c>
      <c r="E488" s="408" t="s">
        <v>969</v>
      </c>
      <c r="F488" s="408" t="s">
        <v>1321</v>
      </c>
      <c r="G488" s="408" t="s">
        <v>2314</v>
      </c>
      <c r="H488" s="408" t="s">
        <v>1321</v>
      </c>
      <c r="I488" s="408" t="s">
        <v>972</v>
      </c>
      <c r="J488" s="408" t="s">
        <v>2315</v>
      </c>
      <c r="K488" s="828">
        <v>44562</v>
      </c>
      <c r="L488" s="408">
        <v>0</v>
      </c>
      <c r="M488" s="408">
        <v>0</v>
      </c>
      <c r="N488" s="408">
        <v>13.849</v>
      </c>
      <c r="O488" s="408">
        <v>6.9245000000000001</v>
      </c>
      <c r="P488" s="408">
        <v>0</v>
      </c>
      <c r="Q488" s="408">
        <v>0</v>
      </c>
      <c r="R488" s="408"/>
      <c r="S488" s="408">
        <v>3130.62</v>
      </c>
      <c r="T488" s="408"/>
      <c r="U488" s="408"/>
      <c r="V488" s="408">
        <v>43355.956379999996</v>
      </c>
      <c r="W488" s="408">
        <v>43355.956379999996</v>
      </c>
      <c r="X488" s="408">
        <v>20913.236409999998</v>
      </c>
      <c r="Y488" s="408">
        <v>0</v>
      </c>
      <c r="Z488" s="408">
        <v>740.68569053195824</v>
      </c>
      <c r="AA488" s="408">
        <v>0</v>
      </c>
      <c r="AB488" s="408">
        <v>0</v>
      </c>
      <c r="AC488" s="408">
        <v>0</v>
      </c>
      <c r="AD488" s="408">
        <v>8921.7170169216151</v>
      </c>
      <c r="AE488" s="408">
        <v>33295.054834144452</v>
      </c>
      <c r="AF488" s="408"/>
      <c r="AG488" s="408"/>
      <c r="AH488" s="408"/>
      <c r="AI488" s="408">
        <v>0</v>
      </c>
      <c r="AJ488" s="408">
        <v>0</v>
      </c>
      <c r="AK488" s="408">
        <v>0</v>
      </c>
      <c r="AL488" s="408">
        <v>131.62454874883954</v>
      </c>
      <c r="AM488" s="408"/>
      <c r="AN488" s="408">
        <v>18.683062623189194</v>
      </c>
      <c r="AO488" s="408">
        <v>0</v>
      </c>
      <c r="AP488" s="408">
        <v>0</v>
      </c>
      <c r="AQ488" s="408">
        <v>0</v>
      </c>
      <c r="AR488" s="408">
        <v>0</v>
      </c>
      <c r="AS488" s="408"/>
      <c r="AT488" s="408"/>
      <c r="AU488" s="408">
        <v>0</v>
      </c>
      <c r="AV488" s="408">
        <v>0</v>
      </c>
      <c r="AW488" s="408">
        <v>0</v>
      </c>
      <c r="AX488" s="408"/>
      <c r="AY488" s="408"/>
      <c r="AZ488" s="408">
        <v>0</v>
      </c>
      <c r="BA488" s="408"/>
      <c r="BB488" s="408">
        <v>0</v>
      </c>
      <c r="BC488" s="408">
        <v>0</v>
      </c>
      <c r="BD488" s="408">
        <v>17.062317233089217</v>
      </c>
      <c r="BE488" s="408">
        <v>0</v>
      </c>
      <c r="BF488" s="408"/>
      <c r="BG488" s="408">
        <v>231.12995224849732</v>
      </c>
      <c r="BH488" s="408">
        <v>0</v>
      </c>
      <c r="BI488" s="408">
        <v>0</v>
      </c>
      <c r="BJ488" s="408">
        <v>0</v>
      </c>
      <c r="BK488" s="408">
        <v>0</v>
      </c>
      <c r="BL488" s="408">
        <v>0</v>
      </c>
      <c r="BM488" s="408"/>
      <c r="BN488" s="408">
        <v>10456.618204999999</v>
      </c>
      <c r="BO488" s="408"/>
      <c r="BP488" s="408"/>
      <c r="BQ488" s="408"/>
      <c r="BR488" s="408"/>
      <c r="BS488" s="408"/>
      <c r="BT488" s="408"/>
      <c r="BU488" s="408"/>
      <c r="BV488" s="408">
        <v>248.19226948158655</v>
      </c>
      <c r="BW488" s="408"/>
      <c r="BX488" s="408"/>
      <c r="BY488" s="408"/>
      <c r="BZ488" s="408"/>
      <c r="CA488" s="408"/>
      <c r="CB488" s="408"/>
      <c r="CC488" s="408"/>
      <c r="CD488" s="408"/>
      <c r="CE488" s="408"/>
      <c r="CF488" s="408"/>
      <c r="CG488" s="408"/>
      <c r="CH488" s="408"/>
      <c r="CI488" s="408">
        <v>10449.8228</v>
      </c>
      <c r="CJ488" s="408">
        <v>-11228.185389999993</v>
      </c>
      <c r="CK488" s="408"/>
      <c r="CL488" s="408"/>
      <c r="CM488" s="408"/>
      <c r="CN488" s="408"/>
      <c r="CO488" s="408">
        <v>-22442.719969999998</v>
      </c>
      <c r="CP488" s="408">
        <v>0</v>
      </c>
      <c r="CQ488" s="408">
        <v>31</v>
      </c>
      <c r="CR488" s="408">
        <v>-79.339926323793406</v>
      </c>
      <c r="CS488" s="408">
        <v>0</v>
      </c>
      <c r="CT488" s="408">
        <v>0</v>
      </c>
      <c r="CU488" s="408">
        <v>0</v>
      </c>
      <c r="CV488" s="408">
        <v>0</v>
      </c>
      <c r="CW488" s="408"/>
      <c r="CX488" s="408"/>
      <c r="CY488" s="408"/>
      <c r="CZ488" s="408">
        <v>-40.326722050180251</v>
      </c>
      <c r="DA488" s="408">
        <v>0</v>
      </c>
      <c r="DB488" s="408">
        <v>0</v>
      </c>
      <c r="DC488" s="408"/>
      <c r="DD488" s="408"/>
      <c r="DE488" s="408">
        <v>0</v>
      </c>
      <c r="DF488" s="408">
        <v>1.0629562440735789</v>
      </c>
      <c r="DG488" s="408">
        <v>14.399042203863502</v>
      </c>
      <c r="DH488" s="408">
        <v>0</v>
      </c>
      <c r="DI488" s="408">
        <v>-46.058690486805858</v>
      </c>
      <c r="DJ488" s="408"/>
      <c r="DK488" s="408">
        <v>0</v>
      </c>
      <c r="DL488" s="408">
        <v>0</v>
      </c>
      <c r="DM488" s="408"/>
      <c r="DN488" s="408">
        <v>0</v>
      </c>
      <c r="DO488" s="408">
        <v>-7.2225931663954128</v>
      </c>
      <c r="DP488" s="408">
        <v>-1.1939190683486771</v>
      </c>
      <c r="DQ488" s="408">
        <v>0</v>
      </c>
      <c r="DR488" s="408">
        <v>0</v>
      </c>
      <c r="DS488" s="408"/>
      <c r="DT488" s="408"/>
      <c r="DU488" s="408"/>
      <c r="DV488" s="408">
        <v>33295.054834144452</v>
      </c>
      <c r="DW488" s="408">
        <v>0</v>
      </c>
      <c r="DX488" s="408">
        <v>0</v>
      </c>
      <c r="DY488" s="408">
        <v>-22442.719969999998</v>
      </c>
      <c r="DZ488" s="408"/>
      <c r="EA488" s="408">
        <v>0</v>
      </c>
      <c r="EB488" s="408"/>
      <c r="EC488" s="408">
        <v>-22363.444918623434</v>
      </c>
      <c r="ED488" s="408"/>
      <c r="EE488" s="408">
        <v>0</v>
      </c>
      <c r="EF488" s="408">
        <v>0</v>
      </c>
      <c r="EG488" s="408"/>
      <c r="EH488" s="408">
        <v>0</v>
      </c>
      <c r="EI488" s="408">
        <v>0</v>
      </c>
      <c r="EJ488" s="408">
        <v>0</v>
      </c>
      <c r="EK488" s="408">
        <v>0</v>
      </c>
      <c r="EL488" s="408">
        <v>0</v>
      </c>
      <c r="EM488" s="408"/>
      <c r="EN488" s="408"/>
      <c r="EO488" s="408">
        <v>0</v>
      </c>
      <c r="EP488" s="408">
        <v>0</v>
      </c>
      <c r="EQ488" s="408"/>
      <c r="ER488" s="408">
        <v>0</v>
      </c>
      <c r="ES488" s="408"/>
      <c r="ET488" s="408">
        <v>0</v>
      </c>
      <c r="EU488" s="408"/>
      <c r="EV488" s="408">
        <v>257</v>
      </c>
      <c r="EW488" s="408"/>
      <c r="EX488" s="408"/>
      <c r="EY488" s="408"/>
      <c r="EZ488" s="408"/>
      <c r="FA488" s="408">
        <v>0</v>
      </c>
      <c r="FB488" s="408"/>
      <c r="FC488" s="408"/>
      <c r="FD488" s="408"/>
      <c r="FE488" s="408"/>
      <c r="FF488" s="408">
        <v>0</v>
      </c>
      <c r="FG488" s="408">
        <v>0</v>
      </c>
      <c r="FH488" s="408">
        <v>0</v>
      </c>
      <c r="FI488" s="408">
        <v>0</v>
      </c>
    </row>
    <row r="489" spans="1:165">
      <c r="A489" s="408">
        <v>487</v>
      </c>
      <c r="B489" s="408" t="s">
        <v>1035</v>
      </c>
      <c r="C489" s="408" t="s">
        <v>2241</v>
      </c>
      <c r="D489" s="408" t="s">
        <v>596</v>
      </c>
      <c r="E489" s="408" t="s">
        <v>969</v>
      </c>
      <c r="F489" s="408" t="s">
        <v>1321</v>
      </c>
      <c r="G489" s="408" t="s">
        <v>2314</v>
      </c>
      <c r="H489" s="408" t="s">
        <v>1321</v>
      </c>
      <c r="I489" s="408" t="s">
        <v>2242</v>
      </c>
      <c r="J489" s="408" t="s">
        <v>2315</v>
      </c>
      <c r="K489" s="828">
        <v>44562</v>
      </c>
      <c r="L489" s="408">
        <v>0</v>
      </c>
      <c r="M489" s="408">
        <v>0</v>
      </c>
      <c r="N489" s="408">
        <v>196.97300000000001</v>
      </c>
      <c r="O489" s="408">
        <v>98.486500000000007</v>
      </c>
      <c r="P489" s="408">
        <v>0</v>
      </c>
      <c r="Q489" s="408">
        <v>0</v>
      </c>
      <c r="R489" s="408"/>
      <c r="S489" s="408">
        <v>82.26</v>
      </c>
      <c r="T489" s="408"/>
      <c r="U489" s="408"/>
      <c r="V489" s="408">
        <v>16202.998980000002</v>
      </c>
      <c r="W489" s="408">
        <v>16202.998980000002</v>
      </c>
      <c r="X489" s="408">
        <v>15647.53512</v>
      </c>
      <c r="Y489" s="408">
        <v>0</v>
      </c>
      <c r="Z489" s="408">
        <v>10534.701604531116</v>
      </c>
      <c r="AA489" s="408">
        <v>0</v>
      </c>
      <c r="AB489" s="408">
        <v>0</v>
      </c>
      <c r="AC489" s="408">
        <v>0</v>
      </c>
      <c r="AD489" s="408">
        <v>0</v>
      </c>
      <c r="AE489" s="408">
        <v>0</v>
      </c>
      <c r="AF489" s="408"/>
      <c r="AG489" s="408"/>
      <c r="AH489" s="408"/>
      <c r="AI489" s="408">
        <v>0</v>
      </c>
      <c r="AJ489" s="408">
        <v>0</v>
      </c>
      <c r="AK489" s="408">
        <v>0</v>
      </c>
      <c r="AL489" s="408">
        <v>1872.0833446967417</v>
      </c>
      <c r="AM489" s="408"/>
      <c r="AN489" s="408">
        <v>265.7274094936418</v>
      </c>
      <c r="AO489" s="408">
        <v>0</v>
      </c>
      <c r="AP489" s="408">
        <v>0</v>
      </c>
      <c r="AQ489" s="408">
        <v>0</v>
      </c>
      <c r="AR489" s="408">
        <v>0</v>
      </c>
      <c r="AS489" s="408"/>
      <c r="AT489" s="408"/>
      <c r="AU489" s="408">
        <v>0</v>
      </c>
      <c r="AV489" s="408">
        <v>0</v>
      </c>
      <c r="AW489" s="408">
        <v>0</v>
      </c>
      <c r="AX489" s="408"/>
      <c r="AY489" s="408"/>
      <c r="AZ489" s="408">
        <v>0</v>
      </c>
      <c r="BA489" s="408"/>
      <c r="BB489" s="408">
        <v>0</v>
      </c>
      <c r="BC489" s="408">
        <v>0</v>
      </c>
      <c r="BD489" s="408">
        <v>242.67570310876474</v>
      </c>
      <c r="BE489" s="408">
        <v>0</v>
      </c>
      <c r="BF489" s="408"/>
      <c r="BG489" s="408">
        <v>3287.3391641449393</v>
      </c>
      <c r="BH489" s="408">
        <v>0</v>
      </c>
      <c r="BI489" s="408">
        <v>0</v>
      </c>
      <c r="BJ489" s="408">
        <v>0</v>
      </c>
      <c r="BK489" s="408">
        <v>0</v>
      </c>
      <c r="BL489" s="408">
        <v>0</v>
      </c>
      <c r="BM489" s="408"/>
      <c r="BN489" s="408">
        <v>7823.7675600000002</v>
      </c>
      <c r="BO489" s="408"/>
      <c r="BP489" s="408"/>
      <c r="BQ489" s="408"/>
      <c r="BR489" s="408"/>
      <c r="BS489" s="408"/>
      <c r="BT489" s="408"/>
      <c r="BU489" s="408"/>
      <c r="BV489" s="408">
        <v>3530.0148672537039</v>
      </c>
      <c r="BW489" s="408"/>
      <c r="BX489" s="408"/>
      <c r="BY489" s="408"/>
      <c r="BZ489" s="408"/>
      <c r="CA489" s="408"/>
      <c r="CB489" s="408"/>
      <c r="CC489" s="408"/>
      <c r="CD489" s="408"/>
      <c r="CE489" s="408"/>
      <c r="CF489" s="408"/>
      <c r="CG489" s="408"/>
      <c r="CH489" s="408"/>
      <c r="CI489" s="408">
        <v>7824.0455999999995</v>
      </c>
      <c r="CJ489" s="408">
        <v>-277.48389000000225</v>
      </c>
      <c r="CK489" s="408"/>
      <c r="CL489" s="408"/>
      <c r="CM489" s="408"/>
      <c r="CN489" s="408"/>
      <c r="CO489" s="408">
        <v>-555.46386000000155</v>
      </c>
      <c r="CP489" s="408">
        <v>0</v>
      </c>
      <c r="CQ489" s="408">
        <v>31</v>
      </c>
      <c r="CR489" s="408">
        <v>-554.88106616985715</v>
      </c>
      <c r="CS489" s="408">
        <v>0</v>
      </c>
      <c r="CT489" s="408">
        <v>0</v>
      </c>
      <c r="CU489" s="408">
        <v>0</v>
      </c>
      <c r="CV489" s="408">
        <v>0</v>
      </c>
      <c r="CW489" s="408"/>
      <c r="CX489" s="408"/>
      <c r="CY489" s="408"/>
      <c r="CZ489" s="408">
        <v>0</v>
      </c>
      <c r="DA489" s="408">
        <v>0</v>
      </c>
      <c r="DB489" s="408">
        <v>0</v>
      </c>
      <c r="DC489" s="408"/>
      <c r="DD489" s="408"/>
      <c r="DE489" s="408">
        <v>0</v>
      </c>
      <c r="DF489" s="408">
        <v>15.118324807849291</v>
      </c>
      <c r="DG489" s="408">
        <v>204.79619756095053</v>
      </c>
      <c r="DH489" s="408">
        <v>0</v>
      </c>
      <c r="DI489" s="408">
        <v>-655.08834148729875</v>
      </c>
      <c r="DJ489" s="408"/>
      <c r="DK489" s="408">
        <v>0</v>
      </c>
      <c r="DL489" s="408">
        <v>0</v>
      </c>
      <c r="DM489" s="408"/>
      <c r="DN489" s="408">
        <v>0</v>
      </c>
      <c r="DO489" s="408">
        <v>-102.72625054259584</v>
      </c>
      <c r="DP489" s="408">
        <v>-16.980996508761933</v>
      </c>
      <c r="DQ489" s="408">
        <v>0</v>
      </c>
      <c r="DR489" s="408">
        <v>0</v>
      </c>
      <c r="DS489" s="408"/>
      <c r="DT489" s="408"/>
      <c r="DU489" s="408"/>
      <c r="DV489" s="408">
        <v>0</v>
      </c>
      <c r="DW489" s="408">
        <v>0</v>
      </c>
      <c r="DX489" s="408">
        <v>0</v>
      </c>
      <c r="DY489" s="408">
        <v>-555.46386000000166</v>
      </c>
      <c r="DZ489" s="408"/>
      <c r="EA489" s="408">
        <v>0</v>
      </c>
      <c r="EB489" s="408"/>
      <c r="EC489" s="408">
        <v>0</v>
      </c>
      <c r="ED489" s="408"/>
      <c r="EE489" s="408">
        <v>0</v>
      </c>
      <c r="EF489" s="408">
        <v>0</v>
      </c>
      <c r="EG489" s="408"/>
      <c r="EH489" s="408">
        <v>0</v>
      </c>
      <c r="EI489" s="408">
        <v>0</v>
      </c>
      <c r="EJ489" s="408">
        <v>0</v>
      </c>
      <c r="EK489" s="408">
        <v>0</v>
      </c>
      <c r="EL489" s="408">
        <v>0</v>
      </c>
      <c r="EM489" s="408"/>
      <c r="EN489" s="408"/>
      <c r="EO489" s="408">
        <v>0</v>
      </c>
      <c r="EP489" s="408">
        <v>0</v>
      </c>
      <c r="EQ489" s="408"/>
      <c r="ER489" s="408">
        <v>0</v>
      </c>
      <c r="ES489" s="408"/>
      <c r="ET489" s="408">
        <v>0</v>
      </c>
      <c r="EU489" s="408"/>
      <c r="EV489" s="408">
        <v>257</v>
      </c>
      <c r="EW489" s="408"/>
      <c r="EX489" s="408"/>
      <c r="EY489" s="408"/>
      <c r="EZ489" s="408"/>
      <c r="FA489" s="408">
        <v>0</v>
      </c>
      <c r="FB489" s="408"/>
      <c r="FC489" s="408"/>
      <c r="FD489" s="408"/>
      <c r="FE489" s="408"/>
      <c r="FF489" s="408">
        <v>0</v>
      </c>
      <c r="FG489" s="408">
        <v>0</v>
      </c>
      <c r="FH489" s="408">
        <v>0</v>
      </c>
      <c r="FI489" s="408">
        <v>0</v>
      </c>
    </row>
    <row r="490" spans="1:165">
      <c r="A490" s="408">
        <v>488</v>
      </c>
      <c r="B490" s="408" t="s">
        <v>1035</v>
      </c>
      <c r="C490" s="408" t="s">
        <v>2241</v>
      </c>
      <c r="D490" s="408" t="s">
        <v>596</v>
      </c>
      <c r="E490" s="408" t="s">
        <v>969</v>
      </c>
      <c r="F490" s="408" t="s">
        <v>1321</v>
      </c>
      <c r="G490" s="408" t="s">
        <v>2314</v>
      </c>
      <c r="H490" s="408" t="s">
        <v>1321</v>
      </c>
      <c r="I490" s="408" t="s">
        <v>1321</v>
      </c>
      <c r="J490" s="408" t="s">
        <v>2315</v>
      </c>
      <c r="K490" s="828">
        <v>44562</v>
      </c>
      <c r="L490" s="408">
        <v>955</v>
      </c>
      <c r="M490" s="408">
        <v>477.5</v>
      </c>
      <c r="N490" s="408">
        <v>0</v>
      </c>
      <c r="O490" s="408">
        <v>0</v>
      </c>
      <c r="P490" s="408">
        <v>0</v>
      </c>
      <c r="Q490" s="408">
        <v>0</v>
      </c>
      <c r="R490" s="408">
        <v>47.39</v>
      </c>
      <c r="S490" s="408"/>
      <c r="T490" s="408"/>
      <c r="U490" s="408">
        <v>45257.45</v>
      </c>
      <c r="V490" s="408"/>
      <c r="W490" s="408">
        <v>45257.45</v>
      </c>
      <c r="X490" s="408">
        <v>30770.1</v>
      </c>
      <c r="Y490" s="408">
        <v>0</v>
      </c>
      <c r="Z490" s="408">
        <v>0</v>
      </c>
      <c r="AA490" s="408">
        <v>0</v>
      </c>
      <c r="AB490" s="408">
        <v>0</v>
      </c>
      <c r="AC490" s="408">
        <v>0</v>
      </c>
      <c r="AD490" s="408">
        <v>23846.445671389742</v>
      </c>
      <c r="AE490" s="408">
        <v>21410.973219671672</v>
      </c>
      <c r="AF490" s="408"/>
      <c r="AG490" s="408"/>
      <c r="AH490" s="408"/>
      <c r="AI490" s="408">
        <v>0</v>
      </c>
      <c r="AJ490" s="408">
        <v>0</v>
      </c>
      <c r="AK490" s="408">
        <v>0</v>
      </c>
      <c r="AL490" s="408">
        <v>0</v>
      </c>
      <c r="AM490" s="408"/>
      <c r="AN490" s="408">
        <v>0</v>
      </c>
      <c r="AO490" s="408">
        <v>0</v>
      </c>
      <c r="AP490" s="408">
        <v>0</v>
      </c>
      <c r="AQ490" s="408">
        <v>0</v>
      </c>
      <c r="AR490" s="408">
        <v>0</v>
      </c>
      <c r="AS490" s="408"/>
      <c r="AT490" s="408"/>
      <c r="AU490" s="408">
        <v>0</v>
      </c>
      <c r="AV490" s="408">
        <v>0</v>
      </c>
      <c r="AW490" s="408">
        <v>0</v>
      </c>
      <c r="AX490" s="408"/>
      <c r="AY490" s="408"/>
      <c r="AZ490" s="408">
        <v>0</v>
      </c>
      <c r="BA490" s="408"/>
      <c r="BB490" s="408">
        <v>0</v>
      </c>
      <c r="BC490" s="408">
        <v>0</v>
      </c>
      <c r="BD490" s="408">
        <v>0</v>
      </c>
      <c r="BE490" s="408">
        <v>0</v>
      </c>
      <c r="BF490" s="408"/>
      <c r="BG490" s="408">
        <v>0</v>
      </c>
      <c r="BH490" s="408">
        <v>0</v>
      </c>
      <c r="BI490" s="408">
        <v>332.11</v>
      </c>
      <c r="BJ490" s="408">
        <v>0</v>
      </c>
      <c r="BK490" s="408">
        <v>8813.83</v>
      </c>
      <c r="BL490" s="408">
        <v>2</v>
      </c>
      <c r="BM490" s="408"/>
      <c r="BN490" s="408">
        <v>15385.05</v>
      </c>
      <c r="BO490" s="408"/>
      <c r="BP490" s="408"/>
      <c r="BQ490" s="408"/>
      <c r="BR490" s="408"/>
      <c r="BS490" s="408"/>
      <c r="BT490" s="408"/>
      <c r="BU490" s="408"/>
      <c r="BV490" s="408">
        <v>0</v>
      </c>
      <c r="BW490" s="408"/>
      <c r="BX490" s="408"/>
      <c r="BY490" s="408"/>
      <c r="BZ490" s="408"/>
      <c r="CA490" s="408"/>
      <c r="CB490" s="408"/>
      <c r="CC490" s="408"/>
      <c r="CD490" s="408"/>
      <c r="CE490" s="408"/>
      <c r="CF490" s="408"/>
      <c r="CG490" s="408"/>
      <c r="CH490" s="408"/>
      <c r="CI490" s="408">
        <v>15385.05</v>
      </c>
      <c r="CJ490" s="408">
        <v>-7243.7049999999945</v>
      </c>
      <c r="CK490" s="408"/>
      <c r="CL490" s="408"/>
      <c r="CM490" s="408"/>
      <c r="CN490" s="408"/>
      <c r="CO490" s="408">
        <v>-14487.350000000002</v>
      </c>
      <c r="CP490" s="408">
        <v>0</v>
      </c>
      <c r="CQ490" s="408">
        <v>31</v>
      </c>
      <c r="CR490" s="408">
        <v>-107.787434263053</v>
      </c>
      <c r="CS490" s="408">
        <v>0</v>
      </c>
      <c r="CT490" s="408">
        <v>0</v>
      </c>
      <c r="CU490" s="408">
        <v>0</v>
      </c>
      <c r="CV490" s="408">
        <v>0</v>
      </c>
      <c r="CW490" s="408"/>
      <c r="CX490" s="408"/>
      <c r="CY490" s="408"/>
      <c r="CZ490" s="408">
        <v>-107.787434263053</v>
      </c>
      <c r="DA490" s="408">
        <v>0</v>
      </c>
      <c r="DB490" s="408">
        <v>0</v>
      </c>
      <c r="DC490" s="408"/>
      <c r="DD490" s="408"/>
      <c r="DE490" s="408">
        <v>0</v>
      </c>
      <c r="DF490" s="408">
        <v>0</v>
      </c>
      <c r="DG490" s="408">
        <v>0</v>
      </c>
      <c r="DH490" s="408">
        <v>0</v>
      </c>
      <c r="DI490" s="408">
        <v>0</v>
      </c>
      <c r="DJ490" s="408"/>
      <c r="DK490" s="408">
        <v>0</v>
      </c>
      <c r="DL490" s="408">
        <v>0</v>
      </c>
      <c r="DM490" s="408"/>
      <c r="DN490" s="408">
        <v>0</v>
      </c>
      <c r="DO490" s="408">
        <v>0</v>
      </c>
      <c r="DP490" s="408">
        <v>0</v>
      </c>
      <c r="DQ490" s="408">
        <v>0</v>
      </c>
      <c r="DR490" s="408">
        <v>0</v>
      </c>
      <c r="DS490" s="408"/>
      <c r="DT490" s="408"/>
      <c r="DU490" s="408">
        <v>21410.973219671672</v>
      </c>
      <c r="DV490" s="408"/>
      <c r="DW490" s="408">
        <v>0</v>
      </c>
      <c r="DX490" s="408">
        <v>0</v>
      </c>
      <c r="DY490" s="408">
        <v>-14487.349999999999</v>
      </c>
      <c r="DZ490" s="408"/>
      <c r="EA490" s="408">
        <v>0</v>
      </c>
      <c r="EB490" s="408"/>
      <c r="EC490" s="408">
        <v>-14381.20833972049</v>
      </c>
      <c r="ED490" s="408"/>
      <c r="EE490" s="408">
        <v>0</v>
      </c>
      <c r="EF490" s="408">
        <v>0</v>
      </c>
      <c r="EG490" s="408"/>
      <c r="EH490" s="408">
        <v>0</v>
      </c>
      <c r="EI490" s="408">
        <v>0</v>
      </c>
      <c r="EJ490" s="408">
        <v>0</v>
      </c>
      <c r="EK490" s="408">
        <v>0</v>
      </c>
      <c r="EL490" s="408">
        <v>0</v>
      </c>
      <c r="EM490" s="408"/>
      <c r="EN490" s="408"/>
      <c r="EO490" s="408">
        <v>0</v>
      </c>
      <c r="EP490" s="408">
        <v>0</v>
      </c>
      <c r="EQ490" s="408"/>
      <c r="ER490" s="408">
        <v>0</v>
      </c>
      <c r="ES490" s="408"/>
      <c r="ET490" s="408">
        <v>0</v>
      </c>
      <c r="EU490" s="408"/>
      <c r="EV490" s="408">
        <v>257</v>
      </c>
      <c r="EW490" s="408"/>
      <c r="EX490" s="408"/>
      <c r="EY490" s="408"/>
      <c r="EZ490" s="408"/>
      <c r="FA490" s="408">
        <v>0</v>
      </c>
      <c r="FB490" s="408"/>
      <c r="FC490" s="408"/>
      <c r="FD490" s="408"/>
      <c r="FE490" s="408"/>
      <c r="FF490" s="408">
        <v>0</v>
      </c>
      <c r="FG490" s="408">
        <v>0</v>
      </c>
      <c r="FH490" s="408">
        <v>0</v>
      </c>
      <c r="FI490" s="408">
        <v>0</v>
      </c>
    </row>
    <row r="491" spans="1:165">
      <c r="A491" s="408">
        <v>489</v>
      </c>
      <c r="B491" s="408" t="s">
        <v>1035</v>
      </c>
      <c r="C491" s="408" t="s">
        <v>992</v>
      </c>
      <c r="D491" s="408" t="s">
        <v>596</v>
      </c>
      <c r="E491" s="408" t="s">
        <v>1321</v>
      </c>
      <c r="F491" s="408" t="s">
        <v>1321</v>
      </c>
      <c r="G491" s="408" t="s">
        <v>1321</v>
      </c>
      <c r="H491" s="408" t="s">
        <v>2316</v>
      </c>
      <c r="I491" s="408" t="s">
        <v>1321</v>
      </c>
      <c r="J491" s="408" t="s">
        <v>2250</v>
      </c>
      <c r="K491" s="828">
        <v>44562</v>
      </c>
      <c r="L491" s="408">
        <v>1000</v>
      </c>
      <c r="M491" s="408">
        <v>500</v>
      </c>
      <c r="N491" s="408">
        <v>0</v>
      </c>
      <c r="O491" s="408">
        <v>0</v>
      </c>
      <c r="P491" s="408">
        <v>0</v>
      </c>
      <c r="Q491" s="408">
        <v>0</v>
      </c>
      <c r="R491" s="408">
        <v>15.78</v>
      </c>
      <c r="S491" s="408"/>
      <c r="T491" s="408"/>
      <c r="U491" s="408">
        <v>15780</v>
      </c>
      <c r="V491" s="408"/>
      <c r="W491" s="408">
        <v>15780</v>
      </c>
      <c r="X491" s="408">
        <v>5200</v>
      </c>
      <c r="Y491" s="408">
        <v>0</v>
      </c>
      <c r="Z491" s="408">
        <v>0</v>
      </c>
      <c r="AA491" s="408">
        <v>0</v>
      </c>
      <c r="AB491" s="408">
        <v>0</v>
      </c>
      <c r="AC491" s="408">
        <v>0</v>
      </c>
      <c r="AD491" s="408">
        <v>0</v>
      </c>
      <c r="AE491" s="408">
        <v>15739.433553196899</v>
      </c>
      <c r="AF491" s="408"/>
      <c r="AG491" s="408"/>
      <c r="AH491" s="408"/>
      <c r="AI491" s="408">
        <v>0</v>
      </c>
      <c r="AJ491" s="408">
        <v>0</v>
      </c>
      <c r="AK491" s="408">
        <v>0</v>
      </c>
      <c r="AL491" s="408">
        <v>0</v>
      </c>
      <c r="AM491" s="408"/>
      <c r="AN491" s="408">
        <v>38.248486219299501</v>
      </c>
      <c r="AO491" s="408">
        <v>0</v>
      </c>
      <c r="AP491" s="408">
        <v>0</v>
      </c>
      <c r="AQ491" s="408">
        <v>0</v>
      </c>
      <c r="AR491" s="408">
        <v>0</v>
      </c>
      <c r="AS491" s="408"/>
      <c r="AT491" s="408"/>
      <c r="AU491" s="408">
        <v>0</v>
      </c>
      <c r="AV491" s="408">
        <v>0</v>
      </c>
      <c r="AW491" s="408">
        <v>0</v>
      </c>
      <c r="AX491" s="408"/>
      <c r="AY491" s="408"/>
      <c r="AZ491" s="408">
        <v>0</v>
      </c>
      <c r="BA491" s="408"/>
      <c r="BB491" s="408">
        <v>0</v>
      </c>
      <c r="BC491" s="408">
        <v>0</v>
      </c>
      <c r="BD491" s="408">
        <v>0</v>
      </c>
      <c r="BE491" s="408">
        <v>0</v>
      </c>
      <c r="BF491" s="408"/>
      <c r="BG491" s="408">
        <v>0</v>
      </c>
      <c r="BH491" s="408">
        <v>0</v>
      </c>
      <c r="BI491" s="408">
        <v>20.22</v>
      </c>
      <c r="BJ491" s="408">
        <v>0</v>
      </c>
      <c r="BK491" s="408">
        <v>536.66999999999996</v>
      </c>
      <c r="BL491" s="408">
        <v>0</v>
      </c>
      <c r="BM491" s="408"/>
      <c r="BN491" s="408"/>
      <c r="BO491" s="408">
        <v>2600</v>
      </c>
      <c r="BP491" s="408"/>
      <c r="BQ491" s="408"/>
      <c r="BR491" s="408"/>
      <c r="BS491" s="408"/>
      <c r="BT491" s="408"/>
      <c r="BU491" s="408"/>
      <c r="BV491" s="408">
        <v>0</v>
      </c>
      <c r="BW491" s="408"/>
      <c r="BX491" s="408"/>
      <c r="BY491" s="408"/>
      <c r="BZ491" s="408"/>
      <c r="CA491" s="408"/>
      <c r="CB491" s="408"/>
      <c r="CC491" s="408"/>
      <c r="CD491" s="408"/>
      <c r="CE491" s="408"/>
      <c r="CF491" s="408"/>
      <c r="CG491" s="408"/>
      <c r="CH491" s="408"/>
      <c r="CI491" s="408">
        <v>2600</v>
      </c>
      <c r="CJ491" s="408">
        <v>-5290.0300000000007</v>
      </c>
      <c r="CK491" s="408"/>
      <c r="CL491" s="408"/>
      <c r="CM491" s="408"/>
      <c r="CN491" s="408"/>
      <c r="CO491" s="408">
        <v>-10579.999999999998</v>
      </c>
      <c r="CP491" s="408">
        <v>0</v>
      </c>
      <c r="CQ491" s="408">
        <v>31</v>
      </c>
      <c r="CR491" s="408">
        <v>-2.4442243733642997</v>
      </c>
      <c r="CS491" s="408">
        <v>0</v>
      </c>
      <c r="CT491" s="408">
        <v>0</v>
      </c>
      <c r="CU491" s="408">
        <v>0</v>
      </c>
      <c r="CV491" s="408">
        <v>0</v>
      </c>
      <c r="CW491" s="408"/>
      <c r="CX491" s="408"/>
      <c r="CY491" s="408"/>
      <c r="CZ491" s="408">
        <v>0</v>
      </c>
      <c r="DA491" s="408">
        <v>0</v>
      </c>
      <c r="DB491" s="408">
        <v>0</v>
      </c>
      <c r="DC491" s="408"/>
      <c r="DD491" s="408"/>
      <c r="DE491" s="408">
        <v>0</v>
      </c>
      <c r="DF491" s="408">
        <v>0</v>
      </c>
      <c r="DG491" s="408">
        <v>0</v>
      </c>
      <c r="DH491" s="408">
        <v>0</v>
      </c>
      <c r="DI491" s="408">
        <v>0</v>
      </c>
      <c r="DJ491" s="408"/>
      <c r="DK491" s="408">
        <v>0</v>
      </c>
      <c r="DL491" s="408">
        <v>0</v>
      </c>
      <c r="DM491" s="408"/>
      <c r="DN491" s="408">
        <v>0</v>
      </c>
      <c r="DO491" s="408">
        <v>0</v>
      </c>
      <c r="DP491" s="408">
        <v>-2.4442243733642997</v>
      </c>
      <c r="DQ491" s="408">
        <v>0</v>
      </c>
      <c r="DR491" s="408">
        <v>0</v>
      </c>
      <c r="DS491" s="408"/>
      <c r="DT491" s="408"/>
      <c r="DU491" s="408">
        <v>15739.433553196899</v>
      </c>
      <c r="DV491" s="408"/>
      <c r="DW491" s="408">
        <v>0</v>
      </c>
      <c r="DX491" s="408">
        <v>0</v>
      </c>
      <c r="DY491" s="408">
        <v>-10580</v>
      </c>
      <c r="DZ491" s="408"/>
      <c r="EA491" s="408">
        <v>0</v>
      </c>
      <c r="EB491" s="408"/>
      <c r="EC491" s="408">
        <v>-10571.778814320649</v>
      </c>
      <c r="ED491" s="408"/>
      <c r="EE491" s="408">
        <v>0</v>
      </c>
      <c r="EF491" s="408">
        <v>0</v>
      </c>
      <c r="EG491" s="408"/>
      <c r="EH491" s="408">
        <v>0</v>
      </c>
      <c r="EI491" s="408">
        <v>0</v>
      </c>
      <c r="EJ491" s="408">
        <v>0</v>
      </c>
      <c r="EK491" s="408">
        <v>0</v>
      </c>
      <c r="EL491" s="408">
        <v>0</v>
      </c>
      <c r="EM491" s="408"/>
      <c r="EN491" s="408"/>
      <c r="EO491" s="408">
        <v>0</v>
      </c>
      <c r="EP491" s="408">
        <v>0</v>
      </c>
      <c r="EQ491" s="408"/>
      <c r="ER491" s="408">
        <v>0</v>
      </c>
      <c r="ES491" s="408"/>
      <c r="ET491" s="408">
        <v>0</v>
      </c>
      <c r="EU491" s="408"/>
      <c r="EV491" s="408">
        <v>257</v>
      </c>
      <c r="EW491" s="408"/>
      <c r="EX491" s="408"/>
      <c r="EY491" s="408"/>
      <c r="EZ491" s="408"/>
      <c r="FA491" s="408">
        <v>0</v>
      </c>
      <c r="FB491" s="408"/>
      <c r="FC491" s="408"/>
      <c r="FD491" s="408"/>
      <c r="FE491" s="408"/>
      <c r="FF491" s="408">
        <v>0</v>
      </c>
      <c r="FG491" s="408">
        <v>0</v>
      </c>
      <c r="FH491" s="408">
        <v>0</v>
      </c>
      <c r="FI491" s="408">
        <v>0</v>
      </c>
    </row>
    <row r="492" spans="1:165">
      <c r="A492" s="408">
        <v>490</v>
      </c>
      <c r="B492" s="408" t="s">
        <v>1035</v>
      </c>
      <c r="C492" s="408" t="s">
        <v>992</v>
      </c>
      <c r="D492" s="408" t="s">
        <v>596</v>
      </c>
      <c r="E492" s="408" t="s">
        <v>1321</v>
      </c>
      <c r="F492" s="408" t="s">
        <v>1321</v>
      </c>
      <c r="G492" s="408" t="s">
        <v>1321</v>
      </c>
      <c r="H492" s="408" t="s">
        <v>2317</v>
      </c>
      <c r="I492" s="408" t="s">
        <v>1321</v>
      </c>
      <c r="J492" s="408" t="s">
        <v>2250</v>
      </c>
      <c r="K492" s="828">
        <v>44562</v>
      </c>
      <c r="L492" s="408">
        <v>790</v>
      </c>
      <c r="M492" s="408">
        <v>395</v>
      </c>
      <c r="N492" s="408">
        <v>0</v>
      </c>
      <c r="O492" s="408">
        <v>0</v>
      </c>
      <c r="P492" s="408">
        <v>0</v>
      </c>
      <c r="Q492" s="408">
        <v>0</v>
      </c>
      <c r="R492" s="408">
        <v>15.78</v>
      </c>
      <c r="S492" s="408"/>
      <c r="T492" s="408"/>
      <c r="U492" s="408">
        <v>12466.199999999999</v>
      </c>
      <c r="V492" s="408"/>
      <c r="W492" s="408">
        <v>12466.199999999999</v>
      </c>
      <c r="X492" s="408">
        <v>4108</v>
      </c>
      <c r="Y492" s="408">
        <v>0</v>
      </c>
      <c r="Z492" s="408">
        <v>0</v>
      </c>
      <c r="AA492" s="408">
        <v>0</v>
      </c>
      <c r="AB492" s="408">
        <v>0</v>
      </c>
      <c r="AC492" s="408">
        <v>0</v>
      </c>
      <c r="AD492" s="408">
        <v>0</v>
      </c>
      <c r="AE492" s="408">
        <v>12434.15250702555</v>
      </c>
      <c r="AF492" s="408"/>
      <c r="AG492" s="408"/>
      <c r="AH492" s="408"/>
      <c r="AI492" s="408">
        <v>0</v>
      </c>
      <c r="AJ492" s="408">
        <v>0</v>
      </c>
      <c r="AK492" s="408">
        <v>0</v>
      </c>
      <c r="AL492" s="408">
        <v>0</v>
      </c>
      <c r="AM492" s="408"/>
      <c r="AN492" s="408">
        <v>30.216304113246604</v>
      </c>
      <c r="AO492" s="408">
        <v>0</v>
      </c>
      <c r="AP492" s="408">
        <v>0</v>
      </c>
      <c r="AQ492" s="408">
        <v>0</v>
      </c>
      <c r="AR492" s="408">
        <v>0</v>
      </c>
      <c r="AS492" s="408"/>
      <c r="AT492" s="408"/>
      <c r="AU492" s="408">
        <v>0</v>
      </c>
      <c r="AV492" s="408">
        <v>0</v>
      </c>
      <c r="AW492" s="408">
        <v>0</v>
      </c>
      <c r="AX492" s="408"/>
      <c r="AY492" s="408"/>
      <c r="AZ492" s="408">
        <v>0</v>
      </c>
      <c r="BA492" s="408"/>
      <c r="BB492" s="408">
        <v>0</v>
      </c>
      <c r="BC492" s="408">
        <v>0</v>
      </c>
      <c r="BD492" s="408">
        <v>0</v>
      </c>
      <c r="BE492" s="408">
        <v>0</v>
      </c>
      <c r="BF492" s="408"/>
      <c r="BG492" s="408">
        <v>0</v>
      </c>
      <c r="BH492" s="408">
        <v>0</v>
      </c>
      <c r="BI492" s="408">
        <v>15.97</v>
      </c>
      <c r="BJ492" s="408">
        <v>0</v>
      </c>
      <c r="BK492" s="408">
        <v>423.97</v>
      </c>
      <c r="BL492" s="408">
        <v>0</v>
      </c>
      <c r="BM492" s="408"/>
      <c r="BN492" s="408"/>
      <c r="BO492" s="408">
        <v>2054</v>
      </c>
      <c r="BP492" s="408"/>
      <c r="BQ492" s="408"/>
      <c r="BR492" s="408"/>
      <c r="BS492" s="408"/>
      <c r="BT492" s="408"/>
      <c r="BU492" s="408"/>
      <c r="BV492" s="408">
        <v>0</v>
      </c>
      <c r="BW492" s="408"/>
      <c r="BX492" s="408"/>
      <c r="BY492" s="408"/>
      <c r="BZ492" s="408"/>
      <c r="CA492" s="408"/>
      <c r="CB492" s="408"/>
      <c r="CC492" s="408"/>
      <c r="CD492" s="408"/>
      <c r="CE492" s="408"/>
      <c r="CF492" s="408"/>
      <c r="CG492" s="408"/>
      <c r="CH492" s="408"/>
      <c r="CI492" s="408">
        <v>2054</v>
      </c>
      <c r="CJ492" s="408">
        <v>-4179.13</v>
      </c>
      <c r="CK492" s="408"/>
      <c r="CL492" s="408"/>
      <c r="CM492" s="408"/>
      <c r="CN492" s="408"/>
      <c r="CO492" s="408">
        <v>-8358.1999999999989</v>
      </c>
      <c r="CP492" s="408">
        <v>0</v>
      </c>
      <c r="CQ492" s="408">
        <v>31</v>
      </c>
      <c r="CR492" s="408">
        <v>-1.9309372549577972</v>
      </c>
      <c r="CS492" s="408">
        <v>0</v>
      </c>
      <c r="CT492" s="408">
        <v>0</v>
      </c>
      <c r="CU492" s="408">
        <v>0</v>
      </c>
      <c r="CV492" s="408">
        <v>0</v>
      </c>
      <c r="CW492" s="408"/>
      <c r="CX492" s="408"/>
      <c r="CY492" s="408"/>
      <c r="CZ492" s="408">
        <v>0</v>
      </c>
      <c r="DA492" s="408">
        <v>0</v>
      </c>
      <c r="DB492" s="408">
        <v>0</v>
      </c>
      <c r="DC492" s="408"/>
      <c r="DD492" s="408"/>
      <c r="DE492" s="408">
        <v>0</v>
      </c>
      <c r="DF492" s="408">
        <v>0</v>
      </c>
      <c r="DG492" s="408">
        <v>0</v>
      </c>
      <c r="DH492" s="408">
        <v>0</v>
      </c>
      <c r="DI492" s="408">
        <v>0</v>
      </c>
      <c r="DJ492" s="408"/>
      <c r="DK492" s="408">
        <v>0</v>
      </c>
      <c r="DL492" s="408">
        <v>0</v>
      </c>
      <c r="DM492" s="408"/>
      <c r="DN492" s="408">
        <v>0</v>
      </c>
      <c r="DO492" s="408">
        <v>0</v>
      </c>
      <c r="DP492" s="408">
        <v>-1.9309372549577972</v>
      </c>
      <c r="DQ492" s="408">
        <v>0</v>
      </c>
      <c r="DR492" s="408">
        <v>0</v>
      </c>
      <c r="DS492" s="408"/>
      <c r="DT492" s="408"/>
      <c r="DU492" s="408">
        <v>12434.15250702555</v>
      </c>
      <c r="DV492" s="408"/>
      <c r="DW492" s="408">
        <v>0</v>
      </c>
      <c r="DX492" s="408">
        <v>0</v>
      </c>
      <c r="DY492" s="408">
        <v>-8358.1999999999989</v>
      </c>
      <c r="DZ492" s="408"/>
      <c r="EA492" s="408">
        <v>0</v>
      </c>
      <c r="EB492" s="408"/>
      <c r="EC492" s="408">
        <v>-8351.7052633133135</v>
      </c>
      <c r="ED492" s="408"/>
      <c r="EE492" s="408">
        <v>0</v>
      </c>
      <c r="EF492" s="408">
        <v>0</v>
      </c>
      <c r="EG492" s="408"/>
      <c r="EH492" s="408">
        <v>0</v>
      </c>
      <c r="EI492" s="408">
        <v>0</v>
      </c>
      <c r="EJ492" s="408">
        <v>0</v>
      </c>
      <c r="EK492" s="408">
        <v>0</v>
      </c>
      <c r="EL492" s="408">
        <v>0</v>
      </c>
      <c r="EM492" s="408"/>
      <c r="EN492" s="408"/>
      <c r="EO492" s="408">
        <v>0</v>
      </c>
      <c r="EP492" s="408">
        <v>0</v>
      </c>
      <c r="EQ492" s="408"/>
      <c r="ER492" s="408">
        <v>0</v>
      </c>
      <c r="ES492" s="408"/>
      <c r="ET492" s="408">
        <v>0</v>
      </c>
      <c r="EU492" s="408"/>
      <c r="EV492" s="408">
        <v>257</v>
      </c>
      <c r="EW492" s="408"/>
      <c r="EX492" s="408"/>
      <c r="EY492" s="408"/>
      <c r="EZ492" s="408"/>
      <c r="FA492" s="408">
        <v>0</v>
      </c>
      <c r="FB492" s="408"/>
      <c r="FC492" s="408"/>
      <c r="FD492" s="408"/>
      <c r="FE492" s="408"/>
      <c r="FF492" s="408">
        <v>0</v>
      </c>
      <c r="FG492" s="408">
        <v>0</v>
      </c>
      <c r="FH492" s="408">
        <v>0</v>
      </c>
      <c r="FI492" s="408">
        <v>0</v>
      </c>
    </row>
    <row r="493" spans="1:165">
      <c r="A493" s="408">
        <v>491</v>
      </c>
      <c r="B493" s="408" t="s">
        <v>1035</v>
      </c>
      <c r="C493" s="408" t="s">
        <v>2241</v>
      </c>
      <c r="D493" s="408" t="s">
        <v>596</v>
      </c>
      <c r="E493" s="408" t="s">
        <v>969</v>
      </c>
      <c r="F493" s="408" t="s">
        <v>1321</v>
      </c>
      <c r="G493" s="408" t="s">
        <v>2314</v>
      </c>
      <c r="H493" s="408" t="s">
        <v>1321</v>
      </c>
      <c r="I493" s="408" t="s">
        <v>972</v>
      </c>
      <c r="J493" s="408" t="s">
        <v>2315</v>
      </c>
      <c r="K493" s="828">
        <v>44593</v>
      </c>
      <c r="L493" s="408">
        <v>0</v>
      </c>
      <c r="M493" s="408">
        <v>0</v>
      </c>
      <c r="N493" s="408">
        <v>14.303000000000001</v>
      </c>
      <c r="O493" s="408">
        <v>7.1515000000000004</v>
      </c>
      <c r="P493" s="408">
        <v>0</v>
      </c>
      <c r="Q493" s="408">
        <v>0</v>
      </c>
      <c r="R493" s="408"/>
      <c r="S493" s="408">
        <v>3130.62</v>
      </c>
      <c r="T493" s="408"/>
      <c r="U493" s="408"/>
      <c r="V493" s="408">
        <v>44777.257859999998</v>
      </c>
      <c r="W493" s="408">
        <v>44777.257859999998</v>
      </c>
      <c r="X493" s="408">
        <v>21598.81727</v>
      </c>
      <c r="Y493" s="408">
        <v>0</v>
      </c>
      <c r="Z493" s="408">
        <v>764.96696019052627</v>
      </c>
      <c r="AA493" s="408">
        <v>0</v>
      </c>
      <c r="AB493" s="408">
        <v>0</v>
      </c>
      <c r="AC493" s="408">
        <v>0</v>
      </c>
      <c r="AD493" s="408">
        <v>9214.1900854234882</v>
      </c>
      <c r="AE493" s="408">
        <v>34386.538327154893</v>
      </c>
      <c r="AF493" s="408"/>
      <c r="AG493" s="408"/>
      <c r="AH493" s="408"/>
      <c r="AI493" s="408">
        <v>0</v>
      </c>
      <c r="AJ493" s="408">
        <v>0</v>
      </c>
      <c r="AK493" s="408">
        <v>0</v>
      </c>
      <c r="AL493" s="408">
        <v>135.93948449380116</v>
      </c>
      <c r="AM493" s="408"/>
      <c r="AN493" s="408">
        <v>19.295533590835081</v>
      </c>
      <c r="AO493" s="408">
        <v>0</v>
      </c>
      <c r="AP493" s="408">
        <v>0</v>
      </c>
      <c r="AQ493" s="408">
        <v>0</v>
      </c>
      <c r="AR493" s="408">
        <v>0</v>
      </c>
      <c r="AS493" s="408"/>
      <c r="AT493" s="408"/>
      <c r="AU493" s="408">
        <v>0</v>
      </c>
      <c r="AV493" s="408">
        <v>0</v>
      </c>
      <c r="AW493" s="408">
        <v>0</v>
      </c>
      <c r="AX493" s="408"/>
      <c r="AY493" s="408"/>
      <c r="AZ493" s="408">
        <v>0</v>
      </c>
      <c r="BA493" s="408"/>
      <c r="BB493" s="408">
        <v>0</v>
      </c>
      <c r="BC493" s="408">
        <v>0</v>
      </c>
      <c r="BD493" s="408">
        <v>17.621656681700852</v>
      </c>
      <c r="BE493" s="408">
        <v>0</v>
      </c>
      <c r="BF493" s="408"/>
      <c r="BG493" s="408">
        <v>238.70688909020558</v>
      </c>
      <c r="BH493" s="408">
        <v>0</v>
      </c>
      <c r="BI493" s="408">
        <v>0</v>
      </c>
      <c r="BJ493" s="408">
        <v>0</v>
      </c>
      <c r="BK493" s="408">
        <v>0</v>
      </c>
      <c r="BL493" s="408">
        <v>0</v>
      </c>
      <c r="BM493" s="408"/>
      <c r="BN493" s="408">
        <v>10799.408635</v>
      </c>
      <c r="BO493" s="408"/>
      <c r="BP493" s="408"/>
      <c r="BQ493" s="408"/>
      <c r="BR493" s="408"/>
      <c r="BS493" s="408"/>
      <c r="BT493" s="408"/>
      <c r="BU493" s="408"/>
      <c r="BV493" s="408">
        <v>256.32854577190642</v>
      </c>
      <c r="BW493" s="408"/>
      <c r="BX493" s="408"/>
      <c r="BY493" s="408"/>
      <c r="BZ493" s="408"/>
      <c r="CA493" s="408"/>
      <c r="CB493" s="408"/>
      <c r="CC493" s="408"/>
      <c r="CD493" s="408"/>
      <c r="CE493" s="408"/>
      <c r="CF493" s="408"/>
      <c r="CG493" s="408"/>
      <c r="CH493" s="408"/>
      <c r="CI493" s="408">
        <v>10797.1435</v>
      </c>
      <c r="CJ493" s="408">
        <v>-11591.515429999994</v>
      </c>
      <c r="CK493" s="408"/>
      <c r="CL493" s="408"/>
      <c r="CM493" s="408"/>
      <c r="CN493" s="408"/>
      <c r="CO493" s="408">
        <v>-23178.440590000002</v>
      </c>
      <c r="CP493" s="408">
        <v>0</v>
      </c>
      <c r="CQ493" s="408">
        <v>29</v>
      </c>
      <c r="CR493" s="408">
        <v>-81.940859716169143</v>
      </c>
      <c r="CS493" s="408">
        <v>0</v>
      </c>
      <c r="CT493" s="408">
        <v>0</v>
      </c>
      <c r="CU493" s="408">
        <v>0</v>
      </c>
      <c r="CV493" s="408">
        <v>0</v>
      </c>
      <c r="CW493" s="408"/>
      <c r="CX493" s="408"/>
      <c r="CY493" s="408"/>
      <c r="CZ493" s="408">
        <v>-41.648718714977804</v>
      </c>
      <c r="DA493" s="408">
        <v>0</v>
      </c>
      <c r="DB493" s="408">
        <v>0</v>
      </c>
      <c r="DC493" s="408"/>
      <c r="DD493" s="408"/>
      <c r="DE493" s="408">
        <v>0</v>
      </c>
      <c r="DF493" s="408">
        <v>1.0978022354671353</v>
      </c>
      <c r="DG493" s="408">
        <v>14.87107377008158</v>
      </c>
      <c r="DH493" s="408">
        <v>0</v>
      </c>
      <c r="DI493" s="408">
        <v>-47.568593402612692</v>
      </c>
      <c r="DJ493" s="408"/>
      <c r="DK493" s="408">
        <v>0</v>
      </c>
      <c r="DL493" s="408">
        <v>0</v>
      </c>
      <c r="DM493" s="408"/>
      <c r="DN493" s="408">
        <v>0</v>
      </c>
      <c r="DO493" s="408">
        <v>-7.4593653013902781</v>
      </c>
      <c r="DP493" s="408">
        <v>-1.2330583027360191</v>
      </c>
      <c r="DQ493" s="408">
        <v>0</v>
      </c>
      <c r="DR493" s="408">
        <v>0</v>
      </c>
      <c r="DS493" s="408"/>
      <c r="DT493" s="408"/>
      <c r="DU493" s="408"/>
      <c r="DV493" s="408">
        <v>34386.538327154893</v>
      </c>
      <c r="DW493" s="408">
        <v>0</v>
      </c>
      <c r="DX493" s="408">
        <v>0</v>
      </c>
      <c r="DY493" s="408">
        <v>-23178.440589999998</v>
      </c>
      <c r="DZ493" s="408"/>
      <c r="EA493" s="408">
        <v>0</v>
      </c>
      <c r="EB493" s="408"/>
      <c r="EC493" s="408">
        <v>-23096.566731971332</v>
      </c>
      <c r="ED493" s="408"/>
      <c r="EE493" s="408">
        <v>0</v>
      </c>
      <c r="EF493" s="408">
        <v>0</v>
      </c>
      <c r="EG493" s="408"/>
      <c r="EH493" s="408">
        <v>0</v>
      </c>
      <c r="EI493" s="408">
        <v>0</v>
      </c>
      <c r="EJ493" s="408">
        <v>0</v>
      </c>
      <c r="EK493" s="408">
        <v>0</v>
      </c>
      <c r="EL493" s="408">
        <v>0</v>
      </c>
      <c r="EM493" s="408"/>
      <c r="EN493" s="408"/>
      <c r="EO493" s="408">
        <v>0</v>
      </c>
      <c r="EP493" s="408">
        <v>0</v>
      </c>
      <c r="EQ493" s="408"/>
      <c r="ER493" s="408">
        <v>0</v>
      </c>
      <c r="ES493" s="408"/>
      <c r="ET493" s="408">
        <v>0</v>
      </c>
      <c r="EU493" s="408"/>
      <c r="EV493" s="408">
        <v>257</v>
      </c>
      <c r="EW493" s="408"/>
      <c r="EX493" s="408"/>
      <c r="EY493" s="408"/>
      <c r="EZ493" s="408"/>
      <c r="FA493" s="408">
        <v>0</v>
      </c>
      <c r="FB493" s="408"/>
      <c r="FC493" s="408"/>
      <c r="FD493" s="408"/>
      <c r="FE493" s="408"/>
      <c r="FF493" s="408">
        <v>0</v>
      </c>
      <c r="FG493" s="408">
        <v>0</v>
      </c>
      <c r="FH493" s="408">
        <v>0</v>
      </c>
      <c r="FI493" s="408">
        <v>0</v>
      </c>
    </row>
    <row r="494" spans="1:165">
      <c r="A494" s="408">
        <v>492</v>
      </c>
      <c r="B494" s="408" t="s">
        <v>1035</v>
      </c>
      <c r="C494" s="408" t="s">
        <v>2241</v>
      </c>
      <c r="D494" s="408" t="s">
        <v>596</v>
      </c>
      <c r="E494" s="408" t="s">
        <v>969</v>
      </c>
      <c r="F494" s="408" t="s">
        <v>1321</v>
      </c>
      <c r="G494" s="408" t="s">
        <v>2314</v>
      </c>
      <c r="H494" s="408" t="s">
        <v>1321</v>
      </c>
      <c r="I494" s="408" t="s">
        <v>2242</v>
      </c>
      <c r="J494" s="408" t="s">
        <v>2315</v>
      </c>
      <c r="K494" s="828">
        <v>44593</v>
      </c>
      <c r="L494" s="408">
        <v>0</v>
      </c>
      <c r="M494" s="408">
        <v>0</v>
      </c>
      <c r="N494" s="408">
        <v>179.50800000000001</v>
      </c>
      <c r="O494" s="408">
        <v>89.754000000000005</v>
      </c>
      <c r="P494" s="408">
        <v>0</v>
      </c>
      <c r="Q494" s="408">
        <v>0</v>
      </c>
      <c r="R494" s="408"/>
      <c r="S494" s="408">
        <v>82.26</v>
      </c>
      <c r="T494" s="408"/>
      <c r="U494" s="408"/>
      <c r="V494" s="408">
        <v>14766.328080000001</v>
      </c>
      <c r="W494" s="408">
        <v>14766.328080000001</v>
      </c>
      <c r="X494" s="408">
        <v>14260.115520000001</v>
      </c>
      <c r="Y494" s="408">
        <v>0</v>
      </c>
      <c r="Z494" s="408">
        <v>9600.6214842956724</v>
      </c>
      <c r="AA494" s="408">
        <v>0</v>
      </c>
      <c r="AB494" s="408">
        <v>0</v>
      </c>
      <c r="AC494" s="408">
        <v>0</v>
      </c>
      <c r="AD494" s="408">
        <v>0</v>
      </c>
      <c r="AE494" s="408">
        <v>0</v>
      </c>
      <c r="AF494" s="408"/>
      <c r="AG494" s="408"/>
      <c r="AH494" s="408"/>
      <c r="AI494" s="408">
        <v>0</v>
      </c>
      <c r="AJ494" s="408">
        <v>0</v>
      </c>
      <c r="AK494" s="408">
        <v>0</v>
      </c>
      <c r="AL494" s="408">
        <v>1706.091378208296</v>
      </c>
      <c r="AM494" s="408"/>
      <c r="AN494" s="408">
        <v>242.16616400920256</v>
      </c>
      <c r="AO494" s="408">
        <v>0</v>
      </c>
      <c r="AP494" s="408">
        <v>0</v>
      </c>
      <c r="AQ494" s="408">
        <v>0</v>
      </c>
      <c r="AR494" s="408">
        <v>0</v>
      </c>
      <c r="AS494" s="408"/>
      <c r="AT494" s="408"/>
      <c r="AU494" s="408">
        <v>0</v>
      </c>
      <c r="AV494" s="408">
        <v>0</v>
      </c>
      <c r="AW494" s="408">
        <v>0</v>
      </c>
      <c r="AX494" s="408"/>
      <c r="AY494" s="408"/>
      <c r="AZ494" s="408">
        <v>0</v>
      </c>
      <c r="BA494" s="408"/>
      <c r="BB494" s="408">
        <v>0</v>
      </c>
      <c r="BC494" s="408">
        <v>0</v>
      </c>
      <c r="BD494" s="408">
        <v>221.15838269025775</v>
      </c>
      <c r="BE494" s="408">
        <v>0</v>
      </c>
      <c r="BF494" s="408"/>
      <c r="BG494" s="408">
        <v>2995.8607457739372</v>
      </c>
      <c r="BH494" s="408">
        <v>0</v>
      </c>
      <c r="BI494" s="408">
        <v>0</v>
      </c>
      <c r="BJ494" s="408">
        <v>0</v>
      </c>
      <c r="BK494" s="408">
        <v>0</v>
      </c>
      <c r="BL494" s="408">
        <v>0</v>
      </c>
      <c r="BM494" s="408"/>
      <c r="BN494" s="408">
        <v>7130.0577600000006</v>
      </c>
      <c r="BO494" s="408"/>
      <c r="BP494" s="408"/>
      <c r="BQ494" s="408"/>
      <c r="BR494" s="408"/>
      <c r="BS494" s="408"/>
      <c r="BT494" s="408"/>
      <c r="BU494" s="408"/>
      <c r="BV494" s="408">
        <v>3217.0191284641951</v>
      </c>
      <c r="BW494" s="408"/>
      <c r="BX494" s="408"/>
      <c r="BY494" s="408"/>
      <c r="BZ494" s="408"/>
      <c r="CA494" s="408"/>
      <c r="CB494" s="408"/>
      <c r="CC494" s="408"/>
      <c r="CD494" s="408"/>
      <c r="CE494" s="408"/>
      <c r="CF494" s="408"/>
      <c r="CG494" s="408"/>
      <c r="CH494" s="408"/>
      <c r="CI494" s="408">
        <v>7129.74</v>
      </c>
      <c r="CJ494" s="408">
        <v>-253.45404000000144</v>
      </c>
      <c r="CK494" s="408"/>
      <c r="CL494" s="408"/>
      <c r="CM494" s="408"/>
      <c r="CN494" s="408"/>
      <c r="CO494" s="408">
        <v>-506.21256000000136</v>
      </c>
      <c r="CP494" s="408">
        <v>0</v>
      </c>
      <c r="CQ494" s="408">
        <v>29</v>
      </c>
      <c r="CR494" s="408">
        <v>-505.68144073562507</v>
      </c>
      <c r="CS494" s="408">
        <v>0</v>
      </c>
      <c r="CT494" s="408">
        <v>0</v>
      </c>
      <c r="CU494" s="408">
        <v>0</v>
      </c>
      <c r="CV494" s="408">
        <v>0</v>
      </c>
      <c r="CW494" s="408"/>
      <c r="CX494" s="408"/>
      <c r="CY494" s="408"/>
      <c r="CZ494" s="408">
        <v>0</v>
      </c>
      <c r="DA494" s="408">
        <v>0</v>
      </c>
      <c r="DB494" s="408">
        <v>0</v>
      </c>
      <c r="DC494" s="408"/>
      <c r="DD494" s="408"/>
      <c r="DE494" s="408">
        <v>0</v>
      </c>
      <c r="DF494" s="408">
        <v>13.777828685187359</v>
      </c>
      <c r="DG494" s="408">
        <v>186.63753830104179</v>
      </c>
      <c r="DH494" s="408">
        <v>0</v>
      </c>
      <c r="DI494" s="408">
        <v>-597.00364011159945</v>
      </c>
      <c r="DJ494" s="408"/>
      <c r="DK494" s="408">
        <v>0</v>
      </c>
      <c r="DL494" s="408">
        <v>0</v>
      </c>
      <c r="DM494" s="408"/>
      <c r="DN494" s="408">
        <v>0</v>
      </c>
      <c r="DO494" s="408">
        <v>-93.617824688664086</v>
      </c>
      <c r="DP494" s="408">
        <v>-15.4753429215925</v>
      </c>
      <c r="DQ494" s="408">
        <v>0</v>
      </c>
      <c r="DR494" s="408">
        <v>0</v>
      </c>
      <c r="DS494" s="408"/>
      <c r="DT494" s="408"/>
      <c r="DU494" s="408"/>
      <c r="DV494" s="408">
        <v>0</v>
      </c>
      <c r="DW494" s="408">
        <v>0</v>
      </c>
      <c r="DX494" s="408">
        <v>0</v>
      </c>
      <c r="DY494" s="408">
        <v>-506.21255999999994</v>
      </c>
      <c r="DZ494" s="408"/>
      <c r="EA494" s="408">
        <v>0</v>
      </c>
      <c r="EB494" s="408"/>
      <c r="EC494" s="408">
        <v>0</v>
      </c>
      <c r="ED494" s="408"/>
      <c r="EE494" s="408">
        <v>0</v>
      </c>
      <c r="EF494" s="408">
        <v>0</v>
      </c>
      <c r="EG494" s="408"/>
      <c r="EH494" s="408">
        <v>0</v>
      </c>
      <c r="EI494" s="408">
        <v>0</v>
      </c>
      <c r="EJ494" s="408">
        <v>0</v>
      </c>
      <c r="EK494" s="408">
        <v>0</v>
      </c>
      <c r="EL494" s="408">
        <v>0</v>
      </c>
      <c r="EM494" s="408"/>
      <c r="EN494" s="408"/>
      <c r="EO494" s="408">
        <v>0</v>
      </c>
      <c r="EP494" s="408">
        <v>0</v>
      </c>
      <c r="EQ494" s="408"/>
      <c r="ER494" s="408">
        <v>0</v>
      </c>
      <c r="ES494" s="408"/>
      <c r="ET494" s="408">
        <v>0</v>
      </c>
      <c r="EU494" s="408"/>
      <c r="EV494" s="408">
        <v>257</v>
      </c>
      <c r="EW494" s="408"/>
      <c r="EX494" s="408"/>
      <c r="EY494" s="408"/>
      <c r="EZ494" s="408"/>
      <c r="FA494" s="408">
        <v>0</v>
      </c>
      <c r="FB494" s="408"/>
      <c r="FC494" s="408"/>
      <c r="FD494" s="408"/>
      <c r="FE494" s="408"/>
      <c r="FF494" s="408">
        <v>0</v>
      </c>
      <c r="FG494" s="408">
        <v>0</v>
      </c>
      <c r="FH494" s="408">
        <v>0</v>
      </c>
      <c r="FI494" s="408">
        <v>0</v>
      </c>
    </row>
    <row r="495" spans="1:165">
      <c r="A495" s="408">
        <v>493</v>
      </c>
      <c r="B495" s="408" t="s">
        <v>1035</v>
      </c>
      <c r="C495" s="408" t="s">
        <v>2241</v>
      </c>
      <c r="D495" s="408" t="s">
        <v>596</v>
      </c>
      <c r="E495" s="408" t="s">
        <v>969</v>
      </c>
      <c r="F495" s="408" t="s">
        <v>1321</v>
      </c>
      <c r="G495" s="408" t="s">
        <v>2314</v>
      </c>
      <c r="H495" s="408" t="s">
        <v>1321</v>
      </c>
      <c r="I495" s="408" t="s">
        <v>1321</v>
      </c>
      <c r="J495" s="408" t="s">
        <v>2315</v>
      </c>
      <c r="K495" s="828">
        <v>44593</v>
      </c>
      <c r="L495" s="408">
        <v>1080</v>
      </c>
      <c r="M495" s="408">
        <v>540</v>
      </c>
      <c r="N495" s="408">
        <v>0</v>
      </c>
      <c r="O495" s="408">
        <v>0</v>
      </c>
      <c r="P495" s="408">
        <v>0</v>
      </c>
      <c r="Q495" s="408">
        <v>0</v>
      </c>
      <c r="R495" s="408">
        <v>47.39</v>
      </c>
      <c r="S495" s="408"/>
      <c r="T495" s="408"/>
      <c r="U495" s="408">
        <v>51181.2</v>
      </c>
      <c r="V495" s="408"/>
      <c r="W495" s="408">
        <v>51181.2</v>
      </c>
      <c r="X495" s="408">
        <v>34797.599999999999</v>
      </c>
      <c r="Y495" s="408">
        <v>0</v>
      </c>
      <c r="Z495" s="408">
        <v>0</v>
      </c>
      <c r="AA495" s="408">
        <v>0</v>
      </c>
      <c r="AB495" s="408">
        <v>0</v>
      </c>
      <c r="AC495" s="408">
        <v>0</v>
      </c>
      <c r="AD495" s="408">
        <v>26967.708193822957</v>
      </c>
      <c r="AE495" s="408">
        <v>24213.456625387858</v>
      </c>
      <c r="AF495" s="408"/>
      <c r="AG495" s="408"/>
      <c r="AH495" s="408"/>
      <c r="AI495" s="408">
        <v>0</v>
      </c>
      <c r="AJ495" s="408">
        <v>0</v>
      </c>
      <c r="AK495" s="408">
        <v>0</v>
      </c>
      <c r="AL495" s="408">
        <v>0</v>
      </c>
      <c r="AM495" s="408"/>
      <c r="AN495" s="408">
        <v>0</v>
      </c>
      <c r="AO495" s="408">
        <v>0</v>
      </c>
      <c r="AP495" s="408">
        <v>0</v>
      </c>
      <c r="AQ495" s="408">
        <v>0</v>
      </c>
      <c r="AR495" s="408">
        <v>0</v>
      </c>
      <c r="AS495" s="408"/>
      <c r="AT495" s="408"/>
      <c r="AU495" s="408">
        <v>0</v>
      </c>
      <c r="AV495" s="408">
        <v>0</v>
      </c>
      <c r="AW495" s="408">
        <v>0</v>
      </c>
      <c r="AX495" s="408"/>
      <c r="AY495" s="408"/>
      <c r="AZ495" s="408">
        <v>0</v>
      </c>
      <c r="BA495" s="408"/>
      <c r="BB495" s="408">
        <v>0</v>
      </c>
      <c r="BC495" s="408">
        <v>0</v>
      </c>
      <c r="BD495" s="408">
        <v>0</v>
      </c>
      <c r="BE495" s="408">
        <v>0</v>
      </c>
      <c r="BF495" s="408"/>
      <c r="BG495" s="408">
        <v>0</v>
      </c>
      <c r="BH495" s="408">
        <v>0</v>
      </c>
      <c r="BI495" s="408">
        <v>392.23</v>
      </c>
      <c r="BJ495" s="408">
        <v>0</v>
      </c>
      <c r="BK495" s="408">
        <v>10567.23</v>
      </c>
      <c r="BL495" s="408">
        <v>3</v>
      </c>
      <c r="BM495" s="408"/>
      <c r="BN495" s="408">
        <v>17398.8</v>
      </c>
      <c r="BO495" s="408"/>
      <c r="BP495" s="408"/>
      <c r="BQ495" s="408"/>
      <c r="BR495" s="408"/>
      <c r="BS495" s="408"/>
      <c r="BT495" s="408"/>
      <c r="BU495" s="408"/>
      <c r="BV495" s="408">
        <v>0</v>
      </c>
      <c r="BW495" s="408"/>
      <c r="BX495" s="408"/>
      <c r="BY495" s="408"/>
      <c r="BZ495" s="408"/>
      <c r="CA495" s="408"/>
      <c r="CB495" s="408"/>
      <c r="CC495" s="408"/>
      <c r="CD495" s="408"/>
      <c r="CE495" s="408"/>
      <c r="CF495" s="408"/>
      <c r="CG495" s="408"/>
      <c r="CH495" s="408"/>
      <c r="CI495" s="408">
        <v>17398.8</v>
      </c>
      <c r="CJ495" s="408">
        <v>-8191.8299999999945</v>
      </c>
      <c r="CK495" s="408"/>
      <c r="CL495" s="408"/>
      <c r="CM495" s="408"/>
      <c r="CN495" s="408"/>
      <c r="CO495" s="408">
        <v>-16383.600000000002</v>
      </c>
      <c r="CP495" s="408">
        <v>0</v>
      </c>
      <c r="CQ495" s="408">
        <v>29</v>
      </c>
      <c r="CR495" s="408">
        <v>-121.89573717706662</v>
      </c>
      <c r="CS495" s="408">
        <v>0</v>
      </c>
      <c r="CT495" s="408">
        <v>0</v>
      </c>
      <c r="CU495" s="408">
        <v>0</v>
      </c>
      <c r="CV495" s="408">
        <v>0</v>
      </c>
      <c r="CW495" s="408"/>
      <c r="CX495" s="408"/>
      <c r="CY495" s="408"/>
      <c r="CZ495" s="408">
        <v>-121.89573717706662</v>
      </c>
      <c r="DA495" s="408">
        <v>0</v>
      </c>
      <c r="DB495" s="408">
        <v>0</v>
      </c>
      <c r="DC495" s="408"/>
      <c r="DD495" s="408"/>
      <c r="DE495" s="408">
        <v>0</v>
      </c>
      <c r="DF495" s="408">
        <v>0</v>
      </c>
      <c r="DG495" s="408">
        <v>0</v>
      </c>
      <c r="DH495" s="408">
        <v>0</v>
      </c>
      <c r="DI495" s="408">
        <v>0</v>
      </c>
      <c r="DJ495" s="408"/>
      <c r="DK495" s="408">
        <v>0</v>
      </c>
      <c r="DL495" s="408">
        <v>0</v>
      </c>
      <c r="DM495" s="408"/>
      <c r="DN495" s="408">
        <v>0</v>
      </c>
      <c r="DO495" s="408">
        <v>0</v>
      </c>
      <c r="DP495" s="408">
        <v>0</v>
      </c>
      <c r="DQ495" s="408">
        <v>0</v>
      </c>
      <c r="DR495" s="408">
        <v>0</v>
      </c>
      <c r="DS495" s="408"/>
      <c r="DT495" s="408"/>
      <c r="DU495" s="408">
        <v>24213.456625387858</v>
      </c>
      <c r="DV495" s="408"/>
      <c r="DW495" s="408">
        <v>0</v>
      </c>
      <c r="DX495" s="408">
        <v>0</v>
      </c>
      <c r="DY495" s="408">
        <v>-16383.599999999999</v>
      </c>
      <c r="DZ495" s="408"/>
      <c r="EA495" s="408">
        <v>0</v>
      </c>
      <c r="EB495" s="408"/>
      <c r="EC495" s="408">
        <v>-16263.56545224935</v>
      </c>
      <c r="ED495" s="408"/>
      <c r="EE495" s="408">
        <v>0</v>
      </c>
      <c r="EF495" s="408">
        <v>0</v>
      </c>
      <c r="EG495" s="408"/>
      <c r="EH495" s="408">
        <v>0</v>
      </c>
      <c r="EI495" s="408">
        <v>0</v>
      </c>
      <c r="EJ495" s="408">
        <v>0</v>
      </c>
      <c r="EK495" s="408">
        <v>0</v>
      </c>
      <c r="EL495" s="408">
        <v>0</v>
      </c>
      <c r="EM495" s="408"/>
      <c r="EN495" s="408"/>
      <c r="EO495" s="408">
        <v>0</v>
      </c>
      <c r="EP495" s="408">
        <v>0</v>
      </c>
      <c r="EQ495" s="408"/>
      <c r="ER495" s="408">
        <v>0</v>
      </c>
      <c r="ES495" s="408"/>
      <c r="ET495" s="408">
        <v>0</v>
      </c>
      <c r="EU495" s="408"/>
      <c r="EV495" s="408">
        <v>257</v>
      </c>
      <c r="EW495" s="408"/>
      <c r="EX495" s="408"/>
      <c r="EY495" s="408"/>
      <c r="EZ495" s="408"/>
      <c r="FA495" s="408">
        <v>0</v>
      </c>
      <c r="FB495" s="408"/>
      <c r="FC495" s="408"/>
      <c r="FD495" s="408"/>
      <c r="FE495" s="408"/>
      <c r="FF495" s="408">
        <v>0</v>
      </c>
      <c r="FG495" s="408">
        <v>0</v>
      </c>
      <c r="FH495" s="408">
        <v>0</v>
      </c>
      <c r="FI495" s="408">
        <v>0</v>
      </c>
    </row>
    <row r="496" spans="1:165">
      <c r="A496" s="408">
        <v>494</v>
      </c>
      <c r="B496" s="408" t="s">
        <v>1035</v>
      </c>
      <c r="C496" s="408" t="s">
        <v>992</v>
      </c>
      <c r="D496" s="408" t="s">
        <v>596</v>
      </c>
      <c r="E496" s="408" t="s">
        <v>1321</v>
      </c>
      <c r="F496" s="408" t="s">
        <v>1321</v>
      </c>
      <c r="G496" s="408" t="s">
        <v>1321</v>
      </c>
      <c r="H496" s="408" t="s">
        <v>2316</v>
      </c>
      <c r="I496" s="408" t="s">
        <v>1321</v>
      </c>
      <c r="J496" s="408" t="s">
        <v>2250</v>
      </c>
      <c r="K496" s="828">
        <v>44593</v>
      </c>
      <c r="L496" s="408">
        <v>1000</v>
      </c>
      <c r="M496" s="408">
        <v>500</v>
      </c>
      <c r="N496" s="408">
        <v>0</v>
      </c>
      <c r="O496" s="408">
        <v>0</v>
      </c>
      <c r="P496" s="408">
        <v>0</v>
      </c>
      <c r="Q496" s="408">
        <v>0</v>
      </c>
      <c r="R496" s="408">
        <v>15.78</v>
      </c>
      <c r="S496" s="408"/>
      <c r="T496" s="408"/>
      <c r="U496" s="408">
        <v>15780</v>
      </c>
      <c r="V496" s="408"/>
      <c r="W496" s="408">
        <v>15780</v>
      </c>
      <c r="X496" s="408">
        <v>5200</v>
      </c>
      <c r="Y496" s="408">
        <v>0</v>
      </c>
      <c r="Z496" s="408">
        <v>0</v>
      </c>
      <c r="AA496" s="408">
        <v>0</v>
      </c>
      <c r="AB496" s="408">
        <v>0</v>
      </c>
      <c r="AC496" s="408">
        <v>0</v>
      </c>
      <c r="AD496" s="408">
        <v>0</v>
      </c>
      <c r="AE496" s="408">
        <v>15739.433553196899</v>
      </c>
      <c r="AF496" s="408"/>
      <c r="AG496" s="408"/>
      <c r="AH496" s="408"/>
      <c r="AI496" s="408">
        <v>0</v>
      </c>
      <c r="AJ496" s="408">
        <v>0</v>
      </c>
      <c r="AK496" s="408">
        <v>0</v>
      </c>
      <c r="AL496" s="408">
        <v>0</v>
      </c>
      <c r="AM496" s="408"/>
      <c r="AN496" s="408">
        <v>38.248486219299501</v>
      </c>
      <c r="AO496" s="408">
        <v>0</v>
      </c>
      <c r="AP496" s="408">
        <v>0</v>
      </c>
      <c r="AQ496" s="408">
        <v>0</v>
      </c>
      <c r="AR496" s="408">
        <v>0</v>
      </c>
      <c r="AS496" s="408"/>
      <c r="AT496" s="408"/>
      <c r="AU496" s="408">
        <v>0</v>
      </c>
      <c r="AV496" s="408">
        <v>0</v>
      </c>
      <c r="AW496" s="408">
        <v>0</v>
      </c>
      <c r="AX496" s="408"/>
      <c r="AY496" s="408"/>
      <c r="AZ496" s="408">
        <v>0</v>
      </c>
      <c r="BA496" s="408"/>
      <c r="BB496" s="408">
        <v>0</v>
      </c>
      <c r="BC496" s="408">
        <v>0</v>
      </c>
      <c r="BD496" s="408">
        <v>0</v>
      </c>
      <c r="BE496" s="408">
        <v>0</v>
      </c>
      <c r="BF496" s="408"/>
      <c r="BG496" s="408">
        <v>0</v>
      </c>
      <c r="BH496" s="408">
        <v>0</v>
      </c>
      <c r="BI496" s="408">
        <v>0</v>
      </c>
      <c r="BJ496" s="408">
        <v>0</v>
      </c>
      <c r="BK496" s="408">
        <v>532.53</v>
      </c>
      <c r="BL496" s="408">
        <v>0</v>
      </c>
      <c r="BM496" s="408"/>
      <c r="BN496" s="408"/>
      <c r="BO496" s="408">
        <v>2600</v>
      </c>
      <c r="BP496" s="408"/>
      <c r="BQ496" s="408"/>
      <c r="BR496" s="408"/>
      <c r="BS496" s="408"/>
      <c r="BT496" s="408"/>
      <c r="BU496" s="408"/>
      <c r="BV496" s="408">
        <v>0</v>
      </c>
      <c r="BW496" s="408"/>
      <c r="BX496" s="408"/>
      <c r="BY496" s="408"/>
      <c r="BZ496" s="408"/>
      <c r="CA496" s="408"/>
      <c r="CB496" s="408"/>
      <c r="CC496" s="408"/>
      <c r="CD496" s="408"/>
      <c r="CE496" s="408"/>
      <c r="CF496" s="408"/>
      <c r="CG496" s="408"/>
      <c r="CH496" s="408"/>
      <c r="CI496" s="408">
        <v>2600</v>
      </c>
      <c r="CJ496" s="408">
        <v>-5290.0300000000007</v>
      </c>
      <c r="CK496" s="408"/>
      <c r="CL496" s="408"/>
      <c r="CM496" s="408"/>
      <c r="CN496" s="408"/>
      <c r="CO496" s="408">
        <v>-10579.999999999998</v>
      </c>
      <c r="CP496" s="408">
        <v>0</v>
      </c>
      <c r="CQ496" s="408">
        <v>29</v>
      </c>
      <c r="CR496" s="408">
        <v>-2.4442243733642997</v>
      </c>
      <c r="CS496" s="408">
        <v>0</v>
      </c>
      <c r="CT496" s="408">
        <v>0</v>
      </c>
      <c r="CU496" s="408">
        <v>0</v>
      </c>
      <c r="CV496" s="408">
        <v>0</v>
      </c>
      <c r="CW496" s="408"/>
      <c r="CX496" s="408"/>
      <c r="CY496" s="408"/>
      <c r="CZ496" s="408">
        <v>0</v>
      </c>
      <c r="DA496" s="408">
        <v>0</v>
      </c>
      <c r="DB496" s="408">
        <v>0</v>
      </c>
      <c r="DC496" s="408"/>
      <c r="DD496" s="408"/>
      <c r="DE496" s="408">
        <v>0</v>
      </c>
      <c r="DF496" s="408">
        <v>0</v>
      </c>
      <c r="DG496" s="408">
        <v>0</v>
      </c>
      <c r="DH496" s="408">
        <v>0</v>
      </c>
      <c r="DI496" s="408">
        <v>0</v>
      </c>
      <c r="DJ496" s="408"/>
      <c r="DK496" s="408">
        <v>0</v>
      </c>
      <c r="DL496" s="408">
        <v>0</v>
      </c>
      <c r="DM496" s="408"/>
      <c r="DN496" s="408">
        <v>0</v>
      </c>
      <c r="DO496" s="408">
        <v>0</v>
      </c>
      <c r="DP496" s="408">
        <v>-2.4442243733642997</v>
      </c>
      <c r="DQ496" s="408">
        <v>0</v>
      </c>
      <c r="DR496" s="408">
        <v>0</v>
      </c>
      <c r="DS496" s="408"/>
      <c r="DT496" s="408"/>
      <c r="DU496" s="408">
        <v>15739.433553196899</v>
      </c>
      <c r="DV496" s="408"/>
      <c r="DW496" s="408">
        <v>0</v>
      </c>
      <c r="DX496" s="408">
        <v>0</v>
      </c>
      <c r="DY496" s="408">
        <v>-10580</v>
      </c>
      <c r="DZ496" s="408"/>
      <c r="EA496" s="408">
        <v>0</v>
      </c>
      <c r="EB496" s="408"/>
      <c r="EC496" s="408">
        <v>-10571.778814320649</v>
      </c>
      <c r="ED496" s="408"/>
      <c r="EE496" s="408">
        <v>0</v>
      </c>
      <c r="EF496" s="408">
        <v>0</v>
      </c>
      <c r="EG496" s="408"/>
      <c r="EH496" s="408">
        <v>0</v>
      </c>
      <c r="EI496" s="408">
        <v>0</v>
      </c>
      <c r="EJ496" s="408">
        <v>0</v>
      </c>
      <c r="EK496" s="408">
        <v>0</v>
      </c>
      <c r="EL496" s="408">
        <v>0</v>
      </c>
      <c r="EM496" s="408"/>
      <c r="EN496" s="408"/>
      <c r="EO496" s="408">
        <v>0</v>
      </c>
      <c r="EP496" s="408">
        <v>0</v>
      </c>
      <c r="EQ496" s="408"/>
      <c r="ER496" s="408">
        <v>0</v>
      </c>
      <c r="ES496" s="408"/>
      <c r="ET496" s="408">
        <v>0</v>
      </c>
      <c r="EU496" s="408"/>
      <c r="EV496" s="408">
        <v>257</v>
      </c>
      <c r="EW496" s="408"/>
      <c r="EX496" s="408"/>
      <c r="EY496" s="408"/>
      <c r="EZ496" s="408"/>
      <c r="FA496" s="408">
        <v>0</v>
      </c>
      <c r="FB496" s="408"/>
      <c r="FC496" s="408"/>
      <c r="FD496" s="408"/>
      <c r="FE496" s="408"/>
      <c r="FF496" s="408">
        <v>0</v>
      </c>
      <c r="FG496" s="408">
        <v>0</v>
      </c>
      <c r="FH496" s="408">
        <v>0</v>
      </c>
      <c r="FI496" s="408">
        <v>0</v>
      </c>
    </row>
    <row r="497" spans="1:165">
      <c r="A497" s="408">
        <v>495</v>
      </c>
      <c r="B497" s="408" t="s">
        <v>1035</v>
      </c>
      <c r="C497" s="408" t="s">
        <v>992</v>
      </c>
      <c r="D497" s="408" t="s">
        <v>596</v>
      </c>
      <c r="E497" s="408" t="s">
        <v>1321</v>
      </c>
      <c r="F497" s="408" t="s">
        <v>1321</v>
      </c>
      <c r="G497" s="408" t="s">
        <v>1321</v>
      </c>
      <c r="H497" s="408" t="s">
        <v>2317</v>
      </c>
      <c r="I497" s="408" t="s">
        <v>1321</v>
      </c>
      <c r="J497" s="408" t="s">
        <v>2250</v>
      </c>
      <c r="K497" s="828">
        <v>44593</v>
      </c>
      <c r="L497" s="408">
        <v>790</v>
      </c>
      <c r="M497" s="408">
        <v>395</v>
      </c>
      <c r="N497" s="408">
        <v>0</v>
      </c>
      <c r="O497" s="408">
        <v>0</v>
      </c>
      <c r="P497" s="408">
        <v>0</v>
      </c>
      <c r="Q497" s="408">
        <v>0</v>
      </c>
      <c r="R497" s="408">
        <v>15.78</v>
      </c>
      <c r="S497" s="408"/>
      <c r="T497" s="408"/>
      <c r="U497" s="408">
        <v>12466.199999999999</v>
      </c>
      <c r="V497" s="408"/>
      <c r="W497" s="408">
        <v>12466.199999999999</v>
      </c>
      <c r="X497" s="408">
        <v>4108</v>
      </c>
      <c r="Y497" s="408">
        <v>0</v>
      </c>
      <c r="Z497" s="408">
        <v>0</v>
      </c>
      <c r="AA497" s="408">
        <v>0</v>
      </c>
      <c r="AB497" s="408">
        <v>0</v>
      </c>
      <c r="AC497" s="408">
        <v>0</v>
      </c>
      <c r="AD497" s="408">
        <v>0</v>
      </c>
      <c r="AE497" s="408">
        <v>12434.15250702555</v>
      </c>
      <c r="AF497" s="408"/>
      <c r="AG497" s="408"/>
      <c r="AH497" s="408"/>
      <c r="AI497" s="408">
        <v>0</v>
      </c>
      <c r="AJ497" s="408">
        <v>0</v>
      </c>
      <c r="AK497" s="408">
        <v>0</v>
      </c>
      <c r="AL497" s="408">
        <v>0</v>
      </c>
      <c r="AM497" s="408"/>
      <c r="AN497" s="408">
        <v>30.216304113246604</v>
      </c>
      <c r="AO497" s="408">
        <v>0</v>
      </c>
      <c r="AP497" s="408">
        <v>0</v>
      </c>
      <c r="AQ497" s="408">
        <v>0</v>
      </c>
      <c r="AR497" s="408">
        <v>0</v>
      </c>
      <c r="AS497" s="408"/>
      <c r="AT497" s="408"/>
      <c r="AU497" s="408">
        <v>0</v>
      </c>
      <c r="AV497" s="408">
        <v>0</v>
      </c>
      <c r="AW497" s="408">
        <v>0</v>
      </c>
      <c r="AX497" s="408"/>
      <c r="AY497" s="408"/>
      <c r="AZ497" s="408">
        <v>0</v>
      </c>
      <c r="BA497" s="408"/>
      <c r="BB497" s="408">
        <v>0</v>
      </c>
      <c r="BC497" s="408">
        <v>0</v>
      </c>
      <c r="BD497" s="408">
        <v>0</v>
      </c>
      <c r="BE497" s="408">
        <v>0</v>
      </c>
      <c r="BF497" s="408"/>
      <c r="BG497" s="408">
        <v>0</v>
      </c>
      <c r="BH497" s="408">
        <v>0</v>
      </c>
      <c r="BI497" s="408">
        <v>0</v>
      </c>
      <c r="BJ497" s="408">
        <v>0</v>
      </c>
      <c r="BK497" s="408">
        <v>420.69</v>
      </c>
      <c r="BL497" s="408">
        <v>0</v>
      </c>
      <c r="BM497" s="408"/>
      <c r="BN497" s="408"/>
      <c r="BO497" s="408">
        <v>2054</v>
      </c>
      <c r="BP497" s="408"/>
      <c r="BQ497" s="408"/>
      <c r="BR497" s="408"/>
      <c r="BS497" s="408"/>
      <c r="BT497" s="408"/>
      <c r="BU497" s="408"/>
      <c r="BV497" s="408">
        <v>0</v>
      </c>
      <c r="BW497" s="408"/>
      <c r="BX497" s="408"/>
      <c r="BY497" s="408"/>
      <c r="BZ497" s="408"/>
      <c r="CA497" s="408"/>
      <c r="CB497" s="408"/>
      <c r="CC497" s="408"/>
      <c r="CD497" s="408"/>
      <c r="CE497" s="408"/>
      <c r="CF497" s="408"/>
      <c r="CG497" s="408"/>
      <c r="CH497" s="408"/>
      <c r="CI497" s="408">
        <v>2054</v>
      </c>
      <c r="CJ497" s="408">
        <v>-4179.13</v>
      </c>
      <c r="CK497" s="408"/>
      <c r="CL497" s="408"/>
      <c r="CM497" s="408"/>
      <c r="CN497" s="408"/>
      <c r="CO497" s="408">
        <v>-8358.1999999999989</v>
      </c>
      <c r="CP497" s="408">
        <v>0</v>
      </c>
      <c r="CQ497" s="408">
        <v>29</v>
      </c>
      <c r="CR497" s="408">
        <v>-1.9309372549577972</v>
      </c>
      <c r="CS497" s="408">
        <v>0</v>
      </c>
      <c r="CT497" s="408">
        <v>0</v>
      </c>
      <c r="CU497" s="408">
        <v>0</v>
      </c>
      <c r="CV497" s="408">
        <v>0</v>
      </c>
      <c r="CW497" s="408"/>
      <c r="CX497" s="408"/>
      <c r="CY497" s="408"/>
      <c r="CZ497" s="408">
        <v>0</v>
      </c>
      <c r="DA497" s="408">
        <v>0</v>
      </c>
      <c r="DB497" s="408">
        <v>0</v>
      </c>
      <c r="DC497" s="408"/>
      <c r="DD497" s="408"/>
      <c r="DE497" s="408">
        <v>0</v>
      </c>
      <c r="DF497" s="408">
        <v>0</v>
      </c>
      <c r="DG497" s="408">
        <v>0</v>
      </c>
      <c r="DH497" s="408">
        <v>0</v>
      </c>
      <c r="DI497" s="408">
        <v>0</v>
      </c>
      <c r="DJ497" s="408"/>
      <c r="DK497" s="408">
        <v>0</v>
      </c>
      <c r="DL497" s="408">
        <v>0</v>
      </c>
      <c r="DM497" s="408"/>
      <c r="DN497" s="408">
        <v>0</v>
      </c>
      <c r="DO497" s="408">
        <v>0</v>
      </c>
      <c r="DP497" s="408">
        <v>-1.9309372549577972</v>
      </c>
      <c r="DQ497" s="408">
        <v>0</v>
      </c>
      <c r="DR497" s="408">
        <v>0</v>
      </c>
      <c r="DS497" s="408"/>
      <c r="DT497" s="408"/>
      <c r="DU497" s="408">
        <v>12434.15250702555</v>
      </c>
      <c r="DV497" s="408"/>
      <c r="DW497" s="408">
        <v>0</v>
      </c>
      <c r="DX497" s="408">
        <v>0</v>
      </c>
      <c r="DY497" s="408">
        <v>-8358.1999999999989</v>
      </c>
      <c r="DZ497" s="408"/>
      <c r="EA497" s="408">
        <v>0</v>
      </c>
      <c r="EB497" s="408"/>
      <c r="EC497" s="408">
        <v>-8351.7052633133135</v>
      </c>
      <c r="ED497" s="408"/>
      <c r="EE497" s="408">
        <v>0</v>
      </c>
      <c r="EF497" s="408">
        <v>0</v>
      </c>
      <c r="EG497" s="408"/>
      <c r="EH497" s="408">
        <v>0</v>
      </c>
      <c r="EI497" s="408">
        <v>0</v>
      </c>
      <c r="EJ497" s="408">
        <v>0</v>
      </c>
      <c r="EK497" s="408">
        <v>0</v>
      </c>
      <c r="EL497" s="408">
        <v>0</v>
      </c>
      <c r="EM497" s="408"/>
      <c r="EN497" s="408"/>
      <c r="EO497" s="408">
        <v>0</v>
      </c>
      <c r="EP497" s="408">
        <v>0</v>
      </c>
      <c r="EQ497" s="408"/>
      <c r="ER497" s="408">
        <v>0</v>
      </c>
      <c r="ES497" s="408"/>
      <c r="ET497" s="408">
        <v>0</v>
      </c>
      <c r="EU497" s="408"/>
      <c r="EV497" s="408">
        <v>257</v>
      </c>
      <c r="EW497" s="408"/>
      <c r="EX497" s="408"/>
      <c r="EY497" s="408"/>
      <c r="EZ497" s="408"/>
      <c r="FA497" s="408">
        <v>0</v>
      </c>
      <c r="FB497" s="408"/>
      <c r="FC497" s="408"/>
      <c r="FD497" s="408"/>
      <c r="FE497" s="408"/>
      <c r="FF497" s="408">
        <v>0</v>
      </c>
      <c r="FG497" s="408">
        <v>0</v>
      </c>
      <c r="FH497" s="408">
        <v>0</v>
      </c>
      <c r="FI497" s="408">
        <v>0</v>
      </c>
    </row>
    <row r="498" spans="1:165">
      <c r="A498" s="408">
        <v>496</v>
      </c>
      <c r="B498" s="408" t="s">
        <v>1035</v>
      </c>
      <c r="C498" s="408" t="s">
        <v>2241</v>
      </c>
      <c r="D498" s="408" t="s">
        <v>596</v>
      </c>
      <c r="E498" s="408" t="s">
        <v>969</v>
      </c>
      <c r="F498" s="408" t="s">
        <v>1321</v>
      </c>
      <c r="G498" s="408" t="s">
        <v>2314</v>
      </c>
      <c r="H498" s="408" t="s">
        <v>1321</v>
      </c>
      <c r="I498" s="408" t="s">
        <v>972</v>
      </c>
      <c r="J498" s="408" t="s">
        <v>2315</v>
      </c>
      <c r="K498" s="828">
        <v>44621</v>
      </c>
      <c r="L498" s="408">
        <v>0</v>
      </c>
      <c r="M498" s="408">
        <v>0</v>
      </c>
      <c r="N498" s="408">
        <v>22.87</v>
      </c>
      <c r="O498" s="408">
        <v>11.435</v>
      </c>
      <c r="P498" s="408">
        <v>0</v>
      </c>
      <c r="Q498" s="408">
        <v>0</v>
      </c>
      <c r="R498" s="408"/>
      <c r="S498" s="408">
        <v>3130.62</v>
      </c>
      <c r="T498" s="408"/>
      <c r="U498" s="408"/>
      <c r="V498" s="408">
        <v>71597.279399999999</v>
      </c>
      <c r="W498" s="408">
        <v>71597.279399999999</v>
      </c>
      <c r="X498" s="408">
        <v>34535.758300000001</v>
      </c>
      <c r="Y498" s="408">
        <v>0</v>
      </c>
      <c r="Z498" s="408">
        <v>1223.1555883071619</v>
      </c>
      <c r="AA498" s="408">
        <v>0</v>
      </c>
      <c r="AB498" s="408">
        <v>0</v>
      </c>
      <c r="AC498" s="408">
        <v>0</v>
      </c>
      <c r="AD498" s="408">
        <v>14733.169772329942</v>
      </c>
      <c r="AE498" s="408">
        <v>54982.879923235159</v>
      </c>
      <c r="AF498" s="408"/>
      <c r="AG498" s="408"/>
      <c r="AH498" s="408"/>
      <c r="AI498" s="408">
        <v>0</v>
      </c>
      <c r="AJ498" s="408">
        <v>0</v>
      </c>
      <c r="AK498" s="408">
        <v>0</v>
      </c>
      <c r="AL498" s="408">
        <v>217.3625120865016</v>
      </c>
      <c r="AM498" s="408"/>
      <c r="AN498" s="408">
        <v>30.852887731412874</v>
      </c>
      <c r="AO498" s="408">
        <v>0</v>
      </c>
      <c r="AP498" s="408">
        <v>0</v>
      </c>
      <c r="AQ498" s="408">
        <v>0</v>
      </c>
      <c r="AR498" s="408">
        <v>0</v>
      </c>
      <c r="AS498" s="408"/>
      <c r="AT498" s="408"/>
      <c r="AU498" s="408">
        <v>0</v>
      </c>
      <c r="AV498" s="408">
        <v>0</v>
      </c>
      <c r="AW498" s="408">
        <v>0</v>
      </c>
      <c r="AX498" s="408"/>
      <c r="AY498" s="408"/>
      <c r="AZ498" s="408">
        <v>0</v>
      </c>
      <c r="BA498" s="408"/>
      <c r="BB498" s="408">
        <v>0</v>
      </c>
      <c r="BC498" s="408">
        <v>0</v>
      </c>
      <c r="BD498" s="408">
        <v>28.176416717506712</v>
      </c>
      <c r="BE498" s="408">
        <v>0</v>
      </c>
      <c r="BF498" s="408"/>
      <c r="BG498" s="408">
        <v>381.68402107900454</v>
      </c>
      <c r="BH498" s="408">
        <v>0</v>
      </c>
      <c r="BI498" s="408">
        <v>0</v>
      </c>
      <c r="BJ498" s="408">
        <v>0</v>
      </c>
      <c r="BK498" s="408">
        <v>0</v>
      </c>
      <c r="BL498" s="408">
        <v>0</v>
      </c>
      <c r="BM498" s="408"/>
      <c r="BN498" s="408">
        <v>17267.879150000001</v>
      </c>
      <c r="BO498" s="408"/>
      <c r="BP498" s="408"/>
      <c r="BQ498" s="408"/>
      <c r="BR498" s="408"/>
      <c r="BS498" s="408"/>
      <c r="BT498" s="408"/>
      <c r="BU498" s="408"/>
      <c r="BV498" s="408">
        <v>409.86043779651123</v>
      </c>
      <c r="BW498" s="408"/>
      <c r="BX498" s="408"/>
      <c r="BY498" s="408"/>
      <c r="BZ498" s="408"/>
      <c r="CA498" s="408"/>
      <c r="CB498" s="408"/>
      <c r="CC498" s="408"/>
      <c r="CD498" s="408"/>
      <c r="CE498" s="408"/>
      <c r="CF498" s="408"/>
      <c r="CG498" s="408"/>
      <c r="CH498" s="408"/>
      <c r="CI498" s="408">
        <v>17275.429599999999</v>
      </c>
      <c r="CJ498" s="408">
        <v>-18523.240100000006</v>
      </c>
      <c r="CK498" s="408"/>
      <c r="CL498" s="408"/>
      <c r="CM498" s="408"/>
      <c r="CN498" s="408"/>
      <c r="CO498" s="408">
        <v>-37061.521099999998</v>
      </c>
      <c r="CP498" s="408">
        <v>0</v>
      </c>
      <c r="CQ498" s="408">
        <v>31</v>
      </c>
      <c r="CR498" s="408">
        <v>-131.02058740884604</v>
      </c>
      <c r="CS498" s="408">
        <v>0</v>
      </c>
      <c r="CT498" s="408">
        <v>0</v>
      </c>
      <c r="CU498" s="408">
        <v>0</v>
      </c>
      <c r="CV498" s="408">
        <v>0</v>
      </c>
      <c r="CW498" s="408"/>
      <c r="CX498" s="408"/>
      <c r="CY498" s="408"/>
      <c r="CZ498" s="408">
        <v>-66.594854017446778</v>
      </c>
      <c r="DA498" s="408">
        <v>0</v>
      </c>
      <c r="DB498" s="408">
        <v>0</v>
      </c>
      <c r="DC498" s="408"/>
      <c r="DD498" s="408"/>
      <c r="DE498" s="408">
        <v>0</v>
      </c>
      <c r="DF498" s="408">
        <v>1.7553476281293001</v>
      </c>
      <c r="DG498" s="408">
        <v>23.778330218958615</v>
      </c>
      <c r="DH498" s="408">
        <v>0</v>
      </c>
      <c r="DI498" s="408">
        <v>-76.060527939436042</v>
      </c>
      <c r="DJ498" s="408"/>
      <c r="DK498" s="408">
        <v>0</v>
      </c>
      <c r="DL498" s="408">
        <v>0</v>
      </c>
      <c r="DM498" s="408"/>
      <c r="DN498" s="408">
        <v>0</v>
      </c>
      <c r="DO498" s="408">
        <v>-11.927265919233406</v>
      </c>
      <c r="DP498" s="408">
        <v>-1.9716173798205112</v>
      </c>
      <c r="DQ498" s="408">
        <v>0</v>
      </c>
      <c r="DR498" s="408">
        <v>0</v>
      </c>
      <c r="DS498" s="408"/>
      <c r="DT498" s="408"/>
      <c r="DU498" s="408"/>
      <c r="DV498" s="408">
        <v>54982.879923235159</v>
      </c>
      <c r="DW498" s="408">
        <v>0</v>
      </c>
      <c r="DX498" s="408">
        <v>0</v>
      </c>
      <c r="DY498" s="408">
        <v>-37061.521099999998</v>
      </c>
      <c r="DZ498" s="408"/>
      <c r="EA498" s="408">
        <v>0</v>
      </c>
      <c r="EB498" s="408"/>
      <c r="EC498" s="408">
        <v>-36930.607645961296</v>
      </c>
      <c r="ED498" s="408"/>
      <c r="EE498" s="408">
        <v>0</v>
      </c>
      <c r="EF498" s="408">
        <v>0</v>
      </c>
      <c r="EG498" s="408"/>
      <c r="EH498" s="408">
        <v>0</v>
      </c>
      <c r="EI498" s="408">
        <v>0</v>
      </c>
      <c r="EJ498" s="408">
        <v>0</v>
      </c>
      <c r="EK498" s="408">
        <v>0</v>
      </c>
      <c r="EL498" s="408">
        <v>0</v>
      </c>
      <c r="EM498" s="408"/>
      <c r="EN498" s="408"/>
      <c r="EO498" s="408">
        <v>0</v>
      </c>
      <c r="EP498" s="408">
        <v>0</v>
      </c>
      <c r="EQ498" s="408"/>
      <c r="ER498" s="408">
        <v>0</v>
      </c>
      <c r="ES498" s="408"/>
      <c r="ET498" s="408">
        <v>0</v>
      </c>
      <c r="EU498" s="408"/>
      <c r="EV498" s="408">
        <v>257</v>
      </c>
      <c r="EW498" s="408"/>
      <c r="EX498" s="408"/>
      <c r="EY498" s="408"/>
      <c r="EZ498" s="408"/>
      <c r="FA498" s="408">
        <v>0</v>
      </c>
      <c r="FB498" s="408"/>
      <c r="FC498" s="408"/>
      <c r="FD498" s="408"/>
      <c r="FE498" s="408"/>
      <c r="FF498" s="408">
        <v>0</v>
      </c>
      <c r="FG498" s="408">
        <v>0</v>
      </c>
      <c r="FH498" s="408">
        <v>0</v>
      </c>
      <c r="FI498" s="408">
        <v>0</v>
      </c>
    </row>
    <row r="499" spans="1:165">
      <c r="A499" s="408">
        <v>497</v>
      </c>
      <c r="B499" s="408" t="s">
        <v>1035</v>
      </c>
      <c r="C499" s="408" t="s">
        <v>2241</v>
      </c>
      <c r="D499" s="408" t="s">
        <v>596</v>
      </c>
      <c r="E499" s="408" t="s">
        <v>969</v>
      </c>
      <c r="F499" s="408" t="s">
        <v>1321</v>
      </c>
      <c r="G499" s="408" t="s">
        <v>2314</v>
      </c>
      <c r="H499" s="408" t="s">
        <v>1321</v>
      </c>
      <c r="I499" s="408" t="s">
        <v>2242</v>
      </c>
      <c r="J499" s="408" t="s">
        <v>2315</v>
      </c>
      <c r="K499" s="828">
        <v>44621</v>
      </c>
      <c r="L499" s="408">
        <v>0</v>
      </c>
      <c r="M499" s="408">
        <v>0</v>
      </c>
      <c r="N499" s="408">
        <v>294.07299999999998</v>
      </c>
      <c r="O499" s="408">
        <v>147.03649999999999</v>
      </c>
      <c r="P499" s="408">
        <v>0</v>
      </c>
      <c r="Q499" s="408">
        <v>0</v>
      </c>
      <c r="R499" s="408"/>
      <c r="S499" s="408">
        <v>82.26</v>
      </c>
      <c r="T499" s="408"/>
      <c r="U499" s="408"/>
      <c r="V499" s="408">
        <v>24190.44498</v>
      </c>
      <c r="W499" s="408">
        <v>24190.44498</v>
      </c>
      <c r="X499" s="408">
        <v>23361.159119999997</v>
      </c>
      <c r="Y499" s="408">
        <v>0</v>
      </c>
      <c r="Z499" s="408">
        <v>15727.898264986969</v>
      </c>
      <c r="AA499" s="408">
        <v>0</v>
      </c>
      <c r="AB499" s="408">
        <v>0</v>
      </c>
      <c r="AC499" s="408">
        <v>0</v>
      </c>
      <c r="AD499" s="408">
        <v>0</v>
      </c>
      <c r="AE499" s="408">
        <v>0</v>
      </c>
      <c r="AF499" s="408"/>
      <c r="AG499" s="408"/>
      <c r="AH499" s="408"/>
      <c r="AI499" s="408">
        <v>0</v>
      </c>
      <c r="AJ499" s="408">
        <v>0</v>
      </c>
      <c r="AK499" s="408">
        <v>0</v>
      </c>
      <c r="AL499" s="408">
        <v>2794.9473553482194</v>
      </c>
      <c r="AM499" s="408"/>
      <c r="AN499" s="408">
        <v>396.72064949015203</v>
      </c>
      <c r="AO499" s="408">
        <v>0</v>
      </c>
      <c r="AP499" s="408">
        <v>0</v>
      </c>
      <c r="AQ499" s="408">
        <v>0</v>
      </c>
      <c r="AR499" s="408">
        <v>0</v>
      </c>
      <c r="AS499" s="408"/>
      <c r="AT499" s="408"/>
      <c r="AU499" s="408">
        <v>0</v>
      </c>
      <c r="AV499" s="408">
        <v>0</v>
      </c>
      <c r="AW499" s="408">
        <v>0</v>
      </c>
      <c r="AX499" s="408"/>
      <c r="AY499" s="408"/>
      <c r="AZ499" s="408">
        <v>0</v>
      </c>
      <c r="BA499" s="408"/>
      <c r="BB499" s="408">
        <v>0</v>
      </c>
      <c r="BC499" s="408">
        <v>0</v>
      </c>
      <c r="BD499" s="408">
        <v>362.30535169949059</v>
      </c>
      <c r="BE499" s="408">
        <v>0</v>
      </c>
      <c r="BF499" s="408"/>
      <c r="BG499" s="408">
        <v>4907.8690481314425</v>
      </c>
      <c r="BH499" s="408">
        <v>0</v>
      </c>
      <c r="BI499" s="408">
        <v>0</v>
      </c>
      <c r="BJ499" s="408">
        <v>0</v>
      </c>
      <c r="BK499" s="408">
        <v>0</v>
      </c>
      <c r="BL499" s="408">
        <v>0</v>
      </c>
      <c r="BM499" s="408"/>
      <c r="BN499" s="408">
        <v>11680.579559999998</v>
      </c>
      <c r="BO499" s="408"/>
      <c r="BP499" s="408"/>
      <c r="BQ499" s="408"/>
      <c r="BR499" s="408"/>
      <c r="BS499" s="408"/>
      <c r="BT499" s="408"/>
      <c r="BU499" s="408"/>
      <c r="BV499" s="408">
        <v>5270.174399830933</v>
      </c>
      <c r="BW499" s="408"/>
      <c r="BX499" s="408"/>
      <c r="BY499" s="408"/>
      <c r="BZ499" s="408"/>
      <c r="CA499" s="408"/>
      <c r="CB499" s="408"/>
      <c r="CC499" s="408"/>
      <c r="CD499" s="408"/>
      <c r="CE499" s="408"/>
      <c r="CF499" s="408"/>
      <c r="CG499" s="408"/>
      <c r="CH499" s="408"/>
      <c r="CI499" s="408">
        <v>11680.857599999999</v>
      </c>
      <c r="CJ499" s="408">
        <v>-414.3948900000014</v>
      </c>
      <c r="CK499" s="408"/>
      <c r="CL499" s="408"/>
      <c r="CM499" s="408"/>
      <c r="CN499" s="408"/>
      <c r="CO499" s="408">
        <v>-829.28586000000212</v>
      </c>
      <c r="CP499" s="408">
        <v>0</v>
      </c>
      <c r="CQ499" s="408">
        <v>31</v>
      </c>
      <c r="CR499" s="408">
        <v>-828.41577156142739</v>
      </c>
      <c r="CS499" s="408">
        <v>0</v>
      </c>
      <c r="CT499" s="408">
        <v>0</v>
      </c>
      <c r="CU499" s="408">
        <v>0</v>
      </c>
      <c r="CV499" s="408">
        <v>0</v>
      </c>
      <c r="CW499" s="408"/>
      <c r="CX499" s="408"/>
      <c r="CY499" s="408"/>
      <c r="CZ499" s="408">
        <v>0</v>
      </c>
      <c r="DA499" s="408">
        <v>0</v>
      </c>
      <c r="DB499" s="408">
        <v>0</v>
      </c>
      <c r="DC499" s="408"/>
      <c r="DD499" s="408"/>
      <c r="DE499" s="408">
        <v>0</v>
      </c>
      <c r="DF499" s="408">
        <v>22.571068782110558</v>
      </c>
      <c r="DG499" s="408">
        <v>305.75272857366963</v>
      </c>
      <c r="DH499" s="408">
        <v>0</v>
      </c>
      <c r="DI499" s="408">
        <v>-978.02132193851139</v>
      </c>
      <c r="DJ499" s="408"/>
      <c r="DK499" s="408">
        <v>0</v>
      </c>
      <c r="DL499" s="408">
        <v>0</v>
      </c>
      <c r="DM499" s="408"/>
      <c r="DN499" s="408">
        <v>0</v>
      </c>
      <c r="DO499" s="408">
        <v>-153.36628205801162</v>
      </c>
      <c r="DP499" s="408">
        <v>-25.351964920680246</v>
      </c>
      <c r="DQ499" s="408">
        <v>0</v>
      </c>
      <c r="DR499" s="408">
        <v>0</v>
      </c>
      <c r="DS499" s="408"/>
      <c r="DT499" s="408"/>
      <c r="DU499" s="408"/>
      <c r="DV499" s="408">
        <v>0</v>
      </c>
      <c r="DW499" s="408">
        <v>0</v>
      </c>
      <c r="DX499" s="408">
        <v>0</v>
      </c>
      <c r="DY499" s="408">
        <v>-829.28586000000359</v>
      </c>
      <c r="DZ499" s="408"/>
      <c r="EA499" s="408">
        <v>0</v>
      </c>
      <c r="EB499" s="408"/>
      <c r="EC499" s="408">
        <v>0</v>
      </c>
      <c r="ED499" s="408"/>
      <c r="EE499" s="408">
        <v>0</v>
      </c>
      <c r="EF499" s="408">
        <v>0</v>
      </c>
      <c r="EG499" s="408"/>
      <c r="EH499" s="408">
        <v>0</v>
      </c>
      <c r="EI499" s="408">
        <v>0</v>
      </c>
      <c r="EJ499" s="408">
        <v>0</v>
      </c>
      <c r="EK499" s="408">
        <v>0</v>
      </c>
      <c r="EL499" s="408">
        <v>0</v>
      </c>
      <c r="EM499" s="408"/>
      <c r="EN499" s="408"/>
      <c r="EO499" s="408">
        <v>0</v>
      </c>
      <c r="EP499" s="408">
        <v>0</v>
      </c>
      <c r="EQ499" s="408"/>
      <c r="ER499" s="408">
        <v>0</v>
      </c>
      <c r="ES499" s="408"/>
      <c r="ET499" s="408">
        <v>0</v>
      </c>
      <c r="EU499" s="408"/>
      <c r="EV499" s="408">
        <v>257</v>
      </c>
      <c r="EW499" s="408"/>
      <c r="EX499" s="408"/>
      <c r="EY499" s="408"/>
      <c r="EZ499" s="408"/>
      <c r="FA499" s="408">
        <v>0</v>
      </c>
      <c r="FB499" s="408"/>
      <c r="FC499" s="408"/>
      <c r="FD499" s="408"/>
      <c r="FE499" s="408"/>
      <c r="FF499" s="408">
        <v>0</v>
      </c>
      <c r="FG499" s="408">
        <v>0</v>
      </c>
      <c r="FH499" s="408">
        <v>0</v>
      </c>
      <c r="FI499" s="408">
        <v>0</v>
      </c>
    </row>
    <row r="500" spans="1:165">
      <c r="A500" s="408">
        <v>498</v>
      </c>
      <c r="B500" s="408" t="s">
        <v>1035</v>
      </c>
      <c r="C500" s="408" t="s">
        <v>2241</v>
      </c>
      <c r="D500" s="408" t="s">
        <v>596</v>
      </c>
      <c r="E500" s="408" t="s">
        <v>969</v>
      </c>
      <c r="F500" s="408" t="s">
        <v>1321</v>
      </c>
      <c r="G500" s="408" t="s">
        <v>2314</v>
      </c>
      <c r="H500" s="408" t="s">
        <v>1321</v>
      </c>
      <c r="I500" s="408" t="s">
        <v>1321</v>
      </c>
      <c r="J500" s="408" t="s">
        <v>2315</v>
      </c>
      <c r="K500" s="828">
        <v>44621</v>
      </c>
      <c r="L500" s="408">
        <v>1192</v>
      </c>
      <c r="M500" s="408">
        <v>596</v>
      </c>
      <c r="N500" s="408">
        <v>0</v>
      </c>
      <c r="O500" s="408">
        <v>0</v>
      </c>
      <c r="P500" s="408">
        <v>0</v>
      </c>
      <c r="Q500" s="408">
        <v>0</v>
      </c>
      <c r="R500" s="408">
        <v>47.39</v>
      </c>
      <c r="S500" s="408"/>
      <c r="T500" s="408"/>
      <c r="U500" s="408">
        <v>56488.88</v>
      </c>
      <c r="V500" s="408"/>
      <c r="W500" s="408">
        <v>56488.88</v>
      </c>
      <c r="X500" s="408">
        <v>38406.239999999998</v>
      </c>
      <c r="Y500" s="408">
        <v>0</v>
      </c>
      <c r="Z500" s="408">
        <v>0</v>
      </c>
      <c r="AA500" s="408">
        <v>0</v>
      </c>
      <c r="AB500" s="408">
        <v>0</v>
      </c>
      <c r="AC500" s="408">
        <v>0</v>
      </c>
      <c r="AD500" s="408">
        <v>29764.359413923114</v>
      </c>
      <c r="AE500" s="408">
        <v>26724.481756909561</v>
      </c>
      <c r="AF500" s="408"/>
      <c r="AG500" s="408"/>
      <c r="AH500" s="408"/>
      <c r="AI500" s="408">
        <v>0</v>
      </c>
      <c r="AJ500" s="408">
        <v>0</v>
      </c>
      <c r="AK500" s="408">
        <v>0</v>
      </c>
      <c r="AL500" s="408">
        <v>0</v>
      </c>
      <c r="AM500" s="408"/>
      <c r="AN500" s="408">
        <v>0</v>
      </c>
      <c r="AO500" s="408">
        <v>0</v>
      </c>
      <c r="AP500" s="408">
        <v>0</v>
      </c>
      <c r="AQ500" s="408">
        <v>0</v>
      </c>
      <c r="AR500" s="408">
        <v>0</v>
      </c>
      <c r="AS500" s="408"/>
      <c r="AT500" s="408"/>
      <c r="AU500" s="408">
        <v>0</v>
      </c>
      <c r="AV500" s="408">
        <v>0</v>
      </c>
      <c r="AW500" s="408">
        <v>0</v>
      </c>
      <c r="AX500" s="408"/>
      <c r="AY500" s="408"/>
      <c r="AZ500" s="408">
        <v>0</v>
      </c>
      <c r="BA500" s="408"/>
      <c r="BB500" s="408">
        <v>0</v>
      </c>
      <c r="BC500" s="408">
        <v>0</v>
      </c>
      <c r="BD500" s="408">
        <v>0</v>
      </c>
      <c r="BE500" s="408">
        <v>0</v>
      </c>
      <c r="BF500" s="408"/>
      <c r="BG500" s="408">
        <v>0</v>
      </c>
      <c r="BH500" s="408">
        <v>0</v>
      </c>
      <c r="BI500" s="408">
        <v>0</v>
      </c>
      <c r="BJ500" s="408">
        <v>0</v>
      </c>
      <c r="BK500" s="408">
        <v>12718.73</v>
      </c>
      <c r="BL500" s="408">
        <v>3</v>
      </c>
      <c r="BM500" s="408"/>
      <c r="BN500" s="408">
        <v>19203.12</v>
      </c>
      <c r="BO500" s="408"/>
      <c r="BP500" s="408"/>
      <c r="BQ500" s="408"/>
      <c r="BR500" s="408"/>
      <c r="BS500" s="408"/>
      <c r="BT500" s="408"/>
      <c r="BU500" s="408"/>
      <c r="BV500" s="408">
        <v>0</v>
      </c>
      <c r="BW500" s="408"/>
      <c r="BX500" s="408"/>
      <c r="BY500" s="408"/>
      <c r="BZ500" s="408"/>
      <c r="CA500" s="408"/>
      <c r="CB500" s="408"/>
      <c r="CC500" s="408"/>
      <c r="CD500" s="408"/>
      <c r="CE500" s="408"/>
      <c r="CF500" s="408"/>
      <c r="CG500" s="408"/>
      <c r="CH500" s="408"/>
      <c r="CI500" s="408">
        <v>19203.12</v>
      </c>
      <c r="CJ500" s="408">
        <v>-9041.3499999999949</v>
      </c>
      <c r="CK500" s="408"/>
      <c r="CL500" s="408"/>
      <c r="CM500" s="408"/>
      <c r="CN500" s="408"/>
      <c r="CO500" s="408">
        <v>-18082.640000000003</v>
      </c>
      <c r="CP500" s="408">
        <v>0</v>
      </c>
      <c r="CQ500" s="408">
        <v>31</v>
      </c>
      <c r="CR500" s="408">
        <v>-134.53677658802189</v>
      </c>
      <c r="CS500" s="408">
        <v>0</v>
      </c>
      <c r="CT500" s="408">
        <v>0</v>
      </c>
      <c r="CU500" s="408">
        <v>0</v>
      </c>
      <c r="CV500" s="408">
        <v>0</v>
      </c>
      <c r="CW500" s="408"/>
      <c r="CX500" s="408"/>
      <c r="CY500" s="408"/>
      <c r="CZ500" s="408">
        <v>-134.53677658802189</v>
      </c>
      <c r="DA500" s="408">
        <v>0</v>
      </c>
      <c r="DB500" s="408">
        <v>0</v>
      </c>
      <c r="DC500" s="408"/>
      <c r="DD500" s="408"/>
      <c r="DE500" s="408">
        <v>0</v>
      </c>
      <c r="DF500" s="408">
        <v>0</v>
      </c>
      <c r="DG500" s="408">
        <v>0</v>
      </c>
      <c r="DH500" s="408">
        <v>0</v>
      </c>
      <c r="DI500" s="408">
        <v>0</v>
      </c>
      <c r="DJ500" s="408"/>
      <c r="DK500" s="408">
        <v>0</v>
      </c>
      <c r="DL500" s="408">
        <v>0</v>
      </c>
      <c r="DM500" s="408"/>
      <c r="DN500" s="408">
        <v>0</v>
      </c>
      <c r="DO500" s="408">
        <v>0</v>
      </c>
      <c r="DP500" s="408">
        <v>0</v>
      </c>
      <c r="DQ500" s="408">
        <v>0</v>
      </c>
      <c r="DR500" s="408">
        <v>0</v>
      </c>
      <c r="DS500" s="408"/>
      <c r="DT500" s="408"/>
      <c r="DU500" s="408">
        <v>26724.481756909561</v>
      </c>
      <c r="DV500" s="408"/>
      <c r="DW500" s="408">
        <v>0</v>
      </c>
      <c r="DX500" s="408">
        <v>0</v>
      </c>
      <c r="DY500" s="408">
        <v>-18082.64</v>
      </c>
      <c r="DZ500" s="408"/>
      <c r="EA500" s="408">
        <v>0</v>
      </c>
      <c r="EB500" s="408"/>
      <c r="EC500" s="408">
        <v>-17950.157425075206</v>
      </c>
      <c r="ED500" s="408"/>
      <c r="EE500" s="408">
        <v>0</v>
      </c>
      <c r="EF500" s="408">
        <v>0</v>
      </c>
      <c r="EG500" s="408"/>
      <c r="EH500" s="408">
        <v>0</v>
      </c>
      <c r="EI500" s="408">
        <v>0</v>
      </c>
      <c r="EJ500" s="408">
        <v>0</v>
      </c>
      <c r="EK500" s="408">
        <v>0</v>
      </c>
      <c r="EL500" s="408">
        <v>0</v>
      </c>
      <c r="EM500" s="408"/>
      <c r="EN500" s="408"/>
      <c r="EO500" s="408">
        <v>0</v>
      </c>
      <c r="EP500" s="408">
        <v>0</v>
      </c>
      <c r="EQ500" s="408"/>
      <c r="ER500" s="408">
        <v>0</v>
      </c>
      <c r="ES500" s="408"/>
      <c r="ET500" s="408">
        <v>0</v>
      </c>
      <c r="EU500" s="408"/>
      <c r="EV500" s="408">
        <v>257</v>
      </c>
      <c r="EW500" s="408"/>
      <c r="EX500" s="408"/>
      <c r="EY500" s="408"/>
      <c r="EZ500" s="408"/>
      <c r="FA500" s="408">
        <v>0</v>
      </c>
      <c r="FB500" s="408"/>
      <c r="FC500" s="408"/>
      <c r="FD500" s="408"/>
      <c r="FE500" s="408"/>
      <c r="FF500" s="408">
        <v>0</v>
      </c>
      <c r="FG500" s="408">
        <v>0</v>
      </c>
      <c r="FH500" s="408">
        <v>0</v>
      </c>
      <c r="FI500" s="408">
        <v>0</v>
      </c>
    </row>
    <row r="501" spans="1:165">
      <c r="A501" s="408">
        <v>499</v>
      </c>
      <c r="B501" s="408" t="s">
        <v>1035</v>
      </c>
      <c r="C501" s="408" t="s">
        <v>992</v>
      </c>
      <c r="D501" s="408" t="s">
        <v>596</v>
      </c>
      <c r="E501" s="408" t="s">
        <v>1321</v>
      </c>
      <c r="F501" s="408" t="s">
        <v>1321</v>
      </c>
      <c r="G501" s="408" t="s">
        <v>1321</v>
      </c>
      <c r="H501" s="408" t="s">
        <v>2316</v>
      </c>
      <c r="I501" s="408" t="s">
        <v>1321</v>
      </c>
      <c r="J501" s="408" t="s">
        <v>2250</v>
      </c>
      <c r="K501" s="828">
        <v>44621</v>
      </c>
      <c r="L501" s="408">
        <v>1000</v>
      </c>
      <c r="M501" s="408">
        <v>500</v>
      </c>
      <c r="N501" s="408">
        <v>0</v>
      </c>
      <c r="O501" s="408">
        <v>0</v>
      </c>
      <c r="P501" s="408">
        <v>0</v>
      </c>
      <c r="Q501" s="408">
        <v>0</v>
      </c>
      <c r="R501" s="408">
        <v>15.78</v>
      </c>
      <c r="S501" s="408"/>
      <c r="T501" s="408"/>
      <c r="U501" s="408">
        <v>15780</v>
      </c>
      <c r="V501" s="408"/>
      <c r="W501" s="408">
        <v>15780</v>
      </c>
      <c r="X501" s="408">
        <v>5200</v>
      </c>
      <c r="Y501" s="408">
        <v>0</v>
      </c>
      <c r="Z501" s="408">
        <v>0</v>
      </c>
      <c r="AA501" s="408">
        <v>0</v>
      </c>
      <c r="AB501" s="408">
        <v>0</v>
      </c>
      <c r="AC501" s="408">
        <v>0</v>
      </c>
      <c r="AD501" s="408">
        <v>0</v>
      </c>
      <c r="AE501" s="408">
        <v>15739.433553196899</v>
      </c>
      <c r="AF501" s="408"/>
      <c r="AG501" s="408"/>
      <c r="AH501" s="408"/>
      <c r="AI501" s="408">
        <v>0</v>
      </c>
      <c r="AJ501" s="408">
        <v>0</v>
      </c>
      <c r="AK501" s="408">
        <v>0</v>
      </c>
      <c r="AL501" s="408">
        <v>0</v>
      </c>
      <c r="AM501" s="408"/>
      <c r="AN501" s="408">
        <v>38.248486219299501</v>
      </c>
      <c r="AO501" s="408">
        <v>0</v>
      </c>
      <c r="AP501" s="408">
        <v>0</v>
      </c>
      <c r="AQ501" s="408">
        <v>0</v>
      </c>
      <c r="AR501" s="408">
        <v>0</v>
      </c>
      <c r="AS501" s="408"/>
      <c r="AT501" s="408"/>
      <c r="AU501" s="408">
        <v>0</v>
      </c>
      <c r="AV501" s="408">
        <v>0</v>
      </c>
      <c r="AW501" s="408">
        <v>0</v>
      </c>
      <c r="AX501" s="408"/>
      <c r="AY501" s="408"/>
      <c r="AZ501" s="408">
        <v>0</v>
      </c>
      <c r="BA501" s="408"/>
      <c r="BB501" s="408">
        <v>0</v>
      </c>
      <c r="BC501" s="408">
        <v>0</v>
      </c>
      <c r="BD501" s="408">
        <v>0</v>
      </c>
      <c r="BE501" s="408">
        <v>0</v>
      </c>
      <c r="BF501" s="408"/>
      <c r="BG501" s="408">
        <v>0</v>
      </c>
      <c r="BH501" s="408">
        <v>0</v>
      </c>
      <c r="BI501" s="408">
        <v>0</v>
      </c>
      <c r="BJ501" s="408">
        <v>0</v>
      </c>
      <c r="BK501" s="408">
        <v>532.53</v>
      </c>
      <c r="BL501" s="408">
        <v>0</v>
      </c>
      <c r="BM501" s="408"/>
      <c r="BN501" s="408"/>
      <c r="BO501" s="408">
        <v>2600</v>
      </c>
      <c r="BP501" s="408"/>
      <c r="BQ501" s="408"/>
      <c r="BR501" s="408"/>
      <c r="BS501" s="408"/>
      <c r="BT501" s="408"/>
      <c r="BU501" s="408"/>
      <c r="BV501" s="408">
        <v>0</v>
      </c>
      <c r="BW501" s="408"/>
      <c r="BX501" s="408"/>
      <c r="BY501" s="408"/>
      <c r="BZ501" s="408"/>
      <c r="CA501" s="408"/>
      <c r="CB501" s="408"/>
      <c r="CC501" s="408"/>
      <c r="CD501" s="408"/>
      <c r="CE501" s="408"/>
      <c r="CF501" s="408"/>
      <c r="CG501" s="408"/>
      <c r="CH501" s="408"/>
      <c r="CI501" s="408">
        <v>2600</v>
      </c>
      <c r="CJ501" s="408">
        <v>-5290.0300000000007</v>
      </c>
      <c r="CK501" s="408"/>
      <c r="CL501" s="408"/>
      <c r="CM501" s="408"/>
      <c r="CN501" s="408"/>
      <c r="CO501" s="408">
        <v>-10579.999999999998</v>
      </c>
      <c r="CP501" s="408">
        <v>0</v>
      </c>
      <c r="CQ501" s="408">
        <v>31</v>
      </c>
      <c r="CR501" s="408">
        <v>-2.4442243733642997</v>
      </c>
      <c r="CS501" s="408">
        <v>0</v>
      </c>
      <c r="CT501" s="408">
        <v>0</v>
      </c>
      <c r="CU501" s="408">
        <v>0</v>
      </c>
      <c r="CV501" s="408">
        <v>0</v>
      </c>
      <c r="CW501" s="408"/>
      <c r="CX501" s="408"/>
      <c r="CY501" s="408"/>
      <c r="CZ501" s="408">
        <v>0</v>
      </c>
      <c r="DA501" s="408">
        <v>0</v>
      </c>
      <c r="DB501" s="408">
        <v>0</v>
      </c>
      <c r="DC501" s="408"/>
      <c r="DD501" s="408"/>
      <c r="DE501" s="408">
        <v>0</v>
      </c>
      <c r="DF501" s="408">
        <v>0</v>
      </c>
      <c r="DG501" s="408">
        <v>0</v>
      </c>
      <c r="DH501" s="408">
        <v>0</v>
      </c>
      <c r="DI501" s="408">
        <v>0</v>
      </c>
      <c r="DJ501" s="408"/>
      <c r="DK501" s="408">
        <v>0</v>
      </c>
      <c r="DL501" s="408">
        <v>0</v>
      </c>
      <c r="DM501" s="408"/>
      <c r="DN501" s="408">
        <v>0</v>
      </c>
      <c r="DO501" s="408">
        <v>0</v>
      </c>
      <c r="DP501" s="408">
        <v>-2.4442243733642997</v>
      </c>
      <c r="DQ501" s="408">
        <v>0</v>
      </c>
      <c r="DR501" s="408">
        <v>0</v>
      </c>
      <c r="DS501" s="408"/>
      <c r="DT501" s="408"/>
      <c r="DU501" s="408">
        <v>15739.433553196899</v>
      </c>
      <c r="DV501" s="408"/>
      <c r="DW501" s="408">
        <v>0</v>
      </c>
      <c r="DX501" s="408">
        <v>0</v>
      </c>
      <c r="DY501" s="408">
        <v>-10580</v>
      </c>
      <c r="DZ501" s="408"/>
      <c r="EA501" s="408">
        <v>0</v>
      </c>
      <c r="EB501" s="408"/>
      <c r="EC501" s="408">
        <v>-10571.778814320649</v>
      </c>
      <c r="ED501" s="408"/>
      <c r="EE501" s="408">
        <v>0</v>
      </c>
      <c r="EF501" s="408">
        <v>0</v>
      </c>
      <c r="EG501" s="408"/>
      <c r="EH501" s="408">
        <v>0</v>
      </c>
      <c r="EI501" s="408">
        <v>0</v>
      </c>
      <c r="EJ501" s="408">
        <v>0</v>
      </c>
      <c r="EK501" s="408">
        <v>0</v>
      </c>
      <c r="EL501" s="408">
        <v>0</v>
      </c>
      <c r="EM501" s="408"/>
      <c r="EN501" s="408"/>
      <c r="EO501" s="408">
        <v>0</v>
      </c>
      <c r="EP501" s="408">
        <v>0</v>
      </c>
      <c r="EQ501" s="408"/>
      <c r="ER501" s="408">
        <v>0</v>
      </c>
      <c r="ES501" s="408"/>
      <c r="ET501" s="408">
        <v>0</v>
      </c>
      <c r="EU501" s="408"/>
      <c r="EV501" s="408">
        <v>257</v>
      </c>
      <c r="EW501" s="408"/>
      <c r="EX501" s="408"/>
      <c r="EY501" s="408"/>
      <c r="EZ501" s="408"/>
      <c r="FA501" s="408">
        <v>0</v>
      </c>
      <c r="FB501" s="408"/>
      <c r="FC501" s="408"/>
      <c r="FD501" s="408"/>
      <c r="FE501" s="408"/>
      <c r="FF501" s="408">
        <v>0</v>
      </c>
      <c r="FG501" s="408">
        <v>0</v>
      </c>
      <c r="FH501" s="408">
        <v>0</v>
      </c>
      <c r="FI501" s="408">
        <v>0</v>
      </c>
    </row>
    <row r="502" spans="1:165">
      <c r="A502" s="408">
        <v>500</v>
      </c>
      <c r="B502" s="408" t="s">
        <v>1035</v>
      </c>
      <c r="C502" s="408" t="s">
        <v>992</v>
      </c>
      <c r="D502" s="408" t="s">
        <v>596</v>
      </c>
      <c r="E502" s="408" t="s">
        <v>1321</v>
      </c>
      <c r="F502" s="408" t="s">
        <v>1321</v>
      </c>
      <c r="G502" s="408" t="s">
        <v>1321</v>
      </c>
      <c r="H502" s="408" t="s">
        <v>2317</v>
      </c>
      <c r="I502" s="408" t="s">
        <v>1321</v>
      </c>
      <c r="J502" s="408" t="s">
        <v>2250</v>
      </c>
      <c r="K502" s="828">
        <v>44621</v>
      </c>
      <c r="L502" s="408">
        <v>790</v>
      </c>
      <c r="M502" s="408">
        <v>395</v>
      </c>
      <c r="N502" s="408">
        <v>0</v>
      </c>
      <c r="O502" s="408">
        <v>0</v>
      </c>
      <c r="P502" s="408">
        <v>0</v>
      </c>
      <c r="Q502" s="408">
        <v>0</v>
      </c>
      <c r="R502" s="408">
        <v>15.78</v>
      </c>
      <c r="S502" s="408"/>
      <c r="T502" s="408"/>
      <c r="U502" s="408">
        <v>12466.199999999999</v>
      </c>
      <c r="V502" s="408"/>
      <c r="W502" s="408">
        <v>12466.199999999999</v>
      </c>
      <c r="X502" s="408">
        <v>4108</v>
      </c>
      <c r="Y502" s="408">
        <v>0</v>
      </c>
      <c r="Z502" s="408">
        <v>0</v>
      </c>
      <c r="AA502" s="408">
        <v>0</v>
      </c>
      <c r="AB502" s="408">
        <v>0</v>
      </c>
      <c r="AC502" s="408">
        <v>0</v>
      </c>
      <c r="AD502" s="408">
        <v>0</v>
      </c>
      <c r="AE502" s="408">
        <v>12434.15250702555</v>
      </c>
      <c r="AF502" s="408"/>
      <c r="AG502" s="408"/>
      <c r="AH502" s="408"/>
      <c r="AI502" s="408">
        <v>0</v>
      </c>
      <c r="AJ502" s="408">
        <v>0</v>
      </c>
      <c r="AK502" s="408">
        <v>0</v>
      </c>
      <c r="AL502" s="408">
        <v>0</v>
      </c>
      <c r="AM502" s="408"/>
      <c r="AN502" s="408">
        <v>30.216304113246604</v>
      </c>
      <c r="AO502" s="408">
        <v>0</v>
      </c>
      <c r="AP502" s="408">
        <v>0</v>
      </c>
      <c r="AQ502" s="408">
        <v>0</v>
      </c>
      <c r="AR502" s="408">
        <v>0</v>
      </c>
      <c r="AS502" s="408"/>
      <c r="AT502" s="408"/>
      <c r="AU502" s="408">
        <v>0</v>
      </c>
      <c r="AV502" s="408">
        <v>0</v>
      </c>
      <c r="AW502" s="408">
        <v>0</v>
      </c>
      <c r="AX502" s="408"/>
      <c r="AY502" s="408"/>
      <c r="AZ502" s="408">
        <v>0</v>
      </c>
      <c r="BA502" s="408"/>
      <c r="BB502" s="408">
        <v>0</v>
      </c>
      <c r="BC502" s="408">
        <v>0</v>
      </c>
      <c r="BD502" s="408">
        <v>0</v>
      </c>
      <c r="BE502" s="408">
        <v>0</v>
      </c>
      <c r="BF502" s="408"/>
      <c r="BG502" s="408">
        <v>0</v>
      </c>
      <c r="BH502" s="408">
        <v>0</v>
      </c>
      <c r="BI502" s="408">
        <v>0</v>
      </c>
      <c r="BJ502" s="408">
        <v>0</v>
      </c>
      <c r="BK502" s="408">
        <v>420.69</v>
      </c>
      <c r="BL502" s="408">
        <v>0</v>
      </c>
      <c r="BM502" s="408"/>
      <c r="BN502" s="408"/>
      <c r="BO502" s="408">
        <v>2054</v>
      </c>
      <c r="BP502" s="408"/>
      <c r="BQ502" s="408"/>
      <c r="BR502" s="408"/>
      <c r="BS502" s="408"/>
      <c r="BT502" s="408"/>
      <c r="BU502" s="408"/>
      <c r="BV502" s="408">
        <v>0</v>
      </c>
      <c r="BW502" s="408"/>
      <c r="BX502" s="408"/>
      <c r="BY502" s="408"/>
      <c r="BZ502" s="408"/>
      <c r="CA502" s="408"/>
      <c r="CB502" s="408"/>
      <c r="CC502" s="408"/>
      <c r="CD502" s="408"/>
      <c r="CE502" s="408"/>
      <c r="CF502" s="408"/>
      <c r="CG502" s="408"/>
      <c r="CH502" s="408"/>
      <c r="CI502" s="408">
        <v>2054</v>
      </c>
      <c r="CJ502" s="408">
        <v>-4179.13</v>
      </c>
      <c r="CK502" s="408"/>
      <c r="CL502" s="408"/>
      <c r="CM502" s="408"/>
      <c r="CN502" s="408"/>
      <c r="CO502" s="408">
        <v>-8358.1999999999989</v>
      </c>
      <c r="CP502" s="408">
        <v>0</v>
      </c>
      <c r="CQ502" s="408">
        <v>31</v>
      </c>
      <c r="CR502" s="408">
        <v>-1.9309372549577972</v>
      </c>
      <c r="CS502" s="408">
        <v>0</v>
      </c>
      <c r="CT502" s="408">
        <v>0</v>
      </c>
      <c r="CU502" s="408">
        <v>0</v>
      </c>
      <c r="CV502" s="408">
        <v>0</v>
      </c>
      <c r="CW502" s="408"/>
      <c r="CX502" s="408"/>
      <c r="CY502" s="408"/>
      <c r="CZ502" s="408">
        <v>0</v>
      </c>
      <c r="DA502" s="408">
        <v>0</v>
      </c>
      <c r="DB502" s="408">
        <v>0</v>
      </c>
      <c r="DC502" s="408"/>
      <c r="DD502" s="408"/>
      <c r="DE502" s="408">
        <v>0</v>
      </c>
      <c r="DF502" s="408">
        <v>0</v>
      </c>
      <c r="DG502" s="408">
        <v>0</v>
      </c>
      <c r="DH502" s="408">
        <v>0</v>
      </c>
      <c r="DI502" s="408">
        <v>0</v>
      </c>
      <c r="DJ502" s="408"/>
      <c r="DK502" s="408">
        <v>0</v>
      </c>
      <c r="DL502" s="408">
        <v>0</v>
      </c>
      <c r="DM502" s="408"/>
      <c r="DN502" s="408">
        <v>0</v>
      </c>
      <c r="DO502" s="408">
        <v>0</v>
      </c>
      <c r="DP502" s="408">
        <v>-1.9309372549577972</v>
      </c>
      <c r="DQ502" s="408">
        <v>0</v>
      </c>
      <c r="DR502" s="408">
        <v>0</v>
      </c>
      <c r="DS502" s="408"/>
      <c r="DT502" s="408"/>
      <c r="DU502" s="408">
        <v>12434.15250702555</v>
      </c>
      <c r="DV502" s="408"/>
      <c r="DW502" s="408">
        <v>0</v>
      </c>
      <c r="DX502" s="408">
        <v>0</v>
      </c>
      <c r="DY502" s="408">
        <v>-8358.1999999999989</v>
      </c>
      <c r="DZ502" s="408"/>
      <c r="EA502" s="408">
        <v>0</v>
      </c>
      <c r="EB502" s="408"/>
      <c r="EC502" s="408">
        <v>-8351.7052633133135</v>
      </c>
      <c r="ED502" s="408"/>
      <c r="EE502" s="408">
        <v>0</v>
      </c>
      <c r="EF502" s="408">
        <v>0</v>
      </c>
      <c r="EG502" s="408"/>
      <c r="EH502" s="408">
        <v>0</v>
      </c>
      <c r="EI502" s="408">
        <v>0</v>
      </c>
      <c r="EJ502" s="408">
        <v>0</v>
      </c>
      <c r="EK502" s="408">
        <v>0</v>
      </c>
      <c r="EL502" s="408">
        <v>0</v>
      </c>
      <c r="EM502" s="408"/>
      <c r="EN502" s="408"/>
      <c r="EO502" s="408">
        <v>0</v>
      </c>
      <c r="EP502" s="408">
        <v>0</v>
      </c>
      <c r="EQ502" s="408"/>
      <c r="ER502" s="408">
        <v>0</v>
      </c>
      <c r="ES502" s="408"/>
      <c r="ET502" s="408">
        <v>0</v>
      </c>
      <c r="EU502" s="408"/>
      <c r="EV502" s="408">
        <v>257</v>
      </c>
      <c r="EW502" s="408"/>
      <c r="EX502" s="408"/>
      <c r="EY502" s="408"/>
      <c r="EZ502" s="408"/>
      <c r="FA502" s="408">
        <v>0</v>
      </c>
      <c r="FB502" s="408"/>
      <c r="FC502" s="408"/>
      <c r="FD502" s="408"/>
      <c r="FE502" s="408"/>
      <c r="FF502" s="408">
        <v>0</v>
      </c>
      <c r="FG502" s="408">
        <v>0</v>
      </c>
      <c r="FH502" s="408">
        <v>0</v>
      </c>
      <c r="FI502" s="408">
        <v>0</v>
      </c>
    </row>
    <row r="503" spans="1:165">
      <c r="A503" s="408">
        <v>501</v>
      </c>
      <c r="B503" s="408" t="s">
        <v>1035</v>
      </c>
      <c r="C503" s="408" t="s">
        <v>2241</v>
      </c>
      <c r="D503" s="408" t="s">
        <v>596</v>
      </c>
      <c r="E503" s="408" t="s">
        <v>969</v>
      </c>
      <c r="F503" s="408" t="s">
        <v>1321</v>
      </c>
      <c r="G503" s="408" t="s">
        <v>2314</v>
      </c>
      <c r="H503" s="408" t="s">
        <v>1321</v>
      </c>
      <c r="I503" s="408" t="s">
        <v>972</v>
      </c>
      <c r="J503" s="408" t="s">
        <v>2315</v>
      </c>
      <c r="K503" s="828">
        <v>44652</v>
      </c>
      <c r="L503" s="408">
        <v>0</v>
      </c>
      <c r="M503" s="408">
        <v>0</v>
      </c>
      <c r="N503" s="408">
        <v>20.41</v>
      </c>
      <c r="O503" s="408">
        <v>10.741783</v>
      </c>
      <c r="P503" s="408">
        <v>0</v>
      </c>
      <c r="Q503" s="408">
        <v>0</v>
      </c>
      <c r="R503" s="408"/>
      <c r="S503" s="408">
        <v>3130.62</v>
      </c>
      <c r="T503" s="408"/>
      <c r="U503" s="408"/>
      <c r="V503" s="408">
        <v>63895.9542</v>
      </c>
      <c r="W503" s="408">
        <v>63895.9542</v>
      </c>
      <c r="X503" s="408">
        <v>30820.936899999997</v>
      </c>
      <c r="Y503" s="408">
        <v>0</v>
      </c>
      <c r="Z503" s="408">
        <v>1091.587475179238</v>
      </c>
      <c r="AA503" s="408">
        <v>0</v>
      </c>
      <c r="AB503" s="408">
        <v>0</v>
      </c>
      <c r="AC503" s="408">
        <v>0</v>
      </c>
      <c r="AD503" s="408">
        <v>13148.403806438746</v>
      </c>
      <c r="AE503" s="408">
        <v>49068.674212209422</v>
      </c>
      <c r="AF503" s="408"/>
      <c r="AG503" s="408"/>
      <c r="AH503" s="408"/>
      <c r="AI503" s="408">
        <v>0</v>
      </c>
      <c r="AJ503" s="408">
        <v>0</v>
      </c>
      <c r="AK503" s="408">
        <v>0</v>
      </c>
      <c r="AL503" s="408">
        <v>193.98202324816342</v>
      </c>
      <c r="AM503" s="408"/>
      <c r="AN503" s="408">
        <v>27.534212444168638</v>
      </c>
      <c r="AO503" s="408">
        <v>0</v>
      </c>
      <c r="AP503" s="408">
        <v>0</v>
      </c>
      <c r="AQ503" s="408">
        <v>0</v>
      </c>
      <c r="AR503" s="408">
        <v>0</v>
      </c>
      <c r="AS503" s="408"/>
      <c r="AT503" s="408"/>
      <c r="AU503" s="408">
        <v>0</v>
      </c>
      <c r="AV503" s="408">
        <v>0</v>
      </c>
      <c r="AW503" s="408">
        <v>0</v>
      </c>
      <c r="AX503" s="408"/>
      <c r="AY503" s="408"/>
      <c r="AZ503" s="408">
        <v>0</v>
      </c>
      <c r="BA503" s="408"/>
      <c r="BB503" s="408">
        <v>0</v>
      </c>
      <c r="BC503" s="408">
        <v>0</v>
      </c>
      <c r="BD503" s="408">
        <v>25.14563468317936</v>
      </c>
      <c r="BE503" s="408">
        <v>0</v>
      </c>
      <c r="BF503" s="408"/>
      <c r="BG503" s="408">
        <v>340.62837211292009</v>
      </c>
      <c r="BH503" s="408">
        <v>0</v>
      </c>
      <c r="BI503" s="408">
        <v>0</v>
      </c>
      <c r="BJ503" s="408">
        <v>0</v>
      </c>
      <c r="BK503" s="408">
        <v>0</v>
      </c>
      <c r="BL503" s="408">
        <v>0</v>
      </c>
      <c r="BM503" s="408"/>
      <c r="BN503" s="408">
        <v>14599.87780953</v>
      </c>
      <c r="BO503" s="408"/>
      <c r="BP503" s="408"/>
      <c r="BQ503" s="408"/>
      <c r="BR503" s="408"/>
      <c r="BS503" s="408"/>
      <c r="BT503" s="408"/>
      <c r="BU503" s="408"/>
      <c r="BV503" s="408">
        <v>365.77400679609946</v>
      </c>
      <c r="BW503" s="408"/>
      <c r="BX503" s="408"/>
      <c r="BY503" s="408"/>
      <c r="BZ503" s="408"/>
      <c r="CA503" s="408"/>
      <c r="CB503" s="408"/>
      <c r="CC503" s="408"/>
      <c r="CD503" s="408"/>
      <c r="CE503" s="408"/>
      <c r="CF503" s="408"/>
      <c r="CG503" s="408"/>
      <c r="CH503" s="408"/>
      <c r="CI503" s="408">
        <v>16218.366599999999</v>
      </c>
      <c r="CJ503" s="408">
        <v>-17410.104095460003</v>
      </c>
      <c r="CK503" s="408"/>
      <c r="CL503" s="408"/>
      <c r="CM503" s="408"/>
      <c r="CN503" s="408"/>
      <c r="CO503" s="408">
        <v>-33075.0173</v>
      </c>
      <c r="CP503" s="408">
        <v>0</v>
      </c>
      <c r="CQ503" s="408">
        <v>30</v>
      </c>
      <c r="CR503" s="408">
        <v>-116.92742409333732</v>
      </c>
      <c r="CS503" s="408">
        <v>0</v>
      </c>
      <c r="CT503" s="408">
        <v>0</v>
      </c>
      <c r="CU503" s="408">
        <v>0</v>
      </c>
      <c r="CV503" s="408">
        <v>0</v>
      </c>
      <c r="CW503" s="408"/>
      <c r="CX503" s="408"/>
      <c r="CY503" s="408"/>
      <c r="CZ503" s="408">
        <v>-59.431612177355419</v>
      </c>
      <c r="DA503" s="408">
        <v>0</v>
      </c>
      <c r="DB503" s="408">
        <v>0</v>
      </c>
      <c r="DC503" s="408"/>
      <c r="DD503" s="408"/>
      <c r="DE503" s="408">
        <v>0</v>
      </c>
      <c r="DF503" s="408">
        <v>1.5665345470100149</v>
      </c>
      <c r="DG503" s="408">
        <v>21.220626137688896</v>
      </c>
      <c r="DH503" s="408">
        <v>0</v>
      </c>
      <c r="DI503" s="408">
        <v>-67.879115664358892</v>
      </c>
      <c r="DJ503" s="408"/>
      <c r="DK503" s="408">
        <v>0</v>
      </c>
      <c r="DL503" s="408">
        <v>0</v>
      </c>
      <c r="DM503" s="408"/>
      <c r="DN503" s="408">
        <v>0</v>
      </c>
      <c r="DO503" s="408">
        <v>-10.644315584239337</v>
      </c>
      <c r="DP503" s="408">
        <v>-1.7595413520829304</v>
      </c>
      <c r="DQ503" s="408">
        <v>0</v>
      </c>
      <c r="DR503" s="408">
        <v>0</v>
      </c>
      <c r="DS503" s="408"/>
      <c r="DT503" s="408"/>
      <c r="DU503" s="408"/>
      <c r="DV503" s="408">
        <v>49068.674212209422</v>
      </c>
      <c r="DW503" s="408">
        <v>0</v>
      </c>
      <c r="DX503" s="408">
        <v>0</v>
      </c>
      <c r="DY503" s="408">
        <v>-33075.017300000007</v>
      </c>
      <c r="DZ503" s="408"/>
      <c r="EA503" s="408">
        <v>0</v>
      </c>
      <c r="EB503" s="408"/>
      <c r="EC503" s="408">
        <v>-32958.185485529953</v>
      </c>
      <c r="ED503" s="408"/>
      <c r="EE503" s="408">
        <v>0</v>
      </c>
      <c r="EF503" s="408">
        <v>0</v>
      </c>
      <c r="EG503" s="408"/>
      <c r="EH503" s="408">
        <v>0</v>
      </c>
      <c r="EI503" s="408">
        <v>0</v>
      </c>
      <c r="EJ503" s="408">
        <v>0</v>
      </c>
      <c r="EK503" s="408">
        <v>0</v>
      </c>
      <c r="EL503" s="408">
        <v>0</v>
      </c>
      <c r="EM503" s="408"/>
      <c r="EN503" s="408"/>
      <c r="EO503" s="408">
        <v>0</v>
      </c>
      <c r="EP503" s="408">
        <v>0</v>
      </c>
      <c r="EQ503" s="408"/>
      <c r="ER503" s="408">
        <v>0</v>
      </c>
      <c r="ES503" s="408"/>
      <c r="ET503" s="408">
        <v>0</v>
      </c>
      <c r="EU503" s="408"/>
      <c r="EV503" s="408">
        <v>257</v>
      </c>
      <c r="EW503" s="408"/>
      <c r="EX503" s="408"/>
      <c r="EY503" s="408"/>
      <c r="EZ503" s="408"/>
      <c r="FA503" s="408">
        <v>0</v>
      </c>
      <c r="FB503" s="408"/>
      <c r="FC503" s="408"/>
      <c r="FD503" s="408"/>
      <c r="FE503" s="408"/>
      <c r="FF503" s="408">
        <v>0</v>
      </c>
      <c r="FG503" s="408">
        <v>0</v>
      </c>
      <c r="FH503" s="408">
        <v>0</v>
      </c>
      <c r="FI503" s="408">
        <v>0</v>
      </c>
    </row>
    <row r="504" spans="1:165">
      <c r="A504" s="408">
        <v>502</v>
      </c>
      <c r="B504" s="408" t="s">
        <v>1035</v>
      </c>
      <c r="C504" s="408" t="s">
        <v>2241</v>
      </c>
      <c r="D504" s="408" t="s">
        <v>596</v>
      </c>
      <c r="E504" s="408" t="s">
        <v>969</v>
      </c>
      <c r="F504" s="408" t="s">
        <v>1321</v>
      </c>
      <c r="G504" s="408" t="s">
        <v>2314</v>
      </c>
      <c r="H504" s="408" t="s">
        <v>1321</v>
      </c>
      <c r="I504" s="408" t="s">
        <v>2242</v>
      </c>
      <c r="J504" s="408" t="s">
        <v>2315</v>
      </c>
      <c r="K504" s="828">
        <v>44652</v>
      </c>
      <c r="L504" s="408">
        <v>0</v>
      </c>
      <c r="M504" s="408">
        <v>0</v>
      </c>
      <c r="N504" s="408">
        <v>269.22399999999999</v>
      </c>
      <c r="O504" s="408">
        <v>141.69259120000001</v>
      </c>
      <c r="P504" s="408">
        <v>0</v>
      </c>
      <c r="Q504" s="408">
        <v>0</v>
      </c>
      <c r="R504" s="408"/>
      <c r="S504" s="408">
        <v>82.26</v>
      </c>
      <c r="T504" s="408"/>
      <c r="U504" s="408"/>
      <c r="V504" s="408">
        <v>22146.366239999999</v>
      </c>
      <c r="W504" s="408">
        <v>22146.366239999999</v>
      </c>
      <c r="X504" s="408">
        <v>21387.154559999999</v>
      </c>
      <c r="Y504" s="408">
        <v>0</v>
      </c>
      <c r="Z504" s="408">
        <v>14398.89987347649</v>
      </c>
      <c r="AA504" s="408">
        <v>0</v>
      </c>
      <c r="AB504" s="408">
        <v>0</v>
      </c>
      <c r="AC504" s="408">
        <v>0</v>
      </c>
      <c r="AD504" s="408">
        <v>0</v>
      </c>
      <c r="AE504" s="408">
        <v>0</v>
      </c>
      <c r="AF504" s="408"/>
      <c r="AG504" s="408"/>
      <c r="AH504" s="408"/>
      <c r="AI504" s="408">
        <v>0</v>
      </c>
      <c r="AJ504" s="408">
        <v>0</v>
      </c>
      <c r="AK504" s="408">
        <v>0</v>
      </c>
      <c r="AL504" s="408">
        <v>2558.7759052897377</v>
      </c>
      <c r="AM504" s="408"/>
      <c r="AN504" s="408">
        <v>363.19798192400083</v>
      </c>
      <c r="AO504" s="408">
        <v>0</v>
      </c>
      <c r="AP504" s="408">
        <v>0</v>
      </c>
      <c r="AQ504" s="408">
        <v>0</v>
      </c>
      <c r="AR504" s="408">
        <v>0</v>
      </c>
      <c r="AS504" s="408"/>
      <c r="AT504" s="408"/>
      <c r="AU504" s="408">
        <v>0</v>
      </c>
      <c r="AV504" s="408">
        <v>0</v>
      </c>
      <c r="AW504" s="408">
        <v>0</v>
      </c>
      <c r="AX504" s="408"/>
      <c r="AY504" s="408"/>
      <c r="AZ504" s="408">
        <v>0</v>
      </c>
      <c r="BA504" s="408"/>
      <c r="BB504" s="408">
        <v>0</v>
      </c>
      <c r="BC504" s="408">
        <v>0</v>
      </c>
      <c r="BD504" s="408">
        <v>331.69075707713273</v>
      </c>
      <c r="BE504" s="408">
        <v>0</v>
      </c>
      <c r="BF504" s="408"/>
      <c r="BG504" s="408">
        <v>4493.156925709397</v>
      </c>
      <c r="BH504" s="408">
        <v>0</v>
      </c>
      <c r="BI504" s="408">
        <v>0</v>
      </c>
      <c r="BJ504" s="408">
        <v>0</v>
      </c>
      <c r="BK504" s="408">
        <v>0</v>
      </c>
      <c r="BL504" s="408">
        <v>0</v>
      </c>
      <c r="BM504" s="408"/>
      <c r="BN504" s="408">
        <v>10131.095115071997</v>
      </c>
      <c r="BO504" s="408"/>
      <c r="BP504" s="408"/>
      <c r="BQ504" s="408"/>
      <c r="BR504" s="408"/>
      <c r="BS504" s="408"/>
      <c r="BT504" s="408"/>
      <c r="BU504" s="408"/>
      <c r="BV504" s="408">
        <v>4824.8476827865297</v>
      </c>
      <c r="BW504" s="408"/>
      <c r="BX504" s="408"/>
      <c r="BY504" s="408"/>
      <c r="BZ504" s="408"/>
      <c r="CA504" s="408"/>
      <c r="CB504" s="408"/>
      <c r="CC504" s="408"/>
      <c r="CD504" s="408"/>
      <c r="CE504" s="408"/>
      <c r="CF504" s="408"/>
      <c r="CG504" s="408"/>
      <c r="CH504" s="408"/>
      <c r="CI504" s="408">
        <v>11255.8536</v>
      </c>
      <c r="CJ504" s="408">
        <v>-399.80895211200186</v>
      </c>
      <c r="CK504" s="408"/>
      <c r="CL504" s="408"/>
      <c r="CM504" s="408"/>
      <c r="CN504" s="408"/>
      <c r="CO504" s="408">
        <v>-759.21168000000193</v>
      </c>
      <c r="CP504" s="408">
        <v>0</v>
      </c>
      <c r="CQ504" s="408">
        <v>30</v>
      </c>
      <c r="CR504" s="408">
        <v>-758.4151135359316</v>
      </c>
      <c r="CS504" s="408">
        <v>0</v>
      </c>
      <c r="CT504" s="408">
        <v>0</v>
      </c>
      <c r="CU504" s="408">
        <v>0</v>
      </c>
      <c r="CV504" s="408">
        <v>0</v>
      </c>
      <c r="CW504" s="408"/>
      <c r="CX504" s="408"/>
      <c r="CY504" s="408"/>
      <c r="CZ504" s="408">
        <v>0</v>
      </c>
      <c r="DA504" s="408">
        <v>0</v>
      </c>
      <c r="DB504" s="408">
        <v>0</v>
      </c>
      <c r="DC504" s="408"/>
      <c r="DD504" s="408"/>
      <c r="DE504" s="408">
        <v>0</v>
      </c>
      <c r="DF504" s="408">
        <v>20.663826402950747</v>
      </c>
      <c r="DG504" s="408">
        <v>279.91679820152694</v>
      </c>
      <c r="DH504" s="408">
        <v>0</v>
      </c>
      <c r="DI504" s="408">
        <v>-895.37908062819042</v>
      </c>
      <c r="DJ504" s="408"/>
      <c r="DK504" s="408">
        <v>0</v>
      </c>
      <c r="DL504" s="408">
        <v>0</v>
      </c>
      <c r="DM504" s="408"/>
      <c r="DN504" s="408">
        <v>0</v>
      </c>
      <c r="DO504" s="408">
        <v>-140.40691910099213</v>
      </c>
      <c r="DP504" s="408">
        <v>-23.209738411228557</v>
      </c>
      <c r="DQ504" s="408">
        <v>0</v>
      </c>
      <c r="DR504" s="408">
        <v>0</v>
      </c>
      <c r="DS504" s="408"/>
      <c r="DT504" s="408"/>
      <c r="DU504" s="408"/>
      <c r="DV504" s="408">
        <v>0</v>
      </c>
      <c r="DW504" s="408">
        <v>0</v>
      </c>
      <c r="DX504" s="408">
        <v>0</v>
      </c>
      <c r="DY504" s="408">
        <v>-759.21168000000034</v>
      </c>
      <c r="DZ504" s="408"/>
      <c r="EA504" s="408">
        <v>0</v>
      </c>
      <c r="EB504" s="408"/>
      <c r="EC504" s="408">
        <v>0</v>
      </c>
      <c r="ED504" s="408"/>
      <c r="EE504" s="408">
        <v>0</v>
      </c>
      <c r="EF504" s="408">
        <v>0</v>
      </c>
      <c r="EG504" s="408"/>
      <c r="EH504" s="408">
        <v>0</v>
      </c>
      <c r="EI504" s="408">
        <v>0</v>
      </c>
      <c r="EJ504" s="408">
        <v>0</v>
      </c>
      <c r="EK504" s="408">
        <v>0</v>
      </c>
      <c r="EL504" s="408">
        <v>0</v>
      </c>
      <c r="EM504" s="408"/>
      <c r="EN504" s="408"/>
      <c r="EO504" s="408">
        <v>0</v>
      </c>
      <c r="EP504" s="408">
        <v>0</v>
      </c>
      <c r="EQ504" s="408"/>
      <c r="ER504" s="408">
        <v>0</v>
      </c>
      <c r="ES504" s="408"/>
      <c r="ET504" s="408">
        <v>0</v>
      </c>
      <c r="EU504" s="408"/>
      <c r="EV504" s="408">
        <v>257</v>
      </c>
      <c r="EW504" s="408"/>
      <c r="EX504" s="408"/>
      <c r="EY504" s="408"/>
      <c r="EZ504" s="408"/>
      <c r="FA504" s="408">
        <v>0</v>
      </c>
      <c r="FB504" s="408"/>
      <c r="FC504" s="408"/>
      <c r="FD504" s="408"/>
      <c r="FE504" s="408"/>
      <c r="FF504" s="408">
        <v>0</v>
      </c>
      <c r="FG504" s="408">
        <v>0</v>
      </c>
      <c r="FH504" s="408">
        <v>0</v>
      </c>
      <c r="FI504" s="408">
        <v>0</v>
      </c>
    </row>
    <row r="505" spans="1:165">
      <c r="A505" s="408">
        <v>503</v>
      </c>
      <c r="B505" s="408" t="s">
        <v>1035</v>
      </c>
      <c r="C505" s="408" t="s">
        <v>2241</v>
      </c>
      <c r="D505" s="408" t="s">
        <v>596</v>
      </c>
      <c r="E505" s="408" t="s">
        <v>969</v>
      </c>
      <c r="F505" s="408" t="s">
        <v>1321</v>
      </c>
      <c r="G505" s="408" t="s">
        <v>2314</v>
      </c>
      <c r="H505" s="408" t="s">
        <v>1321</v>
      </c>
      <c r="I505" s="408" t="s">
        <v>1321</v>
      </c>
      <c r="J505" s="408" t="s">
        <v>2315</v>
      </c>
      <c r="K505" s="828">
        <v>44652</v>
      </c>
      <c r="L505" s="408">
        <v>1214</v>
      </c>
      <c r="M505" s="408">
        <v>607</v>
      </c>
      <c r="N505" s="408">
        <v>0</v>
      </c>
      <c r="O505" s="408">
        <v>0</v>
      </c>
      <c r="P505" s="408">
        <v>0</v>
      </c>
      <c r="Q505" s="408">
        <v>0</v>
      </c>
      <c r="R505" s="408">
        <v>47.39</v>
      </c>
      <c r="S505" s="408"/>
      <c r="T505" s="408"/>
      <c r="U505" s="408">
        <v>57531.46</v>
      </c>
      <c r="V505" s="408"/>
      <c r="W505" s="408">
        <v>57531.46</v>
      </c>
      <c r="X505" s="408">
        <v>39115.08</v>
      </c>
      <c r="Y505" s="408">
        <v>0</v>
      </c>
      <c r="Z505" s="408">
        <v>0</v>
      </c>
      <c r="AA505" s="408">
        <v>0</v>
      </c>
      <c r="AB505" s="408">
        <v>0</v>
      </c>
      <c r="AC505" s="408">
        <v>0</v>
      </c>
      <c r="AD505" s="408">
        <v>30313.70161787136</v>
      </c>
      <c r="AE505" s="408">
        <v>27217.718836315613</v>
      </c>
      <c r="AF505" s="408"/>
      <c r="AG505" s="408"/>
      <c r="AH505" s="408"/>
      <c r="AI505" s="408">
        <v>0</v>
      </c>
      <c r="AJ505" s="408">
        <v>0</v>
      </c>
      <c r="AK505" s="408">
        <v>0</v>
      </c>
      <c r="AL505" s="408">
        <v>0</v>
      </c>
      <c r="AM505" s="408"/>
      <c r="AN505" s="408">
        <v>0</v>
      </c>
      <c r="AO505" s="408">
        <v>0</v>
      </c>
      <c r="AP505" s="408">
        <v>0</v>
      </c>
      <c r="AQ505" s="408">
        <v>0</v>
      </c>
      <c r="AR505" s="408">
        <v>0</v>
      </c>
      <c r="AS505" s="408"/>
      <c r="AT505" s="408"/>
      <c r="AU505" s="408">
        <v>0</v>
      </c>
      <c r="AV505" s="408">
        <v>0</v>
      </c>
      <c r="AW505" s="408">
        <v>0</v>
      </c>
      <c r="AX505" s="408"/>
      <c r="AY505" s="408"/>
      <c r="AZ505" s="408">
        <v>0</v>
      </c>
      <c r="BA505" s="408"/>
      <c r="BB505" s="408">
        <v>0</v>
      </c>
      <c r="BC505" s="408">
        <v>0</v>
      </c>
      <c r="BD505" s="408">
        <v>0</v>
      </c>
      <c r="BE505" s="408">
        <v>0</v>
      </c>
      <c r="BF505" s="408"/>
      <c r="BG505" s="408">
        <v>0</v>
      </c>
      <c r="BH505" s="408">
        <v>0</v>
      </c>
      <c r="BI505" s="408">
        <v>876.25</v>
      </c>
      <c r="BJ505" s="408">
        <v>0</v>
      </c>
      <c r="BK505" s="408">
        <v>13086.04</v>
      </c>
      <c r="BL505" s="408">
        <v>3</v>
      </c>
      <c r="BM505" s="408"/>
      <c r="BN505" s="408">
        <v>19557.54</v>
      </c>
      <c r="BO505" s="408"/>
      <c r="BP505" s="408"/>
      <c r="BQ505" s="408"/>
      <c r="BR505" s="408"/>
      <c r="BS505" s="408"/>
      <c r="BT505" s="408"/>
      <c r="BU505" s="408"/>
      <c r="BV505" s="408">
        <v>0</v>
      </c>
      <c r="BW505" s="408"/>
      <c r="BX505" s="408"/>
      <c r="BY505" s="408"/>
      <c r="BZ505" s="408"/>
      <c r="CA505" s="408"/>
      <c r="CB505" s="408"/>
      <c r="CC505" s="408"/>
      <c r="CD505" s="408"/>
      <c r="CE505" s="408"/>
      <c r="CF505" s="408"/>
      <c r="CG505" s="408"/>
      <c r="CH505" s="408"/>
      <c r="CI505" s="408">
        <v>19557.54</v>
      </c>
      <c r="CJ505" s="408">
        <v>-9208.2199999999939</v>
      </c>
      <c r="CK505" s="408"/>
      <c r="CL505" s="408"/>
      <c r="CM505" s="408"/>
      <c r="CN505" s="408"/>
      <c r="CO505" s="408">
        <v>-18416.38</v>
      </c>
      <c r="CP505" s="408">
        <v>0</v>
      </c>
      <c r="CQ505" s="408">
        <v>30</v>
      </c>
      <c r="CR505" s="408">
        <v>-137.01983790088707</v>
      </c>
      <c r="CS505" s="408">
        <v>0</v>
      </c>
      <c r="CT505" s="408">
        <v>0</v>
      </c>
      <c r="CU505" s="408">
        <v>0</v>
      </c>
      <c r="CV505" s="408">
        <v>0</v>
      </c>
      <c r="CW505" s="408"/>
      <c r="CX505" s="408"/>
      <c r="CY505" s="408"/>
      <c r="CZ505" s="408">
        <v>-137.01983790088707</v>
      </c>
      <c r="DA505" s="408">
        <v>0</v>
      </c>
      <c r="DB505" s="408">
        <v>0</v>
      </c>
      <c r="DC505" s="408"/>
      <c r="DD505" s="408"/>
      <c r="DE505" s="408">
        <v>0</v>
      </c>
      <c r="DF505" s="408">
        <v>0</v>
      </c>
      <c r="DG505" s="408">
        <v>0</v>
      </c>
      <c r="DH505" s="408">
        <v>0</v>
      </c>
      <c r="DI505" s="408">
        <v>0</v>
      </c>
      <c r="DJ505" s="408"/>
      <c r="DK505" s="408">
        <v>0</v>
      </c>
      <c r="DL505" s="408">
        <v>0</v>
      </c>
      <c r="DM505" s="408"/>
      <c r="DN505" s="408">
        <v>0</v>
      </c>
      <c r="DO505" s="408">
        <v>0</v>
      </c>
      <c r="DP505" s="408">
        <v>0</v>
      </c>
      <c r="DQ505" s="408">
        <v>0</v>
      </c>
      <c r="DR505" s="408">
        <v>0</v>
      </c>
      <c r="DS505" s="408"/>
      <c r="DT505" s="408"/>
      <c r="DU505" s="408">
        <v>27217.718836315613</v>
      </c>
      <c r="DV505" s="408"/>
      <c r="DW505" s="408">
        <v>0</v>
      </c>
      <c r="DX505" s="408">
        <v>0</v>
      </c>
      <c r="DY505" s="408">
        <v>-18416.379999999997</v>
      </c>
      <c r="DZ505" s="408"/>
      <c r="EA505" s="408">
        <v>0</v>
      </c>
      <c r="EB505" s="408"/>
      <c r="EC505" s="408">
        <v>-18281.452276880285</v>
      </c>
      <c r="ED505" s="408"/>
      <c r="EE505" s="408">
        <v>0</v>
      </c>
      <c r="EF505" s="408">
        <v>0</v>
      </c>
      <c r="EG505" s="408"/>
      <c r="EH505" s="408">
        <v>0</v>
      </c>
      <c r="EI505" s="408">
        <v>0</v>
      </c>
      <c r="EJ505" s="408">
        <v>0</v>
      </c>
      <c r="EK505" s="408">
        <v>0</v>
      </c>
      <c r="EL505" s="408">
        <v>0</v>
      </c>
      <c r="EM505" s="408"/>
      <c r="EN505" s="408"/>
      <c r="EO505" s="408">
        <v>0</v>
      </c>
      <c r="EP505" s="408">
        <v>0</v>
      </c>
      <c r="EQ505" s="408"/>
      <c r="ER505" s="408">
        <v>0</v>
      </c>
      <c r="ES505" s="408"/>
      <c r="ET505" s="408">
        <v>0</v>
      </c>
      <c r="EU505" s="408"/>
      <c r="EV505" s="408">
        <v>257</v>
      </c>
      <c r="EW505" s="408"/>
      <c r="EX505" s="408"/>
      <c r="EY505" s="408"/>
      <c r="EZ505" s="408"/>
      <c r="FA505" s="408">
        <v>0</v>
      </c>
      <c r="FB505" s="408"/>
      <c r="FC505" s="408"/>
      <c r="FD505" s="408"/>
      <c r="FE505" s="408"/>
      <c r="FF505" s="408">
        <v>0</v>
      </c>
      <c r="FG505" s="408">
        <v>0</v>
      </c>
      <c r="FH505" s="408">
        <v>0</v>
      </c>
      <c r="FI505" s="408">
        <v>0</v>
      </c>
    </row>
    <row r="506" spans="1:165">
      <c r="A506" s="408">
        <v>504</v>
      </c>
      <c r="B506" s="408" t="s">
        <v>1035</v>
      </c>
      <c r="C506" s="408" t="s">
        <v>992</v>
      </c>
      <c r="D506" s="408" t="s">
        <v>596</v>
      </c>
      <c r="E506" s="408" t="s">
        <v>1321</v>
      </c>
      <c r="F506" s="408" t="s">
        <v>1321</v>
      </c>
      <c r="G506" s="408" t="s">
        <v>1321</v>
      </c>
      <c r="H506" s="408" t="s">
        <v>2316</v>
      </c>
      <c r="I506" s="408" t="s">
        <v>1321</v>
      </c>
      <c r="J506" s="408" t="s">
        <v>2250</v>
      </c>
      <c r="K506" s="828">
        <v>44652</v>
      </c>
      <c r="L506" s="408">
        <v>1000</v>
      </c>
      <c r="M506" s="408">
        <v>500</v>
      </c>
      <c r="N506" s="408">
        <v>0</v>
      </c>
      <c r="O506" s="408">
        <v>0</v>
      </c>
      <c r="P506" s="408">
        <v>0</v>
      </c>
      <c r="Q506" s="408">
        <v>0</v>
      </c>
      <c r="R506" s="408">
        <v>15.78</v>
      </c>
      <c r="S506" s="408"/>
      <c r="T506" s="408"/>
      <c r="U506" s="408">
        <v>15780</v>
      </c>
      <c r="V506" s="408"/>
      <c r="W506" s="408">
        <v>15780</v>
      </c>
      <c r="X506" s="408">
        <v>5200</v>
      </c>
      <c r="Y506" s="408">
        <v>0</v>
      </c>
      <c r="Z506" s="408">
        <v>0</v>
      </c>
      <c r="AA506" s="408">
        <v>0</v>
      </c>
      <c r="AB506" s="408">
        <v>0</v>
      </c>
      <c r="AC506" s="408">
        <v>0</v>
      </c>
      <c r="AD506" s="408">
        <v>0</v>
      </c>
      <c r="AE506" s="408">
        <v>15739.433553196899</v>
      </c>
      <c r="AF506" s="408"/>
      <c r="AG506" s="408"/>
      <c r="AH506" s="408"/>
      <c r="AI506" s="408">
        <v>0</v>
      </c>
      <c r="AJ506" s="408">
        <v>0</v>
      </c>
      <c r="AK506" s="408">
        <v>0</v>
      </c>
      <c r="AL506" s="408">
        <v>0</v>
      </c>
      <c r="AM506" s="408"/>
      <c r="AN506" s="408">
        <v>38.248486219299501</v>
      </c>
      <c r="AO506" s="408">
        <v>0</v>
      </c>
      <c r="AP506" s="408">
        <v>0</v>
      </c>
      <c r="AQ506" s="408">
        <v>0</v>
      </c>
      <c r="AR506" s="408">
        <v>0</v>
      </c>
      <c r="AS506" s="408"/>
      <c r="AT506" s="408"/>
      <c r="AU506" s="408">
        <v>0</v>
      </c>
      <c r="AV506" s="408">
        <v>0</v>
      </c>
      <c r="AW506" s="408">
        <v>0</v>
      </c>
      <c r="AX506" s="408"/>
      <c r="AY506" s="408"/>
      <c r="AZ506" s="408">
        <v>0</v>
      </c>
      <c r="BA506" s="408"/>
      <c r="BB506" s="408">
        <v>0</v>
      </c>
      <c r="BC506" s="408">
        <v>0</v>
      </c>
      <c r="BD506" s="408">
        <v>0</v>
      </c>
      <c r="BE506" s="408">
        <v>0</v>
      </c>
      <c r="BF506" s="408"/>
      <c r="BG506" s="408">
        <v>0</v>
      </c>
      <c r="BH506" s="408">
        <v>0</v>
      </c>
      <c r="BI506" s="408">
        <v>37.340000000000003</v>
      </c>
      <c r="BJ506" s="408">
        <v>0</v>
      </c>
      <c r="BK506" s="408">
        <v>540.16999999999996</v>
      </c>
      <c r="BL506" s="408">
        <v>0</v>
      </c>
      <c r="BM506" s="408"/>
      <c r="BN506" s="408"/>
      <c r="BO506" s="408">
        <v>2600</v>
      </c>
      <c r="BP506" s="408"/>
      <c r="BQ506" s="408"/>
      <c r="BR506" s="408"/>
      <c r="BS506" s="408"/>
      <c r="BT506" s="408"/>
      <c r="BU506" s="408"/>
      <c r="BV506" s="408">
        <v>0</v>
      </c>
      <c r="BW506" s="408"/>
      <c r="BX506" s="408"/>
      <c r="BY506" s="408"/>
      <c r="BZ506" s="408"/>
      <c r="CA506" s="408"/>
      <c r="CB506" s="408"/>
      <c r="CC506" s="408"/>
      <c r="CD506" s="408"/>
      <c r="CE506" s="408"/>
      <c r="CF506" s="408"/>
      <c r="CG506" s="408"/>
      <c r="CH506" s="408"/>
      <c r="CI506" s="408">
        <v>2600</v>
      </c>
      <c r="CJ506" s="408">
        <v>-5290.0300000000007</v>
      </c>
      <c r="CK506" s="408"/>
      <c r="CL506" s="408"/>
      <c r="CM506" s="408"/>
      <c r="CN506" s="408"/>
      <c r="CO506" s="408">
        <v>-10579.999999999998</v>
      </c>
      <c r="CP506" s="408">
        <v>0</v>
      </c>
      <c r="CQ506" s="408">
        <v>30</v>
      </c>
      <c r="CR506" s="408">
        <v>-2.4442243733642997</v>
      </c>
      <c r="CS506" s="408">
        <v>0</v>
      </c>
      <c r="CT506" s="408">
        <v>0</v>
      </c>
      <c r="CU506" s="408">
        <v>0</v>
      </c>
      <c r="CV506" s="408">
        <v>0</v>
      </c>
      <c r="CW506" s="408"/>
      <c r="CX506" s="408"/>
      <c r="CY506" s="408"/>
      <c r="CZ506" s="408">
        <v>0</v>
      </c>
      <c r="DA506" s="408">
        <v>0</v>
      </c>
      <c r="DB506" s="408">
        <v>0</v>
      </c>
      <c r="DC506" s="408"/>
      <c r="DD506" s="408"/>
      <c r="DE506" s="408">
        <v>0</v>
      </c>
      <c r="DF506" s="408">
        <v>0</v>
      </c>
      <c r="DG506" s="408">
        <v>0</v>
      </c>
      <c r="DH506" s="408">
        <v>0</v>
      </c>
      <c r="DI506" s="408">
        <v>0</v>
      </c>
      <c r="DJ506" s="408"/>
      <c r="DK506" s="408">
        <v>0</v>
      </c>
      <c r="DL506" s="408">
        <v>0</v>
      </c>
      <c r="DM506" s="408"/>
      <c r="DN506" s="408">
        <v>0</v>
      </c>
      <c r="DO506" s="408">
        <v>0</v>
      </c>
      <c r="DP506" s="408">
        <v>-2.4442243733642997</v>
      </c>
      <c r="DQ506" s="408">
        <v>0</v>
      </c>
      <c r="DR506" s="408">
        <v>0</v>
      </c>
      <c r="DS506" s="408"/>
      <c r="DT506" s="408"/>
      <c r="DU506" s="408">
        <v>15739.433553196899</v>
      </c>
      <c r="DV506" s="408"/>
      <c r="DW506" s="408">
        <v>0</v>
      </c>
      <c r="DX506" s="408">
        <v>0</v>
      </c>
      <c r="DY506" s="408">
        <v>-10580</v>
      </c>
      <c r="DZ506" s="408"/>
      <c r="EA506" s="408">
        <v>0</v>
      </c>
      <c r="EB506" s="408"/>
      <c r="EC506" s="408">
        <v>-10571.778814320649</v>
      </c>
      <c r="ED506" s="408"/>
      <c r="EE506" s="408">
        <v>0</v>
      </c>
      <c r="EF506" s="408">
        <v>0</v>
      </c>
      <c r="EG506" s="408"/>
      <c r="EH506" s="408">
        <v>0</v>
      </c>
      <c r="EI506" s="408">
        <v>0</v>
      </c>
      <c r="EJ506" s="408">
        <v>0</v>
      </c>
      <c r="EK506" s="408">
        <v>0</v>
      </c>
      <c r="EL506" s="408">
        <v>0</v>
      </c>
      <c r="EM506" s="408"/>
      <c r="EN506" s="408"/>
      <c r="EO506" s="408">
        <v>0</v>
      </c>
      <c r="EP506" s="408">
        <v>0</v>
      </c>
      <c r="EQ506" s="408"/>
      <c r="ER506" s="408">
        <v>0</v>
      </c>
      <c r="ES506" s="408"/>
      <c r="ET506" s="408">
        <v>0</v>
      </c>
      <c r="EU506" s="408"/>
      <c r="EV506" s="408">
        <v>257</v>
      </c>
      <c r="EW506" s="408"/>
      <c r="EX506" s="408"/>
      <c r="EY506" s="408"/>
      <c r="EZ506" s="408"/>
      <c r="FA506" s="408">
        <v>0</v>
      </c>
      <c r="FB506" s="408"/>
      <c r="FC506" s="408"/>
      <c r="FD506" s="408"/>
      <c r="FE506" s="408"/>
      <c r="FF506" s="408">
        <v>0</v>
      </c>
      <c r="FG506" s="408">
        <v>0</v>
      </c>
      <c r="FH506" s="408">
        <v>0</v>
      </c>
      <c r="FI506" s="408">
        <v>0</v>
      </c>
    </row>
    <row r="507" spans="1:165">
      <c r="A507" s="408">
        <v>505</v>
      </c>
      <c r="B507" s="408" t="s">
        <v>1035</v>
      </c>
      <c r="C507" s="408" t="s">
        <v>992</v>
      </c>
      <c r="D507" s="408" t="s">
        <v>596</v>
      </c>
      <c r="E507" s="408" t="s">
        <v>1321</v>
      </c>
      <c r="F507" s="408" t="s">
        <v>1321</v>
      </c>
      <c r="G507" s="408" t="s">
        <v>1321</v>
      </c>
      <c r="H507" s="408" t="s">
        <v>2317</v>
      </c>
      <c r="I507" s="408" t="s">
        <v>1321</v>
      </c>
      <c r="J507" s="408" t="s">
        <v>2250</v>
      </c>
      <c r="K507" s="828">
        <v>44652</v>
      </c>
      <c r="L507" s="408">
        <v>790</v>
      </c>
      <c r="M507" s="408">
        <v>395</v>
      </c>
      <c r="N507" s="408">
        <v>0</v>
      </c>
      <c r="O507" s="408">
        <v>0</v>
      </c>
      <c r="P507" s="408">
        <v>0</v>
      </c>
      <c r="Q507" s="408">
        <v>0</v>
      </c>
      <c r="R507" s="408">
        <v>15.78</v>
      </c>
      <c r="S507" s="408"/>
      <c r="T507" s="408"/>
      <c r="U507" s="408">
        <v>12466.199999999999</v>
      </c>
      <c r="V507" s="408"/>
      <c r="W507" s="408">
        <v>12466.199999999999</v>
      </c>
      <c r="X507" s="408">
        <v>4108</v>
      </c>
      <c r="Y507" s="408">
        <v>0</v>
      </c>
      <c r="Z507" s="408">
        <v>0</v>
      </c>
      <c r="AA507" s="408">
        <v>0</v>
      </c>
      <c r="AB507" s="408">
        <v>0</v>
      </c>
      <c r="AC507" s="408">
        <v>0</v>
      </c>
      <c r="AD507" s="408">
        <v>0</v>
      </c>
      <c r="AE507" s="408">
        <v>12434.15250702555</v>
      </c>
      <c r="AF507" s="408"/>
      <c r="AG507" s="408"/>
      <c r="AH507" s="408"/>
      <c r="AI507" s="408">
        <v>0</v>
      </c>
      <c r="AJ507" s="408">
        <v>0</v>
      </c>
      <c r="AK507" s="408">
        <v>0</v>
      </c>
      <c r="AL507" s="408">
        <v>0</v>
      </c>
      <c r="AM507" s="408"/>
      <c r="AN507" s="408">
        <v>30.216304113246604</v>
      </c>
      <c r="AO507" s="408">
        <v>0</v>
      </c>
      <c r="AP507" s="408">
        <v>0</v>
      </c>
      <c r="AQ507" s="408">
        <v>0</v>
      </c>
      <c r="AR507" s="408">
        <v>0</v>
      </c>
      <c r="AS507" s="408"/>
      <c r="AT507" s="408"/>
      <c r="AU507" s="408">
        <v>0</v>
      </c>
      <c r="AV507" s="408">
        <v>0</v>
      </c>
      <c r="AW507" s="408">
        <v>0</v>
      </c>
      <c r="AX507" s="408"/>
      <c r="AY507" s="408"/>
      <c r="AZ507" s="408">
        <v>0</v>
      </c>
      <c r="BA507" s="408"/>
      <c r="BB507" s="408">
        <v>0</v>
      </c>
      <c r="BC507" s="408">
        <v>0</v>
      </c>
      <c r="BD507" s="408">
        <v>0</v>
      </c>
      <c r="BE507" s="408">
        <v>0</v>
      </c>
      <c r="BF507" s="408"/>
      <c r="BG507" s="408">
        <v>0</v>
      </c>
      <c r="BH507" s="408">
        <v>0</v>
      </c>
      <c r="BI507" s="408">
        <v>29.5</v>
      </c>
      <c r="BJ507" s="408">
        <v>0</v>
      </c>
      <c r="BK507" s="408">
        <v>426.74</v>
      </c>
      <c r="BL507" s="408">
        <v>0</v>
      </c>
      <c r="BM507" s="408"/>
      <c r="BN507" s="408"/>
      <c r="BO507" s="408">
        <v>2054</v>
      </c>
      <c r="BP507" s="408"/>
      <c r="BQ507" s="408"/>
      <c r="BR507" s="408"/>
      <c r="BS507" s="408"/>
      <c r="BT507" s="408"/>
      <c r="BU507" s="408"/>
      <c r="BV507" s="408">
        <v>0</v>
      </c>
      <c r="BW507" s="408"/>
      <c r="BX507" s="408"/>
      <c r="BY507" s="408"/>
      <c r="BZ507" s="408"/>
      <c r="CA507" s="408"/>
      <c r="CB507" s="408"/>
      <c r="CC507" s="408"/>
      <c r="CD507" s="408"/>
      <c r="CE507" s="408"/>
      <c r="CF507" s="408"/>
      <c r="CG507" s="408"/>
      <c r="CH507" s="408"/>
      <c r="CI507" s="408">
        <v>2054</v>
      </c>
      <c r="CJ507" s="408">
        <v>-4179.13</v>
      </c>
      <c r="CK507" s="408"/>
      <c r="CL507" s="408"/>
      <c r="CM507" s="408"/>
      <c r="CN507" s="408"/>
      <c r="CO507" s="408">
        <v>-8358.1999999999989</v>
      </c>
      <c r="CP507" s="408">
        <v>0</v>
      </c>
      <c r="CQ507" s="408">
        <v>30</v>
      </c>
      <c r="CR507" s="408">
        <v>-1.9309372549577972</v>
      </c>
      <c r="CS507" s="408">
        <v>0</v>
      </c>
      <c r="CT507" s="408">
        <v>0</v>
      </c>
      <c r="CU507" s="408">
        <v>0</v>
      </c>
      <c r="CV507" s="408">
        <v>0</v>
      </c>
      <c r="CW507" s="408"/>
      <c r="CX507" s="408"/>
      <c r="CY507" s="408"/>
      <c r="CZ507" s="408">
        <v>0</v>
      </c>
      <c r="DA507" s="408">
        <v>0</v>
      </c>
      <c r="DB507" s="408">
        <v>0</v>
      </c>
      <c r="DC507" s="408"/>
      <c r="DD507" s="408"/>
      <c r="DE507" s="408">
        <v>0</v>
      </c>
      <c r="DF507" s="408">
        <v>0</v>
      </c>
      <c r="DG507" s="408">
        <v>0</v>
      </c>
      <c r="DH507" s="408">
        <v>0</v>
      </c>
      <c r="DI507" s="408">
        <v>0</v>
      </c>
      <c r="DJ507" s="408"/>
      <c r="DK507" s="408">
        <v>0</v>
      </c>
      <c r="DL507" s="408">
        <v>0</v>
      </c>
      <c r="DM507" s="408"/>
      <c r="DN507" s="408">
        <v>0</v>
      </c>
      <c r="DO507" s="408">
        <v>0</v>
      </c>
      <c r="DP507" s="408">
        <v>-1.9309372549577972</v>
      </c>
      <c r="DQ507" s="408">
        <v>0</v>
      </c>
      <c r="DR507" s="408">
        <v>0</v>
      </c>
      <c r="DS507" s="408"/>
      <c r="DT507" s="408"/>
      <c r="DU507" s="408">
        <v>12434.15250702555</v>
      </c>
      <c r="DV507" s="408"/>
      <c r="DW507" s="408">
        <v>0</v>
      </c>
      <c r="DX507" s="408">
        <v>0</v>
      </c>
      <c r="DY507" s="408">
        <v>-8358.1999999999989</v>
      </c>
      <c r="DZ507" s="408"/>
      <c r="EA507" s="408">
        <v>0</v>
      </c>
      <c r="EB507" s="408"/>
      <c r="EC507" s="408">
        <v>-8351.7052633133135</v>
      </c>
      <c r="ED507" s="408"/>
      <c r="EE507" s="408">
        <v>0</v>
      </c>
      <c r="EF507" s="408">
        <v>0</v>
      </c>
      <c r="EG507" s="408"/>
      <c r="EH507" s="408">
        <v>0</v>
      </c>
      <c r="EI507" s="408">
        <v>0</v>
      </c>
      <c r="EJ507" s="408">
        <v>0</v>
      </c>
      <c r="EK507" s="408">
        <v>0</v>
      </c>
      <c r="EL507" s="408">
        <v>0</v>
      </c>
      <c r="EM507" s="408"/>
      <c r="EN507" s="408"/>
      <c r="EO507" s="408">
        <v>0</v>
      </c>
      <c r="EP507" s="408">
        <v>0</v>
      </c>
      <c r="EQ507" s="408"/>
      <c r="ER507" s="408">
        <v>0</v>
      </c>
      <c r="ES507" s="408"/>
      <c r="ET507" s="408">
        <v>0</v>
      </c>
      <c r="EU507" s="408"/>
      <c r="EV507" s="408">
        <v>257</v>
      </c>
      <c r="EW507" s="408"/>
      <c r="EX507" s="408"/>
      <c r="EY507" s="408"/>
      <c r="EZ507" s="408"/>
      <c r="FA507" s="408">
        <v>0</v>
      </c>
      <c r="FB507" s="408"/>
      <c r="FC507" s="408"/>
      <c r="FD507" s="408"/>
      <c r="FE507" s="408"/>
      <c r="FF507" s="408">
        <v>0</v>
      </c>
      <c r="FG507" s="408">
        <v>0</v>
      </c>
      <c r="FH507" s="408">
        <v>0</v>
      </c>
      <c r="FI507" s="408">
        <v>0</v>
      </c>
    </row>
    <row r="508" spans="1:165">
      <c r="A508" s="408">
        <v>506</v>
      </c>
      <c r="B508" s="408" t="s">
        <v>1035</v>
      </c>
      <c r="C508" s="408" t="s">
        <v>2241</v>
      </c>
      <c r="D508" s="408" t="s">
        <v>596</v>
      </c>
      <c r="E508" s="408" t="s">
        <v>969</v>
      </c>
      <c r="F508" s="408" t="s">
        <v>1321</v>
      </c>
      <c r="G508" s="408" t="s">
        <v>2314</v>
      </c>
      <c r="H508" s="408" t="s">
        <v>1321</v>
      </c>
      <c r="I508" s="408" t="s">
        <v>972</v>
      </c>
      <c r="J508" s="408" t="s">
        <v>2315</v>
      </c>
      <c r="K508" s="828">
        <v>44682</v>
      </c>
      <c r="L508" s="408">
        <v>0</v>
      </c>
      <c r="M508" s="408">
        <v>0</v>
      </c>
      <c r="N508" s="408">
        <v>21.721</v>
      </c>
      <c r="O508" s="408">
        <v>10.8605</v>
      </c>
      <c r="P508" s="408">
        <v>0</v>
      </c>
      <c r="Q508" s="408">
        <v>0</v>
      </c>
      <c r="R508" s="408"/>
      <c r="S508" s="408">
        <v>3130.62</v>
      </c>
      <c r="T508" s="408"/>
      <c r="U508" s="408"/>
      <c r="V508" s="408">
        <v>68000.197019999992</v>
      </c>
      <c r="W508" s="408">
        <v>68000.197019999992</v>
      </c>
      <c r="X508" s="408">
        <v>32800.66489</v>
      </c>
      <c r="Y508" s="408">
        <v>0</v>
      </c>
      <c r="Z508" s="408">
        <v>1161.7036525413146</v>
      </c>
      <c r="AA508" s="408">
        <v>0</v>
      </c>
      <c r="AB508" s="408">
        <v>0</v>
      </c>
      <c r="AC508" s="408">
        <v>0</v>
      </c>
      <c r="AD508" s="408">
        <v>13992.968107773444</v>
      </c>
      <c r="AE508" s="408">
        <v>52220.513109426793</v>
      </c>
      <c r="AF508" s="408"/>
      <c r="AG508" s="408"/>
      <c r="AH508" s="408"/>
      <c r="AI508" s="408">
        <v>0</v>
      </c>
      <c r="AJ508" s="408">
        <v>0</v>
      </c>
      <c r="AK508" s="408">
        <v>0</v>
      </c>
      <c r="AL508" s="408">
        <v>206.4421130315217</v>
      </c>
      <c r="AM508" s="408"/>
      <c r="AN508" s="408">
        <v>29.302823542370749</v>
      </c>
      <c r="AO508" s="408">
        <v>0</v>
      </c>
      <c r="AP508" s="408">
        <v>0</v>
      </c>
      <c r="AQ508" s="408">
        <v>0</v>
      </c>
      <c r="AR508" s="408">
        <v>0</v>
      </c>
      <c r="AS508" s="408"/>
      <c r="AT508" s="408"/>
      <c r="AU508" s="408">
        <v>0</v>
      </c>
      <c r="AV508" s="408">
        <v>0</v>
      </c>
      <c r="AW508" s="408">
        <v>0</v>
      </c>
      <c r="AX508" s="408"/>
      <c r="AY508" s="408"/>
      <c r="AZ508" s="408">
        <v>0</v>
      </c>
      <c r="BA508" s="408"/>
      <c r="BB508" s="408">
        <v>0</v>
      </c>
      <c r="BC508" s="408">
        <v>0</v>
      </c>
      <c r="BD508" s="408">
        <v>26.760819742936739</v>
      </c>
      <c r="BE508" s="408">
        <v>0</v>
      </c>
      <c r="BF508" s="408"/>
      <c r="BG508" s="408">
        <v>362.50802893996752</v>
      </c>
      <c r="BH508" s="408">
        <v>0</v>
      </c>
      <c r="BI508" s="408">
        <v>0</v>
      </c>
      <c r="BJ508" s="408">
        <v>0</v>
      </c>
      <c r="BK508" s="408">
        <v>0</v>
      </c>
      <c r="BL508" s="408">
        <v>0</v>
      </c>
      <c r="BM508" s="408"/>
      <c r="BN508" s="408">
        <v>16400.332445</v>
      </c>
      <c r="BO508" s="408"/>
      <c r="BP508" s="408"/>
      <c r="BQ508" s="408"/>
      <c r="BR508" s="408"/>
      <c r="BS508" s="408"/>
      <c r="BT508" s="408"/>
      <c r="BU508" s="408"/>
      <c r="BV508" s="408">
        <v>389.26884868290426</v>
      </c>
      <c r="BW508" s="408"/>
      <c r="BX508" s="408"/>
      <c r="BY508" s="408"/>
      <c r="BZ508" s="408"/>
      <c r="CA508" s="408"/>
      <c r="CB508" s="408"/>
      <c r="CC508" s="408"/>
      <c r="CD508" s="408"/>
      <c r="CE508" s="408"/>
      <c r="CF508" s="408"/>
      <c r="CG508" s="408"/>
      <c r="CH508" s="408"/>
      <c r="CI508" s="408">
        <v>16399.577399999998</v>
      </c>
      <c r="CJ508" s="408">
        <v>-17600.551110000004</v>
      </c>
      <c r="CK508" s="408"/>
      <c r="CL508" s="408"/>
      <c r="CM508" s="408"/>
      <c r="CN508" s="408"/>
      <c r="CO508" s="408">
        <v>-35199.53213</v>
      </c>
      <c r="CP508" s="408">
        <v>0</v>
      </c>
      <c r="CQ508" s="408">
        <v>31</v>
      </c>
      <c r="CR508" s="408">
        <v>-124.43804893343258</v>
      </c>
      <c r="CS508" s="408">
        <v>0</v>
      </c>
      <c r="CT508" s="408">
        <v>0</v>
      </c>
      <c r="CU508" s="408">
        <v>0</v>
      </c>
      <c r="CV508" s="408">
        <v>0</v>
      </c>
      <c r="CW508" s="408"/>
      <c r="CX508" s="408"/>
      <c r="CY508" s="408"/>
      <c r="CZ508" s="408">
        <v>-63.249095938477694</v>
      </c>
      <c r="DA508" s="408">
        <v>0</v>
      </c>
      <c r="DB508" s="408">
        <v>0</v>
      </c>
      <c r="DC508" s="408"/>
      <c r="DD508" s="408"/>
      <c r="DE508" s="408">
        <v>0</v>
      </c>
      <c r="DF508" s="408">
        <v>1.6671581036552929</v>
      </c>
      <c r="DG508" s="408">
        <v>22.583695263926529</v>
      </c>
      <c r="DH508" s="408">
        <v>0</v>
      </c>
      <c r="DI508" s="408">
        <v>-72.239209767052444</v>
      </c>
      <c r="DJ508" s="408"/>
      <c r="DK508" s="408">
        <v>0</v>
      </c>
      <c r="DL508" s="408">
        <v>0</v>
      </c>
      <c r="DM508" s="408"/>
      <c r="DN508" s="408">
        <v>0</v>
      </c>
      <c r="DO508" s="408">
        <v>-11.328034238376432</v>
      </c>
      <c r="DP508" s="408">
        <v>-1.8725623571089329</v>
      </c>
      <c r="DQ508" s="408">
        <v>0</v>
      </c>
      <c r="DR508" s="408">
        <v>0</v>
      </c>
      <c r="DS508" s="408"/>
      <c r="DT508" s="408"/>
      <c r="DU508" s="408"/>
      <c r="DV508" s="408">
        <v>52220.513109426793</v>
      </c>
      <c r="DW508" s="408">
        <v>0</v>
      </c>
      <c r="DX508" s="408">
        <v>0</v>
      </c>
      <c r="DY508" s="408">
        <v>-35199.532129999992</v>
      </c>
      <c r="DZ508" s="408"/>
      <c r="EA508" s="408">
        <v>0</v>
      </c>
      <c r="EB508" s="408"/>
      <c r="EC508" s="408">
        <v>-35075.195832003723</v>
      </c>
      <c r="ED508" s="408"/>
      <c r="EE508" s="408">
        <v>0</v>
      </c>
      <c r="EF508" s="408">
        <v>0</v>
      </c>
      <c r="EG508" s="408"/>
      <c r="EH508" s="408">
        <v>0</v>
      </c>
      <c r="EI508" s="408">
        <v>0</v>
      </c>
      <c r="EJ508" s="408">
        <v>0</v>
      </c>
      <c r="EK508" s="408">
        <v>0</v>
      </c>
      <c r="EL508" s="408">
        <v>0</v>
      </c>
      <c r="EM508" s="408"/>
      <c r="EN508" s="408"/>
      <c r="EO508" s="408">
        <v>0</v>
      </c>
      <c r="EP508" s="408">
        <v>0</v>
      </c>
      <c r="EQ508" s="408"/>
      <c r="ER508" s="408">
        <v>0</v>
      </c>
      <c r="ES508" s="408"/>
      <c r="ET508" s="408">
        <v>0</v>
      </c>
      <c r="EU508" s="408"/>
      <c r="EV508" s="408">
        <v>257</v>
      </c>
      <c r="EW508" s="408"/>
      <c r="EX508" s="408"/>
      <c r="EY508" s="408"/>
      <c r="EZ508" s="408"/>
      <c r="FA508" s="408">
        <v>0</v>
      </c>
      <c r="FB508" s="408"/>
      <c r="FC508" s="408"/>
      <c r="FD508" s="408"/>
      <c r="FE508" s="408"/>
      <c r="FF508" s="408">
        <v>0</v>
      </c>
      <c r="FG508" s="408">
        <v>0</v>
      </c>
      <c r="FH508" s="408">
        <v>0</v>
      </c>
      <c r="FI508" s="408">
        <v>0</v>
      </c>
    </row>
    <row r="509" spans="1:165">
      <c r="A509" s="408">
        <v>507</v>
      </c>
      <c r="B509" s="408" t="s">
        <v>1035</v>
      </c>
      <c r="C509" s="408" t="s">
        <v>2241</v>
      </c>
      <c r="D509" s="408" t="s">
        <v>596</v>
      </c>
      <c r="E509" s="408" t="s">
        <v>969</v>
      </c>
      <c r="F509" s="408" t="s">
        <v>1321</v>
      </c>
      <c r="G509" s="408" t="s">
        <v>2314</v>
      </c>
      <c r="H509" s="408" t="s">
        <v>1321</v>
      </c>
      <c r="I509" s="408" t="s">
        <v>2242</v>
      </c>
      <c r="J509" s="408" t="s">
        <v>2315</v>
      </c>
      <c r="K509" s="828">
        <v>44682</v>
      </c>
      <c r="L509" s="408">
        <v>0</v>
      </c>
      <c r="M509" s="408">
        <v>0</v>
      </c>
      <c r="N509" s="408">
        <v>234.92</v>
      </c>
      <c r="O509" s="408">
        <v>117.46</v>
      </c>
      <c r="P509" s="408">
        <v>0</v>
      </c>
      <c r="Q509" s="408">
        <v>0</v>
      </c>
      <c r="R509" s="408"/>
      <c r="S509" s="408">
        <v>82.26</v>
      </c>
      <c r="T509" s="408"/>
      <c r="U509" s="408"/>
      <c r="V509" s="408">
        <v>19324.519199999999</v>
      </c>
      <c r="W509" s="408">
        <v>19324.519199999999</v>
      </c>
      <c r="X509" s="408">
        <v>18662.0448</v>
      </c>
      <c r="Y509" s="408">
        <v>0</v>
      </c>
      <c r="Z509" s="408">
        <v>12564.219973988564</v>
      </c>
      <c r="AA509" s="408">
        <v>0</v>
      </c>
      <c r="AB509" s="408">
        <v>0</v>
      </c>
      <c r="AC509" s="408">
        <v>0</v>
      </c>
      <c r="AD509" s="408">
        <v>0</v>
      </c>
      <c r="AE509" s="408">
        <v>0</v>
      </c>
      <c r="AF509" s="408"/>
      <c r="AG509" s="408"/>
      <c r="AH509" s="408"/>
      <c r="AI509" s="408">
        <v>0</v>
      </c>
      <c r="AJ509" s="408">
        <v>0</v>
      </c>
      <c r="AK509" s="408">
        <v>0</v>
      </c>
      <c r="AL509" s="408">
        <v>2232.7416414237409</v>
      </c>
      <c r="AM509" s="408"/>
      <c r="AN509" s="408">
        <v>316.91999938187632</v>
      </c>
      <c r="AO509" s="408">
        <v>0</v>
      </c>
      <c r="AP509" s="408">
        <v>0</v>
      </c>
      <c r="AQ509" s="408">
        <v>0</v>
      </c>
      <c r="AR509" s="408">
        <v>0</v>
      </c>
      <c r="AS509" s="408"/>
      <c r="AT509" s="408"/>
      <c r="AU509" s="408">
        <v>0</v>
      </c>
      <c r="AV509" s="408">
        <v>0</v>
      </c>
      <c r="AW509" s="408">
        <v>0</v>
      </c>
      <c r="AX509" s="408"/>
      <c r="AY509" s="408"/>
      <c r="AZ509" s="408">
        <v>0</v>
      </c>
      <c r="BA509" s="408"/>
      <c r="BB509" s="408">
        <v>0</v>
      </c>
      <c r="BC509" s="408">
        <v>0</v>
      </c>
      <c r="BD509" s="408">
        <v>289.42736402608989</v>
      </c>
      <c r="BE509" s="408">
        <v>0</v>
      </c>
      <c r="BF509" s="408"/>
      <c r="BG509" s="408">
        <v>3920.6475833790878</v>
      </c>
      <c r="BH509" s="408">
        <v>0</v>
      </c>
      <c r="BI509" s="408">
        <v>0</v>
      </c>
      <c r="BJ509" s="408">
        <v>0</v>
      </c>
      <c r="BK509" s="408">
        <v>0</v>
      </c>
      <c r="BL509" s="408">
        <v>0</v>
      </c>
      <c r="BM509" s="408"/>
      <c r="BN509" s="408">
        <v>9331.0223999999998</v>
      </c>
      <c r="BO509" s="408"/>
      <c r="BP509" s="408"/>
      <c r="BQ509" s="408"/>
      <c r="BR509" s="408"/>
      <c r="BS509" s="408"/>
      <c r="BT509" s="408"/>
      <c r="BU509" s="408"/>
      <c r="BV509" s="408">
        <v>4210.0749474051772</v>
      </c>
      <c r="BW509" s="408"/>
      <c r="BX509" s="408"/>
      <c r="BY509" s="408"/>
      <c r="BZ509" s="408"/>
      <c r="CA509" s="408"/>
      <c r="CB509" s="408"/>
      <c r="CC509" s="408"/>
      <c r="CD509" s="408"/>
      <c r="CE509" s="408"/>
      <c r="CF509" s="408"/>
      <c r="CG509" s="408"/>
      <c r="CH509" s="408"/>
      <c r="CI509" s="408">
        <v>9331.0223999999998</v>
      </c>
      <c r="CJ509" s="408">
        <v>-331.26720000000023</v>
      </c>
      <c r="CK509" s="408"/>
      <c r="CL509" s="408"/>
      <c r="CM509" s="408"/>
      <c r="CN509" s="408"/>
      <c r="CO509" s="408">
        <v>-662.47440000000165</v>
      </c>
      <c r="CP509" s="408">
        <v>0</v>
      </c>
      <c r="CQ509" s="408">
        <v>31</v>
      </c>
      <c r="CR509" s="408">
        <v>-661.77933049008061</v>
      </c>
      <c r="CS509" s="408">
        <v>0</v>
      </c>
      <c r="CT509" s="408">
        <v>0</v>
      </c>
      <c r="CU509" s="408">
        <v>0</v>
      </c>
      <c r="CV509" s="408">
        <v>0</v>
      </c>
      <c r="CW509" s="408"/>
      <c r="CX509" s="408"/>
      <c r="CY509" s="408"/>
      <c r="CZ509" s="408">
        <v>0</v>
      </c>
      <c r="DA509" s="408">
        <v>0</v>
      </c>
      <c r="DB509" s="408">
        <v>0</v>
      </c>
      <c r="DC509" s="408"/>
      <c r="DD509" s="408"/>
      <c r="DE509" s="408">
        <v>0</v>
      </c>
      <c r="DF509" s="408">
        <v>18.030881714041811</v>
      </c>
      <c r="DG509" s="408">
        <v>244.25034259019458</v>
      </c>
      <c r="DH509" s="408">
        <v>0</v>
      </c>
      <c r="DI509" s="408">
        <v>-781.29161449638377</v>
      </c>
      <c r="DJ509" s="408"/>
      <c r="DK509" s="408">
        <v>0</v>
      </c>
      <c r="DL509" s="408">
        <v>0</v>
      </c>
      <c r="DM509" s="408"/>
      <c r="DN509" s="408">
        <v>0</v>
      </c>
      <c r="DO509" s="408">
        <v>-122.51654174666874</v>
      </c>
      <c r="DP509" s="408">
        <v>-20.252398551265173</v>
      </c>
      <c r="DQ509" s="408">
        <v>0</v>
      </c>
      <c r="DR509" s="408">
        <v>0</v>
      </c>
      <c r="DS509" s="408"/>
      <c r="DT509" s="408"/>
      <c r="DU509" s="408"/>
      <c r="DV509" s="408">
        <v>0</v>
      </c>
      <c r="DW509" s="408">
        <v>0</v>
      </c>
      <c r="DX509" s="408">
        <v>0</v>
      </c>
      <c r="DY509" s="408">
        <v>-662.47439999999915</v>
      </c>
      <c r="DZ509" s="408"/>
      <c r="EA509" s="408">
        <v>0</v>
      </c>
      <c r="EB509" s="408"/>
      <c r="EC509" s="408">
        <v>0</v>
      </c>
      <c r="ED509" s="408"/>
      <c r="EE509" s="408">
        <v>0</v>
      </c>
      <c r="EF509" s="408">
        <v>0</v>
      </c>
      <c r="EG509" s="408"/>
      <c r="EH509" s="408">
        <v>0</v>
      </c>
      <c r="EI509" s="408">
        <v>0</v>
      </c>
      <c r="EJ509" s="408">
        <v>0</v>
      </c>
      <c r="EK509" s="408">
        <v>0</v>
      </c>
      <c r="EL509" s="408">
        <v>0</v>
      </c>
      <c r="EM509" s="408"/>
      <c r="EN509" s="408"/>
      <c r="EO509" s="408">
        <v>0</v>
      </c>
      <c r="EP509" s="408">
        <v>0</v>
      </c>
      <c r="EQ509" s="408"/>
      <c r="ER509" s="408">
        <v>0</v>
      </c>
      <c r="ES509" s="408"/>
      <c r="ET509" s="408">
        <v>0</v>
      </c>
      <c r="EU509" s="408"/>
      <c r="EV509" s="408">
        <v>257</v>
      </c>
      <c r="EW509" s="408"/>
      <c r="EX509" s="408"/>
      <c r="EY509" s="408"/>
      <c r="EZ509" s="408"/>
      <c r="FA509" s="408">
        <v>0</v>
      </c>
      <c r="FB509" s="408"/>
      <c r="FC509" s="408"/>
      <c r="FD509" s="408"/>
      <c r="FE509" s="408"/>
      <c r="FF509" s="408">
        <v>0</v>
      </c>
      <c r="FG509" s="408">
        <v>0</v>
      </c>
      <c r="FH509" s="408">
        <v>0</v>
      </c>
      <c r="FI509" s="408">
        <v>0</v>
      </c>
    </row>
    <row r="510" spans="1:165">
      <c r="A510" s="408">
        <v>508</v>
      </c>
      <c r="B510" s="408" t="s">
        <v>1035</v>
      </c>
      <c r="C510" s="408" t="s">
        <v>2241</v>
      </c>
      <c r="D510" s="408" t="s">
        <v>596</v>
      </c>
      <c r="E510" s="408" t="s">
        <v>969</v>
      </c>
      <c r="F510" s="408" t="s">
        <v>1321</v>
      </c>
      <c r="G510" s="408" t="s">
        <v>2314</v>
      </c>
      <c r="H510" s="408" t="s">
        <v>1321</v>
      </c>
      <c r="I510" s="408" t="s">
        <v>1321</v>
      </c>
      <c r="J510" s="408" t="s">
        <v>2315</v>
      </c>
      <c r="K510" s="828">
        <v>44682</v>
      </c>
      <c r="L510" s="408">
        <v>1175</v>
      </c>
      <c r="M510" s="408">
        <v>587.5</v>
      </c>
      <c r="N510" s="408">
        <v>0</v>
      </c>
      <c r="O510" s="408">
        <v>0</v>
      </c>
      <c r="P510" s="408">
        <v>0</v>
      </c>
      <c r="Q510" s="408">
        <v>0</v>
      </c>
      <c r="R510" s="408">
        <v>47.39</v>
      </c>
      <c r="S510" s="408"/>
      <c r="T510" s="408"/>
      <c r="U510" s="408">
        <v>55683.25</v>
      </c>
      <c r="V510" s="408"/>
      <c r="W510" s="408">
        <v>55683.25</v>
      </c>
      <c r="X510" s="408">
        <v>37858.5</v>
      </c>
      <c r="Y510" s="408">
        <v>0</v>
      </c>
      <c r="Z510" s="408">
        <v>0</v>
      </c>
      <c r="AA510" s="408">
        <v>0</v>
      </c>
      <c r="AB510" s="408">
        <v>0</v>
      </c>
      <c r="AC510" s="408">
        <v>0</v>
      </c>
      <c r="AD510" s="408">
        <v>29339.867710872197</v>
      </c>
      <c r="AE510" s="408">
        <v>26343.34401373216</v>
      </c>
      <c r="AF510" s="408"/>
      <c r="AG510" s="408"/>
      <c r="AH510" s="408"/>
      <c r="AI510" s="408">
        <v>0</v>
      </c>
      <c r="AJ510" s="408">
        <v>0</v>
      </c>
      <c r="AK510" s="408">
        <v>0</v>
      </c>
      <c r="AL510" s="408">
        <v>0</v>
      </c>
      <c r="AM510" s="408"/>
      <c r="AN510" s="408">
        <v>0</v>
      </c>
      <c r="AO510" s="408">
        <v>0</v>
      </c>
      <c r="AP510" s="408">
        <v>0</v>
      </c>
      <c r="AQ510" s="408">
        <v>0</v>
      </c>
      <c r="AR510" s="408">
        <v>0</v>
      </c>
      <c r="AS510" s="408"/>
      <c r="AT510" s="408"/>
      <c r="AU510" s="408">
        <v>0</v>
      </c>
      <c r="AV510" s="408">
        <v>0</v>
      </c>
      <c r="AW510" s="408">
        <v>0</v>
      </c>
      <c r="AX510" s="408"/>
      <c r="AY510" s="408"/>
      <c r="AZ510" s="408">
        <v>0</v>
      </c>
      <c r="BA510" s="408"/>
      <c r="BB510" s="408">
        <v>0</v>
      </c>
      <c r="BC510" s="408">
        <v>0</v>
      </c>
      <c r="BD510" s="408">
        <v>0</v>
      </c>
      <c r="BE510" s="408">
        <v>0</v>
      </c>
      <c r="BF510" s="408"/>
      <c r="BG510" s="408">
        <v>0</v>
      </c>
      <c r="BH510" s="408">
        <v>0</v>
      </c>
      <c r="BI510" s="408">
        <v>1206.07</v>
      </c>
      <c r="BJ510" s="408">
        <v>0</v>
      </c>
      <c r="BK510" s="408">
        <v>12157.46</v>
      </c>
      <c r="BL510" s="408">
        <v>3</v>
      </c>
      <c r="BM510" s="408"/>
      <c r="BN510" s="408">
        <v>18929.25</v>
      </c>
      <c r="BO510" s="408"/>
      <c r="BP510" s="408"/>
      <c r="BQ510" s="408"/>
      <c r="BR510" s="408"/>
      <c r="BS510" s="408"/>
      <c r="BT510" s="408"/>
      <c r="BU510" s="408"/>
      <c r="BV510" s="408">
        <v>0</v>
      </c>
      <c r="BW510" s="408"/>
      <c r="BX510" s="408"/>
      <c r="BY510" s="408"/>
      <c r="BZ510" s="408"/>
      <c r="CA510" s="408"/>
      <c r="CB510" s="408"/>
      <c r="CC510" s="408"/>
      <c r="CD510" s="408"/>
      <c r="CE510" s="408"/>
      <c r="CF510" s="408"/>
      <c r="CG510" s="408"/>
      <c r="CH510" s="408"/>
      <c r="CI510" s="408">
        <v>18929.25</v>
      </c>
      <c r="CJ510" s="408">
        <v>-8912.4049999999952</v>
      </c>
      <c r="CK510" s="408"/>
      <c r="CL510" s="408"/>
      <c r="CM510" s="408"/>
      <c r="CN510" s="408"/>
      <c r="CO510" s="408">
        <v>-17824.750000000004</v>
      </c>
      <c r="CP510" s="408">
        <v>0</v>
      </c>
      <c r="CQ510" s="408">
        <v>31</v>
      </c>
      <c r="CR510" s="408">
        <v>-132.61804739171566</v>
      </c>
      <c r="CS510" s="408">
        <v>0</v>
      </c>
      <c r="CT510" s="408">
        <v>0</v>
      </c>
      <c r="CU510" s="408">
        <v>0</v>
      </c>
      <c r="CV510" s="408">
        <v>0</v>
      </c>
      <c r="CW510" s="408"/>
      <c r="CX510" s="408"/>
      <c r="CY510" s="408"/>
      <c r="CZ510" s="408">
        <v>-132.61804739171566</v>
      </c>
      <c r="DA510" s="408">
        <v>0</v>
      </c>
      <c r="DB510" s="408">
        <v>0</v>
      </c>
      <c r="DC510" s="408"/>
      <c r="DD510" s="408"/>
      <c r="DE510" s="408">
        <v>0</v>
      </c>
      <c r="DF510" s="408">
        <v>0</v>
      </c>
      <c r="DG510" s="408">
        <v>0</v>
      </c>
      <c r="DH510" s="408">
        <v>0</v>
      </c>
      <c r="DI510" s="408">
        <v>0</v>
      </c>
      <c r="DJ510" s="408"/>
      <c r="DK510" s="408">
        <v>0</v>
      </c>
      <c r="DL510" s="408">
        <v>0</v>
      </c>
      <c r="DM510" s="408"/>
      <c r="DN510" s="408">
        <v>0</v>
      </c>
      <c r="DO510" s="408">
        <v>0</v>
      </c>
      <c r="DP510" s="408">
        <v>0</v>
      </c>
      <c r="DQ510" s="408">
        <v>0</v>
      </c>
      <c r="DR510" s="408">
        <v>0</v>
      </c>
      <c r="DS510" s="408"/>
      <c r="DT510" s="408"/>
      <c r="DU510" s="408">
        <v>26343.34401373216</v>
      </c>
      <c r="DV510" s="408"/>
      <c r="DW510" s="408">
        <v>0</v>
      </c>
      <c r="DX510" s="408">
        <v>0</v>
      </c>
      <c r="DY510" s="408">
        <v>-17824.75</v>
      </c>
      <c r="DZ510" s="408"/>
      <c r="EA510" s="408">
        <v>0</v>
      </c>
      <c r="EB510" s="408"/>
      <c r="EC510" s="408">
        <v>-17694.156857771282</v>
      </c>
      <c r="ED510" s="408"/>
      <c r="EE510" s="408">
        <v>0</v>
      </c>
      <c r="EF510" s="408">
        <v>0</v>
      </c>
      <c r="EG510" s="408"/>
      <c r="EH510" s="408">
        <v>0</v>
      </c>
      <c r="EI510" s="408">
        <v>0</v>
      </c>
      <c r="EJ510" s="408">
        <v>0</v>
      </c>
      <c r="EK510" s="408">
        <v>0</v>
      </c>
      <c r="EL510" s="408">
        <v>0</v>
      </c>
      <c r="EM510" s="408"/>
      <c r="EN510" s="408"/>
      <c r="EO510" s="408">
        <v>0</v>
      </c>
      <c r="EP510" s="408">
        <v>0</v>
      </c>
      <c r="EQ510" s="408"/>
      <c r="ER510" s="408">
        <v>0</v>
      </c>
      <c r="ES510" s="408"/>
      <c r="ET510" s="408">
        <v>0</v>
      </c>
      <c r="EU510" s="408"/>
      <c r="EV510" s="408">
        <v>257</v>
      </c>
      <c r="EW510" s="408"/>
      <c r="EX510" s="408"/>
      <c r="EY510" s="408"/>
      <c r="EZ510" s="408"/>
      <c r="FA510" s="408">
        <v>0</v>
      </c>
      <c r="FB510" s="408"/>
      <c r="FC510" s="408"/>
      <c r="FD510" s="408"/>
      <c r="FE510" s="408"/>
      <c r="FF510" s="408">
        <v>0</v>
      </c>
      <c r="FG510" s="408">
        <v>0</v>
      </c>
      <c r="FH510" s="408">
        <v>0</v>
      </c>
      <c r="FI510" s="408">
        <v>0</v>
      </c>
    </row>
    <row r="511" spans="1:165">
      <c r="A511" s="408">
        <v>509</v>
      </c>
      <c r="B511" s="408" t="s">
        <v>1035</v>
      </c>
      <c r="C511" s="408" t="s">
        <v>992</v>
      </c>
      <c r="D511" s="408" t="s">
        <v>596</v>
      </c>
      <c r="E511" s="408" t="s">
        <v>1321</v>
      </c>
      <c r="F511" s="408" t="s">
        <v>1321</v>
      </c>
      <c r="G511" s="408" t="s">
        <v>1321</v>
      </c>
      <c r="H511" s="408" t="s">
        <v>2316</v>
      </c>
      <c r="I511" s="408" t="s">
        <v>1321</v>
      </c>
      <c r="J511" s="408" t="s">
        <v>2250</v>
      </c>
      <c r="K511" s="828">
        <v>44682</v>
      </c>
      <c r="L511" s="408">
        <v>1000</v>
      </c>
      <c r="M511" s="408">
        <v>500</v>
      </c>
      <c r="N511" s="408">
        <v>0</v>
      </c>
      <c r="O511" s="408">
        <v>0</v>
      </c>
      <c r="P511" s="408">
        <v>0</v>
      </c>
      <c r="Q511" s="408">
        <v>0</v>
      </c>
      <c r="R511" s="408">
        <v>15.78</v>
      </c>
      <c r="S511" s="408"/>
      <c r="T511" s="408"/>
      <c r="U511" s="408">
        <v>15780</v>
      </c>
      <c r="V511" s="408"/>
      <c r="W511" s="408">
        <v>15780</v>
      </c>
      <c r="X511" s="408">
        <v>5200</v>
      </c>
      <c r="Y511" s="408">
        <v>0</v>
      </c>
      <c r="Z511" s="408">
        <v>0</v>
      </c>
      <c r="AA511" s="408">
        <v>0</v>
      </c>
      <c r="AB511" s="408">
        <v>0</v>
      </c>
      <c r="AC511" s="408">
        <v>0</v>
      </c>
      <c r="AD511" s="408">
        <v>0</v>
      </c>
      <c r="AE511" s="408">
        <v>15739.433553196899</v>
      </c>
      <c r="AF511" s="408"/>
      <c r="AG511" s="408"/>
      <c r="AH511" s="408"/>
      <c r="AI511" s="408">
        <v>0</v>
      </c>
      <c r="AJ511" s="408">
        <v>0</v>
      </c>
      <c r="AK511" s="408">
        <v>0</v>
      </c>
      <c r="AL511" s="408">
        <v>0</v>
      </c>
      <c r="AM511" s="408"/>
      <c r="AN511" s="408">
        <v>38.248486219299501</v>
      </c>
      <c r="AO511" s="408">
        <v>0</v>
      </c>
      <c r="AP511" s="408">
        <v>0</v>
      </c>
      <c r="AQ511" s="408">
        <v>0</v>
      </c>
      <c r="AR511" s="408">
        <v>0</v>
      </c>
      <c r="AS511" s="408"/>
      <c r="AT511" s="408"/>
      <c r="AU511" s="408">
        <v>0</v>
      </c>
      <c r="AV511" s="408">
        <v>0</v>
      </c>
      <c r="AW511" s="408">
        <v>0</v>
      </c>
      <c r="AX511" s="408"/>
      <c r="AY511" s="408"/>
      <c r="AZ511" s="408">
        <v>0</v>
      </c>
      <c r="BA511" s="408"/>
      <c r="BB511" s="408">
        <v>0</v>
      </c>
      <c r="BC511" s="408">
        <v>0</v>
      </c>
      <c r="BD511" s="408">
        <v>0</v>
      </c>
      <c r="BE511" s="408">
        <v>0</v>
      </c>
      <c r="BF511" s="408"/>
      <c r="BG511" s="408">
        <v>0</v>
      </c>
      <c r="BH511" s="408">
        <v>0</v>
      </c>
      <c r="BI511" s="408">
        <v>56.49</v>
      </c>
      <c r="BJ511" s="408">
        <v>0</v>
      </c>
      <c r="BK511" s="408">
        <v>544.1</v>
      </c>
      <c r="BL511" s="408">
        <v>0</v>
      </c>
      <c r="BM511" s="408"/>
      <c r="BN511" s="408"/>
      <c r="BO511" s="408">
        <v>2600</v>
      </c>
      <c r="BP511" s="408"/>
      <c r="BQ511" s="408"/>
      <c r="BR511" s="408"/>
      <c r="BS511" s="408"/>
      <c r="BT511" s="408"/>
      <c r="BU511" s="408"/>
      <c r="BV511" s="408">
        <v>0</v>
      </c>
      <c r="BW511" s="408"/>
      <c r="BX511" s="408"/>
      <c r="BY511" s="408"/>
      <c r="BZ511" s="408"/>
      <c r="CA511" s="408"/>
      <c r="CB511" s="408"/>
      <c r="CC511" s="408"/>
      <c r="CD511" s="408"/>
      <c r="CE511" s="408"/>
      <c r="CF511" s="408"/>
      <c r="CG511" s="408"/>
      <c r="CH511" s="408"/>
      <c r="CI511" s="408">
        <v>2600</v>
      </c>
      <c r="CJ511" s="408">
        <v>-5290.0300000000007</v>
      </c>
      <c r="CK511" s="408"/>
      <c r="CL511" s="408"/>
      <c r="CM511" s="408"/>
      <c r="CN511" s="408"/>
      <c r="CO511" s="408">
        <v>-10579.999999999998</v>
      </c>
      <c r="CP511" s="408">
        <v>0</v>
      </c>
      <c r="CQ511" s="408">
        <v>31</v>
      </c>
      <c r="CR511" s="408">
        <v>-2.4442243733642997</v>
      </c>
      <c r="CS511" s="408">
        <v>0</v>
      </c>
      <c r="CT511" s="408">
        <v>0</v>
      </c>
      <c r="CU511" s="408">
        <v>0</v>
      </c>
      <c r="CV511" s="408">
        <v>0</v>
      </c>
      <c r="CW511" s="408"/>
      <c r="CX511" s="408"/>
      <c r="CY511" s="408"/>
      <c r="CZ511" s="408">
        <v>0</v>
      </c>
      <c r="DA511" s="408">
        <v>0</v>
      </c>
      <c r="DB511" s="408">
        <v>0</v>
      </c>
      <c r="DC511" s="408"/>
      <c r="DD511" s="408"/>
      <c r="DE511" s="408">
        <v>0</v>
      </c>
      <c r="DF511" s="408">
        <v>0</v>
      </c>
      <c r="DG511" s="408">
        <v>0</v>
      </c>
      <c r="DH511" s="408">
        <v>0</v>
      </c>
      <c r="DI511" s="408">
        <v>0</v>
      </c>
      <c r="DJ511" s="408"/>
      <c r="DK511" s="408">
        <v>0</v>
      </c>
      <c r="DL511" s="408">
        <v>0</v>
      </c>
      <c r="DM511" s="408"/>
      <c r="DN511" s="408">
        <v>0</v>
      </c>
      <c r="DO511" s="408">
        <v>0</v>
      </c>
      <c r="DP511" s="408">
        <v>-2.4442243733642997</v>
      </c>
      <c r="DQ511" s="408">
        <v>0</v>
      </c>
      <c r="DR511" s="408">
        <v>0</v>
      </c>
      <c r="DS511" s="408"/>
      <c r="DT511" s="408"/>
      <c r="DU511" s="408">
        <v>15739.433553196899</v>
      </c>
      <c r="DV511" s="408"/>
      <c r="DW511" s="408">
        <v>0</v>
      </c>
      <c r="DX511" s="408">
        <v>0</v>
      </c>
      <c r="DY511" s="408">
        <v>-10580</v>
      </c>
      <c r="DZ511" s="408"/>
      <c r="EA511" s="408">
        <v>0</v>
      </c>
      <c r="EB511" s="408"/>
      <c r="EC511" s="408">
        <v>-10571.778814320649</v>
      </c>
      <c r="ED511" s="408"/>
      <c r="EE511" s="408">
        <v>0</v>
      </c>
      <c r="EF511" s="408">
        <v>0</v>
      </c>
      <c r="EG511" s="408"/>
      <c r="EH511" s="408">
        <v>0</v>
      </c>
      <c r="EI511" s="408">
        <v>0</v>
      </c>
      <c r="EJ511" s="408">
        <v>0</v>
      </c>
      <c r="EK511" s="408">
        <v>0</v>
      </c>
      <c r="EL511" s="408">
        <v>0</v>
      </c>
      <c r="EM511" s="408"/>
      <c r="EN511" s="408"/>
      <c r="EO511" s="408">
        <v>0</v>
      </c>
      <c r="EP511" s="408">
        <v>0</v>
      </c>
      <c r="EQ511" s="408"/>
      <c r="ER511" s="408">
        <v>0</v>
      </c>
      <c r="ES511" s="408"/>
      <c r="ET511" s="408">
        <v>0</v>
      </c>
      <c r="EU511" s="408"/>
      <c r="EV511" s="408">
        <v>257</v>
      </c>
      <c r="EW511" s="408"/>
      <c r="EX511" s="408"/>
      <c r="EY511" s="408"/>
      <c r="EZ511" s="408"/>
      <c r="FA511" s="408">
        <v>0</v>
      </c>
      <c r="FB511" s="408"/>
      <c r="FC511" s="408"/>
      <c r="FD511" s="408"/>
      <c r="FE511" s="408"/>
      <c r="FF511" s="408">
        <v>0</v>
      </c>
      <c r="FG511" s="408">
        <v>0</v>
      </c>
      <c r="FH511" s="408">
        <v>0</v>
      </c>
      <c r="FI511" s="408">
        <v>0</v>
      </c>
    </row>
    <row r="512" spans="1:165">
      <c r="A512" s="408">
        <v>510</v>
      </c>
      <c r="B512" s="408" t="s">
        <v>1035</v>
      </c>
      <c r="C512" s="408" t="s">
        <v>992</v>
      </c>
      <c r="D512" s="408" t="s">
        <v>596</v>
      </c>
      <c r="E512" s="408" t="s">
        <v>1321</v>
      </c>
      <c r="F512" s="408" t="s">
        <v>1321</v>
      </c>
      <c r="G512" s="408" t="s">
        <v>1321</v>
      </c>
      <c r="H512" s="408" t="s">
        <v>2317</v>
      </c>
      <c r="I512" s="408" t="s">
        <v>1321</v>
      </c>
      <c r="J512" s="408" t="s">
        <v>2250</v>
      </c>
      <c r="K512" s="828">
        <v>44682</v>
      </c>
      <c r="L512" s="408">
        <v>790</v>
      </c>
      <c r="M512" s="408">
        <v>395</v>
      </c>
      <c r="N512" s="408">
        <v>0</v>
      </c>
      <c r="O512" s="408">
        <v>0</v>
      </c>
      <c r="P512" s="408">
        <v>0</v>
      </c>
      <c r="Q512" s="408">
        <v>0</v>
      </c>
      <c r="R512" s="408">
        <v>15.78</v>
      </c>
      <c r="S512" s="408"/>
      <c r="T512" s="408"/>
      <c r="U512" s="408">
        <v>12466.199999999999</v>
      </c>
      <c r="V512" s="408"/>
      <c r="W512" s="408">
        <v>12466.199999999999</v>
      </c>
      <c r="X512" s="408">
        <v>4108</v>
      </c>
      <c r="Y512" s="408">
        <v>0</v>
      </c>
      <c r="Z512" s="408">
        <v>0</v>
      </c>
      <c r="AA512" s="408">
        <v>0</v>
      </c>
      <c r="AB512" s="408">
        <v>0</v>
      </c>
      <c r="AC512" s="408">
        <v>0</v>
      </c>
      <c r="AD512" s="408">
        <v>0</v>
      </c>
      <c r="AE512" s="408">
        <v>12434.15250702555</v>
      </c>
      <c r="AF512" s="408"/>
      <c r="AG512" s="408"/>
      <c r="AH512" s="408"/>
      <c r="AI512" s="408">
        <v>0</v>
      </c>
      <c r="AJ512" s="408">
        <v>0</v>
      </c>
      <c r="AK512" s="408">
        <v>0</v>
      </c>
      <c r="AL512" s="408">
        <v>0</v>
      </c>
      <c r="AM512" s="408"/>
      <c r="AN512" s="408">
        <v>30.216304113246604</v>
      </c>
      <c r="AO512" s="408">
        <v>0</v>
      </c>
      <c r="AP512" s="408">
        <v>0</v>
      </c>
      <c r="AQ512" s="408">
        <v>0</v>
      </c>
      <c r="AR512" s="408">
        <v>0</v>
      </c>
      <c r="AS512" s="408"/>
      <c r="AT512" s="408"/>
      <c r="AU512" s="408">
        <v>0</v>
      </c>
      <c r="AV512" s="408">
        <v>0</v>
      </c>
      <c r="AW512" s="408">
        <v>0</v>
      </c>
      <c r="AX512" s="408"/>
      <c r="AY512" s="408"/>
      <c r="AZ512" s="408">
        <v>0</v>
      </c>
      <c r="BA512" s="408"/>
      <c r="BB512" s="408">
        <v>0</v>
      </c>
      <c r="BC512" s="408">
        <v>0</v>
      </c>
      <c r="BD512" s="408">
        <v>0</v>
      </c>
      <c r="BE512" s="408">
        <v>0</v>
      </c>
      <c r="BF512" s="408"/>
      <c r="BG512" s="408">
        <v>0</v>
      </c>
      <c r="BH512" s="408">
        <v>0</v>
      </c>
      <c r="BI512" s="408">
        <v>44.62</v>
      </c>
      <c r="BJ512" s="408">
        <v>0</v>
      </c>
      <c r="BK512" s="408">
        <v>429.83</v>
      </c>
      <c r="BL512" s="408">
        <v>0</v>
      </c>
      <c r="BM512" s="408"/>
      <c r="BN512" s="408"/>
      <c r="BO512" s="408">
        <v>2054</v>
      </c>
      <c r="BP512" s="408"/>
      <c r="BQ512" s="408"/>
      <c r="BR512" s="408"/>
      <c r="BS512" s="408"/>
      <c r="BT512" s="408"/>
      <c r="BU512" s="408"/>
      <c r="BV512" s="408">
        <v>0</v>
      </c>
      <c r="BW512" s="408"/>
      <c r="BX512" s="408"/>
      <c r="BY512" s="408"/>
      <c r="BZ512" s="408"/>
      <c r="CA512" s="408"/>
      <c r="CB512" s="408"/>
      <c r="CC512" s="408"/>
      <c r="CD512" s="408"/>
      <c r="CE512" s="408"/>
      <c r="CF512" s="408"/>
      <c r="CG512" s="408"/>
      <c r="CH512" s="408"/>
      <c r="CI512" s="408">
        <v>2054</v>
      </c>
      <c r="CJ512" s="408">
        <v>-4179.13</v>
      </c>
      <c r="CK512" s="408"/>
      <c r="CL512" s="408"/>
      <c r="CM512" s="408"/>
      <c r="CN512" s="408"/>
      <c r="CO512" s="408">
        <v>-8358.1999999999989</v>
      </c>
      <c r="CP512" s="408">
        <v>0</v>
      </c>
      <c r="CQ512" s="408">
        <v>31</v>
      </c>
      <c r="CR512" s="408">
        <v>-1.9309372549577972</v>
      </c>
      <c r="CS512" s="408">
        <v>0</v>
      </c>
      <c r="CT512" s="408">
        <v>0</v>
      </c>
      <c r="CU512" s="408">
        <v>0</v>
      </c>
      <c r="CV512" s="408">
        <v>0</v>
      </c>
      <c r="CW512" s="408"/>
      <c r="CX512" s="408"/>
      <c r="CY512" s="408"/>
      <c r="CZ512" s="408">
        <v>0</v>
      </c>
      <c r="DA512" s="408">
        <v>0</v>
      </c>
      <c r="DB512" s="408">
        <v>0</v>
      </c>
      <c r="DC512" s="408"/>
      <c r="DD512" s="408"/>
      <c r="DE512" s="408">
        <v>0</v>
      </c>
      <c r="DF512" s="408">
        <v>0</v>
      </c>
      <c r="DG512" s="408">
        <v>0</v>
      </c>
      <c r="DH512" s="408">
        <v>0</v>
      </c>
      <c r="DI512" s="408">
        <v>0</v>
      </c>
      <c r="DJ512" s="408"/>
      <c r="DK512" s="408">
        <v>0</v>
      </c>
      <c r="DL512" s="408">
        <v>0</v>
      </c>
      <c r="DM512" s="408"/>
      <c r="DN512" s="408">
        <v>0</v>
      </c>
      <c r="DO512" s="408">
        <v>0</v>
      </c>
      <c r="DP512" s="408">
        <v>-1.9309372549577972</v>
      </c>
      <c r="DQ512" s="408">
        <v>0</v>
      </c>
      <c r="DR512" s="408">
        <v>0</v>
      </c>
      <c r="DS512" s="408"/>
      <c r="DT512" s="408"/>
      <c r="DU512" s="408">
        <v>12434.15250702555</v>
      </c>
      <c r="DV512" s="408"/>
      <c r="DW512" s="408">
        <v>0</v>
      </c>
      <c r="DX512" s="408">
        <v>0</v>
      </c>
      <c r="DY512" s="408">
        <v>-8358.1999999999989</v>
      </c>
      <c r="DZ512" s="408"/>
      <c r="EA512" s="408">
        <v>0</v>
      </c>
      <c r="EB512" s="408"/>
      <c r="EC512" s="408">
        <v>-8351.7052633133135</v>
      </c>
      <c r="ED512" s="408"/>
      <c r="EE512" s="408">
        <v>0</v>
      </c>
      <c r="EF512" s="408">
        <v>0</v>
      </c>
      <c r="EG512" s="408"/>
      <c r="EH512" s="408">
        <v>0</v>
      </c>
      <c r="EI512" s="408">
        <v>0</v>
      </c>
      <c r="EJ512" s="408">
        <v>0</v>
      </c>
      <c r="EK512" s="408">
        <v>0</v>
      </c>
      <c r="EL512" s="408">
        <v>0</v>
      </c>
      <c r="EM512" s="408"/>
      <c r="EN512" s="408"/>
      <c r="EO512" s="408">
        <v>0</v>
      </c>
      <c r="EP512" s="408">
        <v>0</v>
      </c>
      <c r="EQ512" s="408"/>
      <c r="ER512" s="408">
        <v>0</v>
      </c>
      <c r="ES512" s="408"/>
      <c r="ET512" s="408">
        <v>0</v>
      </c>
      <c r="EU512" s="408"/>
      <c r="EV512" s="408">
        <v>257</v>
      </c>
      <c r="EW512" s="408"/>
      <c r="EX512" s="408"/>
      <c r="EY512" s="408"/>
      <c r="EZ512" s="408"/>
      <c r="FA512" s="408">
        <v>0</v>
      </c>
      <c r="FB512" s="408"/>
      <c r="FC512" s="408"/>
      <c r="FD512" s="408"/>
      <c r="FE512" s="408"/>
      <c r="FF512" s="408">
        <v>0</v>
      </c>
      <c r="FG512" s="408">
        <v>0</v>
      </c>
      <c r="FH512" s="408">
        <v>0</v>
      </c>
      <c r="FI512" s="408">
        <v>0</v>
      </c>
    </row>
    <row r="513" spans="1:165">
      <c r="A513" s="408">
        <v>511</v>
      </c>
      <c r="B513" s="408" t="s">
        <v>1035</v>
      </c>
      <c r="C513" s="408" t="s">
        <v>2241</v>
      </c>
      <c r="D513" s="408" t="s">
        <v>596</v>
      </c>
      <c r="E513" s="408" t="s">
        <v>969</v>
      </c>
      <c r="F513" s="408" t="s">
        <v>1321</v>
      </c>
      <c r="G513" s="408" t="s">
        <v>2314</v>
      </c>
      <c r="H513" s="408" t="s">
        <v>1321</v>
      </c>
      <c r="I513" s="408" t="s">
        <v>972</v>
      </c>
      <c r="J513" s="408" t="s">
        <v>2315</v>
      </c>
      <c r="K513" s="828">
        <v>44713</v>
      </c>
      <c r="L513" s="408">
        <v>0</v>
      </c>
      <c r="M513" s="408">
        <v>0</v>
      </c>
      <c r="N513" s="408">
        <v>16.962</v>
      </c>
      <c r="O513" s="408">
        <v>8.4809999999999999</v>
      </c>
      <c r="P513" s="408">
        <v>0</v>
      </c>
      <c r="Q513" s="408">
        <v>0</v>
      </c>
      <c r="R513" s="408"/>
      <c r="S513" s="408">
        <v>3130.62</v>
      </c>
      <c r="T513" s="408"/>
      <c r="U513" s="408"/>
      <c r="V513" s="408">
        <v>53101.576439999997</v>
      </c>
      <c r="W513" s="408">
        <v>53101.576439999997</v>
      </c>
      <c r="X513" s="408">
        <v>25614.146579999997</v>
      </c>
      <c r="Y513" s="408">
        <v>0</v>
      </c>
      <c r="Z513" s="408">
        <v>907.17818490887964</v>
      </c>
      <c r="AA513" s="408">
        <v>0</v>
      </c>
      <c r="AB513" s="408">
        <v>0</v>
      </c>
      <c r="AC513" s="408">
        <v>0</v>
      </c>
      <c r="AD513" s="408">
        <v>10927.154598961979</v>
      </c>
      <c r="AE513" s="408">
        <v>40779.169622121321</v>
      </c>
      <c r="AF513" s="408"/>
      <c r="AG513" s="408"/>
      <c r="AH513" s="408"/>
      <c r="AI513" s="408">
        <v>0</v>
      </c>
      <c r="AJ513" s="408">
        <v>0</v>
      </c>
      <c r="AK513" s="408">
        <v>0</v>
      </c>
      <c r="AL513" s="408">
        <v>161.21132181946831</v>
      </c>
      <c r="AM513" s="408"/>
      <c r="AN513" s="408">
        <v>22.882670822047448</v>
      </c>
      <c r="AO513" s="408">
        <v>0</v>
      </c>
      <c r="AP513" s="408">
        <v>0</v>
      </c>
      <c r="AQ513" s="408">
        <v>0</v>
      </c>
      <c r="AR513" s="408">
        <v>0</v>
      </c>
      <c r="AS513" s="408"/>
      <c r="AT513" s="408"/>
      <c r="AU513" s="408">
        <v>0</v>
      </c>
      <c r="AV513" s="408">
        <v>0</v>
      </c>
      <c r="AW513" s="408">
        <v>0</v>
      </c>
      <c r="AX513" s="408"/>
      <c r="AY513" s="408"/>
      <c r="AZ513" s="408">
        <v>0</v>
      </c>
      <c r="BA513" s="408"/>
      <c r="BB513" s="408">
        <v>0</v>
      </c>
      <c r="BC513" s="408">
        <v>0</v>
      </c>
      <c r="BD513" s="408">
        <v>20.897611734252244</v>
      </c>
      <c r="BE513" s="408">
        <v>0</v>
      </c>
      <c r="BF513" s="408"/>
      <c r="BG513" s="408">
        <v>283.08370640761149</v>
      </c>
      <c r="BH513" s="408">
        <v>0</v>
      </c>
      <c r="BI513" s="408">
        <v>0</v>
      </c>
      <c r="BJ513" s="408">
        <v>0</v>
      </c>
      <c r="BK513" s="408">
        <v>0</v>
      </c>
      <c r="BL513" s="408">
        <v>0</v>
      </c>
      <c r="BM513" s="408"/>
      <c r="BN513" s="408">
        <v>12807.073289999998</v>
      </c>
      <c r="BO513" s="408"/>
      <c r="BP513" s="408"/>
      <c r="BQ513" s="408"/>
      <c r="BR513" s="408"/>
      <c r="BS513" s="408"/>
      <c r="BT513" s="408"/>
      <c r="BU513" s="408"/>
      <c r="BV513" s="408">
        <v>303.98131814186371</v>
      </c>
      <c r="BW513" s="408"/>
      <c r="BX513" s="408"/>
      <c r="BY513" s="408"/>
      <c r="BZ513" s="408"/>
      <c r="CA513" s="408"/>
      <c r="CB513" s="408"/>
      <c r="CC513" s="408"/>
      <c r="CD513" s="408"/>
      <c r="CE513" s="408"/>
      <c r="CF513" s="408"/>
      <c r="CG513" s="408"/>
      <c r="CH513" s="408"/>
      <c r="CI513" s="408">
        <v>12805.563200000001</v>
      </c>
      <c r="CJ513" s="408">
        <v>-13745.255019999993</v>
      </c>
      <c r="CK513" s="408"/>
      <c r="CL513" s="408"/>
      <c r="CM513" s="408"/>
      <c r="CN513" s="408"/>
      <c r="CO513" s="408">
        <v>-27487.42986</v>
      </c>
      <c r="CP513" s="408">
        <v>0</v>
      </c>
      <c r="CQ513" s="408">
        <v>30</v>
      </c>
      <c r="CR513" s="408">
        <v>-97.174079738912042</v>
      </c>
      <c r="CS513" s="408">
        <v>0</v>
      </c>
      <c r="CT513" s="408">
        <v>0</v>
      </c>
      <c r="CU513" s="408">
        <v>0</v>
      </c>
      <c r="CV513" s="408">
        <v>0</v>
      </c>
      <c r="CW513" s="408"/>
      <c r="CX513" s="408"/>
      <c r="CY513" s="408"/>
      <c r="CZ513" s="408">
        <v>-49.391426053516625</v>
      </c>
      <c r="DA513" s="408">
        <v>0</v>
      </c>
      <c r="DB513" s="408">
        <v>0</v>
      </c>
      <c r="DC513" s="408"/>
      <c r="DD513" s="408"/>
      <c r="DE513" s="408">
        <v>0</v>
      </c>
      <c r="DF513" s="408">
        <v>1.3018892203029822</v>
      </c>
      <c r="DG513" s="408">
        <v>17.635681555486485</v>
      </c>
      <c r="DH513" s="408">
        <v>0</v>
      </c>
      <c r="DI513" s="408">
        <v>-56.411835369860569</v>
      </c>
      <c r="DJ513" s="408"/>
      <c r="DK513" s="408">
        <v>0</v>
      </c>
      <c r="DL513" s="408">
        <v>0</v>
      </c>
      <c r="DM513" s="408"/>
      <c r="DN513" s="408">
        <v>0</v>
      </c>
      <c r="DO513" s="408">
        <v>-8.8460990171419951</v>
      </c>
      <c r="DP513" s="408">
        <v>-1.4622900741808245</v>
      </c>
      <c r="DQ513" s="408">
        <v>0</v>
      </c>
      <c r="DR513" s="408">
        <v>0</v>
      </c>
      <c r="DS513" s="408"/>
      <c r="DT513" s="408"/>
      <c r="DU513" s="408"/>
      <c r="DV513" s="408">
        <v>40779.169622121321</v>
      </c>
      <c r="DW513" s="408">
        <v>0</v>
      </c>
      <c r="DX513" s="408">
        <v>0</v>
      </c>
      <c r="DY513" s="408">
        <v>-27487.42986</v>
      </c>
      <c r="DZ513" s="408"/>
      <c r="EA513" s="408">
        <v>0</v>
      </c>
      <c r="EB513" s="408"/>
      <c r="EC513" s="408">
        <v>-27390.335237900981</v>
      </c>
      <c r="ED513" s="408"/>
      <c r="EE513" s="408">
        <v>0</v>
      </c>
      <c r="EF513" s="408">
        <v>0</v>
      </c>
      <c r="EG513" s="408"/>
      <c r="EH513" s="408">
        <v>0</v>
      </c>
      <c r="EI513" s="408">
        <v>0</v>
      </c>
      <c r="EJ513" s="408">
        <v>0</v>
      </c>
      <c r="EK513" s="408">
        <v>0</v>
      </c>
      <c r="EL513" s="408">
        <v>0</v>
      </c>
      <c r="EM513" s="408"/>
      <c r="EN513" s="408"/>
      <c r="EO513" s="408">
        <v>0</v>
      </c>
      <c r="EP513" s="408">
        <v>0</v>
      </c>
      <c r="EQ513" s="408"/>
      <c r="ER513" s="408">
        <v>0</v>
      </c>
      <c r="ES513" s="408"/>
      <c r="ET513" s="408">
        <v>0</v>
      </c>
      <c r="EU513" s="408"/>
      <c r="EV513" s="408">
        <v>257</v>
      </c>
      <c r="EW513" s="408"/>
      <c r="EX513" s="408"/>
      <c r="EY513" s="408"/>
      <c r="EZ513" s="408"/>
      <c r="FA513" s="408">
        <v>0</v>
      </c>
      <c r="FB513" s="408"/>
      <c r="FC513" s="408"/>
      <c r="FD513" s="408"/>
      <c r="FE513" s="408"/>
      <c r="FF513" s="408">
        <v>0</v>
      </c>
      <c r="FG513" s="408">
        <v>0</v>
      </c>
      <c r="FH513" s="408">
        <v>0</v>
      </c>
      <c r="FI513" s="408">
        <v>0</v>
      </c>
    </row>
    <row r="514" spans="1:165">
      <c r="A514" s="408">
        <v>512</v>
      </c>
      <c r="B514" s="408" t="s">
        <v>1035</v>
      </c>
      <c r="C514" s="408" t="s">
        <v>2241</v>
      </c>
      <c r="D514" s="408" t="s">
        <v>596</v>
      </c>
      <c r="E514" s="408" t="s">
        <v>969</v>
      </c>
      <c r="F514" s="408" t="s">
        <v>1321</v>
      </c>
      <c r="G514" s="408" t="s">
        <v>2314</v>
      </c>
      <c r="H514" s="408" t="s">
        <v>1321</v>
      </c>
      <c r="I514" s="408" t="s">
        <v>2242</v>
      </c>
      <c r="J514" s="408" t="s">
        <v>2315</v>
      </c>
      <c r="K514" s="828">
        <v>44713</v>
      </c>
      <c r="L514" s="408">
        <v>0</v>
      </c>
      <c r="M514" s="408">
        <v>0</v>
      </c>
      <c r="N514" s="408">
        <v>182.31399999999999</v>
      </c>
      <c r="O514" s="408">
        <v>91.156999999999996</v>
      </c>
      <c r="P514" s="408">
        <v>0</v>
      </c>
      <c r="Q514" s="408">
        <v>0</v>
      </c>
      <c r="R514" s="408"/>
      <c r="S514" s="408">
        <v>82.26</v>
      </c>
      <c r="T514" s="408"/>
      <c r="U514" s="408"/>
      <c r="V514" s="408">
        <v>14997.14964</v>
      </c>
      <c r="W514" s="408">
        <v>14997.14964</v>
      </c>
      <c r="X514" s="408">
        <v>14483.024159999999</v>
      </c>
      <c r="Y514" s="408">
        <v>0</v>
      </c>
      <c r="Z514" s="408">
        <v>9750.69470601801</v>
      </c>
      <c r="AA514" s="408">
        <v>0</v>
      </c>
      <c r="AB514" s="408">
        <v>0</v>
      </c>
      <c r="AC514" s="408">
        <v>0</v>
      </c>
      <c r="AD514" s="408">
        <v>0</v>
      </c>
      <c r="AE514" s="408">
        <v>0</v>
      </c>
      <c r="AF514" s="408"/>
      <c r="AG514" s="408"/>
      <c r="AH514" s="408"/>
      <c r="AI514" s="408">
        <v>0</v>
      </c>
      <c r="AJ514" s="408">
        <v>0</v>
      </c>
      <c r="AK514" s="408">
        <v>0</v>
      </c>
      <c r="AL514" s="408">
        <v>1732.76034230601</v>
      </c>
      <c r="AM514" s="408"/>
      <c r="AN514" s="408">
        <v>245.95161232465267</v>
      </c>
      <c r="AO514" s="408">
        <v>0</v>
      </c>
      <c r="AP514" s="408">
        <v>0</v>
      </c>
      <c r="AQ514" s="408">
        <v>0</v>
      </c>
      <c r="AR514" s="408">
        <v>0</v>
      </c>
      <c r="AS514" s="408"/>
      <c r="AT514" s="408"/>
      <c r="AU514" s="408">
        <v>0</v>
      </c>
      <c r="AV514" s="408">
        <v>0</v>
      </c>
      <c r="AW514" s="408">
        <v>0</v>
      </c>
      <c r="AX514" s="408"/>
      <c r="AY514" s="408"/>
      <c r="AZ514" s="408">
        <v>0</v>
      </c>
      <c r="BA514" s="408"/>
      <c r="BB514" s="408">
        <v>0</v>
      </c>
      <c r="BC514" s="408">
        <v>0</v>
      </c>
      <c r="BD514" s="408">
        <v>224.61544544973844</v>
      </c>
      <c r="BE514" s="408">
        <v>0</v>
      </c>
      <c r="BF514" s="408"/>
      <c r="BG514" s="408">
        <v>3042.6908884563895</v>
      </c>
      <c r="BH514" s="408">
        <v>0</v>
      </c>
      <c r="BI514" s="408">
        <v>0</v>
      </c>
      <c r="BJ514" s="408">
        <v>0</v>
      </c>
      <c r="BK514" s="408">
        <v>0</v>
      </c>
      <c r="BL514" s="408">
        <v>0</v>
      </c>
      <c r="BM514" s="408"/>
      <c r="BN514" s="408">
        <v>7241.5120799999995</v>
      </c>
      <c r="BO514" s="408"/>
      <c r="BP514" s="408"/>
      <c r="BQ514" s="408"/>
      <c r="BR514" s="408"/>
      <c r="BS514" s="408"/>
      <c r="BT514" s="408"/>
      <c r="BU514" s="408"/>
      <c r="BV514" s="408">
        <v>3267.3063339061282</v>
      </c>
      <c r="BW514" s="408"/>
      <c r="BX514" s="408"/>
      <c r="BY514" s="408"/>
      <c r="BZ514" s="408"/>
      <c r="CA514" s="408"/>
      <c r="CB514" s="408"/>
      <c r="CC514" s="408"/>
      <c r="CD514" s="408"/>
      <c r="CE514" s="408"/>
      <c r="CF514" s="408"/>
      <c r="CG514" s="408"/>
      <c r="CH514" s="408"/>
      <c r="CI514" s="408">
        <v>7241.7503999999999</v>
      </c>
      <c r="CJ514" s="408">
        <v>-256.85442000000057</v>
      </c>
      <c r="CK514" s="408"/>
      <c r="CL514" s="408"/>
      <c r="CM514" s="408"/>
      <c r="CN514" s="408"/>
      <c r="CO514" s="408">
        <v>-514.12548000000129</v>
      </c>
      <c r="CP514" s="408">
        <v>0</v>
      </c>
      <c r="CQ514" s="408">
        <v>30</v>
      </c>
      <c r="CR514" s="408">
        <v>-513.58605848360457</v>
      </c>
      <c r="CS514" s="408">
        <v>0</v>
      </c>
      <c r="CT514" s="408">
        <v>0</v>
      </c>
      <c r="CU514" s="408">
        <v>0</v>
      </c>
      <c r="CV514" s="408">
        <v>0</v>
      </c>
      <c r="CW514" s="408"/>
      <c r="CX514" s="408"/>
      <c r="CY514" s="408"/>
      <c r="CZ514" s="408">
        <v>0</v>
      </c>
      <c r="DA514" s="408">
        <v>0</v>
      </c>
      <c r="DB514" s="408">
        <v>0</v>
      </c>
      <c r="DC514" s="408"/>
      <c r="DD514" s="408"/>
      <c r="DE514" s="408">
        <v>0</v>
      </c>
      <c r="DF514" s="408">
        <v>13.993198402919347</v>
      </c>
      <c r="DG514" s="408">
        <v>189.55498450105915</v>
      </c>
      <c r="DH514" s="408">
        <v>0</v>
      </c>
      <c r="DI514" s="408">
        <v>-606.33577134894222</v>
      </c>
      <c r="DJ514" s="408"/>
      <c r="DK514" s="408">
        <v>0</v>
      </c>
      <c r="DL514" s="408">
        <v>0</v>
      </c>
      <c r="DM514" s="408"/>
      <c r="DN514" s="408">
        <v>0</v>
      </c>
      <c r="DO514" s="408">
        <v>-95.081222509799545</v>
      </c>
      <c r="DP514" s="408">
        <v>-15.717247528841142</v>
      </c>
      <c r="DQ514" s="408">
        <v>0</v>
      </c>
      <c r="DR514" s="408">
        <v>0</v>
      </c>
      <c r="DS514" s="408"/>
      <c r="DT514" s="408"/>
      <c r="DU514" s="408"/>
      <c r="DV514" s="408">
        <v>0</v>
      </c>
      <c r="DW514" s="408">
        <v>0</v>
      </c>
      <c r="DX514" s="408">
        <v>0</v>
      </c>
      <c r="DY514" s="408">
        <v>-514.12548000000061</v>
      </c>
      <c r="DZ514" s="408"/>
      <c r="EA514" s="408">
        <v>0</v>
      </c>
      <c r="EB514" s="408"/>
      <c r="EC514" s="408">
        <v>0</v>
      </c>
      <c r="ED514" s="408"/>
      <c r="EE514" s="408">
        <v>0</v>
      </c>
      <c r="EF514" s="408">
        <v>0</v>
      </c>
      <c r="EG514" s="408"/>
      <c r="EH514" s="408">
        <v>0</v>
      </c>
      <c r="EI514" s="408">
        <v>0</v>
      </c>
      <c r="EJ514" s="408">
        <v>0</v>
      </c>
      <c r="EK514" s="408">
        <v>0</v>
      </c>
      <c r="EL514" s="408">
        <v>0</v>
      </c>
      <c r="EM514" s="408"/>
      <c r="EN514" s="408"/>
      <c r="EO514" s="408">
        <v>0</v>
      </c>
      <c r="EP514" s="408">
        <v>0</v>
      </c>
      <c r="EQ514" s="408"/>
      <c r="ER514" s="408">
        <v>0</v>
      </c>
      <c r="ES514" s="408"/>
      <c r="ET514" s="408">
        <v>0</v>
      </c>
      <c r="EU514" s="408"/>
      <c r="EV514" s="408">
        <v>257</v>
      </c>
      <c r="EW514" s="408"/>
      <c r="EX514" s="408"/>
      <c r="EY514" s="408"/>
      <c r="EZ514" s="408"/>
      <c r="FA514" s="408">
        <v>0</v>
      </c>
      <c r="FB514" s="408"/>
      <c r="FC514" s="408"/>
      <c r="FD514" s="408"/>
      <c r="FE514" s="408"/>
      <c r="FF514" s="408">
        <v>0</v>
      </c>
      <c r="FG514" s="408">
        <v>0</v>
      </c>
      <c r="FH514" s="408">
        <v>0</v>
      </c>
      <c r="FI514" s="408">
        <v>0</v>
      </c>
    </row>
    <row r="515" spans="1:165">
      <c r="A515" s="408">
        <v>513</v>
      </c>
      <c r="B515" s="408" t="s">
        <v>1035</v>
      </c>
      <c r="C515" s="408" t="s">
        <v>2241</v>
      </c>
      <c r="D515" s="408" t="s">
        <v>596</v>
      </c>
      <c r="E515" s="408" t="s">
        <v>969</v>
      </c>
      <c r="F515" s="408" t="s">
        <v>1321</v>
      </c>
      <c r="G515" s="408" t="s">
        <v>2314</v>
      </c>
      <c r="H515" s="408" t="s">
        <v>1321</v>
      </c>
      <c r="I515" s="408" t="s">
        <v>1321</v>
      </c>
      <c r="J515" s="408" t="s">
        <v>2315</v>
      </c>
      <c r="K515" s="828">
        <v>44713</v>
      </c>
      <c r="L515" s="408">
        <v>1175</v>
      </c>
      <c r="M515" s="408">
        <v>587.5</v>
      </c>
      <c r="N515" s="408">
        <v>0</v>
      </c>
      <c r="O515" s="408">
        <v>0</v>
      </c>
      <c r="P515" s="408">
        <v>0</v>
      </c>
      <c r="Q515" s="408">
        <v>0</v>
      </c>
      <c r="R515" s="408">
        <v>47.39</v>
      </c>
      <c r="S515" s="408"/>
      <c r="T515" s="408"/>
      <c r="U515" s="408">
        <v>55683.25</v>
      </c>
      <c r="V515" s="408"/>
      <c r="W515" s="408">
        <v>55683.25</v>
      </c>
      <c r="X515" s="408">
        <v>37858.5</v>
      </c>
      <c r="Y515" s="408">
        <v>0</v>
      </c>
      <c r="Z515" s="408">
        <v>0</v>
      </c>
      <c r="AA515" s="408">
        <v>0</v>
      </c>
      <c r="AB515" s="408">
        <v>0</v>
      </c>
      <c r="AC515" s="408">
        <v>0</v>
      </c>
      <c r="AD515" s="408">
        <v>29339.867710872197</v>
      </c>
      <c r="AE515" s="408">
        <v>26343.34401373216</v>
      </c>
      <c r="AF515" s="408"/>
      <c r="AG515" s="408"/>
      <c r="AH515" s="408"/>
      <c r="AI515" s="408">
        <v>0</v>
      </c>
      <c r="AJ515" s="408">
        <v>0</v>
      </c>
      <c r="AK515" s="408">
        <v>0</v>
      </c>
      <c r="AL515" s="408">
        <v>0</v>
      </c>
      <c r="AM515" s="408"/>
      <c r="AN515" s="408">
        <v>0</v>
      </c>
      <c r="AO515" s="408">
        <v>0</v>
      </c>
      <c r="AP515" s="408">
        <v>0</v>
      </c>
      <c r="AQ515" s="408">
        <v>0</v>
      </c>
      <c r="AR515" s="408">
        <v>0</v>
      </c>
      <c r="AS515" s="408"/>
      <c r="AT515" s="408"/>
      <c r="AU515" s="408">
        <v>0</v>
      </c>
      <c r="AV515" s="408">
        <v>0</v>
      </c>
      <c r="AW515" s="408">
        <v>0</v>
      </c>
      <c r="AX515" s="408"/>
      <c r="AY515" s="408"/>
      <c r="AZ515" s="408">
        <v>0</v>
      </c>
      <c r="BA515" s="408"/>
      <c r="BB515" s="408">
        <v>0</v>
      </c>
      <c r="BC515" s="408">
        <v>0</v>
      </c>
      <c r="BD515" s="408">
        <v>0</v>
      </c>
      <c r="BE515" s="408">
        <v>0</v>
      </c>
      <c r="BF515" s="408"/>
      <c r="BG515" s="408">
        <v>0</v>
      </c>
      <c r="BH515" s="408">
        <v>0</v>
      </c>
      <c r="BI515" s="408">
        <v>638.25</v>
      </c>
      <c r="BJ515" s="408">
        <v>0</v>
      </c>
      <c r="BK515" s="408">
        <v>10284.85</v>
      </c>
      <c r="BL515" s="408">
        <v>3</v>
      </c>
      <c r="BM515" s="408"/>
      <c r="BN515" s="408">
        <v>18929.25</v>
      </c>
      <c r="BO515" s="408"/>
      <c r="BP515" s="408"/>
      <c r="BQ515" s="408"/>
      <c r="BR515" s="408"/>
      <c r="BS515" s="408"/>
      <c r="BT515" s="408"/>
      <c r="BU515" s="408"/>
      <c r="BV515" s="408">
        <v>0</v>
      </c>
      <c r="BW515" s="408"/>
      <c r="BX515" s="408"/>
      <c r="BY515" s="408"/>
      <c r="BZ515" s="408"/>
      <c r="CA515" s="408"/>
      <c r="CB515" s="408"/>
      <c r="CC515" s="408"/>
      <c r="CD515" s="408"/>
      <c r="CE515" s="408"/>
      <c r="CF515" s="408"/>
      <c r="CG515" s="408"/>
      <c r="CH515" s="408"/>
      <c r="CI515" s="408">
        <v>18929.25</v>
      </c>
      <c r="CJ515" s="408">
        <v>-8912.4049999999952</v>
      </c>
      <c r="CK515" s="408"/>
      <c r="CL515" s="408"/>
      <c r="CM515" s="408"/>
      <c r="CN515" s="408"/>
      <c r="CO515" s="408">
        <v>-17824.750000000004</v>
      </c>
      <c r="CP515" s="408">
        <v>0</v>
      </c>
      <c r="CQ515" s="408">
        <v>30</v>
      </c>
      <c r="CR515" s="408">
        <v>-132.61804739171566</v>
      </c>
      <c r="CS515" s="408">
        <v>0</v>
      </c>
      <c r="CT515" s="408">
        <v>0</v>
      </c>
      <c r="CU515" s="408">
        <v>0</v>
      </c>
      <c r="CV515" s="408">
        <v>0</v>
      </c>
      <c r="CW515" s="408"/>
      <c r="CX515" s="408"/>
      <c r="CY515" s="408"/>
      <c r="CZ515" s="408">
        <v>-132.61804739171566</v>
      </c>
      <c r="DA515" s="408">
        <v>0</v>
      </c>
      <c r="DB515" s="408">
        <v>0</v>
      </c>
      <c r="DC515" s="408"/>
      <c r="DD515" s="408"/>
      <c r="DE515" s="408">
        <v>0</v>
      </c>
      <c r="DF515" s="408">
        <v>0</v>
      </c>
      <c r="DG515" s="408">
        <v>0</v>
      </c>
      <c r="DH515" s="408">
        <v>0</v>
      </c>
      <c r="DI515" s="408">
        <v>0</v>
      </c>
      <c r="DJ515" s="408"/>
      <c r="DK515" s="408">
        <v>0</v>
      </c>
      <c r="DL515" s="408">
        <v>0</v>
      </c>
      <c r="DM515" s="408"/>
      <c r="DN515" s="408">
        <v>0</v>
      </c>
      <c r="DO515" s="408">
        <v>0</v>
      </c>
      <c r="DP515" s="408">
        <v>0</v>
      </c>
      <c r="DQ515" s="408">
        <v>0</v>
      </c>
      <c r="DR515" s="408">
        <v>0</v>
      </c>
      <c r="DS515" s="408"/>
      <c r="DT515" s="408"/>
      <c r="DU515" s="408">
        <v>26343.34401373216</v>
      </c>
      <c r="DV515" s="408"/>
      <c r="DW515" s="408">
        <v>0</v>
      </c>
      <c r="DX515" s="408">
        <v>0</v>
      </c>
      <c r="DY515" s="408">
        <v>-17824.75</v>
      </c>
      <c r="DZ515" s="408"/>
      <c r="EA515" s="408">
        <v>0</v>
      </c>
      <c r="EB515" s="408"/>
      <c r="EC515" s="408">
        <v>-17694.156857771282</v>
      </c>
      <c r="ED515" s="408"/>
      <c r="EE515" s="408">
        <v>0</v>
      </c>
      <c r="EF515" s="408">
        <v>0</v>
      </c>
      <c r="EG515" s="408"/>
      <c r="EH515" s="408">
        <v>0</v>
      </c>
      <c r="EI515" s="408">
        <v>0</v>
      </c>
      <c r="EJ515" s="408">
        <v>0</v>
      </c>
      <c r="EK515" s="408">
        <v>0</v>
      </c>
      <c r="EL515" s="408">
        <v>0</v>
      </c>
      <c r="EM515" s="408"/>
      <c r="EN515" s="408"/>
      <c r="EO515" s="408">
        <v>0</v>
      </c>
      <c r="EP515" s="408">
        <v>0</v>
      </c>
      <c r="EQ515" s="408"/>
      <c r="ER515" s="408">
        <v>0</v>
      </c>
      <c r="ES515" s="408"/>
      <c r="ET515" s="408">
        <v>0</v>
      </c>
      <c r="EU515" s="408"/>
      <c r="EV515" s="408">
        <v>257</v>
      </c>
      <c r="EW515" s="408"/>
      <c r="EX515" s="408"/>
      <c r="EY515" s="408"/>
      <c r="EZ515" s="408"/>
      <c r="FA515" s="408">
        <v>0</v>
      </c>
      <c r="FB515" s="408"/>
      <c r="FC515" s="408"/>
      <c r="FD515" s="408"/>
      <c r="FE515" s="408"/>
      <c r="FF515" s="408">
        <v>0</v>
      </c>
      <c r="FG515" s="408">
        <v>0</v>
      </c>
      <c r="FH515" s="408">
        <v>0</v>
      </c>
      <c r="FI515" s="408">
        <v>0</v>
      </c>
    </row>
    <row r="516" spans="1:165">
      <c r="A516" s="408">
        <v>514</v>
      </c>
      <c r="B516" s="408" t="s">
        <v>1035</v>
      </c>
      <c r="C516" s="408" t="s">
        <v>992</v>
      </c>
      <c r="D516" s="408" t="s">
        <v>596</v>
      </c>
      <c r="E516" s="408" t="s">
        <v>1321</v>
      </c>
      <c r="F516" s="408" t="s">
        <v>1321</v>
      </c>
      <c r="G516" s="408" t="s">
        <v>1321</v>
      </c>
      <c r="H516" s="408" t="s">
        <v>2316</v>
      </c>
      <c r="I516" s="408" t="s">
        <v>1321</v>
      </c>
      <c r="J516" s="408" t="s">
        <v>2250</v>
      </c>
      <c r="K516" s="828">
        <v>44713</v>
      </c>
      <c r="L516" s="408">
        <v>1000</v>
      </c>
      <c r="M516" s="408">
        <v>500</v>
      </c>
      <c r="N516" s="408">
        <v>0</v>
      </c>
      <c r="O516" s="408">
        <v>0</v>
      </c>
      <c r="P516" s="408">
        <v>0</v>
      </c>
      <c r="Q516" s="408">
        <v>0</v>
      </c>
      <c r="R516" s="408">
        <v>15.78</v>
      </c>
      <c r="S516" s="408"/>
      <c r="T516" s="408"/>
      <c r="U516" s="408">
        <v>15780</v>
      </c>
      <c r="V516" s="408"/>
      <c r="W516" s="408">
        <v>15780</v>
      </c>
      <c r="X516" s="408">
        <v>5200</v>
      </c>
      <c r="Y516" s="408">
        <v>0</v>
      </c>
      <c r="Z516" s="408">
        <v>0</v>
      </c>
      <c r="AA516" s="408">
        <v>0</v>
      </c>
      <c r="AB516" s="408">
        <v>0</v>
      </c>
      <c r="AC516" s="408">
        <v>0</v>
      </c>
      <c r="AD516" s="408">
        <v>0</v>
      </c>
      <c r="AE516" s="408">
        <v>15739.433553196899</v>
      </c>
      <c r="AF516" s="408"/>
      <c r="AG516" s="408"/>
      <c r="AH516" s="408"/>
      <c r="AI516" s="408">
        <v>0</v>
      </c>
      <c r="AJ516" s="408">
        <v>0</v>
      </c>
      <c r="AK516" s="408">
        <v>0</v>
      </c>
      <c r="AL516" s="408">
        <v>0</v>
      </c>
      <c r="AM516" s="408"/>
      <c r="AN516" s="408">
        <v>38.248486219299501</v>
      </c>
      <c r="AO516" s="408">
        <v>0</v>
      </c>
      <c r="AP516" s="408">
        <v>0</v>
      </c>
      <c r="AQ516" s="408">
        <v>0</v>
      </c>
      <c r="AR516" s="408">
        <v>0</v>
      </c>
      <c r="AS516" s="408"/>
      <c r="AT516" s="408"/>
      <c r="AU516" s="408">
        <v>0</v>
      </c>
      <c r="AV516" s="408">
        <v>0</v>
      </c>
      <c r="AW516" s="408">
        <v>0</v>
      </c>
      <c r="AX516" s="408"/>
      <c r="AY516" s="408"/>
      <c r="AZ516" s="408">
        <v>0</v>
      </c>
      <c r="BA516" s="408"/>
      <c r="BB516" s="408">
        <v>0</v>
      </c>
      <c r="BC516" s="408">
        <v>0</v>
      </c>
      <c r="BD516" s="408">
        <v>0</v>
      </c>
      <c r="BE516" s="408">
        <v>0</v>
      </c>
      <c r="BF516" s="408"/>
      <c r="BG516" s="408">
        <v>0</v>
      </c>
      <c r="BH516" s="408">
        <v>0</v>
      </c>
      <c r="BI516" s="408">
        <v>35.21</v>
      </c>
      <c r="BJ516" s="408">
        <v>0</v>
      </c>
      <c r="BK516" s="408">
        <v>539.74</v>
      </c>
      <c r="BL516" s="408">
        <v>0</v>
      </c>
      <c r="BM516" s="408"/>
      <c r="BN516" s="408"/>
      <c r="BO516" s="408">
        <v>2600</v>
      </c>
      <c r="BP516" s="408"/>
      <c r="BQ516" s="408"/>
      <c r="BR516" s="408"/>
      <c r="BS516" s="408"/>
      <c r="BT516" s="408"/>
      <c r="BU516" s="408"/>
      <c r="BV516" s="408">
        <v>0</v>
      </c>
      <c r="BW516" s="408"/>
      <c r="BX516" s="408"/>
      <c r="BY516" s="408"/>
      <c r="BZ516" s="408"/>
      <c r="CA516" s="408"/>
      <c r="CB516" s="408"/>
      <c r="CC516" s="408"/>
      <c r="CD516" s="408"/>
      <c r="CE516" s="408"/>
      <c r="CF516" s="408"/>
      <c r="CG516" s="408"/>
      <c r="CH516" s="408"/>
      <c r="CI516" s="408">
        <v>2600</v>
      </c>
      <c r="CJ516" s="408">
        <v>-5290.0300000000007</v>
      </c>
      <c r="CK516" s="408"/>
      <c r="CL516" s="408"/>
      <c r="CM516" s="408"/>
      <c r="CN516" s="408"/>
      <c r="CO516" s="408">
        <v>-10579.999999999998</v>
      </c>
      <c r="CP516" s="408">
        <v>0</v>
      </c>
      <c r="CQ516" s="408">
        <v>30</v>
      </c>
      <c r="CR516" s="408">
        <v>-2.4442243733642997</v>
      </c>
      <c r="CS516" s="408">
        <v>0</v>
      </c>
      <c r="CT516" s="408">
        <v>0</v>
      </c>
      <c r="CU516" s="408">
        <v>0</v>
      </c>
      <c r="CV516" s="408">
        <v>0</v>
      </c>
      <c r="CW516" s="408"/>
      <c r="CX516" s="408"/>
      <c r="CY516" s="408"/>
      <c r="CZ516" s="408">
        <v>0</v>
      </c>
      <c r="DA516" s="408">
        <v>0</v>
      </c>
      <c r="DB516" s="408">
        <v>0</v>
      </c>
      <c r="DC516" s="408"/>
      <c r="DD516" s="408"/>
      <c r="DE516" s="408">
        <v>0</v>
      </c>
      <c r="DF516" s="408">
        <v>0</v>
      </c>
      <c r="DG516" s="408">
        <v>0</v>
      </c>
      <c r="DH516" s="408">
        <v>0</v>
      </c>
      <c r="DI516" s="408">
        <v>0</v>
      </c>
      <c r="DJ516" s="408"/>
      <c r="DK516" s="408">
        <v>0</v>
      </c>
      <c r="DL516" s="408">
        <v>0</v>
      </c>
      <c r="DM516" s="408"/>
      <c r="DN516" s="408">
        <v>0</v>
      </c>
      <c r="DO516" s="408">
        <v>0</v>
      </c>
      <c r="DP516" s="408">
        <v>-2.4442243733642997</v>
      </c>
      <c r="DQ516" s="408">
        <v>0</v>
      </c>
      <c r="DR516" s="408">
        <v>0</v>
      </c>
      <c r="DS516" s="408"/>
      <c r="DT516" s="408"/>
      <c r="DU516" s="408">
        <v>15739.433553196899</v>
      </c>
      <c r="DV516" s="408"/>
      <c r="DW516" s="408">
        <v>0</v>
      </c>
      <c r="DX516" s="408">
        <v>0</v>
      </c>
      <c r="DY516" s="408">
        <v>-10580</v>
      </c>
      <c r="DZ516" s="408"/>
      <c r="EA516" s="408">
        <v>0</v>
      </c>
      <c r="EB516" s="408"/>
      <c r="EC516" s="408">
        <v>-10571.778814320649</v>
      </c>
      <c r="ED516" s="408"/>
      <c r="EE516" s="408">
        <v>0</v>
      </c>
      <c r="EF516" s="408">
        <v>0</v>
      </c>
      <c r="EG516" s="408"/>
      <c r="EH516" s="408">
        <v>0</v>
      </c>
      <c r="EI516" s="408">
        <v>0</v>
      </c>
      <c r="EJ516" s="408">
        <v>0</v>
      </c>
      <c r="EK516" s="408">
        <v>0</v>
      </c>
      <c r="EL516" s="408">
        <v>0</v>
      </c>
      <c r="EM516" s="408"/>
      <c r="EN516" s="408"/>
      <c r="EO516" s="408">
        <v>0</v>
      </c>
      <c r="EP516" s="408">
        <v>0</v>
      </c>
      <c r="EQ516" s="408"/>
      <c r="ER516" s="408">
        <v>0</v>
      </c>
      <c r="ES516" s="408"/>
      <c r="ET516" s="408">
        <v>0</v>
      </c>
      <c r="EU516" s="408"/>
      <c r="EV516" s="408">
        <v>257</v>
      </c>
      <c r="EW516" s="408"/>
      <c r="EX516" s="408"/>
      <c r="EY516" s="408"/>
      <c r="EZ516" s="408"/>
      <c r="FA516" s="408">
        <v>0</v>
      </c>
      <c r="FB516" s="408"/>
      <c r="FC516" s="408"/>
      <c r="FD516" s="408"/>
      <c r="FE516" s="408"/>
      <c r="FF516" s="408">
        <v>0</v>
      </c>
      <c r="FG516" s="408">
        <v>0</v>
      </c>
      <c r="FH516" s="408">
        <v>0</v>
      </c>
      <c r="FI516" s="408">
        <v>0</v>
      </c>
    </row>
    <row r="517" spans="1:165">
      <c r="A517" s="265">
        <v>515</v>
      </c>
      <c r="B517" s="265" t="s">
        <v>1035</v>
      </c>
      <c r="C517" s="265" t="s">
        <v>992</v>
      </c>
      <c r="D517" s="265" t="s">
        <v>596</v>
      </c>
      <c r="E517" s="265" t="s">
        <v>1321</v>
      </c>
      <c r="F517" s="265" t="s">
        <v>1321</v>
      </c>
      <c r="G517" s="265" t="s">
        <v>1321</v>
      </c>
      <c r="H517" s="265" t="s">
        <v>2317</v>
      </c>
      <c r="I517" s="265" t="s">
        <v>1321</v>
      </c>
      <c r="J517" s="265" t="s">
        <v>2250</v>
      </c>
      <c r="K517" s="1656">
        <v>44713</v>
      </c>
      <c r="L517" s="265">
        <v>790</v>
      </c>
      <c r="M517" s="265">
        <v>395</v>
      </c>
      <c r="N517" s="265">
        <v>0</v>
      </c>
      <c r="O517" s="265">
        <v>0</v>
      </c>
      <c r="P517" s="265">
        <v>0</v>
      </c>
      <c r="Q517" s="265">
        <v>0</v>
      </c>
      <c r="R517" s="265">
        <v>15.78</v>
      </c>
      <c r="S517" s="265"/>
      <c r="T517" s="265"/>
      <c r="U517" s="265">
        <v>12466.199999999999</v>
      </c>
      <c r="V517" s="265"/>
      <c r="W517" s="265">
        <v>12466.199999999999</v>
      </c>
      <c r="X517" s="265">
        <v>4108</v>
      </c>
      <c r="Y517" s="265">
        <v>0</v>
      </c>
      <c r="Z517" s="265">
        <v>0</v>
      </c>
      <c r="AA517" s="265">
        <v>0</v>
      </c>
      <c r="AB517" s="265">
        <v>0</v>
      </c>
      <c r="AC517" s="265">
        <v>0</v>
      </c>
      <c r="AD517" s="265">
        <v>0</v>
      </c>
      <c r="AE517" s="265">
        <v>12434.15250702555</v>
      </c>
      <c r="AF517" s="265"/>
      <c r="AG517" s="265"/>
      <c r="AH517" s="265"/>
      <c r="AI517" s="265">
        <v>0</v>
      </c>
      <c r="AJ517" s="265">
        <v>0</v>
      </c>
      <c r="AK517" s="265">
        <v>0</v>
      </c>
      <c r="AL517" s="265">
        <v>0</v>
      </c>
      <c r="AM517" s="265"/>
      <c r="AN517" s="265">
        <v>30.216304113246604</v>
      </c>
      <c r="AO517" s="265">
        <v>0</v>
      </c>
      <c r="AP517" s="265">
        <v>0</v>
      </c>
      <c r="AQ517" s="265">
        <v>0</v>
      </c>
      <c r="AR517" s="265">
        <v>0</v>
      </c>
      <c r="AS517" s="265"/>
      <c r="AT517" s="265"/>
      <c r="AU517" s="265">
        <v>0</v>
      </c>
      <c r="AV517" s="265">
        <v>0</v>
      </c>
      <c r="AW517" s="265">
        <v>0</v>
      </c>
      <c r="AX517" s="265"/>
      <c r="AY517" s="265"/>
      <c r="AZ517" s="265">
        <v>0</v>
      </c>
      <c r="BA517" s="265"/>
      <c r="BB517" s="265">
        <v>0</v>
      </c>
      <c r="BC517" s="265">
        <v>0</v>
      </c>
      <c r="BD517" s="265">
        <v>0</v>
      </c>
      <c r="BE517" s="265">
        <v>0</v>
      </c>
      <c r="BF517" s="265"/>
      <c r="BG517" s="265">
        <v>0</v>
      </c>
      <c r="BH517" s="265">
        <v>0</v>
      </c>
      <c r="BI517" s="265">
        <v>27.81</v>
      </c>
      <c r="BJ517" s="265">
        <v>0</v>
      </c>
      <c r="BK517" s="265">
        <v>426.39</v>
      </c>
      <c r="BL517" s="265">
        <v>0</v>
      </c>
      <c r="BM517" s="265"/>
      <c r="BN517" s="265"/>
      <c r="BO517" s="265">
        <v>2054</v>
      </c>
      <c r="BP517" s="265"/>
      <c r="BQ517" s="265"/>
      <c r="BR517" s="265"/>
      <c r="BS517" s="265"/>
      <c r="BT517" s="265"/>
      <c r="BU517" s="265"/>
      <c r="BV517" s="265">
        <v>0</v>
      </c>
      <c r="BW517" s="265"/>
      <c r="BX517" s="265"/>
      <c r="BY517" s="265"/>
      <c r="BZ517" s="265"/>
      <c r="CA517" s="265"/>
      <c r="CB517" s="265"/>
      <c r="CC517" s="265"/>
      <c r="CD517" s="265"/>
      <c r="CE517" s="265"/>
      <c r="CF517" s="265"/>
      <c r="CG517" s="265"/>
      <c r="CH517" s="265"/>
      <c r="CI517" s="265">
        <v>2054</v>
      </c>
      <c r="CJ517" s="265">
        <v>-4179.13</v>
      </c>
      <c r="CK517" s="265"/>
      <c r="CL517" s="265"/>
      <c r="CM517" s="265"/>
      <c r="CN517" s="265"/>
      <c r="CO517" s="265">
        <v>-8358.1999999999989</v>
      </c>
      <c r="CP517" s="265">
        <v>0</v>
      </c>
      <c r="CQ517" s="265">
        <v>30</v>
      </c>
      <c r="CR517" s="265">
        <v>-1.9309372549577972</v>
      </c>
      <c r="CS517" s="265">
        <v>0</v>
      </c>
      <c r="CT517" s="265">
        <v>0</v>
      </c>
      <c r="CU517" s="265">
        <v>0</v>
      </c>
      <c r="CV517" s="265">
        <v>0</v>
      </c>
      <c r="CW517" s="265"/>
      <c r="CX517" s="265"/>
      <c r="CY517" s="265"/>
      <c r="CZ517" s="265">
        <v>0</v>
      </c>
      <c r="DA517" s="265">
        <v>0</v>
      </c>
      <c r="DB517" s="265">
        <v>0</v>
      </c>
      <c r="DC517" s="265"/>
      <c r="DD517" s="265"/>
      <c r="DE517" s="265">
        <v>0</v>
      </c>
      <c r="DF517" s="265">
        <v>0</v>
      </c>
      <c r="DG517" s="265">
        <v>0</v>
      </c>
      <c r="DH517" s="265">
        <v>0</v>
      </c>
      <c r="DI517" s="265">
        <v>0</v>
      </c>
      <c r="DJ517" s="265"/>
      <c r="DK517" s="265">
        <v>0</v>
      </c>
      <c r="DL517" s="265">
        <v>0</v>
      </c>
      <c r="DM517" s="265"/>
      <c r="DN517" s="265">
        <v>0</v>
      </c>
      <c r="DO517" s="265">
        <v>0</v>
      </c>
      <c r="DP517" s="265">
        <v>-1.9309372549577972</v>
      </c>
      <c r="DQ517" s="265">
        <v>0</v>
      </c>
      <c r="DR517" s="265">
        <v>0</v>
      </c>
      <c r="DS517" s="265"/>
      <c r="DT517" s="265"/>
      <c r="DU517" s="265">
        <v>12434.15250702555</v>
      </c>
      <c r="DV517" s="265"/>
      <c r="DW517" s="265">
        <v>0</v>
      </c>
      <c r="DX517" s="265">
        <v>0</v>
      </c>
      <c r="DY517" s="265">
        <v>-8358.1999999999989</v>
      </c>
      <c r="DZ517" s="265"/>
      <c r="EA517" s="265">
        <v>0</v>
      </c>
      <c r="EB517" s="265"/>
      <c r="EC517" s="265">
        <v>-8351.7052633133135</v>
      </c>
      <c r="ED517" s="265"/>
      <c r="EE517" s="265">
        <v>0</v>
      </c>
      <c r="EF517" s="265">
        <v>0</v>
      </c>
      <c r="EG517" s="265"/>
      <c r="EH517" s="265">
        <v>0</v>
      </c>
      <c r="EI517" s="265">
        <v>0</v>
      </c>
      <c r="EJ517" s="265">
        <v>0</v>
      </c>
      <c r="EK517" s="265">
        <v>0</v>
      </c>
      <c r="EL517" s="265">
        <v>0</v>
      </c>
      <c r="EM517" s="265"/>
      <c r="EN517" s="265"/>
      <c r="EO517" s="265">
        <v>0</v>
      </c>
      <c r="EP517" s="265">
        <v>0</v>
      </c>
      <c r="EQ517" s="265"/>
      <c r="ER517" s="265">
        <v>0</v>
      </c>
      <c r="ES517" s="265"/>
      <c r="ET517" s="265">
        <v>0</v>
      </c>
      <c r="EU517" s="265"/>
      <c r="EV517" s="265">
        <v>257</v>
      </c>
      <c r="EW517" s="265"/>
      <c r="EX517" s="265"/>
      <c r="EY517" s="265"/>
      <c r="EZ517" s="265"/>
      <c r="FA517" s="265">
        <v>0</v>
      </c>
      <c r="FB517" s="265"/>
      <c r="FC517" s="265"/>
      <c r="FD517" s="265"/>
      <c r="FE517" s="265"/>
      <c r="FF517" s="265">
        <v>0</v>
      </c>
      <c r="FG517" s="265">
        <v>0</v>
      </c>
      <c r="FH517" s="265">
        <v>0</v>
      </c>
      <c r="FI517" s="265">
        <v>0</v>
      </c>
    </row>
    <row r="518" spans="1:165">
      <c r="K518" s="266"/>
      <c r="L518" s="266"/>
      <c r="M518" s="266"/>
      <c r="N518" s="266"/>
      <c r="O518" s="266"/>
      <c r="P518" s="266"/>
      <c r="Q518" s="266"/>
      <c r="BR518" s="266"/>
      <c r="BS518" s="266"/>
      <c r="BT518" s="266"/>
      <c r="BU518" s="266"/>
      <c r="BV518" s="266"/>
      <c r="CJ518" s="266"/>
      <c r="CO518" s="266"/>
      <c r="CP518" s="266"/>
      <c r="CQ518" s="266"/>
      <c r="CR518" s="266"/>
      <c r="CS518" s="266"/>
      <c r="CT518" s="266"/>
      <c r="CU518" s="266"/>
      <c r="CV518" s="266"/>
      <c r="CW518" s="266"/>
      <c r="CX518" s="266"/>
      <c r="CY518" s="266"/>
      <c r="CZ518" s="266"/>
      <c r="DA518" s="266"/>
      <c r="DB518" s="266"/>
      <c r="DC518" s="266"/>
      <c r="DD518" s="266"/>
      <c r="DE518" s="266"/>
      <c r="DF518" s="266"/>
      <c r="DG518" s="266"/>
      <c r="DH518" s="266"/>
      <c r="DI518" s="266"/>
      <c r="DJ518" s="266"/>
      <c r="DK518" s="266"/>
      <c r="DL518" s="266"/>
      <c r="DM518" s="266"/>
      <c r="DN518" s="266"/>
      <c r="DO518" s="266"/>
      <c r="DP518" s="266"/>
      <c r="DQ518" s="266"/>
      <c r="DR518" s="266"/>
      <c r="DS518" s="266"/>
      <c r="DY518" s="266"/>
      <c r="EC518" s="266"/>
      <c r="EP518" s="266"/>
    </row>
    <row r="519" spans="1:165">
      <c r="K519" s="266"/>
      <c r="L519" s="266"/>
      <c r="M519" s="266"/>
      <c r="N519" s="266"/>
      <c r="O519" s="266"/>
      <c r="P519" s="266"/>
      <c r="Q519" s="266"/>
      <c r="BR519" s="266"/>
      <c r="BS519" s="266"/>
      <c r="BT519" s="266"/>
      <c r="BU519" s="266"/>
      <c r="BV519" s="266"/>
      <c r="CJ519" s="266"/>
      <c r="CO519" s="266"/>
      <c r="CP519" s="266"/>
      <c r="CQ519" s="266"/>
      <c r="CR519" s="266"/>
      <c r="CS519" s="266"/>
      <c r="CT519" s="266"/>
      <c r="CU519" s="266"/>
      <c r="CV519" s="266"/>
      <c r="CW519" s="266"/>
      <c r="CX519" s="266"/>
      <c r="CY519" s="266"/>
      <c r="CZ519" s="266"/>
      <c r="DA519" s="266"/>
      <c r="DB519" s="266"/>
      <c r="DC519" s="266"/>
      <c r="DD519" s="266"/>
      <c r="DE519" s="266"/>
      <c r="DF519" s="266"/>
      <c r="DG519" s="266"/>
      <c r="DH519" s="266"/>
      <c r="DI519" s="266"/>
      <c r="DJ519" s="266"/>
      <c r="DK519" s="266"/>
      <c r="DL519" s="266"/>
      <c r="DM519" s="266"/>
      <c r="DN519" s="266"/>
      <c r="DO519" s="266"/>
      <c r="DP519" s="266"/>
      <c r="DQ519" s="266"/>
      <c r="DR519" s="266"/>
      <c r="DS519" s="266"/>
      <c r="DY519" s="266"/>
      <c r="EC519" s="266"/>
      <c r="EP519" s="266"/>
    </row>
    <row r="520" spans="1:165">
      <c r="K520" s="266"/>
      <c r="L520" s="266"/>
      <c r="M520" s="266"/>
      <c r="N520" s="266"/>
      <c r="O520" s="266"/>
      <c r="P520" s="266"/>
      <c r="Q520" s="266"/>
      <c r="BR520" s="266"/>
      <c r="BS520" s="266"/>
      <c r="BT520" s="266"/>
      <c r="BU520" s="266"/>
      <c r="BV520" s="266"/>
      <c r="CJ520" s="266"/>
      <c r="CO520" s="266"/>
      <c r="CP520" s="266"/>
      <c r="CQ520" s="266"/>
      <c r="CR520" s="266"/>
      <c r="CS520" s="266"/>
      <c r="CT520" s="266"/>
      <c r="CU520" s="266"/>
      <c r="CV520" s="266"/>
      <c r="CW520" s="266"/>
      <c r="CX520" s="266"/>
      <c r="CY520" s="266"/>
      <c r="CZ520" s="266"/>
      <c r="DA520" s="266"/>
      <c r="DB520" s="266"/>
      <c r="DC520" s="266"/>
      <c r="DD520" s="266"/>
      <c r="DE520" s="266"/>
      <c r="DF520" s="266"/>
      <c r="DG520" s="266"/>
      <c r="DH520" s="266"/>
      <c r="DI520" s="266"/>
      <c r="DJ520" s="266"/>
      <c r="DK520" s="266"/>
      <c r="DL520" s="266"/>
      <c r="DM520" s="266"/>
      <c r="DN520" s="266"/>
      <c r="DO520" s="266"/>
      <c r="DP520" s="266"/>
      <c r="DQ520" s="266"/>
      <c r="DR520" s="266"/>
      <c r="DS520" s="266"/>
      <c r="DY520" s="266"/>
      <c r="EC520" s="266"/>
      <c r="EP520" s="266"/>
    </row>
    <row r="521" spans="1:165">
      <c r="K521" s="266"/>
      <c r="L521" s="266"/>
      <c r="M521" s="266"/>
      <c r="N521" s="266"/>
      <c r="O521" s="266"/>
      <c r="P521" s="266"/>
      <c r="Q521" s="266"/>
      <c r="BR521" s="266"/>
      <c r="BS521" s="266"/>
      <c r="BT521" s="266"/>
      <c r="BU521" s="266"/>
      <c r="BV521" s="266"/>
      <c r="CJ521" s="266"/>
      <c r="CO521" s="266"/>
      <c r="CP521" s="266"/>
      <c r="CQ521" s="266"/>
      <c r="CR521" s="266"/>
      <c r="CS521" s="266"/>
      <c r="CT521" s="266"/>
      <c r="CU521" s="266"/>
      <c r="CV521" s="266"/>
      <c r="CW521" s="266"/>
      <c r="CX521" s="266"/>
      <c r="CY521" s="266"/>
      <c r="CZ521" s="266"/>
      <c r="DA521" s="266"/>
      <c r="DB521" s="266"/>
      <c r="DC521" s="266"/>
      <c r="DD521" s="266"/>
      <c r="DE521" s="266"/>
      <c r="DF521" s="266"/>
      <c r="DG521" s="266"/>
      <c r="DH521" s="266"/>
      <c r="DI521" s="266"/>
      <c r="DJ521" s="266"/>
      <c r="DK521" s="266"/>
      <c r="DL521" s="266"/>
      <c r="DM521" s="266"/>
      <c r="DN521" s="266"/>
      <c r="DO521" s="266"/>
      <c r="DP521" s="266"/>
      <c r="DQ521" s="266"/>
      <c r="DR521" s="266"/>
      <c r="DS521" s="266"/>
      <c r="DY521" s="266"/>
      <c r="EC521" s="266"/>
      <c r="EP521" s="266"/>
    </row>
    <row r="522" spans="1:165">
      <c r="K522" s="266"/>
      <c r="L522" s="266"/>
      <c r="M522" s="266"/>
      <c r="N522" s="266"/>
      <c r="O522" s="266"/>
      <c r="P522" s="266"/>
      <c r="Q522" s="266"/>
      <c r="BR522" s="266"/>
      <c r="BS522" s="266"/>
      <c r="BT522" s="266"/>
      <c r="BU522" s="266"/>
      <c r="BV522" s="266"/>
      <c r="CJ522" s="266"/>
      <c r="CO522" s="266"/>
      <c r="CP522" s="266"/>
      <c r="CQ522" s="266"/>
      <c r="CR522" s="266"/>
      <c r="CS522" s="266"/>
      <c r="CT522" s="266"/>
      <c r="CU522" s="266"/>
      <c r="CV522" s="266"/>
      <c r="CW522" s="266"/>
      <c r="CX522" s="266"/>
      <c r="CY522" s="266"/>
      <c r="CZ522" s="266"/>
      <c r="DA522" s="266"/>
      <c r="DB522" s="266"/>
      <c r="DC522" s="266"/>
      <c r="DD522" s="266"/>
      <c r="DE522" s="266"/>
      <c r="DF522" s="266"/>
      <c r="DG522" s="266"/>
      <c r="DH522" s="266"/>
      <c r="DI522" s="266"/>
      <c r="DJ522" s="266"/>
      <c r="DK522" s="266"/>
      <c r="DL522" s="266"/>
      <c r="DM522" s="266"/>
      <c r="DN522" s="266"/>
      <c r="DO522" s="266"/>
      <c r="DP522" s="266"/>
      <c r="DQ522" s="266"/>
      <c r="DR522" s="266"/>
      <c r="DS522" s="266"/>
      <c r="DY522" s="266"/>
      <c r="EC522" s="266"/>
      <c r="EP522" s="266"/>
    </row>
    <row r="523" spans="1:165">
      <c r="K523" s="266"/>
      <c r="L523" s="266"/>
      <c r="M523" s="266"/>
      <c r="N523" s="266"/>
      <c r="O523" s="266"/>
      <c r="P523" s="266"/>
      <c r="Q523" s="266"/>
      <c r="BR523" s="266"/>
      <c r="BS523" s="266"/>
      <c r="BT523" s="266"/>
      <c r="BU523" s="266"/>
      <c r="BV523" s="266"/>
      <c r="CJ523" s="266"/>
      <c r="CO523" s="266"/>
      <c r="CP523" s="266"/>
      <c r="CQ523" s="266"/>
      <c r="CR523" s="266"/>
      <c r="CS523" s="266"/>
      <c r="CT523" s="266"/>
      <c r="CU523" s="266"/>
      <c r="CV523" s="266"/>
      <c r="CW523" s="266"/>
      <c r="CX523" s="266"/>
      <c r="CY523" s="266"/>
      <c r="CZ523" s="266"/>
      <c r="DA523" s="266"/>
      <c r="DB523" s="266"/>
      <c r="DC523" s="266"/>
      <c r="DD523" s="266"/>
      <c r="DE523" s="266"/>
      <c r="DF523" s="266"/>
      <c r="DG523" s="266"/>
      <c r="DH523" s="266"/>
      <c r="DI523" s="266"/>
      <c r="DJ523" s="266"/>
      <c r="DK523" s="266"/>
      <c r="DL523" s="266"/>
      <c r="DM523" s="266"/>
      <c r="DN523" s="266"/>
      <c r="DO523" s="266"/>
      <c r="DP523" s="266"/>
      <c r="DQ523" s="266"/>
      <c r="DR523" s="266"/>
      <c r="DS523" s="266"/>
      <c r="DY523" s="266"/>
      <c r="EC523" s="266"/>
      <c r="EP523" s="266"/>
    </row>
    <row r="524" spans="1:165">
      <c r="K524" s="266"/>
      <c r="L524" s="266"/>
      <c r="M524" s="266"/>
      <c r="N524" s="266"/>
      <c r="O524" s="266"/>
      <c r="P524" s="266"/>
      <c r="Q524" s="266"/>
      <c r="BR524" s="266"/>
      <c r="BS524" s="266"/>
      <c r="BT524" s="266"/>
      <c r="BU524" s="266"/>
      <c r="BV524" s="266"/>
      <c r="CJ524" s="266"/>
      <c r="CO524" s="266"/>
      <c r="CP524" s="266"/>
      <c r="CQ524" s="266"/>
      <c r="CR524" s="266"/>
      <c r="CS524" s="266"/>
      <c r="CT524" s="266"/>
      <c r="CU524" s="266"/>
      <c r="CV524" s="266"/>
      <c r="CW524" s="266"/>
      <c r="CX524" s="266"/>
      <c r="CY524" s="266"/>
      <c r="CZ524" s="266"/>
      <c r="DA524" s="266"/>
      <c r="DB524" s="266"/>
      <c r="DC524" s="266"/>
      <c r="DD524" s="266"/>
      <c r="DE524" s="266"/>
      <c r="DF524" s="266"/>
      <c r="DG524" s="266"/>
      <c r="DH524" s="266"/>
      <c r="DI524" s="266"/>
      <c r="DJ524" s="266"/>
      <c r="DK524" s="266"/>
      <c r="DL524" s="266"/>
      <c r="DM524" s="266"/>
      <c r="DN524" s="266"/>
      <c r="DO524" s="266"/>
      <c r="DP524" s="266"/>
      <c r="DQ524" s="266"/>
      <c r="DR524" s="266"/>
      <c r="DS524" s="266"/>
      <c r="DY524" s="266"/>
      <c r="EC524" s="266"/>
      <c r="EP524" s="266"/>
    </row>
    <row r="525" spans="1:165">
      <c r="K525" s="266"/>
      <c r="L525" s="266"/>
      <c r="M525" s="266"/>
      <c r="N525" s="266"/>
      <c r="O525" s="266"/>
      <c r="P525" s="266"/>
      <c r="Q525" s="266"/>
      <c r="BR525" s="266"/>
      <c r="BS525" s="266"/>
      <c r="BT525" s="266"/>
      <c r="BU525" s="266"/>
      <c r="BV525" s="266"/>
      <c r="CJ525" s="266"/>
      <c r="CO525" s="266"/>
      <c r="CP525" s="266"/>
      <c r="CQ525" s="266"/>
      <c r="CR525" s="266"/>
      <c r="CS525" s="266"/>
      <c r="CT525" s="266"/>
      <c r="CU525" s="266"/>
      <c r="CV525" s="266"/>
      <c r="CW525" s="266"/>
      <c r="CX525" s="266"/>
      <c r="CY525" s="266"/>
      <c r="CZ525" s="266"/>
      <c r="DA525" s="266"/>
      <c r="DB525" s="266"/>
      <c r="DC525" s="266"/>
      <c r="DD525" s="266"/>
      <c r="DE525" s="266"/>
      <c r="DF525" s="266"/>
      <c r="DG525" s="266"/>
      <c r="DH525" s="266"/>
      <c r="DI525" s="266"/>
      <c r="DJ525" s="266"/>
      <c r="DK525" s="266"/>
      <c r="DL525" s="266"/>
      <c r="DM525" s="266"/>
      <c r="DN525" s="266"/>
      <c r="DO525" s="266"/>
      <c r="DP525" s="266"/>
      <c r="DQ525" s="266"/>
      <c r="DR525" s="266"/>
      <c r="DS525" s="266"/>
      <c r="DY525" s="266"/>
      <c r="EC525" s="266"/>
      <c r="EP525" s="266"/>
    </row>
    <row r="526" spans="1:165">
      <c r="K526" s="266"/>
      <c r="L526" s="266"/>
      <c r="M526" s="266"/>
      <c r="N526" s="266"/>
      <c r="O526" s="266"/>
      <c r="P526" s="266"/>
      <c r="Q526" s="266"/>
      <c r="BR526" s="266"/>
      <c r="BS526" s="266"/>
      <c r="BT526" s="266"/>
      <c r="BU526" s="266"/>
      <c r="BV526" s="266"/>
      <c r="CJ526" s="266"/>
      <c r="CO526" s="266"/>
      <c r="CP526" s="266"/>
      <c r="CQ526" s="266"/>
      <c r="CR526" s="266"/>
      <c r="CS526" s="266"/>
      <c r="CT526" s="266"/>
      <c r="CU526" s="266"/>
      <c r="CV526" s="266"/>
      <c r="CW526" s="266"/>
      <c r="CX526" s="266"/>
      <c r="CY526" s="266"/>
      <c r="CZ526" s="266"/>
      <c r="DA526" s="266"/>
      <c r="DB526" s="266"/>
      <c r="DC526" s="266"/>
      <c r="DD526" s="266"/>
      <c r="DE526" s="266"/>
      <c r="DF526" s="266"/>
      <c r="DG526" s="266"/>
      <c r="DH526" s="266"/>
      <c r="DI526" s="266"/>
      <c r="DJ526" s="266"/>
      <c r="DK526" s="266"/>
      <c r="DL526" s="266"/>
      <c r="DM526" s="266"/>
      <c r="DN526" s="266"/>
      <c r="DO526" s="266"/>
      <c r="DP526" s="266"/>
      <c r="DQ526" s="266"/>
      <c r="DR526" s="266"/>
      <c r="DS526" s="266"/>
      <c r="DY526" s="266"/>
      <c r="EC526" s="266"/>
      <c r="EP526" s="266"/>
    </row>
    <row r="527" spans="1:165">
      <c r="K527" s="266"/>
      <c r="L527" s="266"/>
      <c r="M527" s="266"/>
      <c r="N527" s="266"/>
      <c r="O527" s="266"/>
      <c r="P527" s="266"/>
      <c r="Q527" s="266"/>
      <c r="BR527" s="266"/>
      <c r="BS527" s="266"/>
      <c r="BT527" s="266"/>
      <c r="BU527" s="266"/>
      <c r="BV527" s="266"/>
      <c r="CJ527" s="266"/>
      <c r="CO527" s="266"/>
      <c r="CP527" s="266"/>
      <c r="CQ527" s="266"/>
      <c r="CR527" s="266"/>
      <c r="CS527" s="266"/>
      <c r="CT527" s="266"/>
      <c r="CU527" s="266"/>
      <c r="CV527" s="266"/>
      <c r="CW527" s="266"/>
      <c r="CX527" s="266"/>
      <c r="CY527" s="266"/>
      <c r="CZ527" s="266"/>
      <c r="DA527" s="266"/>
      <c r="DB527" s="266"/>
      <c r="DC527" s="266"/>
      <c r="DD527" s="266"/>
      <c r="DE527" s="266"/>
      <c r="DF527" s="266"/>
      <c r="DG527" s="266"/>
      <c r="DH527" s="266"/>
      <c r="DI527" s="266"/>
      <c r="DJ527" s="266"/>
      <c r="DK527" s="266"/>
      <c r="DL527" s="266"/>
      <c r="DM527" s="266"/>
      <c r="DN527" s="266"/>
      <c r="DO527" s="266"/>
      <c r="DP527" s="266"/>
      <c r="DQ527" s="266"/>
      <c r="DR527" s="266"/>
      <c r="DS527" s="266"/>
      <c r="DY527" s="266"/>
      <c r="EC527" s="266"/>
      <c r="EP527" s="266"/>
    </row>
    <row r="528" spans="1:165">
      <c r="K528" s="266"/>
      <c r="L528" s="266"/>
      <c r="M528" s="266"/>
      <c r="N528" s="266"/>
      <c r="O528" s="266"/>
      <c r="P528" s="266"/>
      <c r="Q528" s="266"/>
      <c r="BR528" s="266"/>
      <c r="BS528" s="266"/>
      <c r="BT528" s="266"/>
      <c r="BU528" s="266"/>
      <c r="BV528" s="266"/>
      <c r="CJ528" s="266"/>
      <c r="CO528" s="266"/>
      <c r="CP528" s="266"/>
      <c r="CQ528" s="266"/>
      <c r="CR528" s="266"/>
      <c r="CS528" s="266"/>
      <c r="CT528" s="266"/>
      <c r="CU528" s="266"/>
      <c r="CV528" s="266"/>
      <c r="CW528" s="266"/>
      <c r="CX528" s="266"/>
      <c r="CY528" s="266"/>
      <c r="CZ528" s="266"/>
      <c r="DA528" s="266"/>
      <c r="DB528" s="266"/>
      <c r="DC528" s="266"/>
      <c r="DD528" s="266"/>
      <c r="DE528" s="266"/>
      <c r="DF528" s="266"/>
      <c r="DG528" s="266"/>
      <c r="DH528" s="266"/>
      <c r="DI528" s="266"/>
      <c r="DJ528" s="266"/>
      <c r="DK528" s="266"/>
      <c r="DL528" s="266"/>
      <c r="DM528" s="266"/>
      <c r="DN528" s="266"/>
      <c r="DO528" s="266"/>
      <c r="DP528" s="266"/>
      <c r="DQ528" s="266"/>
      <c r="DR528" s="266"/>
      <c r="DS528" s="266"/>
      <c r="DY528" s="266"/>
      <c r="EC528" s="266"/>
      <c r="EP528" s="266"/>
    </row>
    <row r="529" s="266" customFormat="1"/>
    <row r="530" s="266" customFormat="1"/>
    <row r="531" s="266" customFormat="1"/>
    <row r="532" s="266" customFormat="1"/>
    <row r="533" s="266" customFormat="1"/>
    <row r="534" s="266" customFormat="1"/>
    <row r="535" s="266" customFormat="1"/>
    <row r="536" s="266" customFormat="1"/>
    <row r="537" s="266" customFormat="1"/>
    <row r="538" s="266" customFormat="1"/>
    <row r="539" s="266" customFormat="1"/>
    <row r="540" s="266" customFormat="1"/>
    <row r="541" s="266" customFormat="1"/>
    <row r="542" s="266" customFormat="1"/>
    <row r="543" s="266" customFormat="1"/>
    <row r="544" s="266" customFormat="1"/>
    <row r="545" s="266" customFormat="1"/>
    <row r="546" s="266" customFormat="1"/>
    <row r="547" s="266" customFormat="1"/>
    <row r="548" s="266" customFormat="1"/>
    <row r="549" s="266" customFormat="1"/>
    <row r="550" s="266" customFormat="1"/>
    <row r="551" s="266" customFormat="1"/>
    <row r="552" s="266" customFormat="1"/>
    <row r="553" s="266" customFormat="1"/>
    <row r="554" s="266" customFormat="1"/>
    <row r="555" s="266" customFormat="1"/>
    <row r="556" s="266" customFormat="1"/>
    <row r="557" s="266" customFormat="1"/>
    <row r="558" s="266" customFormat="1"/>
    <row r="559" s="266" customFormat="1"/>
    <row r="560" s="266" customFormat="1"/>
    <row r="561" s="266" customFormat="1"/>
    <row r="562" s="266" customFormat="1"/>
    <row r="563" s="266" customFormat="1"/>
    <row r="564" s="266" customFormat="1"/>
    <row r="565" s="266" customFormat="1"/>
    <row r="566" s="266" customFormat="1"/>
    <row r="567" s="266" customFormat="1"/>
    <row r="568" s="266" customFormat="1"/>
    <row r="569" s="266" customFormat="1"/>
    <row r="570" s="266" customFormat="1"/>
    <row r="571" s="266" customFormat="1"/>
    <row r="572" s="266" customFormat="1"/>
    <row r="573" s="266" customFormat="1"/>
    <row r="574" s="266" customFormat="1"/>
    <row r="575" s="266" customFormat="1"/>
    <row r="576" s="266" customFormat="1"/>
    <row r="577" s="266" customFormat="1"/>
    <row r="578" s="266" customFormat="1"/>
    <row r="579" s="266" customFormat="1"/>
    <row r="580" s="266" customFormat="1"/>
    <row r="581" s="266" customFormat="1"/>
    <row r="582" s="266" customFormat="1"/>
    <row r="583" s="266" customFormat="1"/>
    <row r="584" s="266" customFormat="1"/>
    <row r="585" s="266" customFormat="1"/>
    <row r="586" s="266" customFormat="1"/>
    <row r="587" s="266" customFormat="1"/>
    <row r="588" s="266" customFormat="1"/>
    <row r="589" s="266" customFormat="1"/>
    <row r="590" s="266" customFormat="1"/>
    <row r="591" s="266" customFormat="1"/>
    <row r="592" s="266" customFormat="1"/>
    <row r="593" s="266" customFormat="1"/>
    <row r="594" s="266" customFormat="1"/>
    <row r="595" s="266" customFormat="1"/>
    <row r="596" s="266" customFormat="1"/>
    <row r="597" s="266" customFormat="1"/>
    <row r="598" s="266" customFormat="1"/>
    <row r="599" s="266" customFormat="1"/>
    <row r="600" s="266" customFormat="1"/>
    <row r="601" s="266" customFormat="1"/>
    <row r="602" s="266" customFormat="1"/>
    <row r="603" s="266" customFormat="1"/>
    <row r="604" s="266" customFormat="1"/>
    <row r="605" s="266" customFormat="1"/>
    <row r="606" s="266" customFormat="1"/>
    <row r="607" s="266" customFormat="1"/>
    <row r="608" s="266" customFormat="1"/>
    <row r="609" s="266" customFormat="1"/>
    <row r="610" s="266" customFormat="1"/>
    <row r="611" s="266" customFormat="1"/>
    <row r="612" s="266" customFormat="1"/>
    <row r="613" s="266" customFormat="1"/>
    <row r="614" s="266" customFormat="1"/>
    <row r="615" s="266" customFormat="1"/>
    <row r="616" s="266" customFormat="1"/>
    <row r="617" s="266" customFormat="1"/>
    <row r="618" s="266" customFormat="1"/>
    <row r="619" s="266" customFormat="1"/>
    <row r="620" s="266" customFormat="1"/>
    <row r="621" s="266" customFormat="1"/>
    <row r="622" s="266" customFormat="1"/>
    <row r="623" s="266" customFormat="1"/>
    <row r="624" s="266" customFormat="1"/>
    <row r="625" s="266" customFormat="1"/>
    <row r="626" s="266" customFormat="1"/>
    <row r="627" s="266" customFormat="1"/>
    <row r="628" s="266" customFormat="1"/>
    <row r="629" s="266" customFormat="1"/>
    <row r="630" s="266" customFormat="1"/>
    <row r="631" s="266" customFormat="1"/>
    <row r="632" s="266" customFormat="1"/>
    <row r="633" s="266" customFormat="1"/>
    <row r="634" s="266" customFormat="1"/>
    <row r="635" s="266" customFormat="1"/>
    <row r="636" s="266" customFormat="1"/>
    <row r="637" s="266" customFormat="1"/>
    <row r="638" s="266" customFormat="1"/>
    <row r="639" s="266" customFormat="1"/>
    <row r="640" s="266" customFormat="1"/>
    <row r="641" s="266" customFormat="1"/>
    <row r="642" s="266" customFormat="1"/>
    <row r="643" s="266" customFormat="1"/>
    <row r="644" s="266" customFormat="1"/>
    <row r="645" s="266" customFormat="1"/>
    <row r="646" s="266" customFormat="1"/>
    <row r="647" s="266" customFormat="1"/>
    <row r="648" s="266" customFormat="1"/>
    <row r="649" s="266" customFormat="1"/>
    <row r="650" s="266" customFormat="1"/>
    <row r="651" s="266" customFormat="1"/>
    <row r="652" s="266" customFormat="1"/>
    <row r="653" s="266" customFormat="1"/>
    <row r="654" s="266" customFormat="1"/>
    <row r="655" s="266" customFormat="1"/>
    <row r="656" s="266" customFormat="1"/>
    <row r="657" s="266" customFormat="1"/>
    <row r="658" s="266" customFormat="1"/>
    <row r="659" s="266" customFormat="1"/>
    <row r="660" s="266" customFormat="1"/>
    <row r="661" s="266" customFormat="1"/>
    <row r="662" s="266" customFormat="1"/>
    <row r="663" s="266" customFormat="1"/>
    <row r="664" s="266" customFormat="1"/>
    <row r="665" s="266" customFormat="1"/>
    <row r="666" s="266" customFormat="1"/>
    <row r="667" s="266" customFormat="1"/>
    <row r="668" s="266" customFormat="1"/>
    <row r="669" s="266" customFormat="1"/>
    <row r="670" s="266" customFormat="1"/>
    <row r="671" s="266" customFormat="1"/>
    <row r="672" s="266" customFormat="1"/>
    <row r="673" s="266" customFormat="1"/>
    <row r="674" s="266" customFormat="1"/>
    <row r="675" s="266" customFormat="1"/>
    <row r="676" s="266" customFormat="1"/>
    <row r="677" s="266" customFormat="1"/>
    <row r="678" s="266" customFormat="1"/>
    <row r="679" s="266" customFormat="1"/>
    <row r="680" s="266" customFormat="1"/>
    <row r="681" s="266" customFormat="1"/>
    <row r="682" s="266" customFormat="1"/>
    <row r="683" s="266" customFormat="1"/>
    <row r="684" s="266" customFormat="1"/>
    <row r="685" s="266" customFormat="1"/>
    <row r="686" s="266" customFormat="1"/>
    <row r="687" s="266" customFormat="1"/>
    <row r="688" s="266" customFormat="1"/>
    <row r="689" s="266" customFormat="1"/>
    <row r="690" s="266" customFormat="1"/>
    <row r="691" s="266" customFormat="1"/>
    <row r="692" s="266" customFormat="1"/>
    <row r="693" s="266" customFormat="1"/>
    <row r="694" s="266" customFormat="1"/>
    <row r="695" s="266" customFormat="1"/>
    <row r="696" s="266" customFormat="1"/>
    <row r="697" s="266" customFormat="1"/>
    <row r="698" s="266" customFormat="1"/>
    <row r="699" s="266" customFormat="1"/>
    <row r="700" s="266" customFormat="1"/>
    <row r="701" s="266" customFormat="1"/>
    <row r="702" s="266" customFormat="1"/>
    <row r="703" s="266" customFormat="1"/>
    <row r="704" s="266" customFormat="1"/>
    <row r="705" s="266" customFormat="1"/>
    <row r="706" s="266" customFormat="1"/>
    <row r="707" s="266" customFormat="1"/>
    <row r="708" s="266" customFormat="1"/>
    <row r="709" s="266" customFormat="1"/>
    <row r="710" s="266" customFormat="1"/>
    <row r="711" s="266" customFormat="1"/>
    <row r="712" s="266" customFormat="1"/>
    <row r="713" s="266" customFormat="1"/>
    <row r="714" s="266" customFormat="1"/>
    <row r="715" s="266" customFormat="1"/>
    <row r="716" s="266" customFormat="1"/>
    <row r="717" s="266" customFormat="1"/>
    <row r="718" s="266" customFormat="1"/>
    <row r="719" s="266" customFormat="1"/>
    <row r="720" s="266" customFormat="1"/>
    <row r="721" s="266" customFormat="1"/>
    <row r="722" s="266" customFormat="1"/>
    <row r="723" s="266" customFormat="1"/>
    <row r="724" s="266" customFormat="1"/>
    <row r="725" s="266" customFormat="1"/>
    <row r="726" s="266" customFormat="1"/>
    <row r="727" s="266" customFormat="1"/>
    <row r="728" s="266" customFormat="1"/>
    <row r="729" s="266" customFormat="1"/>
    <row r="730" s="266" customFormat="1"/>
    <row r="731" s="266" customFormat="1"/>
    <row r="732" s="266" customFormat="1"/>
    <row r="733" s="266" customFormat="1"/>
    <row r="734" s="266" customFormat="1"/>
    <row r="735" s="266" customFormat="1"/>
    <row r="736" s="266" customFormat="1"/>
    <row r="737" s="266" customFormat="1"/>
    <row r="738" s="266" customFormat="1"/>
    <row r="739" s="266" customFormat="1"/>
    <row r="740" s="266" customFormat="1"/>
    <row r="741" s="266" customFormat="1"/>
    <row r="742" s="266" customFormat="1"/>
    <row r="743" s="266" customFormat="1"/>
    <row r="744" s="266" customFormat="1"/>
    <row r="745" s="266" customFormat="1"/>
    <row r="746" s="266" customFormat="1"/>
    <row r="747" s="266" customFormat="1"/>
    <row r="748" s="266" customFormat="1"/>
    <row r="749" s="266" customFormat="1"/>
    <row r="750" s="266" customFormat="1"/>
    <row r="751" s="266" customFormat="1"/>
    <row r="752" s="266" customFormat="1"/>
    <row r="753" s="266" customFormat="1"/>
    <row r="754" s="266" customFormat="1"/>
    <row r="755" s="266" customFormat="1"/>
    <row r="756" s="266" customFormat="1"/>
    <row r="757" s="266" customFormat="1"/>
    <row r="758" s="266" customFormat="1"/>
    <row r="759" s="266" customFormat="1"/>
    <row r="760" s="266" customFormat="1"/>
    <row r="761" s="266" customFormat="1"/>
    <row r="762" s="266" customFormat="1"/>
    <row r="763" s="266" customFormat="1"/>
    <row r="764" s="266" customFormat="1"/>
    <row r="765" s="266" customFormat="1"/>
    <row r="766" s="266" customFormat="1"/>
    <row r="767" s="266" customFormat="1"/>
    <row r="768" s="266" customFormat="1"/>
    <row r="769" s="266" customFormat="1"/>
    <row r="770" s="266" customFormat="1"/>
    <row r="771" s="266" customFormat="1"/>
    <row r="772" s="266" customFormat="1"/>
    <row r="773" s="266" customFormat="1"/>
    <row r="774" s="266" customFormat="1"/>
    <row r="775" s="266" customFormat="1"/>
    <row r="776" s="266" customFormat="1"/>
    <row r="777" s="266" customFormat="1"/>
    <row r="778" s="266" customFormat="1"/>
    <row r="779" s="266" customFormat="1"/>
    <row r="780" s="266" customFormat="1"/>
    <row r="781" s="266" customFormat="1"/>
    <row r="782" s="266" customFormat="1"/>
    <row r="783" s="266" customFormat="1"/>
    <row r="784" s="266" customFormat="1"/>
    <row r="785" s="266" customFormat="1"/>
    <row r="786" s="266" customFormat="1"/>
    <row r="787" s="266" customFormat="1"/>
    <row r="788" s="266" customFormat="1"/>
    <row r="789" s="266" customFormat="1"/>
    <row r="790" s="266" customFormat="1"/>
    <row r="791" s="266" customFormat="1"/>
    <row r="792" s="266" customFormat="1"/>
    <row r="793" s="266" customFormat="1"/>
    <row r="794" s="266" customFormat="1"/>
    <row r="795" s="266" customFormat="1"/>
    <row r="796" s="266" customFormat="1"/>
    <row r="797" s="266" customFormat="1"/>
    <row r="798" s="266" customFormat="1"/>
    <row r="799" s="266" customFormat="1"/>
    <row r="800" s="266" customFormat="1"/>
    <row r="801" s="266" customFormat="1"/>
    <row r="802" s="266" customFormat="1"/>
    <row r="803" s="266" customFormat="1"/>
    <row r="804" s="266" customFormat="1"/>
    <row r="805" s="266" customFormat="1"/>
    <row r="806" s="266" customFormat="1"/>
    <row r="807" s="266" customFormat="1"/>
    <row r="808" s="266" customFormat="1"/>
    <row r="809" s="266" customFormat="1"/>
    <row r="810" s="266" customFormat="1"/>
    <row r="811" s="266" customFormat="1"/>
    <row r="812" s="266" customFormat="1"/>
    <row r="813" s="266" customFormat="1"/>
    <row r="814" s="266" customFormat="1"/>
    <row r="815" s="266" customFormat="1"/>
    <row r="816" s="266" customFormat="1"/>
    <row r="817" s="266" customFormat="1"/>
    <row r="818" s="266" customFormat="1"/>
    <row r="819" s="266" customFormat="1"/>
    <row r="820" s="266" customFormat="1"/>
    <row r="821" s="266" customFormat="1"/>
    <row r="822" s="266" customFormat="1"/>
    <row r="823" s="266" customFormat="1"/>
    <row r="824" s="266" customFormat="1"/>
    <row r="825" s="266" customFormat="1"/>
    <row r="826" s="266" customFormat="1"/>
    <row r="827" s="266" customFormat="1"/>
    <row r="828" s="266" customFormat="1"/>
    <row r="829" s="266" customFormat="1"/>
    <row r="830" s="266" customFormat="1"/>
    <row r="831" s="266" customFormat="1"/>
    <row r="832" s="266" customFormat="1"/>
    <row r="833" s="266" customFormat="1"/>
    <row r="834" s="266" customFormat="1"/>
    <row r="835" s="266" customFormat="1"/>
    <row r="836" s="266" customFormat="1"/>
    <row r="837" s="266" customFormat="1"/>
    <row r="838" s="266" customFormat="1"/>
    <row r="839" s="266" customFormat="1"/>
    <row r="840" s="266" customFormat="1"/>
    <row r="841" s="266" customFormat="1"/>
    <row r="842" s="266" customFormat="1"/>
    <row r="843" s="266" customFormat="1"/>
    <row r="844" s="266" customFormat="1"/>
    <row r="845" s="266" customFormat="1"/>
    <row r="846" s="266" customFormat="1"/>
    <row r="847" s="266" customFormat="1"/>
    <row r="848" s="266" customFormat="1"/>
    <row r="849" s="266" customFormat="1"/>
    <row r="850" s="266" customFormat="1"/>
    <row r="851" s="266" customFormat="1"/>
    <row r="852" s="266" customFormat="1"/>
    <row r="853" s="266" customFormat="1"/>
    <row r="854" s="266" customFormat="1"/>
    <row r="855" s="266" customFormat="1"/>
    <row r="856" s="266" customFormat="1"/>
    <row r="857" s="266" customFormat="1"/>
    <row r="858" s="266" customFormat="1"/>
    <row r="859" s="266" customFormat="1"/>
    <row r="860" s="266" customFormat="1"/>
    <row r="861" s="266" customFormat="1"/>
    <row r="862" s="266" customFormat="1"/>
    <row r="863" s="266" customFormat="1"/>
    <row r="864" s="266" customFormat="1"/>
    <row r="865" spans="11:146">
      <c r="K865" s="266"/>
      <c r="L865" s="266"/>
      <c r="M865" s="266"/>
      <c r="N865" s="266"/>
      <c r="O865" s="266"/>
      <c r="P865" s="266"/>
      <c r="Q865" s="266"/>
      <c r="BR865" s="266"/>
      <c r="BS865" s="266"/>
      <c r="BT865" s="266"/>
      <c r="BU865" s="266"/>
      <c r="BV865" s="266"/>
      <c r="CJ865" s="266"/>
      <c r="CO865" s="266"/>
      <c r="CP865" s="266"/>
      <c r="CQ865" s="266"/>
      <c r="CR865" s="266"/>
      <c r="CS865" s="266"/>
      <c r="CT865" s="266"/>
      <c r="CU865" s="266"/>
      <c r="CV865" s="266"/>
      <c r="CW865" s="266"/>
      <c r="CX865" s="266"/>
      <c r="CY865" s="266"/>
      <c r="CZ865" s="266"/>
      <c r="DA865" s="266"/>
      <c r="DB865" s="266"/>
      <c r="DC865" s="266"/>
      <c r="DD865" s="266"/>
      <c r="DE865" s="266"/>
      <c r="DF865" s="266"/>
      <c r="DG865" s="266"/>
      <c r="DH865" s="266"/>
      <c r="DI865" s="266"/>
      <c r="DJ865" s="266"/>
      <c r="DK865" s="266"/>
      <c r="DL865" s="266"/>
      <c r="DM865" s="266"/>
      <c r="DN865" s="266"/>
      <c r="DO865" s="266"/>
      <c r="DP865" s="266"/>
      <c r="DQ865" s="266"/>
      <c r="DR865" s="266"/>
      <c r="DS865" s="266"/>
      <c r="DY865" s="266"/>
      <c r="EC865" s="266"/>
      <c r="EP865" s="266"/>
    </row>
    <row r="866" spans="11:146">
      <c r="K866" s="266"/>
      <c r="L866" s="266"/>
      <c r="M866" s="266"/>
      <c r="N866" s="266"/>
      <c r="O866" s="266"/>
      <c r="P866" s="266"/>
      <c r="Q866" s="266"/>
      <c r="BR866" s="266"/>
      <c r="BS866" s="266"/>
      <c r="BT866" s="266"/>
      <c r="BU866" s="266"/>
      <c r="BV866" s="266"/>
      <c r="CJ866" s="266"/>
      <c r="CO866" s="266"/>
      <c r="CP866" s="266"/>
      <c r="CQ866" s="266"/>
      <c r="CR866" s="266"/>
      <c r="CS866" s="266"/>
      <c r="CT866" s="266"/>
      <c r="CU866" s="266"/>
      <c r="CV866" s="266"/>
      <c r="CW866" s="266"/>
      <c r="CX866" s="266"/>
      <c r="CY866" s="266"/>
      <c r="CZ866" s="266"/>
      <c r="DA866" s="266"/>
      <c r="DB866" s="266"/>
      <c r="DC866" s="266"/>
      <c r="DD866" s="266"/>
      <c r="DE866" s="266"/>
      <c r="DF866" s="266"/>
      <c r="DG866" s="266"/>
      <c r="DH866" s="266"/>
      <c r="DI866" s="266"/>
      <c r="DJ866" s="266"/>
      <c r="DK866" s="266"/>
      <c r="DL866" s="266"/>
      <c r="DM866" s="266"/>
      <c r="DN866" s="266"/>
      <c r="DO866" s="266"/>
      <c r="DP866" s="266"/>
      <c r="DQ866" s="266"/>
      <c r="DR866" s="266"/>
      <c r="DS866" s="266"/>
      <c r="DY866" s="266"/>
      <c r="EC866" s="266"/>
      <c r="EP866" s="266"/>
    </row>
    <row r="867" spans="11:146">
      <c r="K867" s="266"/>
      <c r="L867" s="266"/>
      <c r="M867" s="266"/>
      <c r="N867" s="266"/>
      <c r="O867" s="266"/>
      <c r="P867" s="266"/>
      <c r="Q867" s="266"/>
      <c r="BR867" s="266"/>
      <c r="BS867" s="266"/>
      <c r="BT867" s="266"/>
      <c r="BU867" s="266"/>
      <c r="BV867" s="266"/>
      <c r="CJ867" s="266"/>
      <c r="CO867" s="266"/>
      <c r="CP867" s="266"/>
      <c r="CQ867" s="266"/>
      <c r="CR867" s="266"/>
      <c r="CS867" s="266"/>
      <c r="CT867" s="266"/>
      <c r="CU867" s="266"/>
      <c r="CV867" s="266"/>
      <c r="CW867" s="266"/>
      <c r="CX867" s="266"/>
      <c r="CY867" s="266"/>
      <c r="CZ867" s="266"/>
      <c r="DA867" s="266"/>
      <c r="DB867" s="266"/>
      <c r="DC867" s="266"/>
      <c r="DD867" s="266"/>
      <c r="DE867" s="266"/>
      <c r="DF867" s="266"/>
      <c r="DG867" s="266"/>
      <c r="DH867" s="266"/>
      <c r="DI867" s="266"/>
      <c r="DJ867" s="266"/>
      <c r="DK867" s="266"/>
      <c r="DL867" s="266"/>
      <c r="DM867" s="266"/>
      <c r="DN867" s="266"/>
      <c r="DO867" s="266"/>
      <c r="DP867" s="266"/>
      <c r="DQ867" s="266"/>
      <c r="DR867" s="266"/>
      <c r="DS867" s="266"/>
      <c r="DY867" s="266"/>
      <c r="EC867" s="266"/>
      <c r="EP867" s="266"/>
    </row>
    <row r="868" spans="11:146">
      <c r="K868" s="266"/>
      <c r="L868" s="266"/>
      <c r="M868" s="266"/>
      <c r="N868" s="266"/>
      <c r="O868" s="266"/>
      <c r="P868" s="266"/>
      <c r="Q868" s="266"/>
      <c r="BR868" s="266"/>
      <c r="BS868" s="266"/>
      <c r="BT868" s="266"/>
      <c r="BU868" s="266"/>
      <c r="BV868" s="266"/>
      <c r="CJ868" s="266"/>
      <c r="CO868" s="266"/>
      <c r="CP868" s="266"/>
      <c r="CQ868" s="266"/>
      <c r="CR868" s="266"/>
      <c r="CS868" s="266"/>
      <c r="CT868" s="266"/>
      <c r="CU868" s="266"/>
      <c r="CV868" s="266"/>
      <c r="CW868" s="266"/>
      <c r="CX868" s="266"/>
      <c r="CY868" s="266"/>
      <c r="CZ868" s="266"/>
      <c r="DA868" s="266"/>
      <c r="DB868" s="266"/>
      <c r="DC868" s="266"/>
      <c r="DD868" s="266"/>
      <c r="DE868" s="266"/>
      <c r="DF868" s="266"/>
      <c r="DG868" s="266"/>
      <c r="DH868" s="266"/>
      <c r="DI868" s="266"/>
      <c r="DJ868" s="266"/>
      <c r="DK868" s="266"/>
      <c r="DL868" s="266"/>
      <c r="DM868" s="266"/>
      <c r="DN868" s="266"/>
      <c r="DO868" s="266"/>
      <c r="DP868" s="266"/>
      <c r="DQ868" s="266"/>
      <c r="DR868" s="266"/>
      <c r="DS868" s="266"/>
      <c r="DY868" s="266"/>
      <c r="EC868" s="266"/>
      <c r="EP868" s="266"/>
    </row>
    <row r="869" spans="11:146">
      <c r="K869" s="266"/>
      <c r="L869" s="266"/>
      <c r="M869" s="266"/>
      <c r="N869" s="266"/>
      <c r="O869" s="266"/>
      <c r="P869" s="266"/>
      <c r="Q869" s="266"/>
      <c r="BR869" s="266"/>
      <c r="BS869" s="266"/>
      <c r="BT869" s="266"/>
      <c r="BU869" s="266"/>
      <c r="BV869" s="266"/>
      <c r="CJ869" s="266"/>
      <c r="CO869" s="266"/>
      <c r="CP869" s="266"/>
      <c r="CQ869" s="266"/>
      <c r="CR869" s="266"/>
      <c r="CS869" s="266"/>
      <c r="CT869" s="266"/>
      <c r="CU869" s="266"/>
      <c r="CV869" s="266"/>
      <c r="CW869" s="266"/>
      <c r="CX869" s="266"/>
      <c r="CY869" s="266"/>
      <c r="CZ869" s="266"/>
      <c r="DA869" s="266"/>
      <c r="DB869" s="266"/>
      <c r="DC869" s="266"/>
      <c r="DD869" s="266"/>
      <c r="DE869" s="266"/>
      <c r="DF869" s="266"/>
      <c r="DG869" s="266"/>
      <c r="DH869" s="266"/>
      <c r="DI869" s="266"/>
      <c r="DJ869" s="266"/>
      <c r="DK869" s="266"/>
      <c r="DL869" s="266"/>
      <c r="DM869" s="266"/>
      <c r="DN869" s="266"/>
      <c r="DO869" s="266"/>
      <c r="DP869" s="266"/>
      <c r="DQ869" s="266"/>
      <c r="DR869" s="266"/>
      <c r="DS869" s="266"/>
      <c r="DY869" s="266"/>
      <c r="EC869" s="266"/>
      <c r="EP869" s="266"/>
    </row>
    <row r="870" spans="11:146">
      <c r="K870" s="266"/>
      <c r="L870" s="266"/>
      <c r="M870" s="266"/>
      <c r="N870" s="266"/>
      <c r="O870" s="266"/>
      <c r="P870" s="266"/>
      <c r="Q870" s="266"/>
      <c r="BR870" s="266"/>
      <c r="BS870" s="266"/>
      <c r="BT870" s="266"/>
      <c r="BU870" s="266"/>
      <c r="BV870" s="266"/>
      <c r="CJ870" s="266"/>
      <c r="CO870" s="266"/>
      <c r="CP870" s="266"/>
      <c r="CQ870" s="266"/>
      <c r="CR870" s="266"/>
      <c r="CS870" s="266"/>
      <c r="CT870" s="266"/>
      <c r="CU870" s="266"/>
      <c r="CV870" s="266"/>
      <c r="CW870" s="266"/>
      <c r="CX870" s="266"/>
      <c r="CY870" s="266"/>
      <c r="CZ870" s="266"/>
      <c r="DA870" s="266"/>
      <c r="DB870" s="266"/>
      <c r="DC870" s="266"/>
      <c r="DD870" s="266"/>
      <c r="DE870" s="266"/>
      <c r="DF870" s="266"/>
      <c r="DG870" s="266"/>
      <c r="DH870" s="266"/>
      <c r="DI870" s="266"/>
      <c r="DJ870" s="266"/>
      <c r="DK870" s="266"/>
      <c r="DL870" s="266"/>
      <c r="DM870" s="266"/>
      <c r="DN870" s="266"/>
      <c r="DO870" s="266"/>
      <c r="DP870" s="266"/>
      <c r="DQ870" s="266"/>
      <c r="DR870" s="266"/>
      <c r="DS870" s="266"/>
      <c r="DY870" s="266"/>
      <c r="EC870" s="266"/>
      <c r="EP870" s="266"/>
    </row>
    <row r="871" spans="11:146">
      <c r="K871" s="266"/>
      <c r="L871" s="266"/>
      <c r="M871" s="266"/>
      <c r="N871" s="266"/>
      <c r="O871" s="266"/>
      <c r="P871" s="266"/>
      <c r="Q871" s="266"/>
      <c r="BR871" s="266"/>
      <c r="BS871" s="266"/>
      <c r="BT871" s="266"/>
      <c r="BU871" s="266"/>
      <c r="BV871" s="266"/>
      <c r="CJ871" s="266"/>
      <c r="CO871" s="266"/>
      <c r="CP871" s="266"/>
      <c r="CQ871" s="266"/>
      <c r="CR871" s="266"/>
      <c r="CS871" s="266"/>
      <c r="CT871" s="266"/>
      <c r="CU871" s="266"/>
      <c r="CV871" s="266"/>
      <c r="CW871" s="266"/>
      <c r="CX871" s="266"/>
      <c r="CY871" s="266"/>
      <c r="CZ871" s="266"/>
      <c r="DA871" s="266"/>
      <c r="DB871" s="266"/>
      <c r="DC871" s="266"/>
      <c r="DD871" s="266"/>
      <c r="DE871" s="266"/>
      <c r="DF871" s="266"/>
      <c r="DG871" s="266"/>
      <c r="DH871" s="266"/>
      <c r="DI871" s="266"/>
      <c r="DJ871" s="266"/>
      <c r="DK871" s="266"/>
      <c r="DL871" s="266"/>
      <c r="DM871" s="266"/>
      <c r="DN871" s="266"/>
      <c r="DO871" s="266"/>
      <c r="DP871" s="266"/>
      <c r="DQ871" s="266"/>
      <c r="DR871" s="266"/>
      <c r="DS871" s="266"/>
      <c r="DY871" s="266"/>
      <c r="EC871" s="266"/>
      <c r="EP871" s="266"/>
    </row>
    <row r="872" spans="11:146">
      <c r="K872" s="266"/>
      <c r="L872" s="266"/>
      <c r="M872" s="266"/>
      <c r="N872" s="266"/>
      <c r="O872" s="266"/>
      <c r="P872" s="266"/>
      <c r="Q872" s="266"/>
      <c r="BR872" s="266"/>
      <c r="BS872" s="266"/>
      <c r="BT872" s="266"/>
      <c r="BU872" s="266"/>
      <c r="BV872" s="266"/>
      <c r="CJ872" s="266"/>
      <c r="CO872" s="266"/>
      <c r="CP872" s="266"/>
      <c r="CQ872" s="266"/>
      <c r="CR872" s="266"/>
      <c r="CS872" s="266"/>
      <c r="CT872" s="266"/>
      <c r="CU872" s="266"/>
      <c r="CV872" s="266"/>
      <c r="CW872" s="266"/>
      <c r="CX872" s="266"/>
      <c r="CY872" s="266"/>
      <c r="CZ872" s="266"/>
      <c r="DA872" s="266"/>
      <c r="DB872" s="266"/>
      <c r="DC872" s="266"/>
      <c r="DD872" s="266"/>
      <c r="DE872" s="266"/>
      <c r="DF872" s="266"/>
      <c r="DG872" s="266"/>
      <c r="DH872" s="266"/>
      <c r="DI872" s="266"/>
      <c r="DJ872" s="266"/>
      <c r="DK872" s="266"/>
      <c r="DL872" s="266"/>
      <c r="DM872" s="266"/>
      <c r="DN872" s="266"/>
      <c r="DO872" s="266"/>
      <c r="DP872" s="266"/>
      <c r="DQ872" s="266"/>
      <c r="DR872" s="266"/>
      <c r="DS872" s="266"/>
      <c r="DY872" s="266"/>
      <c r="EC872" s="266"/>
      <c r="EP872" s="266"/>
    </row>
    <row r="873" spans="11:146">
      <c r="K873" s="266"/>
      <c r="L873" s="266"/>
      <c r="M873" s="266"/>
      <c r="N873" s="266"/>
      <c r="O873" s="266"/>
      <c r="P873" s="266"/>
      <c r="Q873" s="266"/>
      <c r="BR873" s="266"/>
      <c r="BS873" s="266"/>
      <c r="BT873" s="266"/>
      <c r="BU873" s="266"/>
      <c r="BV873" s="266"/>
      <c r="CJ873" s="266"/>
      <c r="CO873" s="266"/>
      <c r="CP873" s="266"/>
      <c r="CQ873" s="266"/>
      <c r="CR873" s="266"/>
      <c r="CS873" s="266"/>
      <c r="CT873" s="266"/>
      <c r="CU873" s="266"/>
      <c r="CV873" s="266"/>
      <c r="CW873" s="266"/>
      <c r="CX873" s="266"/>
      <c r="CY873" s="266"/>
      <c r="CZ873" s="266"/>
      <c r="DA873" s="266"/>
      <c r="DB873" s="266"/>
      <c r="DC873" s="266"/>
      <c r="DD873" s="266"/>
      <c r="DE873" s="266"/>
      <c r="DF873" s="266"/>
      <c r="DG873" s="266"/>
      <c r="DH873" s="266"/>
      <c r="DI873" s="266"/>
      <c r="DJ873" s="266"/>
      <c r="DK873" s="266"/>
      <c r="DL873" s="266"/>
      <c r="DM873" s="266"/>
      <c r="DN873" s="266"/>
      <c r="DO873" s="266"/>
      <c r="DP873" s="266"/>
      <c r="DQ873" s="266"/>
      <c r="DR873" s="266"/>
      <c r="DS873" s="266"/>
      <c r="DY873" s="266"/>
      <c r="EC873" s="266"/>
      <c r="EP873" s="266"/>
    </row>
    <row r="874" spans="11:146">
      <c r="K874" s="266"/>
      <c r="L874" s="266"/>
      <c r="M874" s="266"/>
      <c r="N874" s="266"/>
      <c r="O874" s="266"/>
      <c r="P874" s="266"/>
      <c r="Q874" s="266"/>
      <c r="BR874" s="266"/>
      <c r="BS874" s="266"/>
      <c r="BT874" s="266"/>
      <c r="BU874" s="266"/>
      <c r="BV874" s="266"/>
      <c r="CJ874" s="266"/>
      <c r="CO874" s="266"/>
      <c r="CP874" s="266"/>
      <c r="CQ874" s="266"/>
      <c r="CR874" s="266"/>
      <c r="CS874" s="266"/>
      <c r="CT874" s="266"/>
      <c r="CU874" s="266"/>
      <c r="CV874" s="266"/>
      <c r="CW874" s="266"/>
      <c r="CX874" s="266"/>
      <c r="CY874" s="266"/>
      <c r="CZ874" s="266"/>
      <c r="DA874" s="266"/>
      <c r="DB874" s="266"/>
      <c r="DC874" s="266"/>
      <c r="DD874" s="266"/>
      <c r="DE874" s="266"/>
      <c r="DF874" s="266"/>
      <c r="DG874" s="266"/>
      <c r="DH874" s="266"/>
      <c r="DI874" s="266"/>
      <c r="DJ874" s="266"/>
      <c r="DK874" s="266"/>
      <c r="DL874" s="266"/>
      <c r="DM874" s="266"/>
      <c r="DN874" s="266"/>
      <c r="DO874" s="266"/>
      <c r="DP874" s="266"/>
      <c r="DQ874" s="266"/>
      <c r="DR874" s="266"/>
      <c r="DS874" s="266"/>
      <c r="DY874" s="266"/>
      <c r="EC874" s="266"/>
      <c r="EP874" s="266"/>
    </row>
    <row r="875" spans="11:146">
      <c r="K875" s="266"/>
      <c r="L875" s="266"/>
      <c r="M875" s="266"/>
      <c r="N875" s="266"/>
      <c r="O875" s="266"/>
      <c r="P875" s="266"/>
      <c r="Q875" s="266"/>
      <c r="BR875" s="266"/>
      <c r="BS875" s="266"/>
      <c r="BT875" s="266"/>
      <c r="BU875" s="266"/>
      <c r="BV875" s="266"/>
      <c r="CJ875" s="266"/>
      <c r="CO875" s="266"/>
      <c r="CP875" s="266"/>
      <c r="CQ875" s="266"/>
      <c r="CR875" s="266"/>
      <c r="CS875" s="266"/>
      <c r="CT875" s="266"/>
      <c r="CU875" s="266"/>
      <c r="CV875" s="266"/>
      <c r="CW875" s="266"/>
      <c r="CX875" s="266"/>
      <c r="CY875" s="266"/>
      <c r="CZ875" s="266"/>
      <c r="DA875" s="266"/>
      <c r="DB875" s="266"/>
      <c r="DC875" s="266"/>
      <c r="DD875" s="266"/>
      <c r="DE875" s="266"/>
      <c r="DF875" s="266"/>
      <c r="DG875" s="266"/>
      <c r="DH875" s="266"/>
      <c r="DI875" s="266"/>
      <c r="DJ875" s="266"/>
      <c r="DK875" s="266"/>
      <c r="DL875" s="266"/>
      <c r="DM875" s="266"/>
      <c r="DN875" s="266"/>
      <c r="DO875" s="266"/>
      <c r="DP875" s="266"/>
      <c r="DQ875" s="266"/>
      <c r="DR875" s="266"/>
      <c r="DS875" s="266"/>
      <c r="DY875" s="266"/>
      <c r="EC875" s="266"/>
      <c r="EP875" s="266"/>
    </row>
    <row r="876" spans="11:146">
      <c r="K876" s="266"/>
      <c r="L876" s="266"/>
      <c r="M876" s="266"/>
      <c r="N876" s="266"/>
      <c r="O876" s="266"/>
      <c r="P876" s="266"/>
      <c r="Q876" s="266"/>
      <c r="BR876" s="266"/>
      <c r="BS876" s="266"/>
      <c r="BT876" s="266"/>
      <c r="BU876" s="266"/>
      <c r="BV876" s="266"/>
      <c r="CJ876" s="266"/>
      <c r="CO876" s="266"/>
      <c r="CP876" s="266"/>
      <c r="CQ876" s="266"/>
      <c r="CR876" s="266"/>
      <c r="CS876" s="266"/>
      <c r="CT876" s="266"/>
      <c r="CU876" s="266"/>
      <c r="CV876" s="266"/>
      <c r="CW876" s="266"/>
      <c r="CX876" s="266"/>
      <c r="CY876" s="266"/>
      <c r="CZ876" s="266"/>
      <c r="DA876" s="266"/>
      <c r="DB876" s="266"/>
      <c r="DC876" s="266"/>
      <c r="DD876" s="266"/>
      <c r="DE876" s="266"/>
      <c r="DF876" s="266"/>
      <c r="DG876" s="266"/>
      <c r="DH876" s="266"/>
      <c r="DI876" s="266"/>
      <c r="DJ876" s="266"/>
      <c r="DK876" s="266"/>
      <c r="DL876" s="266"/>
      <c r="DM876" s="266"/>
      <c r="DN876" s="266"/>
      <c r="DO876" s="266"/>
      <c r="DP876" s="266"/>
      <c r="DQ876" s="266"/>
      <c r="DR876" s="266"/>
      <c r="DS876" s="266"/>
      <c r="DY876" s="266"/>
      <c r="EC876" s="266"/>
      <c r="EP876" s="266"/>
    </row>
    <row r="877" spans="11:146">
      <c r="K877" s="266"/>
      <c r="L877" s="266"/>
      <c r="M877" s="266"/>
      <c r="N877" s="266"/>
      <c r="O877" s="266"/>
      <c r="P877" s="266"/>
      <c r="Q877" s="266"/>
      <c r="BR877" s="266"/>
      <c r="BS877" s="266"/>
      <c r="BT877" s="266"/>
      <c r="BU877" s="266"/>
      <c r="BV877" s="266"/>
      <c r="CJ877" s="266"/>
      <c r="CO877" s="266"/>
      <c r="CP877" s="266"/>
      <c r="CQ877" s="266"/>
      <c r="CR877" s="266"/>
      <c r="CS877" s="266"/>
      <c r="CT877" s="266"/>
      <c r="CU877" s="266"/>
      <c r="CV877" s="266"/>
      <c r="CW877" s="266"/>
      <c r="CX877" s="266"/>
      <c r="CY877" s="266"/>
      <c r="CZ877" s="266"/>
      <c r="DA877" s="266"/>
      <c r="DB877" s="266"/>
      <c r="DC877" s="266"/>
      <c r="DD877" s="266"/>
      <c r="DE877" s="266"/>
      <c r="DF877" s="266"/>
      <c r="DG877" s="266"/>
      <c r="DH877" s="266"/>
      <c r="DI877" s="266"/>
      <c r="DJ877" s="266"/>
      <c r="DK877" s="266"/>
      <c r="DL877" s="266"/>
      <c r="DM877" s="266"/>
      <c r="DN877" s="266"/>
      <c r="DO877" s="266"/>
      <c r="DP877" s="266"/>
      <c r="DQ877" s="266"/>
      <c r="DR877" s="266"/>
      <c r="DS877" s="266"/>
      <c r="DY877" s="266"/>
      <c r="EC877" s="266"/>
      <c r="EP877" s="266"/>
    </row>
    <row r="878" spans="11:146">
      <c r="K878" s="266"/>
      <c r="L878" s="266"/>
      <c r="M878" s="266"/>
      <c r="N878" s="266"/>
      <c r="O878" s="266"/>
      <c r="P878" s="266"/>
      <c r="Q878" s="266"/>
      <c r="BR878" s="266"/>
      <c r="BS878" s="266"/>
      <c r="BT878" s="266"/>
      <c r="BU878" s="266"/>
      <c r="BV878" s="266"/>
      <c r="CJ878" s="266"/>
      <c r="CO878" s="266"/>
      <c r="CP878" s="266"/>
      <c r="CQ878" s="266"/>
      <c r="CR878" s="266"/>
      <c r="CS878" s="266"/>
      <c r="CT878" s="266"/>
      <c r="CU878" s="266"/>
      <c r="CV878" s="266"/>
      <c r="CW878" s="266"/>
      <c r="CX878" s="266"/>
      <c r="CY878" s="266"/>
      <c r="CZ878" s="266"/>
      <c r="DA878" s="266"/>
      <c r="DB878" s="266"/>
      <c r="DC878" s="266"/>
      <c r="DD878" s="266"/>
      <c r="DE878" s="266"/>
      <c r="DF878" s="266"/>
      <c r="DG878" s="266"/>
      <c r="DH878" s="266"/>
      <c r="DI878" s="266"/>
      <c r="DJ878" s="266"/>
      <c r="DK878" s="266"/>
      <c r="DL878" s="266"/>
      <c r="DM878" s="266"/>
      <c r="DN878" s="266"/>
      <c r="DO878" s="266"/>
      <c r="DP878" s="266"/>
      <c r="DQ878" s="266"/>
      <c r="DR878" s="266"/>
      <c r="DS878" s="266"/>
      <c r="DY878" s="266"/>
      <c r="EC878" s="266"/>
      <c r="EP878" s="266"/>
    </row>
    <row r="879" spans="11:146">
      <c r="K879" s="266"/>
      <c r="L879" s="266"/>
      <c r="M879" s="266"/>
      <c r="N879" s="266"/>
      <c r="O879" s="266"/>
      <c r="P879" s="266"/>
      <c r="Q879" s="266"/>
      <c r="BR879" s="266"/>
      <c r="BS879" s="266"/>
      <c r="BT879" s="266"/>
      <c r="BU879" s="266"/>
      <c r="BV879" s="266"/>
      <c r="CJ879" s="266"/>
      <c r="CO879" s="266"/>
      <c r="CP879" s="266"/>
      <c r="CQ879" s="266"/>
      <c r="CR879" s="266"/>
      <c r="CS879" s="266"/>
      <c r="CT879" s="266"/>
      <c r="CU879" s="266"/>
      <c r="CV879" s="266"/>
      <c r="CW879" s="266"/>
      <c r="CX879" s="266"/>
      <c r="CY879" s="266"/>
      <c r="CZ879" s="266"/>
      <c r="DA879" s="266"/>
      <c r="DB879" s="266"/>
      <c r="DC879" s="266"/>
      <c r="DD879" s="266"/>
      <c r="DE879" s="266"/>
      <c r="DF879" s="266"/>
      <c r="DG879" s="266"/>
      <c r="DH879" s="266"/>
      <c r="DI879" s="266"/>
      <c r="DJ879" s="266"/>
      <c r="DK879" s="266"/>
      <c r="DL879" s="266"/>
      <c r="DM879" s="266"/>
      <c r="DN879" s="266"/>
      <c r="DO879" s="266"/>
      <c r="DP879" s="266"/>
      <c r="DQ879" s="266"/>
      <c r="DR879" s="266"/>
      <c r="DS879" s="266"/>
      <c r="DY879" s="266"/>
      <c r="EC879" s="266"/>
      <c r="EP879" s="266"/>
    </row>
    <row r="880" spans="11:146">
      <c r="K880" s="266"/>
      <c r="L880" s="266"/>
      <c r="M880" s="266"/>
      <c r="N880" s="266"/>
      <c r="O880" s="266"/>
      <c r="P880" s="266"/>
      <c r="Q880" s="266"/>
      <c r="BR880" s="266"/>
      <c r="BS880" s="266"/>
      <c r="BT880" s="266"/>
      <c r="BU880" s="266"/>
      <c r="BV880" s="266"/>
      <c r="CJ880" s="266"/>
      <c r="CO880" s="266"/>
      <c r="CP880" s="266"/>
      <c r="CQ880" s="266"/>
      <c r="CR880" s="266"/>
      <c r="CS880" s="266"/>
      <c r="CT880" s="266"/>
      <c r="CU880" s="266"/>
      <c r="CV880" s="266"/>
      <c r="CW880" s="266"/>
      <c r="CX880" s="266"/>
      <c r="CY880" s="266"/>
      <c r="CZ880" s="266"/>
      <c r="DA880" s="266"/>
      <c r="DB880" s="266"/>
      <c r="DC880" s="266"/>
      <c r="DD880" s="266"/>
      <c r="DE880" s="266"/>
      <c r="DF880" s="266"/>
      <c r="DG880" s="266"/>
      <c r="DH880" s="266"/>
      <c r="DI880" s="266"/>
      <c r="DJ880" s="266"/>
      <c r="DK880" s="266"/>
      <c r="DL880" s="266"/>
      <c r="DM880" s="266"/>
      <c r="DN880" s="266"/>
      <c r="DO880" s="266"/>
      <c r="DP880" s="266"/>
      <c r="DQ880" s="266"/>
      <c r="DR880" s="266"/>
      <c r="DS880" s="266"/>
    </row>
    <row r="881" spans="129:146" s="266" customFormat="1">
      <c r="DY881" s="291"/>
      <c r="EC881" s="291"/>
      <c r="EP881" s="291"/>
    </row>
    <row r="882" spans="129:146" s="266" customFormat="1">
      <c r="DY882" s="291"/>
      <c r="EC882" s="291"/>
      <c r="EP882" s="291"/>
    </row>
    <row r="883" spans="129:146" s="266" customFormat="1">
      <c r="DY883" s="291"/>
      <c r="EC883" s="291"/>
      <c r="EP883" s="291"/>
    </row>
    <row r="884" spans="129:146" s="266" customFormat="1">
      <c r="DY884" s="291"/>
      <c r="EC884" s="291"/>
      <c r="EP884" s="291"/>
    </row>
    <row r="885" spans="129:146" s="266" customFormat="1">
      <c r="DY885" s="291"/>
      <c r="EC885" s="291"/>
      <c r="EP885" s="291"/>
    </row>
    <row r="886" spans="129:146" s="266" customFormat="1">
      <c r="DY886" s="291"/>
      <c r="EC886" s="291"/>
      <c r="EP886" s="291"/>
    </row>
    <row r="887" spans="129:146" s="266" customFormat="1">
      <c r="DY887" s="291"/>
      <c r="EC887" s="291"/>
      <c r="EP887" s="291"/>
    </row>
    <row r="888" spans="129:146" s="266" customFormat="1">
      <c r="DY888" s="291"/>
      <c r="EC888" s="291"/>
      <c r="EP888" s="291"/>
    </row>
    <row r="889" spans="129:146" s="266" customFormat="1">
      <c r="DY889" s="291"/>
      <c r="EC889" s="291"/>
      <c r="EP889" s="291"/>
    </row>
    <row r="890" spans="129:146" s="266" customFormat="1">
      <c r="DY890" s="291"/>
      <c r="EC890" s="291"/>
      <c r="EP890" s="291"/>
    </row>
    <row r="891" spans="129:146" s="266" customFormat="1">
      <c r="DY891" s="291"/>
      <c r="EC891" s="291"/>
      <c r="EP891" s="291"/>
    </row>
    <row r="892" spans="129:146" s="266" customFormat="1">
      <c r="DY892" s="291"/>
      <c r="EC892" s="291"/>
      <c r="EP892" s="291"/>
    </row>
    <row r="893" spans="129:146" s="266" customFormat="1">
      <c r="DY893" s="291"/>
      <c r="EC893" s="291"/>
      <c r="EP893" s="291"/>
    </row>
    <row r="894" spans="129:146" s="266" customFormat="1">
      <c r="DY894" s="291"/>
      <c r="EC894" s="291"/>
      <c r="EP894" s="291"/>
    </row>
    <row r="895" spans="129:146" s="266" customFormat="1">
      <c r="DY895" s="291"/>
      <c r="EC895" s="291"/>
      <c r="EP895" s="291"/>
    </row>
    <row r="896" spans="129:146" s="266" customFormat="1">
      <c r="DY896" s="291"/>
      <c r="EC896" s="291"/>
      <c r="EP896" s="291"/>
    </row>
    <row r="897" spans="129:146" s="266" customFormat="1">
      <c r="DY897" s="291"/>
      <c r="EC897" s="291"/>
      <c r="EP897" s="291"/>
    </row>
    <row r="898" spans="129:146" s="266" customFormat="1">
      <c r="DY898" s="291"/>
      <c r="EC898" s="291"/>
      <c r="EP898" s="291"/>
    </row>
    <row r="899" spans="129:146" s="266" customFormat="1">
      <c r="DY899" s="291"/>
      <c r="EC899" s="291"/>
      <c r="EP899" s="291"/>
    </row>
    <row r="900" spans="129:146" s="266" customFormat="1">
      <c r="DY900" s="291"/>
      <c r="EC900" s="291"/>
      <c r="EP900" s="291"/>
    </row>
    <row r="901" spans="129:146" s="266" customFormat="1">
      <c r="DY901" s="291"/>
      <c r="EC901" s="291"/>
      <c r="EP901" s="291"/>
    </row>
    <row r="902" spans="129:146" s="266" customFormat="1">
      <c r="DY902" s="291"/>
      <c r="EC902" s="291"/>
      <c r="EP902" s="291"/>
    </row>
    <row r="903" spans="129:146" s="266" customFormat="1">
      <c r="DY903" s="291"/>
      <c r="EC903" s="291"/>
      <c r="EP903" s="291"/>
    </row>
    <row r="904" spans="129:146" s="266" customFormat="1">
      <c r="DY904" s="291"/>
      <c r="EC904" s="291"/>
      <c r="EP904" s="291"/>
    </row>
    <row r="905" spans="129:146" s="266" customFormat="1">
      <c r="DY905" s="291"/>
      <c r="EC905" s="291"/>
      <c r="EP905" s="291"/>
    </row>
    <row r="906" spans="129:146" s="266" customFormat="1">
      <c r="DY906" s="291"/>
      <c r="EC906" s="291"/>
      <c r="EP906" s="291"/>
    </row>
    <row r="907" spans="129:146" s="266" customFormat="1">
      <c r="DY907" s="291"/>
      <c r="EC907" s="291"/>
      <c r="EP907" s="291"/>
    </row>
    <row r="908" spans="129:146" s="266" customFormat="1">
      <c r="DY908" s="291"/>
      <c r="EC908" s="291"/>
      <c r="EP908" s="291"/>
    </row>
    <row r="909" spans="129:146" s="266" customFormat="1">
      <c r="DY909" s="291"/>
      <c r="EC909" s="291"/>
      <c r="EP909" s="291"/>
    </row>
    <row r="910" spans="129:146" s="266" customFormat="1">
      <c r="DY910" s="291"/>
      <c r="EC910" s="291"/>
      <c r="EP910" s="291"/>
    </row>
    <row r="911" spans="129:146" s="266" customFormat="1">
      <c r="DY911" s="291"/>
      <c r="EC911" s="291"/>
      <c r="EP911" s="291"/>
    </row>
    <row r="912" spans="129:146" s="266" customFormat="1">
      <c r="DY912" s="291"/>
      <c r="EC912" s="291"/>
      <c r="EP912" s="291"/>
    </row>
    <row r="913" spans="129:146" s="266" customFormat="1">
      <c r="DY913" s="291"/>
      <c r="EC913" s="291"/>
      <c r="EP913" s="291"/>
    </row>
    <row r="914" spans="129:146" s="266" customFormat="1">
      <c r="DY914" s="291"/>
      <c r="EC914" s="291"/>
      <c r="EP914" s="291"/>
    </row>
    <row r="915" spans="129:146" s="266" customFormat="1">
      <c r="DY915" s="291"/>
      <c r="EC915" s="291"/>
      <c r="EP915" s="291"/>
    </row>
    <row r="916" spans="129:146" s="266" customFormat="1">
      <c r="DY916" s="291"/>
      <c r="EC916" s="291"/>
      <c r="EP916" s="291"/>
    </row>
    <row r="917" spans="129:146" s="266" customFormat="1">
      <c r="DY917" s="291"/>
      <c r="EC917" s="291"/>
      <c r="EP917" s="291"/>
    </row>
    <row r="918" spans="129:146" s="266" customFormat="1">
      <c r="DY918" s="291"/>
      <c r="EC918" s="291"/>
      <c r="EP918" s="291"/>
    </row>
    <row r="919" spans="129:146" s="266" customFormat="1">
      <c r="DY919" s="291"/>
      <c r="EC919" s="291"/>
      <c r="EP919" s="291"/>
    </row>
    <row r="920" spans="129:146" s="266" customFormat="1">
      <c r="DY920" s="291"/>
      <c r="EC920" s="291"/>
      <c r="EP920" s="291"/>
    </row>
    <row r="921" spans="129:146" s="266" customFormat="1">
      <c r="DY921" s="291"/>
      <c r="EC921" s="291"/>
      <c r="EP921" s="291"/>
    </row>
    <row r="922" spans="129:146" s="266" customFormat="1">
      <c r="DY922" s="291"/>
      <c r="EC922" s="291"/>
      <c r="EP922" s="291"/>
    </row>
    <row r="923" spans="129:146" s="266" customFormat="1">
      <c r="DY923" s="291"/>
      <c r="EC923" s="291"/>
      <c r="EP923" s="291"/>
    </row>
    <row r="924" spans="129:146" s="266" customFormat="1">
      <c r="DY924" s="291"/>
      <c r="EC924" s="291"/>
      <c r="EP924" s="291"/>
    </row>
    <row r="925" spans="129:146" s="266" customFormat="1">
      <c r="DY925" s="291"/>
      <c r="EC925" s="291"/>
      <c r="EP925" s="291"/>
    </row>
    <row r="926" spans="129:146" s="266" customFormat="1">
      <c r="DY926" s="291"/>
      <c r="EC926" s="291"/>
      <c r="EP926" s="291"/>
    </row>
    <row r="927" spans="129:146" s="266" customFormat="1">
      <c r="DY927" s="291"/>
      <c r="EC927" s="291"/>
      <c r="EP927" s="291"/>
    </row>
    <row r="928" spans="129:146" s="266" customFormat="1">
      <c r="DY928" s="291"/>
      <c r="EC928" s="291"/>
      <c r="EP928" s="291"/>
    </row>
    <row r="929" spans="129:146" s="266" customFormat="1">
      <c r="DY929" s="291"/>
      <c r="EC929" s="291"/>
      <c r="EP929" s="291"/>
    </row>
    <row r="930" spans="129:146" s="266" customFormat="1">
      <c r="DY930" s="291"/>
      <c r="EC930" s="291"/>
      <c r="EP930" s="291"/>
    </row>
    <row r="931" spans="129:146" s="266" customFormat="1">
      <c r="DY931" s="291"/>
      <c r="EC931" s="291"/>
      <c r="EP931" s="291"/>
    </row>
    <row r="932" spans="129:146" s="266" customFormat="1">
      <c r="DY932" s="291"/>
      <c r="EC932" s="291"/>
      <c r="EP932" s="291"/>
    </row>
    <row r="933" spans="129:146" s="266" customFormat="1">
      <c r="DY933" s="291"/>
      <c r="EC933" s="291"/>
      <c r="EP933" s="291"/>
    </row>
    <row r="934" spans="129:146" s="266" customFormat="1">
      <c r="DY934" s="291"/>
      <c r="EC934" s="291"/>
      <c r="EP934" s="291"/>
    </row>
    <row r="935" spans="129:146" s="266" customFormat="1">
      <c r="DY935" s="291"/>
      <c r="EC935" s="291"/>
      <c r="EP935" s="291"/>
    </row>
    <row r="936" spans="129:146" s="266" customFormat="1">
      <c r="DY936" s="291"/>
      <c r="EC936" s="291"/>
      <c r="EP936" s="291"/>
    </row>
    <row r="937" spans="129:146" s="266" customFormat="1">
      <c r="DY937" s="291"/>
      <c r="EC937" s="291"/>
      <c r="EP937" s="291"/>
    </row>
    <row r="938" spans="129:146" s="266" customFormat="1">
      <c r="DY938" s="291"/>
      <c r="EC938" s="291"/>
      <c r="EP938" s="291"/>
    </row>
    <row r="939" spans="129:146" s="266" customFormat="1">
      <c r="DY939" s="291"/>
      <c r="EC939" s="291"/>
      <c r="EP939" s="291"/>
    </row>
    <row r="940" spans="129:146" s="266" customFormat="1">
      <c r="DY940" s="291"/>
      <c r="EC940" s="291"/>
      <c r="EP940" s="291"/>
    </row>
    <row r="941" spans="129:146" s="266" customFormat="1">
      <c r="DY941" s="291"/>
      <c r="EC941" s="291"/>
      <c r="EP941" s="291"/>
    </row>
    <row r="942" spans="129:146" s="266" customFormat="1">
      <c r="DY942" s="291"/>
      <c r="EC942" s="291"/>
      <c r="EP942" s="291"/>
    </row>
    <row r="943" spans="129:146" s="266" customFormat="1">
      <c r="DY943" s="291"/>
      <c r="EC943" s="291"/>
      <c r="EP943" s="291"/>
    </row>
    <row r="944" spans="129:146" s="266" customFormat="1">
      <c r="DY944" s="291"/>
      <c r="EC944" s="291"/>
      <c r="EP944" s="291"/>
    </row>
    <row r="945" spans="129:146" s="266" customFormat="1">
      <c r="DY945" s="291"/>
      <c r="EC945" s="291"/>
      <c r="EP945" s="291"/>
    </row>
    <row r="946" spans="129:146" s="266" customFormat="1">
      <c r="DY946" s="291"/>
      <c r="EC946" s="291"/>
      <c r="EP946" s="291"/>
    </row>
    <row r="947" spans="129:146" s="266" customFormat="1">
      <c r="DY947" s="291"/>
      <c r="EC947" s="291"/>
      <c r="EP947" s="291"/>
    </row>
    <row r="948" spans="129:146" s="266" customFormat="1">
      <c r="DY948" s="291"/>
      <c r="EC948" s="291"/>
      <c r="EP948" s="291"/>
    </row>
    <row r="949" spans="129:146" s="266" customFormat="1">
      <c r="DY949" s="291"/>
      <c r="EC949" s="291"/>
      <c r="EP949" s="291"/>
    </row>
    <row r="950" spans="129:146" s="266" customFormat="1">
      <c r="DY950" s="291"/>
      <c r="EC950" s="291"/>
      <c r="EP950" s="291"/>
    </row>
    <row r="951" spans="129:146" s="266" customFormat="1">
      <c r="DY951" s="291"/>
      <c r="EC951" s="291"/>
      <c r="EP951" s="291"/>
    </row>
    <row r="952" spans="129:146" s="266" customFormat="1">
      <c r="DY952" s="291"/>
      <c r="EC952" s="291"/>
      <c r="EP952" s="291"/>
    </row>
    <row r="953" spans="129:146" s="266" customFormat="1">
      <c r="DY953" s="291"/>
      <c r="EC953" s="291"/>
      <c r="EP953" s="291"/>
    </row>
    <row r="954" spans="129:146" s="266" customFormat="1">
      <c r="DY954" s="291"/>
      <c r="EC954" s="291"/>
      <c r="EP954" s="291"/>
    </row>
    <row r="955" spans="129:146" s="266" customFormat="1">
      <c r="DY955" s="291"/>
      <c r="EC955" s="291"/>
      <c r="EP955" s="291"/>
    </row>
    <row r="956" spans="129:146" s="266" customFormat="1">
      <c r="DY956" s="291"/>
      <c r="EC956" s="291"/>
      <c r="EP956" s="291"/>
    </row>
    <row r="957" spans="129:146" s="266" customFormat="1">
      <c r="DY957" s="291"/>
      <c r="EC957" s="291"/>
      <c r="EP957" s="291"/>
    </row>
    <row r="958" spans="129:146" s="266" customFormat="1">
      <c r="DY958" s="291"/>
      <c r="EC958" s="291"/>
      <c r="EP958" s="291"/>
    </row>
    <row r="959" spans="129:146" s="266" customFormat="1">
      <c r="DY959" s="291"/>
      <c r="EC959" s="291"/>
      <c r="EP959" s="291"/>
    </row>
    <row r="960" spans="129:146" s="266" customFormat="1">
      <c r="DY960" s="291"/>
      <c r="EC960" s="291"/>
      <c r="EP960" s="291"/>
    </row>
    <row r="961" spans="129:146" s="266" customFormat="1">
      <c r="DY961" s="291"/>
      <c r="EC961" s="291"/>
      <c r="EP961" s="291"/>
    </row>
    <row r="962" spans="129:146" s="266" customFormat="1">
      <c r="DY962" s="291"/>
      <c r="EC962" s="291"/>
      <c r="EP962" s="291"/>
    </row>
    <row r="963" spans="129:146" s="266" customFormat="1">
      <c r="DY963" s="291"/>
      <c r="EC963" s="291"/>
      <c r="EP963" s="291"/>
    </row>
    <row r="964" spans="129:146" s="266" customFormat="1">
      <c r="DY964" s="291"/>
      <c r="EC964" s="291"/>
      <c r="EP964" s="291"/>
    </row>
    <row r="965" spans="129:146" s="266" customFormat="1">
      <c r="DY965" s="291"/>
      <c r="EC965" s="291"/>
      <c r="EP965" s="291"/>
    </row>
    <row r="966" spans="129:146" s="266" customFormat="1">
      <c r="DY966" s="291"/>
      <c r="EC966" s="291"/>
      <c r="EP966" s="291"/>
    </row>
    <row r="967" spans="129:146" s="266" customFormat="1">
      <c r="DY967" s="291"/>
      <c r="EC967" s="291"/>
      <c r="EP967" s="291"/>
    </row>
    <row r="968" spans="129:146" s="266" customFormat="1">
      <c r="DY968" s="291"/>
      <c r="EC968" s="291"/>
      <c r="EP968" s="291"/>
    </row>
    <row r="969" spans="129:146" s="266" customFormat="1">
      <c r="DY969" s="291"/>
      <c r="EC969" s="291"/>
      <c r="EP969" s="291"/>
    </row>
    <row r="970" spans="129:146" s="266" customFormat="1">
      <c r="DY970" s="291"/>
      <c r="EC970" s="291"/>
      <c r="EP970" s="291"/>
    </row>
    <row r="971" spans="129:146" s="266" customFormat="1">
      <c r="DY971" s="291"/>
      <c r="EC971" s="291"/>
      <c r="EP971" s="291"/>
    </row>
    <row r="972" spans="129:146" s="266" customFormat="1">
      <c r="DY972" s="291"/>
      <c r="EC972" s="291"/>
      <c r="EP972" s="291"/>
    </row>
    <row r="973" spans="129:146" s="266" customFormat="1">
      <c r="DY973" s="291"/>
      <c r="EC973" s="291"/>
      <c r="EP973" s="291"/>
    </row>
    <row r="974" spans="129:146" s="266" customFormat="1">
      <c r="DY974" s="291"/>
      <c r="EC974" s="291"/>
      <c r="EP974" s="291"/>
    </row>
    <row r="975" spans="129:146" s="266" customFormat="1">
      <c r="DY975" s="291"/>
      <c r="EC975" s="291"/>
      <c r="EP975" s="291"/>
    </row>
    <row r="976" spans="129:146" s="266" customFormat="1">
      <c r="DY976" s="291"/>
      <c r="EC976" s="291"/>
      <c r="EP976" s="291"/>
    </row>
    <row r="977" spans="129:146" s="266" customFormat="1">
      <c r="DY977" s="291"/>
      <c r="EC977" s="291"/>
      <c r="EP977" s="291"/>
    </row>
    <row r="978" spans="129:146" s="266" customFormat="1">
      <c r="DY978" s="291"/>
      <c r="EC978" s="291"/>
      <c r="EP978" s="291"/>
    </row>
    <row r="979" spans="129:146" s="266" customFormat="1">
      <c r="DY979" s="291"/>
      <c r="EC979" s="291"/>
      <c r="EP979" s="291"/>
    </row>
    <row r="980" spans="129:146" s="266" customFormat="1">
      <c r="DY980" s="291"/>
      <c r="EC980" s="291"/>
      <c r="EP980" s="291"/>
    </row>
    <row r="981" spans="129:146" s="266" customFormat="1">
      <c r="DY981" s="291"/>
      <c r="EC981" s="291"/>
      <c r="EP981" s="291"/>
    </row>
    <row r="982" spans="129:146" s="266" customFormat="1">
      <c r="DY982" s="291"/>
      <c r="EC982" s="291"/>
      <c r="EP982" s="291"/>
    </row>
    <row r="983" spans="129:146" s="266" customFormat="1">
      <c r="DY983" s="291"/>
      <c r="EC983" s="291"/>
      <c r="EP983" s="291"/>
    </row>
    <row r="984" spans="129:146" s="266" customFormat="1">
      <c r="DY984" s="291"/>
      <c r="EC984" s="291"/>
      <c r="EP984" s="291"/>
    </row>
    <row r="985" spans="129:146" s="266" customFormat="1">
      <c r="DY985" s="291"/>
      <c r="EC985" s="291"/>
      <c r="EP985" s="291"/>
    </row>
    <row r="986" spans="129:146" s="266" customFormat="1">
      <c r="DY986" s="291"/>
      <c r="EC986" s="291"/>
      <c r="EP986" s="291"/>
    </row>
    <row r="987" spans="129:146" s="266" customFormat="1">
      <c r="DY987" s="291"/>
      <c r="EC987" s="291"/>
      <c r="EP987" s="291"/>
    </row>
    <row r="988" spans="129:146" s="266" customFormat="1">
      <c r="DY988" s="291"/>
      <c r="EC988" s="291"/>
      <c r="EP988" s="291"/>
    </row>
    <row r="989" spans="129:146" s="266" customFormat="1">
      <c r="DY989" s="291"/>
      <c r="EC989" s="291"/>
      <c r="EP989" s="291"/>
    </row>
    <row r="990" spans="129:146" s="266" customFormat="1">
      <c r="DY990" s="291"/>
      <c r="EC990" s="291"/>
      <c r="EP990" s="291"/>
    </row>
    <row r="991" spans="129:146" s="266" customFormat="1">
      <c r="DY991" s="291"/>
      <c r="EC991" s="291"/>
      <c r="EP991" s="291"/>
    </row>
    <row r="992" spans="129:146" s="266" customFormat="1">
      <c r="DY992" s="291"/>
      <c r="EC992" s="291"/>
      <c r="EP992" s="291"/>
    </row>
    <row r="993" spans="129:146" s="266" customFormat="1">
      <c r="DY993" s="291"/>
      <c r="EC993" s="291"/>
      <c r="EP993" s="291"/>
    </row>
    <row r="994" spans="129:146" s="266" customFormat="1">
      <c r="DY994" s="291"/>
      <c r="EC994" s="291"/>
      <c r="EP994" s="291"/>
    </row>
    <row r="995" spans="129:146" s="266" customFormat="1">
      <c r="DY995" s="291"/>
      <c r="EC995" s="291"/>
      <c r="EP995" s="291"/>
    </row>
    <row r="996" spans="129:146" s="266" customFormat="1">
      <c r="DY996" s="291"/>
      <c r="EC996" s="291"/>
      <c r="EP996" s="291"/>
    </row>
    <row r="997" spans="129:146" s="266" customFormat="1">
      <c r="DY997" s="291"/>
      <c r="EC997" s="291"/>
      <c r="EP997" s="291"/>
    </row>
    <row r="998" spans="129:146" s="266" customFormat="1">
      <c r="DY998" s="291"/>
      <c r="EC998" s="291"/>
      <c r="EP998" s="291"/>
    </row>
    <row r="999" spans="129:146" s="266" customFormat="1">
      <c r="DY999" s="291"/>
      <c r="EC999" s="291"/>
      <c r="EP999" s="291"/>
    </row>
    <row r="1000" spans="129:146" s="266" customFormat="1">
      <c r="DY1000" s="291"/>
      <c r="EC1000" s="291"/>
      <c r="EP1000" s="291"/>
    </row>
    <row r="1001" spans="129:146" s="266" customFormat="1">
      <c r="DY1001" s="291"/>
      <c r="EC1001" s="291"/>
      <c r="EP1001" s="291"/>
    </row>
    <row r="1002" spans="129:146" s="266" customFormat="1">
      <c r="DY1002" s="291"/>
      <c r="EC1002" s="291"/>
      <c r="EP1002" s="291"/>
    </row>
    <row r="1003" spans="129:146" s="266" customFormat="1">
      <c r="DY1003" s="291"/>
      <c r="EC1003" s="291"/>
      <c r="EP1003" s="291"/>
    </row>
    <row r="1004" spans="129:146" s="266" customFormat="1">
      <c r="DY1004" s="291"/>
      <c r="EC1004" s="291"/>
      <c r="EP1004" s="291"/>
    </row>
    <row r="1005" spans="129:146" s="266" customFormat="1">
      <c r="DY1005" s="291"/>
      <c r="EC1005" s="291"/>
      <c r="EP1005" s="291"/>
    </row>
    <row r="1006" spans="129:146" s="266" customFormat="1">
      <c r="DY1006" s="291"/>
      <c r="EC1006" s="291"/>
      <c r="EP1006" s="291"/>
    </row>
    <row r="1007" spans="129:146" s="266" customFormat="1">
      <c r="DY1007" s="291"/>
      <c r="EC1007" s="291"/>
      <c r="EP1007" s="291"/>
    </row>
    <row r="1008" spans="129:146" s="266" customFormat="1">
      <c r="DY1008" s="291"/>
      <c r="EC1008" s="291"/>
      <c r="EP1008" s="291"/>
    </row>
    <row r="1009" spans="129:146" s="266" customFormat="1">
      <c r="DY1009" s="291"/>
      <c r="EC1009" s="291"/>
      <c r="EP1009" s="291"/>
    </row>
    <row r="1010" spans="129:146" s="266" customFormat="1">
      <c r="DY1010" s="291"/>
      <c r="EC1010" s="291"/>
      <c r="EP1010" s="291"/>
    </row>
    <row r="1011" spans="129:146" s="266" customFormat="1">
      <c r="DY1011" s="291"/>
      <c r="EC1011" s="291"/>
      <c r="EP1011" s="291"/>
    </row>
    <row r="1012" spans="129:146" s="266" customFormat="1">
      <c r="DY1012" s="291"/>
      <c r="EC1012" s="291"/>
      <c r="EP1012" s="291"/>
    </row>
    <row r="1013" spans="129:146" s="266" customFormat="1">
      <c r="DY1013" s="291"/>
      <c r="EC1013" s="291"/>
      <c r="EP1013" s="291"/>
    </row>
    <row r="1014" spans="129:146" s="266" customFormat="1">
      <c r="DY1014" s="291"/>
      <c r="EC1014" s="291"/>
      <c r="EP1014" s="291"/>
    </row>
    <row r="1015" spans="129:146" s="266" customFormat="1">
      <c r="DY1015" s="291"/>
      <c r="EC1015" s="291"/>
      <c r="EP1015" s="291"/>
    </row>
    <row r="1016" spans="129:146" s="266" customFormat="1">
      <c r="DY1016" s="291"/>
      <c r="EC1016" s="291"/>
      <c r="EP1016" s="291"/>
    </row>
    <row r="1017" spans="129:146" s="266" customFormat="1">
      <c r="DY1017" s="291"/>
      <c r="EC1017" s="291"/>
      <c r="EP1017" s="291"/>
    </row>
    <row r="1018" spans="129:146" s="266" customFormat="1">
      <c r="DY1018" s="291"/>
      <c r="EC1018" s="291"/>
      <c r="EP1018" s="291"/>
    </row>
    <row r="1019" spans="129:146" s="266" customFormat="1">
      <c r="DY1019" s="291"/>
      <c r="EC1019" s="291"/>
      <c r="EP1019" s="291"/>
    </row>
    <row r="1020" spans="129:146" s="266" customFormat="1">
      <c r="DY1020" s="291"/>
      <c r="EC1020" s="291"/>
      <c r="EP1020" s="291"/>
    </row>
    <row r="1021" spans="129:146" s="266" customFormat="1">
      <c r="DY1021" s="291"/>
      <c r="EC1021" s="291"/>
      <c r="EP1021" s="291"/>
    </row>
    <row r="1022" spans="129:146" s="266" customFormat="1">
      <c r="DY1022" s="291"/>
      <c r="EC1022" s="291"/>
      <c r="EP1022" s="291"/>
    </row>
    <row r="1023" spans="129:146" s="266" customFormat="1">
      <c r="DY1023" s="291"/>
      <c r="EC1023" s="291"/>
      <c r="EP1023" s="291"/>
    </row>
    <row r="1024" spans="129:146" s="266" customFormat="1">
      <c r="DY1024" s="291"/>
      <c r="EC1024" s="291"/>
      <c r="EP1024" s="291"/>
    </row>
    <row r="1025" spans="129:146" s="266" customFormat="1">
      <c r="DY1025" s="291"/>
      <c r="EC1025" s="291"/>
      <c r="EP1025" s="291"/>
    </row>
    <row r="1026" spans="129:146" s="266" customFormat="1">
      <c r="DY1026" s="291"/>
      <c r="EC1026" s="291"/>
      <c r="EP1026" s="291"/>
    </row>
    <row r="1027" spans="129:146" s="266" customFormat="1">
      <c r="DY1027" s="291"/>
      <c r="EC1027" s="291"/>
      <c r="EP1027" s="291"/>
    </row>
    <row r="1028" spans="129:146" s="266" customFormat="1">
      <c r="DY1028" s="291"/>
      <c r="EC1028" s="291"/>
      <c r="EP1028" s="291"/>
    </row>
    <row r="1029" spans="129:146" s="266" customFormat="1">
      <c r="DY1029" s="291"/>
      <c r="EC1029" s="291"/>
      <c r="EP1029" s="291"/>
    </row>
    <row r="1030" spans="129:146" s="266" customFormat="1">
      <c r="DY1030" s="291"/>
      <c r="EC1030" s="291"/>
      <c r="EP1030" s="291"/>
    </row>
    <row r="1031" spans="129:146" s="266" customFormat="1">
      <c r="DY1031" s="291"/>
      <c r="EC1031" s="291"/>
      <c r="EP1031" s="291"/>
    </row>
    <row r="1032" spans="129:146" s="266" customFormat="1">
      <c r="DY1032" s="291"/>
      <c r="EC1032" s="291"/>
      <c r="EP1032" s="291"/>
    </row>
    <row r="1033" spans="129:146" s="266" customFormat="1">
      <c r="DY1033" s="291"/>
      <c r="EC1033" s="291"/>
      <c r="EP1033" s="291"/>
    </row>
    <row r="1034" spans="129:146" s="266" customFormat="1">
      <c r="DY1034" s="291"/>
      <c r="EC1034" s="291"/>
      <c r="EP1034" s="291"/>
    </row>
    <row r="1035" spans="129:146" s="266" customFormat="1">
      <c r="DY1035" s="291"/>
      <c r="EC1035" s="291"/>
      <c r="EP1035" s="291"/>
    </row>
    <row r="1036" spans="129:146" s="266" customFormat="1">
      <c r="DY1036" s="291"/>
      <c r="EC1036" s="291"/>
      <c r="EP1036" s="291"/>
    </row>
    <row r="1037" spans="129:146" s="266" customFormat="1">
      <c r="DY1037" s="291"/>
      <c r="EC1037" s="291"/>
      <c r="EP1037" s="291"/>
    </row>
    <row r="1038" spans="129:146" s="266" customFormat="1">
      <c r="DY1038" s="291"/>
      <c r="EC1038" s="291"/>
      <c r="EP1038" s="291"/>
    </row>
    <row r="1039" spans="129:146" s="266" customFormat="1">
      <c r="DY1039" s="291"/>
      <c r="EC1039" s="291"/>
      <c r="EP1039" s="291"/>
    </row>
    <row r="1040" spans="129:146" s="266" customFormat="1">
      <c r="DY1040" s="291"/>
      <c r="EC1040" s="291"/>
      <c r="EP1040" s="291"/>
    </row>
    <row r="1041" spans="129:146" s="266" customFormat="1">
      <c r="DY1041" s="291"/>
      <c r="EC1041" s="291"/>
      <c r="EP1041" s="291"/>
    </row>
    <row r="1042" spans="129:146" s="266" customFormat="1">
      <c r="DY1042" s="291"/>
      <c r="EC1042" s="291"/>
      <c r="EP1042" s="291"/>
    </row>
    <row r="1043" spans="129:146" s="266" customFormat="1">
      <c r="DY1043" s="291"/>
      <c r="EC1043" s="291"/>
      <c r="EP1043" s="291"/>
    </row>
    <row r="1044" spans="129:146" s="266" customFormat="1">
      <c r="DY1044" s="291"/>
      <c r="EC1044" s="291"/>
      <c r="EP1044" s="291"/>
    </row>
    <row r="1045" spans="129:146" s="266" customFormat="1">
      <c r="DY1045" s="291"/>
      <c r="EC1045" s="291"/>
      <c r="EP1045" s="291"/>
    </row>
    <row r="1046" spans="129:146" s="266" customFormat="1">
      <c r="DY1046" s="291"/>
      <c r="EC1046" s="291"/>
      <c r="EP1046" s="291"/>
    </row>
    <row r="1047" spans="129:146" s="266" customFormat="1">
      <c r="DY1047" s="291"/>
      <c r="EC1047" s="291"/>
      <c r="EP1047" s="291"/>
    </row>
    <row r="1048" spans="129:146" s="266" customFormat="1">
      <c r="DY1048" s="291"/>
      <c r="EC1048" s="291"/>
      <c r="EP1048" s="291"/>
    </row>
    <row r="1049" spans="129:146" s="266" customFormat="1">
      <c r="DY1049" s="291"/>
      <c r="EC1049" s="291"/>
      <c r="EP1049" s="291"/>
    </row>
    <row r="1050" spans="129:146" s="266" customFormat="1">
      <c r="DY1050" s="291"/>
      <c r="EC1050" s="291"/>
      <c r="EP1050" s="291"/>
    </row>
    <row r="1051" spans="129:146" s="266" customFormat="1">
      <c r="DY1051" s="291"/>
      <c r="EC1051" s="291"/>
      <c r="EP1051" s="291"/>
    </row>
    <row r="1052" spans="129:146" s="266" customFormat="1">
      <c r="DY1052" s="291"/>
      <c r="EC1052" s="291"/>
      <c r="EP1052" s="291"/>
    </row>
    <row r="1053" spans="129:146" s="266" customFormat="1">
      <c r="DY1053" s="291"/>
      <c r="EC1053" s="291"/>
      <c r="EP1053" s="291"/>
    </row>
    <row r="1054" spans="129:146" s="266" customFormat="1">
      <c r="DY1054" s="291"/>
      <c r="EC1054" s="291"/>
      <c r="EP1054" s="291"/>
    </row>
    <row r="1055" spans="129:146" s="266" customFormat="1">
      <c r="DY1055" s="291"/>
      <c r="EC1055" s="291"/>
      <c r="EP1055" s="291"/>
    </row>
    <row r="1056" spans="129:146" s="266" customFormat="1">
      <c r="DY1056" s="291"/>
      <c r="EC1056" s="291"/>
      <c r="EP1056" s="291"/>
    </row>
    <row r="1057" spans="129:146" s="266" customFormat="1">
      <c r="DY1057" s="291"/>
      <c r="EC1057" s="291"/>
      <c r="EP1057" s="291"/>
    </row>
    <row r="1058" spans="129:146" s="266" customFormat="1">
      <c r="DY1058" s="291"/>
      <c r="EC1058" s="291"/>
      <c r="EP1058" s="291"/>
    </row>
    <row r="1059" spans="129:146" s="266" customFormat="1">
      <c r="DY1059" s="291"/>
      <c r="EC1059" s="291"/>
      <c r="EP1059" s="291"/>
    </row>
    <row r="1060" spans="129:146" s="266" customFormat="1">
      <c r="DY1060" s="291"/>
      <c r="EC1060" s="291"/>
      <c r="EP1060" s="291"/>
    </row>
    <row r="1061" spans="129:146" s="266" customFormat="1">
      <c r="DY1061" s="291"/>
      <c r="EC1061" s="291"/>
      <c r="EP1061" s="291"/>
    </row>
    <row r="1062" spans="129:146" s="266" customFormat="1">
      <c r="DY1062" s="291"/>
      <c r="EC1062" s="291"/>
      <c r="EP1062" s="291"/>
    </row>
    <row r="1063" spans="129:146" s="266" customFormat="1">
      <c r="DY1063" s="291"/>
      <c r="EC1063" s="291"/>
      <c r="EP1063" s="291"/>
    </row>
    <row r="1064" spans="129:146" s="266" customFormat="1">
      <c r="DY1064" s="291"/>
      <c r="EC1064" s="291"/>
      <c r="EP1064" s="291"/>
    </row>
    <row r="1065" spans="129:146" s="266" customFormat="1">
      <c r="DY1065" s="291"/>
      <c r="EC1065" s="291"/>
      <c r="EP1065" s="291"/>
    </row>
    <row r="1066" spans="129:146" s="266" customFormat="1">
      <c r="DY1066" s="291"/>
      <c r="EC1066" s="291"/>
      <c r="EP1066" s="291"/>
    </row>
    <row r="1067" spans="129:146" s="266" customFormat="1">
      <c r="DY1067" s="291"/>
      <c r="EC1067" s="291"/>
      <c r="EP1067" s="291"/>
    </row>
    <row r="1068" spans="129:146" s="266" customFormat="1">
      <c r="DY1068" s="291"/>
      <c r="EC1068" s="291"/>
      <c r="EP1068" s="291"/>
    </row>
    <row r="1069" spans="129:146" s="266" customFormat="1">
      <c r="DY1069" s="291"/>
      <c r="EC1069" s="291"/>
      <c r="EP1069" s="291"/>
    </row>
    <row r="1070" spans="129:146" s="266" customFormat="1">
      <c r="DY1070" s="291"/>
      <c r="EC1070" s="291"/>
      <c r="EP1070" s="291"/>
    </row>
    <row r="1071" spans="129:146" s="266" customFormat="1">
      <c r="DY1071" s="291"/>
      <c r="EC1071" s="291"/>
      <c r="EP1071" s="291"/>
    </row>
    <row r="1072" spans="129:146" s="266" customFormat="1">
      <c r="DY1072" s="291"/>
      <c r="EC1072" s="291"/>
      <c r="EP1072" s="291"/>
    </row>
    <row r="1073" spans="129:146" s="266" customFormat="1">
      <c r="DY1073" s="291"/>
      <c r="EC1073" s="291"/>
      <c r="EP1073" s="291"/>
    </row>
    <row r="1074" spans="129:146" s="266" customFormat="1">
      <c r="DY1074" s="291"/>
      <c r="EC1074" s="291"/>
      <c r="EP1074" s="291"/>
    </row>
    <row r="1075" spans="129:146" s="266" customFormat="1">
      <c r="DY1075" s="291"/>
      <c r="EC1075" s="291"/>
      <c r="EP1075" s="291"/>
    </row>
    <row r="1076" spans="129:146" s="266" customFormat="1">
      <c r="DY1076" s="291"/>
      <c r="EC1076" s="291"/>
      <c r="EP1076" s="291"/>
    </row>
    <row r="1077" spans="129:146" s="266" customFormat="1">
      <c r="DY1077" s="291"/>
      <c r="EC1077" s="291"/>
      <c r="EP1077" s="291"/>
    </row>
    <row r="1078" spans="129:146" s="266" customFormat="1">
      <c r="DY1078" s="291"/>
      <c r="EC1078" s="291"/>
      <c r="EP1078" s="291"/>
    </row>
    <row r="1079" spans="129:146" s="266" customFormat="1">
      <c r="DY1079" s="291"/>
      <c r="EC1079" s="291"/>
      <c r="EP1079" s="291"/>
    </row>
    <row r="1080" spans="129:146" s="266" customFormat="1">
      <c r="DY1080" s="291"/>
      <c r="EC1080" s="291"/>
      <c r="EP1080" s="291"/>
    </row>
    <row r="1081" spans="129:146" s="266" customFormat="1">
      <c r="DY1081" s="291"/>
      <c r="EC1081" s="291"/>
      <c r="EP1081" s="291"/>
    </row>
    <row r="1082" spans="129:146" s="266" customFormat="1">
      <c r="DY1082" s="291"/>
      <c r="EC1082" s="291"/>
      <c r="EP1082" s="291"/>
    </row>
    <row r="1083" spans="129:146" s="266" customFormat="1">
      <c r="DY1083" s="291"/>
      <c r="EC1083" s="291"/>
      <c r="EP1083" s="291"/>
    </row>
    <row r="1084" spans="129:146" s="266" customFormat="1">
      <c r="DY1084" s="291"/>
      <c r="EC1084" s="291"/>
      <c r="EP1084" s="291"/>
    </row>
    <row r="1085" spans="129:146" s="266" customFormat="1">
      <c r="DY1085" s="291"/>
      <c r="EC1085" s="291"/>
      <c r="EP1085" s="291"/>
    </row>
    <row r="1086" spans="129:146" s="266" customFormat="1">
      <c r="DY1086" s="291"/>
      <c r="EC1086" s="291"/>
      <c r="EP1086" s="291"/>
    </row>
    <row r="1087" spans="129:146" s="266" customFormat="1">
      <c r="DY1087" s="291"/>
      <c r="EC1087" s="291"/>
      <c r="EP1087" s="291"/>
    </row>
    <row r="1088" spans="129:146" s="266" customFormat="1">
      <c r="DY1088" s="291"/>
      <c r="EC1088" s="291"/>
      <c r="EP1088" s="291"/>
    </row>
    <row r="1089" spans="129:146" s="266" customFormat="1">
      <c r="DY1089" s="291"/>
      <c r="EC1089" s="291"/>
      <c r="EP1089" s="291"/>
    </row>
    <row r="1090" spans="129:146" s="266" customFormat="1">
      <c r="DY1090" s="291"/>
      <c r="EC1090" s="291"/>
      <c r="EP1090" s="291"/>
    </row>
    <row r="1091" spans="129:146" s="266" customFormat="1">
      <c r="DY1091" s="291"/>
      <c r="EC1091" s="291"/>
      <c r="EP1091" s="291"/>
    </row>
    <row r="1092" spans="129:146" s="266" customFormat="1">
      <c r="DY1092" s="291"/>
      <c r="EC1092" s="291"/>
      <c r="EP1092" s="291"/>
    </row>
    <row r="1093" spans="129:146" s="266" customFormat="1">
      <c r="DY1093" s="291"/>
      <c r="EC1093" s="291"/>
      <c r="EP1093" s="291"/>
    </row>
    <row r="1094" spans="129:146" s="266" customFormat="1">
      <c r="DY1094" s="291"/>
      <c r="EC1094" s="291"/>
      <c r="EP1094" s="291"/>
    </row>
    <row r="1095" spans="129:146" s="266" customFormat="1">
      <c r="DY1095" s="291"/>
      <c r="EC1095" s="291"/>
      <c r="EP1095" s="291"/>
    </row>
    <row r="1096" spans="129:146" s="266" customFormat="1">
      <c r="DY1096" s="291"/>
      <c r="EC1096" s="291"/>
      <c r="EP1096" s="291"/>
    </row>
    <row r="1097" spans="129:146" s="266" customFormat="1">
      <c r="DY1097" s="291"/>
      <c r="EC1097" s="291"/>
      <c r="EP1097" s="291"/>
    </row>
    <row r="1098" spans="129:146" s="266" customFormat="1">
      <c r="DY1098" s="291"/>
      <c r="EC1098" s="291"/>
      <c r="EP1098" s="291"/>
    </row>
    <row r="1099" spans="129:146" s="266" customFormat="1">
      <c r="DY1099" s="291"/>
      <c r="EC1099" s="291"/>
      <c r="EP1099" s="291"/>
    </row>
    <row r="1100" spans="129:146" s="266" customFormat="1">
      <c r="DY1100" s="291"/>
      <c r="EC1100" s="291"/>
      <c r="EP1100" s="291"/>
    </row>
    <row r="1101" spans="129:146" s="266" customFormat="1">
      <c r="DY1101" s="291"/>
      <c r="EC1101" s="291"/>
      <c r="EP1101" s="291"/>
    </row>
    <row r="1102" spans="129:146" s="266" customFormat="1">
      <c r="DY1102" s="291"/>
      <c r="EC1102" s="291"/>
      <c r="EP1102" s="291"/>
    </row>
    <row r="1103" spans="129:146" s="266" customFormat="1">
      <c r="DY1103" s="291"/>
      <c r="EC1103" s="291"/>
      <c r="EP1103" s="291"/>
    </row>
    <row r="1104" spans="129:146" s="266" customFormat="1">
      <c r="DY1104" s="291"/>
      <c r="EC1104" s="291"/>
      <c r="EP1104" s="291"/>
    </row>
    <row r="1105" spans="129:146" s="266" customFormat="1">
      <c r="DY1105" s="291"/>
      <c r="EC1105" s="291"/>
      <c r="EP1105" s="291"/>
    </row>
    <row r="1106" spans="129:146" s="266" customFormat="1">
      <c r="DY1106" s="291"/>
      <c r="EC1106" s="291"/>
      <c r="EP1106" s="291"/>
    </row>
    <row r="1107" spans="129:146" s="266" customFormat="1">
      <c r="DY1107" s="291"/>
      <c r="EC1107" s="291"/>
      <c r="EP1107" s="291"/>
    </row>
    <row r="1108" spans="129:146" s="266" customFormat="1">
      <c r="DY1108" s="291"/>
      <c r="EC1108" s="291"/>
      <c r="EP1108" s="291"/>
    </row>
    <row r="1109" spans="129:146" s="266" customFormat="1">
      <c r="DY1109" s="291"/>
      <c r="EC1109" s="291"/>
      <c r="EP1109" s="291"/>
    </row>
    <row r="1110" spans="129:146" s="266" customFormat="1">
      <c r="DY1110" s="291"/>
      <c r="EC1110" s="291"/>
      <c r="EP1110" s="291"/>
    </row>
    <row r="1111" spans="129:146" s="266" customFormat="1">
      <c r="DY1111" s="291"/>
      <c r="EC1111" s="291"/>
      <c r="EP1111" s="291"/>
    </row>
    <row r="1112" spans="129:146" s="266" customFormat="1">
      <c r="DY1112" s="291"/>
      <c r="EC1112" s="291"/>
      <c r="EP1112" s="291"/>
    </row>
    <row r="1113" spans="129:146" s="266" customFormat="1">
      <c r="DY1113" s="291"/>
      <c r="EC1113" s="291"/>
      <c r="EP1113" s="291"/>
    </row>
    <row r="1114" spans="129:146" s="266" customFormat="1">
      <c r="DY1114" s="291"/>
      <c r="EC1114" s="291"/>
      <c r="EP1114" s="291"/>
    </row>
    <row r="1115" spans="129:146" s="266" customFormat="1">
      <c r="DY1115" s="291"/>
      <c r="EC1115" s="291"/>
      <c r="EP1115" s="291"/>
    </row>
    <row r="1116" spans="129:146" s="266" customFormat="1">
      <c r="DY1116" s="291"/>
      <c r="EC1116" s="291"/>
      <c r="EP1116" s="291"/>
    </row>
    <row r="1117" spans="129:146" s="266" customFormat="1">
      <c r="DY1117" s="291"/>
      <c r="EC1117" s="291"/>
      <c r="EP1117" s="291"/>
    </row>
    <row r="1118" spans="129:146" s="266" customFormat="1">
      <c r="DY1118" s="291"/>
      <c r="EC1118" s="291"/>
      <c r="EP1118" s="291"/>
    </row>
    <row r="1119" spans="129:146" s="266" customFormat="1">
      <c r="DY1119" s="291"/>
      <c r="EC1119" s="291"/>
      <c r="EP1119" s="291"/>
    </row>
    <row r="1120" spans="129:146" s="266" customFormat="1">
      <c r="DY1120" s="291"/>
      <c r="EC1120" s="291"/>
      <c r="EP1120" s="291"/>
    </row>
    <row r="1121" spans="129:146" s="266" customFormat="1">
      <c r="DY1121" s="291"/>
      <c r="EC1121" s="291"/>
      <c r="EP1121" s="291"/>
    </row>
    <row r="1122" spans="129:146" s="266" customFormat="1">
      <c r="DY1122" s="291"/>
      <c r="EC1122" s="291"/>
      <c r="EP1122" s="291"/>
    </row>
    <row r="1123" spans="129:146" s="266" customFormat="1">
      <c r="DY1123" s="291"/>
      <c r="EC1123" s="291"/>
      <c r="EP1123" s="291"/>
    </row>
    <row r="1124" spans="129:146" s="266" customFormat="1">
      <c r="DY1124" s="291"/>
      <c r="EC1124" s="291"/>
      <c r="EP1124" s="291"/>
    </row>
    <row r="1125" spans="129:146" s="266" customFormat="1">
      <c r="DY1125" s="291"/>
      <c r="EC1125" s="291"/>
      <c r="EP1125" s="291"/>
    </row>
    <row r="1126" spans="129:146" s="266" customFormat="1">
      <c r="DY1126" s="291"/>
      <c r="EC1126" s="291"/>
      <c r="EP1126" s="291"/>
    </row>
    <row r="1127" spans="129:146" s="266" customFormat="1">
      <c r="DY1127" s="291"/>
      <c r="EC1127" s="291"/>
      <c r="EP1127" s="291"/>
    </row>
    <row r="1128" spans="129:146" s="266" customFormat="1">
      <c r="DY1128" s="291"/>
      <c r="EC1128" s="291"/>
      <c r="EP1128" s="291"/>
    </row>
    <row r="1129" spans="129:146" s="266" customFormat="1">
      <c r="DY1129" s="291"/>
      <c r="EC1129" s="291"/>
      <c r="EP1129" s="291"/>
    </row>
    <row r="1130" spans="129:146" s="266" customFormat="1">
      <c r="DY1130" s="291"/>
      <c r="EC1130" s="291"/>
      <c r="EP1130" s="291"/>
    </row>
    <row r="1131" spans="129:146" s="266" customFormat="1">
      <c r="DY1131" s="291"/>
      <c r="EC1131" s="291"/>
      <c r="EP1131" s="291"/>
    </row>
    <row r="1132" spans="129:146" s="266" customFormat="1">
      <c r="DY1132" s="291"/>
      <c r="EC1132" s="291"/>
      <c r="EP1132" s="291"/>
    </row>
    <row r="1133" spans="129:146" s="266" customFormat="1">
      <c r="DY1133" s="291"/>
      <c r="EC1133" s="291"/>
      <c r="EP1133" s="291"/>
    </row>
    <row r="1134" spans="129:146" s="266" customFormat="1">
      <c r="DY1134" s="291"/>
      <c r="EC1134" s="291"/>
      <c r="EP1134" s="291"/>
    </row>
    <row r="1135" spans="129:146" s="266" customFormat="1">
      <c r="DY1135" s="291"/>
      <c r="EC1135" s="291"/>
      <c r="EP1135" s="291"/>
    </row>
    <row r="1136" spans="129:146" s="266" customFormat="1">
      <c r="DY1136" s="291"/>
      <c r="EC1136" s="291"/>
      <c r="EP1136" s="291"/>
    </row>
    <row r="1137" spans="129:146" s="266" customFormat="1">
      <c r="DY1137" s="291"/>
      <c r="EC1137" s="291"/>
      <c r="EP1137" s="291"/>
    </row>
    <row r="1138" spans="129:146" s="266" customFormat="1">
      <c r="DY1138" s="291"/>
      <c r="EC1138" s="291"/>
      <c r="EP1138" s="291"/>
    </row>
    <row r="1139" spans="129:146" s="266" customFormat="1">
      <c r="DY1139" s="291"/>
      <c r="EC1139" s="291"/>
      <c r="EP1139" s="291"/>
    </row>
    <row r="1140" spans="129:146" s="266" customFormat="1">
      <c r="DY1140" s="291"/>
      <c r="EC1140" s="291"/>
      <c r="EP1140" s="291"/>
    </row>
    <row r="1141" spans="129:146" s="266" customFormat="1">
      <c r="DY1141" s="291"/>
      <c r="EC1141" s="291"/>
      <c r="EP1141" s="291"/>
    </row>
    <row r="1142" spans="129:146" s="266" customFormat="1">
      <c r="DY1142" s="291"/>
      <c r="EC1142" s="291"/>
      <c r="EP1142" s="291"/>
    </row>
    <row r="1143" spans="129:146" s="266" customFormat="1">
      <c r="DY1143" s="291"/>
      <c r="EC1143" s="291"/>
      <c r="EP1143" s="291"/>
    </row>
    <row r="1144" spans="129:146" s="266" customFormat="1">
      <c r="DY1144" s="291"/>
      <c r="EC1144" s="291"/>
      <c r="EP1144" s="291"/>
    </row>
    <row r="1145" spans="129:146" s="266" customFormat="1">
      <c r="DY1145" s="291"/>
      <c r="EC1145" s="291"/>
      <c r="EP1145" s="291"/>
    </row>
    <row r="1146" spans="129:146" s="266" customFormat="1">
      <c r="DY1146" s="291"/>
      <c r="EC1146" s="291"/>
      <c r="EP1146" s="291"/>
    </row>
    <row r="1147" spans="129:146" s="266" customFormat="1">
      <c r="DY1147" s="291"/>
      <c r="EC1147" s="291"/>
      <c r="EP1147" s="291"/>
    </row>
    <row r="1148" spans="129:146" s="266" customFormat="1">
      <c r="DY1148" s="291"/>
      <c r="EC1148" s="291"/>
      <c r="EP1148" s="291"/>
    </row>
    <row r="1149" spans="129:146" s="266" customFormat="1">
      <c r="DY1149" s="291"/>
      <c r="EC1149" s="291"/>
      <c r="EP1149" s="291"/>
    </row>
    <row r="1150" spans="129:146" s="266" customFormat="1">
      <c r="DY1150" s="291"/>
      <c r="EC1150" s="291"/>
      <c r="EP1150" s="291"/>
    </row>
    <row r="1151" spans="129:146" s="266" customFormat="1">
      <c r="DY1151" s="291"/>
      <c r="EC1151" s="291"/>
      <c r="EP1151" s="291"/>
    </row>
    <row r="1152" spans="129:146" s="266" customFormat="1">
      <c r="DY1152" s="291"/>
      <c r="EC1152" s="291"/>
      <c r="EP1152" s="291"/>
    </row>
    <row r="1153" spans="129:146" s="266" customFormat="1">
      <c r="DY1153" s="291"/>
      <c r="EC1153" s="291"/>
      <c r="EP1153" s="291"/>
    </row>
    <row r="1154" spans="129:146" s="266" customFormat="1">
      <c r="DY1154" s="291"/>
      <c r="EC1154" s="291"/>
      <c r="EP1154" s="291"/>
    </row>
    <row r="1155" spans="129:146" s="266" customFormat="1">
      <c r="DY1155" s="291"/>
      <c r="EC1155" s="291"/>
      <c r="EP1155" s="291"/>
    </row>
    <row r="1156" spans="129:146" s="266" customFormat="1">
      <c r="DY1156" s="291"/>
      <c r="EC1156" s="291"/>
      <c r="EP1156" s="291"/>
    </row>
    <row r="1157" spans="129:146" s="266" customFormat="1">
      <c r="DY1157" s="291"/>
      <c r="EC1157" s="291"/>
      <c r="EP1157" s="291"/>
    </row>
    <row r="1158" spans="129:146" s="266" customFormat="1">
      <c r="DY1158" s="291"/>
      <c r="EC1158" s="291"/>
      <c r="EP1158" s="291"/>
    </row>
    <row r="1159" spans="129:146" s="266" customFormat="1">
      <c r="DY1159" s="291"/>
      <c r="EC1159" s="291"/>
      <c r="EP1159" s="291"/>
    </row>
    <row r="1160" spans="129:146" s="266" customFormat="1">
      <c r="DY1160" s="291"/>
      <c r="EC1160" s="291"/>
      <c r="EP1160" s="291"/>
    </row>
    <row r="1161" spans="129:146" s="266" customFormat="1">
      <c r="DY1161" s="291"/>
      <c r="EC1161" s="291"/>
      <c r="EP1161" s="291"/>
    </row>
    <row r="1162" spans="129:146" s="266" customFormat="1">
      <c r="DY1162" s="291"/>
      <c r="EC1162" s="291"/>
      <c r="EP1162" s="291"/>
    </row>
    <row r="1163" spans="129:146" s="266" customFormat="1">
      <c r="DY1163" s="291"/>
      <c r="EC1163" s="291"/>
      <c r="EP1163" s="291"/>
    </row>
    <row r="1164" spans="129:146" s="266" customFormat="1">
      <c r="DY1164" s="291"/>
      <c r="EC1164" s="291"/>
      <c r="EP1164" s="291"/>
    </row>
    <row r="1165" spans="129:146" s="266" customFormat="1">
      <c r="DY1165" s="291"/>
      <c r="EC1165" s="291"/>
      <c r="EP1165" s="291"/>
    </row>
    <row r="1166" spans="129:146" s="266" customFormat="1">
      <c r="DY1166" s="291"/>
      <c r="EC1166" s="291"/>
      <c r="EP1166" s="291"/>
    </row>
    <row r="1167" spans="129:146" s="266" customFormat="1">
      <c r="DY1167" s="291"/>
      <c r="EC1167" s="291"/>
      <c r="EP1167" s="291"/>
    </row>
    <row r="1168" spans="129:146" s="266" customFormat="1">
      <c r="DY1168" s="291"/>
      <c r="EC1168" s="291"/>
      <c r="EP1168" s="291"/>
    </row>
    <row r="1169" spans="129:146" s="266" customFormat="1">
      <c r="DY1169" s="291"/>
      <c r="EC1169" s="291"/>
      <c r="EP1169" s="291"/>
    </row>
    <row r="1170" spans="129:146" s="266" customFormat="1">
      <c r="DY1170" s="291"/>
      <c r="EC1170" s="291"/>
      <c r="EP1170" s="291"/>
    </row>
    <row r="1171" spans="129:146" s="266" customFormat="1">
      <c r="DY1171" s="291"/>
      <c r="EC1171" s="291"/>
      <c r="EP1171" s="291"/>
    </row>
    <row r="1172" spans="129:146" s="266" customFormat="1">
      <c r="DY1172" s="291"/>
      <c r="EC1172" s="291"/>
      <c r="EP1172" s="291"/>
    </row>
    <row r="1173" spans="129:146" s="266" customFormat="1">
      <c r="DY1173" s="291"/>
      <c r="EC1173" s="291"/>
      <c r="EP1173" s="291"/>
    </row>
    <row r="1174" spans="129:146" s="266" customFormat="1">
      <c r="DY1174" s="291"/>
      <c r="EC1174" s="291"/>
      <c r="EP1174" s="291"/>
    </row>
    <row r="1175" spans="129:146" s="266" customFormat="1">
      <c r="DY1175" s="291"/>
      <c r="EC1175" s="291"/>
      <c r="EP1175" s="291"/>
    </row>
    <row r="1176" spans="129:146" s="266" customFormat="1">
      <c r="DY1176" s="291"/>
      <c r="EC1176" s="291"/>
      <c r="EP1176" s="291"/>
    </row>
    <row r="1177" spans="129:146" s="266" customFormat="1">
      <c r="DY1177" s="291"/>
      <c r="EC1177" s="291"/>
      <c r="EP1177" s="291"/>
    </row>
    <row r="1178" spans="129:146" s="266" customFormat="1">
      <c r="DY1178" s="291"/>
      <c r="EC1178" s="291"/>
      <c r="EP1178" s="291"/>
    </row>
    <row r="1179" spans="129:146" s="266" customFormat="1">
      <c r="DY1179" s="291"/>
      <c r="EC1179" s="291"/>
      <c r="EP1179" s="291"/>
    </row>
    <row r="1180" spans="129:146" s="266" customFormat="1">
      <c r="DY1180" s="291"/>
      <c r="EC1180" s="291"/>
      <c r="EP1180" s="291"/>
    </row>
    <row r="1181" spans="129:146" s="266" customFormat="1">
      <c r="DY1181" s="291"/>
      <c r="EC1181" s="291"/>
      <c r="EP1181" s="291"/>
    </row>
    <row r="1182" spans="129:146" s="266" customFormat="1">
      <c r="DY1182" s="291"/>
      <c r="EC1182" s="291"/>
      <c r="EP1182" s="291"/>
    </row>
    <row r="1183" spans="129:146" s="266" customFormat="1">
      <c r="DY1183" s="291"/>
      <c r="EC1183" s="291"/>
      <c r="EP1183" s="291"/>
    </row>
    <row r="1184" spans="129:146" s="266" customFormat="1">
      <c r="DY1184" s="291"/>
      <c r="EC1184" s="291"/>
      <c r="EP1184" s="291"/>
    </row>
    <row r="1185" spans="11:123">
      <c r="K1185" s="266"/>
      <c r="L1185" s="266"/>
      <c r="M1185" s="266"/>
      <c r="N1185" s="266"/>
      <c r="O1185" s="266"/>
      <c r="P1185" s="266"/>
      <c r="Q1185" s="266"/>
      <c r="BR1185" s="266"/>
      <c r="BS1185" s="266"/>
      <c r="BT1185" s="266"/>
      <c r="BU1185" s="266"/>
      <c r="BV1185" s="266"/>
      <c r="CJ1185" s="266"/>
      <c r="CO1185" s="266"/>
      <c r="CP1185" s="266"/>
      <c r="CQ1185" s="266"/>
      <c r="CR1185" s="266"/>
      <c r="CS1185" s="266"/>
      <c r="CT1185" s="266"/>
      <c r="CU1185" s="266"/>
      <c r="CV1185" s="266"/>
      <c r="CW1185" s="266"/>
      <c r="CX1185" s="266"/>
      <c r="CY1185" s="266"/>
      <c r="CZ1185" s="266"/>
      <c r="DA1185" s="266"/>
      <c r="DB1185" s="266"/>
      <c r="DC1185" s="266"/>
      <c r="DD1185" s="266"/>
      <c r="DE1185" s="266"/>
      <c r="DF1185" s="266"/>
      <c r="DG1185" s="266"/>
      <c r="DH1185" s="266"/>
      <c r="DI1185" s="266"/>
      <c r="DJ1185" s="266"/>
      <c r="DK1185" s="266"/>
      <c r="DL1185" s="266"/>
      <c r="DM1185" s="266"/>
      <c r="DN1185" s="266"/>
      <c r="DO1185" s="266"/>
      <c r="DP1185" s="266"/>
      <c r="DQ1185" s="266"/>
      <c r="DR1185" s="266"/>
      <c r="DS1185" s="266"/>
    </row>
    <row r="1186" spans="11:123">
      <c r="K1186" s="266"/>
      <c r="L1186" s="266"/>
      <c r="M1186" s="266"/>
      <c r="N1186" s="266"/>
      <c r="O1186" s="266"/>
      <c r="P1186" s="266"/>
      <c r="Q1186" s="266"/>
      <c r="BR1186" s="266"/>
      <c r="BS1186" s="266"/>
      <c r="BT1186" s="266"/>
      <c r="BU1186" s="266"/>
      <c r="BV1186" s="266"/>
      <c r="CJ1186" s="266"/>
      <c r="CO1186" s="266"/>
      <c r="CP1186" s="266"/>
      <c r="CQ1186" s="266"/>
      <c r="CR1186" s="266"/>
      <c r="CS1186" s="266"/>
      <c r="CT1186" s="266"/>
      <c r="CU1186" s="266"/>
      <c r="CV1186" s="266"/>
      <c r="CW1186" s="266"/>
      <c r="CX1186" s="266"/>
      <c r="CY1186" s="266"/>
      <c r="CZ1186" s="266"/>
      <c r="DA1186" s="266"/>
      <c r="DB1186" s="266"/>
      <c r="DC1186" s="266"/>
      <c r="DD1186" s="266"/>
      <c r="DE1186" s="266"/>
      <c r="DF1186" s="266"/>
      <c r="DG1186" s="266"/>
      <c r="DH1186" s="266"/>
      <c r="DI1186" s="266"/>
      <c r="DJ1186" s="266"/>
      <c r="DK1186" s="266"/>
      <c r="DL1186" s="266"/>
      <c r="DM1186" s="266"/>
      <c r="DN1186" s="266"/>
      <c r="DO1186" s="266"/>
      <c r="DP1186" s="266"/>
      <c r="DQ1186" s="266"/>
      <c r="DR1186" s="266"/>
      <c r="DS1186" s="266"/>
    </row>
    <row r="1187" spans="11:123">
      <c r="K1187" s="266"/>
      <c r="L1187" s="266"/>
      <c r="M1187" s="266"/>
      <c r="N1187" s="266"/>
      <c r="O1187" s="266"/>
      <c r="P1187" s="266"/>
      <c r="Q1187" s="266"/>
      <c r="BR1187" s="266"/>
      <c r="BS1187" s="266"/>
      <c r="BT1187" s="266"/>
      <c r="BU1187" s="266"/>
      <c r="BV1187" s="266"/>
      <c r="CJ1187" s="266"/>
      <c r="CO1187" s="266"/>
      <c r="CP1187" s="266"/>
      <c r="CQ1187" s="266"/>
      <c r="CR1187" s="266"/>
      <c r="CS1187" s="266"/>
      <c r="CT1187" s="266"/>
      <c r="CU1187" s="266"/>
      <c r="CV1187" s="266"/>
      <c r="CW1187" s="266"/>
      <c r="CX1187" s="266"/>
      <c r="CY1187" s="266"/>
      <c r="CZ1187" s="266"/>
      <c r="DA1187" s="266"/>
      <c r="DB1187" s="266"/>
      <c r="DC1187" s="266"/>
      <c r="DD1187" s="266"/>
      <c r="DE1187" s="266"/>
      <c r="DF1187" s="266"/>
      <c r="DG1187" s="266"/>
      <c r="DH1187" s="266"/>
      <c r="DI1187" s="266"/>
      <c r="DJ1187" s="266"/>
      <c r="DK1187" s="266"/>
      <c r="DL1187" s="266"/>
      <c r="DM1187" s="266"/>
      <c r="DN1187" s="266"/>
      <c r="DO1187" s="266"/>
      <c r="DP1187" s="266"/>
      <c r="DQ1187" s="266"/>
      <c r="DR1187" s="266"/>
      <c r="DS1187" s="266"/>
    </row>
    <row r="1188" spans="11:123">
      <c r="K1188" s="266"/>
      <c r="L1188" s="266"/>
      <c r="M1188" s="266"/>
      <c r="N1188" s="266"/>
      <c r="O1188" s="266"/>
      <c r="P1188" s="266"/>
      <c r="Q1188" s="266"/>
      <c r="BR1188" s="266"/>
      <c r="BS1188" s="266"/>
      <c r="BT1188" s="266"/>
      <c r="BU1188" s="266"/>
      <c r="BV1188" s="266"/>
      <c r="CJ1188" s="266"/>
      <c r="CO1188" s="266"/>
      <c r="CP1188" s="266"/>
      <c r="CQ1188" s="266"/>
      <c r="CR1188" s="266"/>
      <c r="CS1188" s="266"/>
      <c r="CT1188" s="266"/>
      <c r="CU1188" s="266"/>
      <c r="CV1188" s="266"/>
      <c r="CW1188" s="266"/>
      <c r="CX1188" s="266"/>
      <c r="CY1188" s="266"/>
      <c r="CZ1188" s="266"/>
      <c r="DA1188" s="266"/>
      <c r="DB1188" s="266"/>
      <c r="DC1188" s="266"/>
      <c r="DD1188" s="266"/>
      <c r="DE1188" s="266"/>
      <c r="DF1188" s="266"/>
      <c r="DG1188" s="266"/>
      <c r="DH1188" s="266"/>
      <c r="DI1188" s="266"/>
      <c r="DJ1188" s="266"/>
      <c r="DK1188" s="266"/>
      <c r="DL1188" s="266"/>
      <c r="DM1188" s="266"/>
      <c r="DN1188" s="266"/>
      <c r="DO1188" s="266"/>
      <c r="DP1188" s="266"/>
      <c r="DQ1188" s="266"/>
      <c r="DR1188" s="266"/>
      <c r="DS1188" s="266"/>
    </row>
    <row r="1189" spans="11:123">
      <c r="K1189" s="266"/>
      <c r="L1189" s="266"/>
      <c r="M1189" s="266"/>
      <c r="N1189" s="266"/>
      <c r="O1189" s="266"/>
      <c r="P1189" s="266"/>
      <c r="Q1189" s="266"/>
      <c r="BR1189" s="266"/>
      <c r="BS1189" s="266"/>
      <c r="BT1189" s="266"/>
      <c r="BU1189" s="266"/>
      <c r="BV1189" s="266"/>
      <c r="CJ1189" s="266"/>
      <c r="CO1189" s="266"/>
      <c r="CP1189" s="266"/>
      <c r="CQ1189" s="266"/>
      <c r="CR1189" s="266"/>
      <c r="CS1189" s="266"/>
      <c r="CT1189" s="266"/>
      <c r="CU1189" s="266"/>
      <c r="CV1189" s="266"/>
      <c r="CW1189" s="266"/>
      <c r="CX1189" s="266"/>
      <c r="CY1189" s="266"/>
      <c r="CZ1189" s="266"/>
      <c r="DA1189" s="266"/>
      <c r="DB1189" s="266"/>
      <c r="DC1189" s="266"/>
      <c r="DD1189" s="266"/>
      <c r="DE1189" s="266"/>
      <c r="DF1189" s="266"/>
      <c r="DG1189" s="266"/>
      <c r="DH1189" s="266"/>
      <c r="DI1189" s="266"/>
      <c r="DJ1189" s="266"/>
      <c r="DK1189" s="266"/>
      <c r="DL1189" s="266"/>
      <c r="DM1189" s="266"/>
      <c r="DN1189" s="266"/>
      <c r="DO1189" s="266"/>
      <c r="DP1189" s="266"/>
      <c r="DQ1189" s="266"/>
      <c r="DR1189" s="266"/>
      <c r="DS1189" s="266"/>
    </row>
    <row r="1190" spans="11:123">
      <c r="K1190" s="266"/>
      <c r="L1190" s="266"/>
      <c r="M1190" s="266"/>
      <c r="N1190" s="266"/>
      <c r="O1190" s="266"/>
      <c r="P1190" s="266"/>
      <c r="Q1190" s="266"/>
      <c r="BR1190" s="266"/>
      <c r="BS1190" s="266"/>
      <c r="BT1190" s="266"/>
      <c r="BU1190" s="266"/>
      <c r="BV1190" s="266"/>
      <c r="CJ1190" s="266"/>
      <c r="CO1190" s="266"/>
      <c r="CP1190" s="266"/>
      <c r="CQ1190" s="266"/>
      <c r="CR1190" s="266"/>
      <c r="CS1190" s="266"/>
      <c r="CT1190" s="266"/>
      <c r="CU1190" s="266"/>
      <c r="CV1190" s="266"/>
      <c r="CW1190" s="266"/>
      <c r="CX1190" s="266"/>
      <c r="CY1190" s="266"/>
      <c r="CZ1190" s="266"/>
      <c r="DA1190" s="266"/>
      <c r="DB1190" s="266"/>
      <c r="DC1190" s="266"/>
      <c r="DD1190" s="266"/>
      <c r="DE1190" s="266"/>
      <c r="DF1190" s="266"/>
      <c r="DG1190" s="266"/>
      <c r="DH1190" s="266"/>
      <c r="DI1190" s="266"/>
      <c r="DJ1190" s="266"/>
      <c r="DK1190" s="266"/>
      <c r="DL1190" s="266"/>
      <c r="DM1190" s="266"/>
      <c r="DN1190" s="266"/>
      <c r="DO1190" s="266"/>
      <c r="DP1190" s="266"/>
      <c r="DQ1190" s="266"/>
      <c r="DR1190" s="266"/>
      <c r="DS1190" s="266"/>
    </row>
    <row r="1191" spans="11:123">
      <c r="K1191" s="266"/>
      <c r="L1191" s="266"/>
      <c r="M1191" s="266"/>
      <c r="N1191" s="266"/>
      <c r="O1191" s="266"/>
      <c r="P1191" s="266"/>
      <c r="Q1191" s="266"/>
      <c r="BR1191" s="266"/>
      <c r="BS1191" s="266"/>
      <c r="BT1191" s="266"/>
      <c r="BU1191" s="266"/>
      <c r="BV1191" s="266"/>
      <c r="CJ1191" s="266"/>
      <c r="CO1191" s="266"/>
      <c r="CP1191" s="266"/>
      <c r="CQ1191" s="266"/>
      <c r="CR1191" s="266"/>
      <c r="CS1191" s="266"/>
      <c r="CT1191" s="266"/>
      <c r="CU1191" s="266"/>
      <c r="CV1191" s="266"/>
      <c r="CW1191" s="266"/>
      <c r="CX1191" s="266"/>
      <c r="CY1191" s="266"/>
      <c r="CZ1191" s="266"/>
      <c r="DA1191" s="266"/>
      <c r="DB1191" s="266"/>
      <c r="DC1191" s="266"/>
      <c r="DD1191" s="266"/>
      <c r="DE1191" s="266"/>
      <c r="DF1191" s="266"/>
      <c r="DG1191" s="266"/>
      <c r="DH1191" s="266"/>
      <c r="DI1191" s="266"/>
      <c r="DJ1191" s="266"/>
      <c r="DK1191" s="266"/>
      <c r="DL1191" s="266"/>
      <c r="DM1191" s="266"/>
      <c r="DN1191" s="266"/>
      <c r="DO1191" s="266"/>
      <c r="DP1191" s="266"/>
      <c r="DQ1191" s="266"/>
      <c r="DR1191" s="266"/>
      <c r="DS1191" s="266"/>
    </row>
    <row r="1192" spans="11:123">
      <c r="L1192" s="266"/>
      <c r="M1192" s="266"/>
      <c r="N1192" s="266"/>
      <c r="O1192" s="266"/>
      <c r="P1192" s="266"/>
      <c r="Q1192" s="266"/>
      <c r="BR1192" s="266"/>
      <c r="BS1192" s="266"/>
      <c r="BT1192" s="266"/>
      <c r="BU1192" s="266"/>
      <c r="BV1192" s="266"/>
    </row>
    <row r="1193" spans="11:123">
      <c r="L1193" s="266"/>
      <c r="M1193" s="266"/>
      <c r="N1193" s="266"/>
      <c r="O1193" s="266"/>
      <c r="P1193" s="266"/>
      <c r="Q1193" s="266"/>
      <c r="BR1193" s="266"/>
      <c r="BS1193" s="266"/>
      <c r="BT1193" s="266"/>
      <c r="BU1193" s="266"/>
      <c r="BV1193" s="266"/>
    </row>
    <row r="1194" spans="11:123">
      <c r="L1194" s="266"/>
      <c r="M1194" s="266"/>
      <c r="N1194" s="266"/>
      <c r="O1194" s="266"/>
      <c r="P1194" s="266"/>
      <c r="Q1194" s="266"/>
      <c r="BR1194" s="266"/>
      <c r="BS1194" s="266"/>
      <c r="BT1194" s="266"/>
      <c r="BU1194" s="266"/>
      <c r="BV1194" s="266"/>
    </row>
    <row r="1195" spans="11:123">
      <c r="L1195" s="266"/>
      <c r="M1195" s="266"/>
      <c r="N1195" s="266"/>
      <c r="O1195" s="266"/>
      <c r="P1195" s="266"/>
      <c r="Q1195" s="266"/>
      <c r="BR1195" s="266"/>
      <c r="BS1195" s="266"/>
      <c r="BT1195" s="266"/>
      <c r="BU1195" s="266"/>
      <c r="BV1195" s="266"/>
    </row>
    <row r="1196" spans="11:123">
      <c r="L1196" s="266"/>
      <c r="M1196" s="266"/>
      <c r="N1196" s="266"/>
      <c r="O1196" s="266"/>
      <c r="P1196" s="266"/>
      <c r="Q1196" s="266"/>
      <c r="BR1196" s="266"/>
      <c r="BS1196" s="266"/>
      <c r="BT1196" s="266"/>
      <c r="BU1196" s="266"/>
      <c r="BV1196" s="266"/>
    </row>
    <row r="1197" spans="11:123">
      <c r="L1197" s="266"/>
      <c r="M1197" s="266"/>
      <c r="N1197" s="266"/>
      <c r="O1197" s="266"/>
      <c r="P1197" s="266"/>
      <c r="Q1197" s="266"/>
      <c r="BR1197" s="266"/>
      <c r="BS1197" s="266"/>
      <c r="BT1197" s="266"/>
      <c r="BU1197" s="266"/>
      <c r="BV1197" s="266"/>
    </row>
    <row r="1198" spans="11:123">
      <c r="L1198" s="266"/>
      <c r="M1198" s="266"/>
      <c r="N1198" s="266"/>
      <c r="O1198" s="266"/>
      <c r="P1198" s="266"/>
      <c r="Q1198" s="266"/>
      <c r="BR1198" s="266"/>
      <c r="BS1198" s="266"/>
      <c r="BT1198" s="266"/>
      <c r="BU1198" s="266"/>
      <c r="BV1198" s="266"/>
    </row>
    <row r="1199" spans="11:123">
      <c r="L1199" s="266"/>
      <c r="M1199" s="266"/>
      <c r="N1199" s="266"/>
      <c r="O1199" s="266"/>
      <c r="P1199" s="266"/>
      <c r="Q1199" s="266"/>
      <c r="BR1199" s="266"/>
      <c r="BS1199" s="266"/>
      <c r="BT1199" s="266"/>
      <c r="BU1199" s="266"/>
      <c r="BV1199" s="266"/>
    </row>
    <row r="1200" spans="11:123">
      <c r="L1200" s="266"/>
      <c r="M1200" s="266"/>
      <c r="N1200" s="266"/>
      <c r="O1200" s="266"/>
      <c r="P1200" s="266"/>
      <c r="Q1200" s="266"/>
      <c r="BR1200" s="266"/>
      <c r="BS1200" s="266"/>
      <c r="BT1200" s="266"/>
      <c r="BU1200" s="266"/>
      <c r="BV1200" s="266"/>
    </row>
    <row r="1201" spans="12:74">
      <c r="L1201" s="266"/>
      <c r="M1201" s="266"/>
      <c r="N1201" s="266"/>
      <c r="O1201" s="266"/>
      <c r="P1201" s="266"/>
      <c r="Q1201" s="266"/>
      <c r="BR1201" s="266"/>
      <c r="BS1201" s="266"/>
      <c r="BT1201" s="266"/>
      <c r="BU1201" s="266"/>
      <c r="BV1201" s="266"/>
    </row>
    <row r="1202" spans="12:74">
      <c r="L1202" s="266"/>
      <c r="M1202" s="266"/>
      <c r="N1202" s="266"/>
      <c r="O1202" s="266"/>
      <c r="P1202" s="266"/>
      <c r="Q1202" s="266"/>
      <c r="BR1202" s="266"/>
      <c r="BS1202" s="266"/>
      <c r="BT1202" s="266"/>
      <c r="BU1202" s="266"/>
      <c r="BV1202" s="266"/>
    </row>
    <row r="1203" spans="12:74">
      <c r="L1203" s="266"/>
      <c r="M1203" s="266"/>
      <c r="N1203" s="266"/>
      <c r="O1203" s="266"/>
      <c r="P1203" s="266"/>
      <c r="Q1203" s="266"/>
      <c r="BR1203" s="266"/>
      <c r="BS1203" s="266"/>
      <c r="BT1203" s="266"/>
      <c r="BU1203" s="266"/>
      <c r="BV1203" s="266"/>
    </row>
    <row r="1204" spans="12:74">
      <c r="L1204" s="266"/>
      <c r="M1204" s="266"/>
      <c r="N1204" s="266"/>
      <c r="O1204" s="266"/>
      <c r="P1204" s="266"/>
      <c r="Q1204" s="266"/>
      <c r="BR1204" s="266"/>
      <c r="BS1204" s="266"/>
      <c r="BT1204" s="266"/>
      <c r="BU1204" s="266"/>
      <c r="BV1204" s="266"/>
    </row>
    <row r="1205" spans="12:74">
      <c r="L1205" s="266"/>
      <c r="M1205" s="266"/>
      <c r="N1205" s="266"/>
      <c r="O1205" s="266"/>
      <c r="P1205" s="266"/>
      <c r="Q1205" s="266"/>
      <c r="BR1205" s="266"/>
      <c r="BS1205" s="266"/>
      <c r="BT1205" s="266"/>
      <c r="BU1205" s="266"/>
      <c r="BV1205" s="266"/>
    </row>
    <row r="1206" spans="12:74">
      <c r="L1206" s="266"/>
      <c r="M1206" s="266"/>
      <c r="N1206" s="266"/>
      <c r="O1206" s="266"/>
      <c r="P1206" s="266"/>
      <c r="Q1206" s="266"/>
      <c r="BR1206" s="266"/>
      <c r="BS1206" s="266"/>
      <c r="BT1206" s="266"/>
      <c r="BU1206" s="266"/>
      <c r="BV1206" s="266"/>
    </row>
    <row r="1207" spans="12:74">
      <c r="L1207" s="266"/>
      <c r="M1207" s="266"/>
      <c r="N1207" s="266"/>
      <c r="O1207" s="266"/>
      <c r="P1207" s="266"/>
      <c r="Q1207" s="266"/>
      <c r="BR1207" s="266"/>
      <c r="BS1207" s="266"/>
      <c r="BT1207" s="266"/>
      <c r="BU1207" s="266"/>
      <c r="BV1207" s="266"/>
    </row>
    <row r="1208" spans="12:74">
      <c r="L1208" s="266"/>
      <c r="M1208" s="266"/>
      <c r="N1208" s="266"/>
      <c r="O1208" s="266"/>
      <c r="P1208" s="266"/>
      <c r="Q1208" s="266"/>
      <c r="BR1208" s="266"/>
      <c r="BS1208" s="266"/>
      <c r="BT1208" s="266"/>
      <c r="BU1208" s="266"/>
      <c r="BV1208" s="266"/>
    </row>
    <row r="1209" spans="12:74">
      <c r="L1209" s="266"/>
      <c r="M1209" s="266"/>
      <c r="N1209" s="266"/>
      <c r="O1209" s="266"/>
      <c r="P1209" s="266"/>
      <c r="Q1209" s="266"/>
      <c r="BR1209" s="266"/>
      <c r="BS1209" s="266"/>
      <c r="BT1209" s="266"/>
      <c r="BU1209" s="266"/>
      <c r="BV1209" s="266"/>
    </row>
    <row r="1210" spans="12:74">
      <c r="L1210" s="266"/>
      <c r="M1210" s="266"/>
      <c r="N1210" s="266"/>
      <c r="O1210" s="266"/>
      <c r="P1210" s="266"/>
      <c r="Q1210" s="266"/>
      <c r="BR1210" s="266"/>
      <c r="BS1210" s="266"/>
      <c r="BT1210" s="266"/>
      <c r="BU1210" s="266"/>
      <c r="BV1210" s="266"/>
    </row>
    <row r="1211" spans="12:74">
      <c r="L1211" s="266"/>
      <c r="M1211" s="266"/>
      <c r="N1211" s="266"/>
      <c r="O1211" s="266"/>
      <c r="P1211" s="266"/>
      <c r="Q1211" s="266"/>
      <c r="BR1211" s="266"/>
      <c r="BS1211" s="266"/>
      <c r="BT1211" s="266"/>
      <c r="BU1211" s="266"/>
      <c r="BV1211" s="266"/>
    </row>
    <row r="1212" spans="12:74">
      <c r="L1212" s="266"/>
      <c r="M1212" s="266"/>
      <c r="N1212" s="266"/>
      <c r="O1212" s="266"/>
      <c r="P1212" s="266"/>
      <c r="Q1212" s="266"/>
      <c r="BR1212" s="266"/>
      <c r="BS1212" s="266"/>
      <c r="BT1212" s="266"/>
      <c r="BU1212" s="266"/>
      <c r="BV1212" s="266"/>
    </row>
    <row r="1213" spans="12:74">
      <c r="L1213" s="266"/>
      <c r="M1213" s="266"/>
      <c r="N1213" s="266"/>
      <c r="O1213" s="266"/>
      <c r="P1213" s="266"/>
      <c r="Q1213" s="266"/>
      <c r="BR1213" s="266"/>
      <c r="BS1213" s="266"/>
      <c r="BT1213" s="266"/>
      <c r="BU1213" s="266"/>
      <c r="BV1213" s="266"/>
    </row>
    <row r="1214" spans="12:74">
      <c r="L1214" s="266"/>
      <c r="M1214" s="266"/>
      <c r="N1214" s="266"/>
      <c r="O1214" s="266"/>
      <c r="P1214" s="266"/>
      <c r="Q1214" s="266"/>
      <c r="BR1214" s="266"/>
      <c r="BS1214" s="266"/>
      <c r="BT1214" s="266"/>
      <c r="BU1214" s="266"/>
      <c r="BV1214" s="266"/>
    </row>
    <row r="1215" spans="12:74">
      <c r="L1215" s="266"/>
      <c r="M1215" s="266"/>
      <c r="N1215" s="266"/>
      <c r="O1215" s="266"/>
      <c r="P1215" s="266"/>
      <c r="Q1215" s="266"/>
      <c r="BR1215" s="266"/>
      <c r="BS1215" s="266"/>
      <c r="BT1215" s="266"/>
      <c r="BU1215" s="266"/>
      <c r="BV1215" s="266"/>
    </row>
    <row r="1216" spans="12:74">
      <c r="L1216" s="266"/>
      <c r="M1216" s="266"/>
      <c r="N1216" s="266"/>
      <c r="O1216" s="266"/>
      <c r="P1216" s="266"/>
      <c r="Q1216" s="266"/>
      <c r="BR1216" s="266"/>
      <c r="BS1216" s="266"/>
      <c r="BT1216" s="266"/>
      <c r="BU1216" s="266"/>
      <c r="BV1216" s="266"/>
    </row>
    <row r="1217" spans="12:74">
      <c r="L1217" s="266"/>
      <c r="M1217" s="266"/>
      <c r="N1217" s="266"/>
      <c r="O1217" s="266"/>
      <c r="P1217" s="266"/>
      <c r="Q1217" s="266"/>
      <c r="BR1217" s="266"/>
      <c r="BS1217" s="266"/>
      <c r="BT1217" s="266"/>
      <c r="BU1217" s="266"/>
      <c r="BV1217" s="266"/>
    </row>
    <row r="1218" spans="12:74">
      <c r="L1218" s="266"/>
      <c r="M1218" s="266"/>
      <c r="N1218" s="266"/>
      <c r="O1218" s="266"/>
      <c r="P1218" s="266"/>
      <c r="Q1218" s="266"/>
      <c r="BR1218" s="266"/>
      <c r="BS1218" s="266"/>
      <c r="BT1218" s="266"/>
      <c r="BU1218" s="266"/>
      <c r="BV1218" s="266"/>
    </row>
    <row r="1219" spans="12:74">
      <c r="L1219" s="266"/>
      <c r="M1219" s="266"/>
      <c r="N1219" s="266"/>
      <c r="O1219" s="266"/>
      <c r="P1219" s="266"/>
      <c r="Q1219" s="266"/>
      <c r="BR1219" s="266"/>
      <c r="BS1219" s="266"/>
      <c r="BT1219" s="266"/>
      <c r="BU1219" s="266"/>
      <c r="BV1219" s="266"/>
    </row>
    <row r="1220" spans="12:74">
      <c r="L1220" s="266"/>
      <c r="M1220" s="266"/>
      <c r="N1220" s="266"/>
      <c r="O1220" s="266"/>
      <c r="P1220" s="266"/>
      <c r="Q1220" s="266"/>
      <c r="BR1220" s="266"/>
      <c r="BS1220" s="266"/>
      <c r="BT1220" s="266"/>
      <c r="BU1220" s="266"/>
      <c r="BV1220" s="266"/>
    </row>
    <row r="1221" spans="12:74">
      <c r="L1221" s="266"/>
      <c r="M1221" s="266"/>
      <c r="N1221" s="266"/>
      <c r="O1221" s="266"/>
      <c r="P1221" s="266"/>
      <c r="Q1221" s="266"/>
      <c r="BR1221" s="266"/>
      <c r="BS1221" s="266"/>
      <c r="BT1221" s="266"/>
      <c r="BU1221" s="266"/>
      <c r="BV1221" s="266"/>
    </row>
    <row r="1222" spans="12:74">
      <c r="L1222" s="266"/>
      <c r="M1222" s="266"/>
      <c r="N1222" s="266"/>
      <c r="O1222" s="266"/>
      <c r="P1222" s="266"/>
      <c r="Q1222" s="266"/>
      <c r="BR1222" s="266"/>
      <c r="BS1222" s="266"/>
      <c r="BT1222" s="266"/>
      <c r="BU1222" s="266"/>
      <c r="BV1222" s="266"/>
    </row>
    <row r="1223" spans="12:74">
      <c r="L1223" s="266"/>
      <c r="M1223" s="266"/>
      <c r="N1223" s="266"/>
      <c r="O1223" s="266"/>
      <c r="P1223" s="266"/>
      <c r="Q1223" s="266"/>
      <c r="BR1223" s="266"/>
      <c r="BS1223" s="266"/>
      <c r="BT1223" s="266"/>
      <c r="BU1223" s="266"/>
      <c r="BV1223" s="266"/>
    </row>
    <row r="1224" spans="12:74">
      <c r="L1224" s="266"/>
      <c r="M1224" s="266"/>
      <c r="N1224" s="266"/>
      <c r="O1224" s="266"/>
      <c r="P1224" s="266"/>
      <c r="Q1224" s="266"/>
      <c r="BR1224" s="266"/>
      <c r="BS1224" s="266"/>
      <c r="BT1224" s="266"/>
      <c r="BU1224" s="266"/>
      <c r="BV1224" s="266"/>
    </row>
    <row r="1225" spans="12:74">
      <c r="L1225" s="266"/>
      <c r="M1225" s="266"/>
      <c r="N1225" s="266"/>
      <c r="O1225" s="266"/>
      <c r="P1225" s="266"/>
      <c r="Q1225" s="266"/>
      <c r="BR1225" s="266"/>
      <c r="BS1225" s="266"/>
      <c r="BT1225" s="266"/>
      <c r="BU1225" s="266"/>
      <c r="BV1225" s="266"/>
    </row>
    <row r="1226" spans="12:74">
      <c r="L1226" s="266"/>
      <c r="M1226" s="266"/>
      <c r="N1226" s="266"/>
      <c r="O1226" s="266"/>
      <c r="P1226" s="266"/>
      <c r="Q1226" s="266"/>
      <c r="BR1226" s="266"/>
      <c r="BS1226" s="266"/>
      <c r="BT1226" s="266"/>
      <c r="BU1226" s="266"/>
      <c r="BV1226" s="266"/>
    </row>
    <row r="1227" spans="12:74">
      <c r="L1227" s="266"/>
      <c r="M1227" s="266"/>
      <c r="N1227" s="266"/>
      <c r="O1227" s="266"/>
      <c r="P1227" s="266"/>
      <c r="Q1227" s="266"/>
      <c r="BR1227" s="266"/>
      <c r="BS1227" s="266"/>
      <c r="BT1227" s="266"/>
      <c r="BU1227" s="266"/>
      <c r="BV1227" s="266"/>
    </row>
    <row r="1228" spans="12:74">
      <c r="L1228" s="266"/>
      <c r="M1228" s="266"/>
      <c r="N1228" s="266"/>
      <c r="O1228" s="266"/>
      <c r="P1228" s="266"/>
      <c r="Q1228" s="266"/>
      <c r="BR1228" s="266"/>
      <c r="BS1228" s="266"/>
      <c r="BT1228" s="266"/>
      <c r="BU1228" s="266"/>
      <c r="BV1228" s="266"/>
    </row>
    <row r="1229" spans="12:74">
      <c r="L1229" s="266"/>
      <c r="M1229" s="266"/>
      <c r="N1229" s="266"/>
      <c r="O1229" s="266"/>
      <c r="P1229" s="266"/>
      <c r="Q1229" s="266"/>
      <c r="BR1229" s="266"/>
      <c r="BS1229" s="266"/>
      <c r="BT1229" s="266"/>
      <c r="BU1229" s="266"/>
      <c r="BV1229" s="266"/>
    </row>
    <row r="1230" spans="12:74">
      <c r="L1230" s="266"/>
      <c r="M1230" s="266"/>
      <c r="N1230" s="266"/>
      <c r="O1230" s="266"/>
      <c r="P1230" s="266"/>
      <c r="Q1230" s="266"/>
      <c r="BR1230" s="266"/>
      <c r="BS1230" s="266"/>
      <c r="BT1230" s="266"/>
      <c r="BU1230" s="266"/>
      <c r="BV1230" s="266"/>
    </row>
    <row r="1231" spans="12:74">
      <c r="L1231" s="266"/>
      <c r="M1231" s="266"/>
      <c r="N1231" s="266"/>
      <c r="O1231" s="266"/>
      <c r="P1231" s="266"/>
      <c r="Q1231" s="266"/>
      <c r="BR1231" s="266"/>
      <c r="BS1231" s="266"/>
      <c r="BT1231" s="266"/>
      <c r="BU1231" s="266"/>
      <c r="BV1231" s="266"/>
    </row>
    <row r="1232" spans="12:74">
      <c r="L1232" s="266"/>
      <c r="M1232" s="266"/>
      <c r="N1232" s="266"/>
      <c r="O1232" s="266"/>
      <c r="P1232" s="266"/>
      <c r="Q1232" s="266"/>
      <c r="BR1232" s="266"/>
      <c r="BS1232" s="266"/>
      <c r="BT1232" s="266"/>
      <c r="BU1232" s="266"/>
      <c r="BV1232" s="266"/>
    </row>
    <row r="1233" spans="12:74">
      <c r="L1233" s="266"/>
      <c r="M1233" s="266"/>
      <c r="N1233" s="266"/>
      <c r="O1233" s="266"/>
      <c r="P1233" s="266"/>
      <c r="Q1233" s="266"/>
      <c r="BR1233" s="266"/>
      <c r="BS1233" s="266"/>
      <c r="BT1233" s="266"/>
      <c r="BU1233" s="266"/>
      <c r="BV1233" s="266"/>
    </row>
    <row r="1234" spans="12:74">
      <c r="L1234" s="266"/>
      <c r="M1234" s="266"/>
      <c r="N1234" s="266"/>
      <c r="O1234" s="266"/>
      <c r="P1234" s="266"/>
      <c r="Q1234" s="266"/>
      <c r="BR1234" s="266"/>
      <c r="BS1234" s="266"/>
      <c r="BT1234" s="266"/>
      <c r="BU1234" s="266"/>
      <c r="BV1234" s="266"/>
    </row>
    <row r="1235" spans="12:74">
      <c r="L1235" s="266"/>
      <c r="M1235" s="266"/>
      <c r="N1235" s="266"/>
      <c r="O1235" s="266"/>
      <c r="P1235" s="266"/>
      <c r="Q1235" s="266"/>
      <c r="BR1235" s="266"/>
      <c r="BS1235" s="266"/>
      <c r="BT1235" s="266"/>
      <c r="BU1235" s="266"/>
      <c r="BV1235" s="266"/>
    </row>
    <row r="1236" spans="12:74">
      <c r="L1236" s="266"/>
      <c r="M1236" s="266"/>
      <c r="N1236" s="266"/>
      <c r="O1236" s="266"/>
      <c r="P1236" s="266"/>
      <c r="Q1236" s="266"/>
      <c r="BR1236" s="266"/>
      <c r="BS1236" s="266"/>
      <c r="BT1236" s="266"/>
      <c r="BU1236" s="266"/>
      <c r="BV1236" s="266"/>
    </row>
    <row r="1237" spans="12:74">
      <c r="L1237" s="266"/>
      <c r="M1237" s="266"/>
      <c r="N1237" s="266"/>
      <c r="O1237" s="266"/>
      <c r="P1237" s="266"/>
      <c r="Q1237" s="266"/>
      <c r="BR1237" s="266"/>
      <c r="BS1237" s="266"/>
      <c r="BT1237" s="266"/>
      <c r="BU1237" s="266"/>
      <c r="BV1237" s="266"/>
    </row>
    <row r="1238" spans="12:74">
      <c r="L1238" s="266"/>
      <c r="M1238" s="266"/>
      <c r="N1238" s="266"/>
      <c r="O1238" s="266"/>
      <c r="P1238" s="266"/>
      <c r="Q1238" s="266"/>
      <c r="BR1238" s="266"/>
      <c r="BS1238" s="266"/>
      <c r="BT1238" s="266"/>
      <c r="BU1238" s="266"/>
      <c r="BV1238" s="266"/>
    </row>
    <row r="1239" spans="12:74">
      <c r="L1239" s="266"/>
      <c r="M1239" s="266"/>
      <c r="N1239" s="266"/>
      <c r="O1239" s="266"/>
      <c r="P1239" s="266"/>
      <c r="Q1239" s="266"/>
      <c r="BR1239" s="266"/>
      <c r="BS1239" s="266"/>
      <c r="BT1239" s="266"/>
      <c r="BU1239" s="266"/>
      <c r="BV1239" s="266"/>
    </row>
    <row r="1240" spans="12:74">
      <c r="L1240" s="266"/>
      <c r="M1240" s="266"/>
      <c r="N1240" s="266"/>
      <c r="O1240" s="266"/>
      <c r="P1240" s="266"/>
      <c r="Q1240" s="266"/>
      <c r="BR1240" s="266"/>
      <c r="BS1240" s="266"/>
      <c r="BT1240" s="266"/>
      <c r="BU1240" s="266"/>
      <c r="BV1240" s="266"/>
    </row>
    <row r="1241" spans="12:74">
      <c r="L1241" s="266"/>
      <c r="M1241" s="266"/>
      <c r="N1241" s="266"/>
      <c r="O1241" s="266"/>
      <c r="P1241" s="266"/>
      <c r="Q1241" s="266"/>
      <c r="BR1241" s="266"/>
      <c r="BS1241" s="266"/>
      <c r="BT1241" s="266"/>
      <c r="BU1241" s="266"/>
      <c r="BV1241" s="266"/>
    </row>
    <row r="1242" spans="12:74">
      <c r="L1242" s="266"/>
      <c r="M1242" s="266"/>
      <c r="N1242" s="266"/>
      <c r="O1242" s="266"/>
      <c r="P1242" s="266"/>
      <c r="Q1242" s="266"/>
      <c r="BR1242" s="266"/>
      <c r="BS1242" s="266"/>
      <c r="BT1242" s="266"/>
      <c r="BU1242" s="266"/>
      <c r="BV1242" s="266"/>
    </row>
    <row r="1243" spans="12:74">
      <c r="L1243" s="266"/>
      <c r="M1243" s="266"/>
      <c r="N1243" s="266"/>
      <c r="O1243" s="266"/>
      <c r="P1243" s="266"/>
      <c r="Q1243" s="266"/>
      <c r="BR1243" s="266"/>
      <c r="BS1243" s="266"/>
      <c r="BT1243" s="266"/>
      <c r="BU1243" s="266"/>
      <c r="BV1243" s="266"/>
    </row>
    <row r="1244" spans="12:74">
      <c r="L1244" s="266"/>
      <c r="M1244" s="266"/>
      <c r="N1244" s="266"/>
      <c r="O1244" s="266"/>
      <c r="P1244" s="266"/>
      <c r="Q1244" s="266"/>
      <c r="BR1244" s="266"/>
      <c r="BS1244" s="266"/>
      <c r="BT1244" s="266"/>
      <c r="BU1244" s="266"/>
      <c r="BV1244" s="266"/>
    </row>
    <row r="1245" spans="12:74">
      <c r="L1245" s="266"/>
      <c r="M1245" s="266"/>
      <c r="N1245" s="266"/>
      <c r="O1245" s="266"/>
      <c r="P1245" s="266"/>
      <c r="Q1245" s="266"/>
      <c r="BR1245" s="266"/>
      <c r="BS1245" s="266"/>
      <c r="BT1245" s="266"/>
      <c r="BU1245" s="266"/>
      <c r="BV1245" s="266"/>
    </row>
    <row r="1246" spans="12:74">
      <c r="L1246" s="266"/>
      <c r="M1246" s="266"/>
      <c r="N1246" s="266"/>
      <c r="O1246" s="266"/>
      <c r="P1246" s="266"/>
      <c r="Q1246" s="266"/>
      <c r="BR1246" s="266"/>
      <c r="BS1246" s="266"/>
      <c r="BT1246" s="266"/>
      <c r="BU1246" s="266"/>
      <c r="BV1246" s="266"/>
    </row>
    <row r="1247" spans="12:74">
      <c r="L1247" s="266"/>
      <c r="M1247" s="266"/>
      <c r="N1247" s="266"/>
      <c r="O1247" s="266"/>
      <c r="P1247" s="266"/>
      <c r="Q1247" s="266"/>
      <c r="BR1247" s="266"/>
      <c r="BS1247" s="266"/>
      <c r="BT1247" s="266"/>
      <c r="BU1247" s="266"/>
      <c r="BV1247" s="266"/>
    </row>
    <row r="1248" spans="12:74">
      <c r="L1248" s="266"/>
      <c r="M1248" s="266"/>
      <c r="N1248" s="266"/>
      <c r="O1248" s="266"/>
      <c r="P1248" s="266"/>
      <c r="Q1248" s="266"/>
      <c r="BR1248" s="266"/>
      <c r="BS1248" s="266"/>
      <c r="BT1248" s="266"/>
      <c r="BU1248" s="266"/>
      <c r="BV1248" s="266"/>
    </row>
    <row r="1249" spans="12:74">
      <c r="L1249" s="266"/>
      <c r="M1249" s="266"/>
      <c r="N1249" s="266"/>
      <c r="O1249" s="266"/>
      <c r="P1249" s="266"/>
      <c r="Q1249" s="266"/>
      <c r="BR1249" s="266"/>
      <c r="BS1249" s="266"/>
      <c r="BT1249" s="266"/>
      <c r="BU1249" s="266"/>
      <c r="BV1249" s="266"/>
    </row>
    <row r="1250" spans="12:74">
      <c r="L1250" s="266"/>
      <c r="M1250" s="266"/>
      <c r="N1250" s="266"/>
      <c r="O1250" s="266"/>
      <c r="P1250" s="266"/>
      <c r="Q1250" s="266"/>
      <c r="BR1250" s="266"/>
      <c r="BS1250" s="266"/>
      <c r="BT1250" s="266"/>
      <c r="BU1250" s="266"/>
      <c r="BV1250" s="266"/>
    </row>
    <row r="1251" spans="12:74">
      <c r="L1251" s="266"/>
      <c r="M1251" s="266"/>
      <c r="N1251" s="266"/>
      <c r="O1251" s="266"/>
      <c r="P1251" s="266"/>
      <c r="Q1251" s="266"/>
      <c r="BR1251" s="266"/>
      <c r="BS1251" s="266"/>
      <c r="BT1251" s="266"/>
      <c r="BU1251" s="266"/>
      <c r="BV1251" s="266"/>
    </row>
    <row r="1252" spans="12:74">
      <c r="L1252" s="266"/>
      <c r="M1252" s="266"/>
      <c r="N1252" s="266"/>
      <c r="O1252" s="266"/>
      <c r="P1252" s="266"/>
      <c r="Q1252" s="266"/>
      <c r="BR1252" s="266"/>
      <c r="BS1252" s="266"/>
      <c r="BT1252" s="266"/>
      <c r="BU1252" s="266"/>
      <c r="BV1252" s="266"/>
    </row>
    <row r="1253" spans="12:74">
      <c r="L1253" s="266"/>
      <c r="M1253" s="266"/>
      <c r="N1253" s="266"/>
      <c r="O1253" s="266"/>
      <c r="P1253" s="266"/>
      <c r="Q1253" s="266"/>
      <c r="BR1253" s="266"/>
      <c r="BS1253" s="266"/>
      <c r="BT1253" s="266"/>
      <c r="BU1253" s="266"/>
      <c r="BV1253" s="266"/>
    </row>
    <row r="1254" spans="12:74">
      <c r="L1254" s="266"/>
      <c r="M1254" s="266"/>
      <c r="N1254" s="266"/>
      <c r="O1254" s="266"/>
      <c r="P1254" s="266"/>
      <c r="Q1254" s="266"/>
      <c r="BR1254" s="266"/>
      <c r="BS1254" s="266"/>
      <c r="BT1254" s="266"/>
      <c r="BU1254" s="266"/>
      <c r="BV1254" s="266"/>
    </row>
    <row r="1255" spans="12:74">
      <c r="L1255" s="266"/>
      <c r="M1255" s="266"/>
      <c r="N1255" s="266"/>
      <c r="O1255" s="266"/>
      <c r="P1255" s="266"/>
      <c r="Q1255" s="266"/>
      <c r="BR1255" s="266"/>
      <c r="BS1255" s="266"/>
      <c r="BT1255" s="266"/>
      <c r="BU1255" s="266"/>
      <c r="BV1255" s="266"/>
    </row>
    <row r="1256" spans="12:74">
      <c r="L1256" s="266"/>
      <c r="M1256" s="266"/>
      <c r="N1256" s="266"/>
      <c r="O1256" s="266"/>
      <c r="P1256" s="266"/>
      <c r="Q1256" s="266"/>
      <c r="BR1256" s="266"/>
      <c r="BS1256" s="266"/>
      <c r="BT1256" s="266"/>
      <c r="BU1256" s="266"/>
      <c r="BV1256" s="266"/>
    </row>
    <row r="1257" spans="12:74">
      <c r="L1257" s="266"/>
      <c r="M1257" s="266"/>
      <c r="N1257" s="266"/>
      <c r="O1257" s="266"/>
      <c r="P1257" s="266"/>
      <c r="Q1257" s="266"/>
      <c r="BR1257" s="266"/>
      <c r="BS1257" s="266"/>
      <c r="BT1257" s="266"/>
      <c r="BU1257" s="266"/>
      <c r="BV1257" s="266"/>
    </row>
    <row r="1258" spans="12:74">
      <c r="L1258" s="266"/>
      <c r="M1258" s="266"/>
      <c r="N1258" s="266"/>
      <c r="O1258" s="266"/>
      <c r="P1258" s="266"/>
      <c r="Q1258" s="266"/>
      <c r="BR1258" s="266"/>
      <c r="BS1258" s="266"/>
      <c r="BT1258" s="266"/>
      <c r="BU1258" s="266"/>
      <c r="BV1258" s="266"/>
    </row>
    <row r="1259" spans="12:74">
      <c r="L1259" s="266"/>
      <c r="M1259" s="266"/>
      <c r="N1259" s="266"/>
      <c r="O1259" s="266"/>
      <c r="P1259" s="266"/>
      <c r="Q1259" s="266"/>
      <c r="BR1259" s="266"/>
      <c r="BS1259" s="266"/>
      <c r="BT1259" s="266"/>
      <c r="BU1259" s="266"/>
      <c r="BV1259" s="266"/>
    </row>
    <row r="1260" spans="12:74">
      <c r="L1260" s="266"/>
      <c r="M1260" s="266"/>
      <c r="N1260" s="266"/>
      <c r="O1260" s="266"/>
      <c r="P1260" s="266"/>
      <c r="Q1260" s="266"/>
      <c r="BR1260" s="266"/>
      <c r="BS1260" s="266"/>
      <c r="BT1260" s="266"/>
      <c r="BU1260" s="266"/>
      <c r="BV1260" s="266"/>
    </row>
    <row r="1261" spans="12:74">
      <c r="L1261" s="266"/>
      <c r="M1261" s="266"/>
      <c r="N1261" s="266"/>
      <c r="O1261" s="266"/>
      <c r="P1261" s="266"/>
      <c r="Q1261" s="266"/>
      <c r="BR1261" s="266"/>
      <c r="BS1261" s="266"/>
      <c r="BT1261" s="266"/>
      <c r="BU1261" s="266"/>
      <c r="BV1261" s="266"/>
    </row>
    <row r="1262" spans="12:74">
      <c r="L1262" s="266"/>
      <c r="M1262" s="266"/>
      <c r="N1262" s="266"/>
      <c r="O1262" s="266"/>
      <c r="P1262" s="266"/>
      <c r="Q1262" s="266"/>
      <c r="BR1262" s="266"/>
      <c r="BS1262" s="266"/>
      <c r="BT1262" s="266"/>
      <c r="BU1262" s="266"/>
      <c r="BV1262" s="266"/>
    </row>
    <row r="1263" spans="12:74">
      <c r="L1263" s="266"/>
      <c r="M1263" s="266"/>
      <c r="N1263" s="266"/>
      <c r="O1263" s="266"/>
      <c r="P1263" s="266"/>
      <c r="Q1263" s="266"/>
      <c r="BR1263" s="266"/>
      <c r="BS1263" s="266"/>
      <c r="BT1263" s="266"/>
      <c r="BU1263" s="266"/>
      <c r="BV1263" s="266"/>
    </row>
    <row r="1264" spans="12:74">
      <c r="L1264" s="266"/>
      <c r="M1264" s="266"/>
      <c r="N1264" s="266"/>
      <c r="O1264" s="266"/>
      <c r="P1264" s="266"/>
      <c r="Q1264" s="266"/>
      <c r="BR1264" s="266"/>
      <c r="BS1264" s="266"/>
      <c r="BT1264" s="266"/>
      <c r="BU1264" s="266"/>
      <c r="BV1264" s="266"/>
    </row>
    <row r="1265" spans="12:74">
      <c r="L1265" s="266"/>
      <c r="M1265" s="266"/>
      <c r="N1265" s="266"/>
      <c r="O1265" s="266"/>
      <c r="P1265" s="266"/>
      <c r="Q1265" s="266"/>
      <c r="BR1265" s="266"/>
      <c r="BS1265" s="266"/>
      <c r="BT1265" s="266"/>
      <c r="BU1265" s="266"/>
      <c r="BV1265" s="266"/>
    </row>
    <row r="1266" spans="12:74">
      <c r="L1266" s="266"/>
      <c r="M1266" s="266"/>
      <c r="N1266" s="266"/>
      <c r="O1266" s="266"/>
      <c r="P1266" s="266"/>
      <c r="Q1266" s="266"/>
      <c r="BR1266" s="266"/>
      <c r="BS1266" s="266"/>
      <c r="BT1266" s="266"/>
      <c r="BU1266" s="266"/>
      <c r="BV1266" s="266"/>
    </row>
    <row r="1267" spans="12:74">
      <c r="L1267" s="266"/>
      <c r="M1267" s="266"/>
      <c r="N1267" s="266"/>
      <c r="O1267" s="266"/>
      <c r="P1267" s="266"/>
      <c r="Q1267" s="266"/>
      <c r="BR1267" s="266"/>
      <c r="BS1267" s="266"/>
      <c r="BT1267" s="266"/>
      <c r="BU1267" s="266"/>
      <c r="BV1267" s="266"/>
    </row>
    <row r="1268" spans="12:74">
      <c r="L1268" s="266"/>
      <c r="M1268" s="266"/>
      <c r="N1268" s="266"/>
      <c r="O1268" s="266"/>
      <c r="P1268" s="266"/>
      <c r="Q1268" s="266"/>
      <c r="BR1268" s="266"/>
      <c r="BS1268" s="266"/>
      <c r="BT1268" s="266"/>
      <c r="BU1268" s="266"/>
      <c r="BV1268" s="266"/>
    </row>
    <row r="1269" spans="12:74">
      <c r="L1269" s="266"/>
      <c r="M1269" s="266"/>
      <c r="N1269" s="266"/>
      <c r="O1269" s="266"/>
      <c r="P1269" s="266"/>
      <c r="Q1269" s="266"/>
      <c r="BR1269" s="266"/>
      <c r="BS1269" s="266"/>
      <c r="BT1269" s="266"/>
      <c r="BU1269" s="266"/>
      <c r="BV1269" s="266"/>
    </row>
    <row r="1270" spans="12:74">
      <c r="L1270" s="266"/>
      <c r="M1270" s="266"/>
      <c r="N1270" s="266"/>
      <c r="O1270" s="266"/>
      <c r="P1270" s="266"/>
      <c r="Q1270" s="266"/>
      <c r="BR1270" s="266"/>
      <c r="BS1270" s="266"/>
      <c r="BT1270" s="266"/>
      <c r="BU1270" s="266"/>
      <c r="BV1270" s="266"/>
    </row>
    <row r="1271" spans="12:74">
      <c r="L1271" s="266"/>
      <c r="M1271" s="266"/>
      <c r="N1271" s="266"/>
      <c r="O1271" s="266"/>
      <c r="P1271" s="266"/>
      <c r="Q1271" s="266"/>
      <c r="BR1271" s="266"/>
      <c r="BS1271" s="266"/>
      <c r="BT1271" s="266"/>
      <c r="BU1271" s="266"/>
      <c r="BV1271" s="266"/>
    </row>
    <row r="1272" spans="12:74">
      <c r="L1272" s="266"/>
      <c r="M1272" s="266"/>
      <c r="N1272" s="266"/>
      <c r="O1272" s="266"/>
      <c r="P1272" s="266"/>
      <c r="Q1272" s="266"/>
      <c r="BR1272" s="266"/>
      <c r="BS1272" s="266"/>
      <c r="BT1272" s="266"/>
      <c r="BU1272" s="266"/>
      <c r="BV1272" s="266"/>
    </row>
    <row r="1273" spans="12:74">
      <c r="L1273" s="266"/>
      <c r="M1273" s="266"/>
      <c r="N1273" s="266"/>
      <c r="O1273" s="266"/>
      <c r="P1273" s="266"/>
      <c r="Q1273" s="266"/>
      <c r="BR1273" s="266"/>
      <c r="BS1273" s="266"/>
      <c r="BT1273" s="266"/>
      <c r="BU1273" s="266"/>
      <c r="BV1273" s="266"/>
    </row>
    <row r="1274" spans="12:74">
      <c r="L1274" s="266"/>
      <c r="M1274" s="266"/>
      <c r="N1274" s="266"/>
      <c r="O1274" s="266"/>
      <c r="P1274" s="266"/>
      <c r="Q1274" s="266"/>
      <c r="BR1274" s="266"/>
      <c r="BS1274" s="266"/>
      <c r="BT1274" s="266"/>
      <c r="BU1274" s="266"/>
      <c r="BV1274" s="266"/>
    </row>
    <row r="1275" spans="12:74">
      <c r="L1275" s="266"/>
      <c r="M1275" s="266"/>
      <c r="N1275" s="266"/>
      <c r="O1275" s="266"/>
      <c r="P1275" s="266"/>
      <c r="Q1275" s="266"/>
      <c r="BR1275" s="266"/>
      <c r="BS1275" s="266"/>
      <c r="BT1275" s="266"/>
      <c r="BU1275" s="266"/>
      <c r="BV1275" s="266"/>
    </row>
    <row r="1276" spans="12:74">
      <c r="L1276" s="266"/>
      <c r="M1276" s="266"/>
      <c r="N1276" s="266"/>
      <c r="O1276" s="266"/>
      <c r="P1276" s="266"/>
      <c r="Q1276" s="266"/>
      <c r="BR1276" s="266"/>
      <c r="BS1276" s="266"/>
      <c r="BT1276" s="266"/>
      <c r="BU1276" s="266"/>
      <c r="BV1276" s="266"/>
    </row>
    <row r="1277" spans="12:74">
      <c r="L1277" s="266"/>
      <c r="M1277" s="266"/>
      <c r="N1277" s="266"/>
      <c r="O1277" s="266"/>
      <c r="P1277" s="266"/>
      <c r="Q1277" s="266"/>
      <c r="BR1277" s="266"/>
      <c r="BS1277" s="266"/>
      <c r="BT1277" s="266"/>
      <c r="BU1277" s="266"/>
      <c r="BV1277" s="266"/>
    </row>
    <row r="1278" spans="12:74">
      <c r="L1278" s="266"/>
      <c r="M1278" s="266"/>
      <c r="N1278" s="266"/>
      <c r="O1278" s="266"/>
      <c r="P1278" s="266"/>
      <c r="Q1278" s="266"/>
      <c r="BR1278" s="266"/>
      <c r="BS1278" s="266"/>
      <c r="BT1278" s="266"/>
      <c r="BU1278" s="266"/>
      <c r="BV1278" s="266"/>
    </row>
    <row r="1279" spans="12:74">
      <c r="L1279" s="266"/>
      <c r="M1279" s="266"/>
      <c r="N1279" s="266"/>
      <c r="O1279" s="266"/>
      <c r="P1279" s="266"/>
      <c r="Q1279" s="266"/>
      <c r="BR1279" s="266"/>
      <c r="BS1279" s="266"/>
      <c r="BT1279" s="266"/>
      <c r="BU1279" s="266"/>
      <c r="BV1279" s="266"/>
    </row>
    <row r="1280" spans="12:74">
      <c r="L1280" s="266"/>
      <c r="M1280" s="266"/>
      <c r="N1280" s="266"/>
      <c r="O1280" s="266"/>
      <c r="P1280" s="266"/>
      <c r="Q1280" s="266"/>
      <c r="BR1280" s="266"/>
      <c r="BS1280" s="266"/>
      <c r="BT1280" s="266"/>
      <c r="BU1280" s="266"/>
      <c r="BV1280" s="266"/>
    </row>
    <row r="1281" spans="12:74">
      <c r="L1281" s="266"/>
      <c r="M1281" s="266"/>
      <c r="N1281" s="266"/>
      <c r="O1281" s="266"/>
      <c r="P1281" s="266"/>
      <c r="Q1281" s="266"/>
      <c r="BR1281" s="266"/>
      <c r="BS1281" s="266"/>
      <c r="BT1281" s="266"/>
      <c r="BU1281" s="266"/>
      <c r="BV1281" s="266"/>
    </row>
    <row r="1282" spans="12:74">
      <c r="L1282" s="266"/>
      <c r="M1282" s="266"/>
      <c r="N1282" s="266"/>
      <c r="O1282" s="266"/>
      <c r="P1282" s="266"/>
      <c r="Q1282" s="266"/>
      <c r="BR1282" s="266"/>
      <c r="BS1282" s="266"/>
      <c r="BT1282" s="266"/>
      <c r="BU1282" s="266"/>
      <c r="BV1282" s="266"/>
    </row>
    <row r="1283" spans="12:74">
      <c r="L1283" s="266"/>
      <c r="M1283" s="266"/>
      <c r="N1283" s="266"/>
      <c r="O1283" s="266"/>
      <c r="P1283" s="266"/>
      <c r="Q1283" s="266"/>
      <c r="BR1283" s="266"/>
      <c r="BS1283" s="266"/>
      <c r="BT1283" s="266"/>
      <c r="BU1283" s="266"/>
      <c r="BV1283" s="266"/>
    </row>
    <row r="1284" spans="12:74">
      <c r="L1284" s="266"/>
      <c r="M1284" s="266"/>
      <c r="N1284" s="266"/>
      <c r="O1284" s="266"/>
      <c r="P1284" s="266"/>
      <c r="Q1284" s="266"/>
      <c r="BR1284" s="266"/>
      <c r="BS1284" s="266"/>
      <c r="BT1284" s="266"/>
      <c r="BU1284" s="266"/>
      <c r="BV1284" s="266"/>
    </row>
    <row r="1285" spans="12:74">
      <c r="L1285" s="266"/>
      <c r="M1285" s="266"/>
      <c r="N1285" s="266"/>
      <c r="O1285" s="266"/>
      <c r="P1285" s="266"/>
      <c r="Q1285" s="266"/>
      <c r="BR1285" s="266"/>
      <c r="BS1285" s="266"/>
      <c r="BT1285" s="266"/>
      <c r="BU1285" s="266"/>
      <c r="BV1285" s="266"/>
    </row>
    <row r="1286" spans="12:74">
      <c r="L1286" s="266"/>
      <c r="M1286" s="266"/>
      <c r="N1286" s="266"/>
      <c r="O1286" s="266"/>
      <c r="P1286" s="266"/>
      <c r="Q1286" s="266"/>
      <c r="BR1286" s="266"/>
      <c r="BS1286" s="266"/>
      <c r="BT1286" s="266"/>
      <c r="BU1286" s="266"/>
      <c r="BV1286" s="266"/>
    </row>
    <row r="1287" spans="12:74">
      <c r="L1287" s="266"/>
      <c r="M1287" s="266"/>
      <c r="N1287" s="266"/>
      <c r="O1287" s="266"/>
      <c r="P1287" s="266"/>
      <c r="Q1287" s="266"/>
      <c r="BR1287" s="266"/>
      <c r="BS1287" s="266"/>
      <c r="BT1287" s="266"/>
      <c r="BU1287" s="266"/>
      <c r="BV1287" s="266"/>
    </row>
    <row r="1288" spans="12:74">
      <c r="L1288" s="266"/>
      <c r="M1288" s="266"/>
      <c r="N1288" s="266"/>
      <c r="O1288" s="266"/>
      <c r="P1288" s="266"/>
      <c r="Q1288" s="266"/>
      <c r="BR1288" s="266"/>
      <c r="BS1288" s="266"/>
      <c r="BT1288" s="266"/>
      <c r="BU1288" s="266"/>
      <c r="BV1288" s="266"/>
    </row>
    <row r="1289" spans="12:74">
      <c r="L1289" s="266"/>
      <c r="M1289" s="266"/>
      <c r="N1289" s="266"/>
      <c r="O1289" s="266"/>
      <c r="P1289" s="266"/>
      <c r="Q1289" s="266"/>
      <c r="BR1289" s="266"/>
      <c r="BS1289" s="266"/>
      <c r="BT1289" s="266"/>
      <c r="BU1289" s="266"/>
      <c r="BV1289" s="266"/>
    </row>
    <row r="1290" spans="12:74">
      <c r="L1290" s="266"/>
      <c r="M1290" s="266"/>
      <c r="N1290" s="266"/>
      <c r="O1290" s="266"/>
      <c r="P1290" s="266"/>
      <c r="Q1290" s="266"/>
      <c r="BR1290" s="266"/>
      <c r="BS1290" s="266"/>
      <c r="BT1290" s="266"/>
      <c r="BU1290" s="266"/>
      <c r="BV1290" s="266"/>
    </row>
    <row r="1291" spans="12:74">
      <c r="L1291" s="266"/>
      <c r="M1291" s="266"/>
      <c r="N1291" s="266"/>
      <c r="O1291" s="266"/>
      <c r="P1291" s="266"/>
      <c r="Q1291" s="266"/>
      <c r="BR1291" s="266"/>
      <c r="BS1291" s="266"/>
      <c r="BT1291" s="266"/>
      <c r="BU1291" s="266"/>
      <c r="BV1291" s="266"/>
    </row>
    <row r="1292" spans="12:74">
      <c r="L1292" s="266"/>
      <c r="M1292" s="266"/>
      <c r="N1292" s="266"/>
      <c r="O1292" s="266"/>
      <c r="P1292" s="266"/>
      <c r="Q1292" s="266"/>
      <c r="BR1292" s="266"/>
      <c r="BS1292" s="266"/>
      <c r="BT1292" s="266"/>
      <c r="BU1292" s="266"/>
      <c r="BV1292" s="266"/>
    </row>
    <row r="1293" spans="12:74">
      <c r="L1293" s="266"/>
      <c r="M1293" s="266"/>
      <c r="N1293" s="266"/>
      <c r="O1293" s="266"/>
      <c r="P1293" s="266"/>
      <c r="Q1293" s="266"/>
      <c r="BR1293" s="266"/>
      <c r="BS1293" s="266"/>
      <c r="BT1293" s="266"/>
      <c r="BU1293" s="266"/>
      <c r="BV1293" s="266"/>
    </row>
    <row r="1294" spans="12:74">
      <c r="L1294" s="266"/>
      <c r="M1294" s="266"/>
      <c r="N1294" s="266"/>
      <c r="O1294" s="266"/>
      <c r="P1294" s="266"/>
      <c r="Q1294" s="266"/>
      <c r="BR1294" s="266"/>
      <c r="BS1294" s="266"/>
      <c r="BT1294" s="266"/>
      <c r="BU1294" s="266"/>
      <c r="BV1294" s="266"/>
    </row>
    <row r="1295" spans="12:74">
      <c r="L1295" s="266"/>
      <c r="M1295" s="266"/>
      <c r="N1295" s="266"/>
      <c r="O1295" s="266"/>
      <c r="P1295" s="266"/>
      <c r="Q1295" s="266"/>
      <c r="BR1295" s="266"/>
      <c r="BS1295" s="266"/>
      <c r="BT1295" s="266"/>
      <c r="BU1295" s="266"/>
      <c r="BV1295" s="266"/>
    </row>
    <row r="1296" spans="12:74">
      <c r="L1296" s="266"/>
      <c r="M1296" s="266"/>
      <c r="N1296" s="266"/>
      <c r="O1296" s="266"/>
      <c r="P1296" s="266"/>
      <c r="Q1296" s="266"/>
      <c r="BR1296" s="266"/>
      <c r="BS1296" s="266"/>
      <c r="BT1296" s="266"/>
      <c r="BU1296" s="266"/>
      <c r="BV1296" s="266"/>
    </row>
    <row r="1297" spans="12:74">
      <c r="L1297" s="266"/>
      <c r="M1297" s="266"/>
      <c r="N1297" s="266"/>
      <c r="O1297" s="266"/>
      <c r="P1297" s="266"/>
      <c r="Q1297" s="266"/>
      <c r="BR1297" s="266"/>
      <c r="BS1297" s="266"/>
      <c r="BT1297" s="266"/>
      <c r="BU1297" s="266"/>
      <c r="BV1297" s="266"/>
    </row>
    <row r="1298" spans="12:74">
      <c r="L1298" s="266"/>
      <c r="M1298" s="266"/>
      <c r="N1298" s="266"/>
      <c r="O1298" s="266"/>
      <c r="P1298" s="266"/>
      <c r="Q1298" s="266"/>
      <c r="BR1298" s="266"/>
      <c r="BS1298" s="266"/>
      <c r="BT1298" s="266"/>
      <c r="BU1298" s="266"/>
      <c r="BV1298" s="266"/>
    </row>
    <row r="1299" spans="12:74">
      <c r="L1299" s="266"/>
      <c r="M1299" s="266"/>
      <c r="N1299" s="266"/>
      <c r="O1299" s="266"/>
      <c r="P1299" s="266"/>
      <c r="Q1299" s="266"/>
      <c r="BR1299" s="266"/>
      <c r="BS1299" s="266"/>
      <c r="BT1299" s="266"/>
      <c r="BU1299" s="266"/>
      <c r="BV1299" s="266"/>
    </row>
    <row r="1300" spans="12:74">
      <c r="L1300" s="266"/>
      <c r="M1300" s="266"/>
      <c r="N1300" s="266"/>
      <c r="O1300" s="266"/>
      <c r="P1300" s="266"/>
      <c r="Q1300" s="266"/>
      <c r="BR1300" s="266"/>
      <c r="BS1300" s="266"/>
      <c r="BT1300" s="266"/>
      <c r="BU1300" s="266"/>
      <c r="BV1300" s="266"/>
    </row>
    <row r="1301" spans="12:74">
      <c r="L1301" s="266"/>
      <c r="M1301" s="266"/>
      <c r="N1301" s="266"/>
      <c r="O1301" s="266"/>
      <c r="P1301" s="266"/>
      <c r="Q1301" s="266"/>
      <c r="BR1301" s="266"/>
      <c r="BS1301" s="266"/>
      <c r="BT1301" s="266"/>
      <c r="BU1301" s="266"/>
      <c r="BV1301" s="266"/>
    </row>
    <row r="1302" spans="12:74">
      <c r="L1302" s="266"/>
      <c r="M1302" s="266"/>
      <c r="N1302" s="266"/>
      <c r="O1302" s="266"/>
      <c r="P1302" s="266"/>
      <c r="Q1302" s="266"/>
      <c r="BR1302" s="266"/>
      <c r="BS1302" s="266"/>
      <c r="BT1302" s="266"/>
      <c r="BU1302" s="266"/>
      <c r="BV1302" s="266"/>
    </row>
    <row r="1303" spans="12:74">
      <c r="L1303" s="266"/>
      <c r="M1303" s="266"/>
      <c r="N1303" s="266"/>
      <c r="O1303" s="266"/>
      <c r="P1303" s="266"/>
      <c r="Q1303" s="266"/>
      <c r="BR1303" s="266"/>
      <c r="BS1303" s="266"/>
      <c r="BT1303" s="266"/>
      <c r="BU1303" s="266"/>
      <c r="BV1303" s="266"/>
    </row>
    <row r="1304" spans="12:74">
      <c r="L1304" s="266"/>
      <c r="M1304" s="266"/>
      <c r="N1304" s="266"/>
      <c r="O1304" s="266"/>
      <c r="P1304" s="266"/>
      <c r="Q1304" s="266"/>
      <c r="BR1304" s="266"/>
      <c r="BS1304" s="266"/>
      <c r="BT1304" s="266"/>
      <c r="BU1304" s="266"/>
      <c r="BV1304" s="266"/>
    </row>
    <row r="1305" spans="12:74">
      <c r="L1305" s="266"/>
      <c r="M1305" s="266"/>
      <c r="N1305" s="266"/>
      <c r="O1305" s="266"/>
      <c r="P1305" s="266"/>
      <c r="Q1305" s="266"/>
      <c r="BR1305" s="266"/>
      <c r="BS1305" s="266"/>
      <c r="BT1305" s="266"/>
      <c r="BU1305" s="266"/>
      <c r="BV1305" s="266"/>
    </row>
    <row r="1306" spans="12:74">
      <c r="L1306" s="266"/>
      <c r="M1306" s="266"/>
      <c r="N1306" s="266"/>
      <c r="O1306" s="266"/>
      <c r="P1306" s="266"/>
      <c r="Q1306" s="266"/>
      <c r="BR1306" s="266"/>
      <c r="BS1306" s="266"/>
      <c r="BT1306" s="266"/>
      <c r="BU1306" s="266"/>
      <c r="BV1306" s="266"/>
    </row>
    <row r="1307" spans="12:74">
      <c r="L1307" s="266"/>
      <c r="M1307" s="266"/>
      <c r="N1307" s="266"/>
      <c r="O1307" s="266"/>
      <c r="P1307" s="266"/>
      <c r="Q1307" s="266"/>
      <c r="BR1307" s="266"/>
      <c r="BS1307" s="266"/>
      <c r="BT1307" s="266"/>
      <c r="BU1307" s="266"/>
      <c r="BV1307" s="266"/>
    </row>
    <row r="1308" spans="12:74">
      <c r="L1308" s="266"/>
      <c r="M1308" s="266"/>
      <c r="N1308" s="266"/>
      <c r="O1308" s="266"/>
      <c r="P1308" s="266"/>
      <c r="Q1308" s="266"/>
      <c r="BR1308" s="266"/>
      <c r="BS1308" s="266"/>
      <c r="BT1308" s="266"/>
      <c r="BU1308" s="266"/>
      <c r="BV1308" s="266"/>
    </row>
    <row r="1309" spans="12:74">
      <c r="L1309" s="266"/>
      <c r="M1309" s="266"/>
      <c r="N1309" s="266"/>
      <c r="O1309" s="266"/>
      <c r="P1309" s="266"/>
      <c r="Q1309" s="266"/>
      <c r="BR1309" s="266"/>
      <c r="BS1309" s="266"/>
      <c r="BT1309" s="266"/>
      <c r="BU1309" s="266"/>
      <c r="BV1309" s="266"/>
    </row>
    <row r="1310" spans="12:74">
      <c r="L1310" s="266"/>
      <c r="M1310" s="266"/>
      <c r="N1310" s="266"/>
      <c r="O1310" s="266"/>
      <c r="P1310" s="266"/>
      <c r="Q1310" s="266"/>
      <c r="BR1310" s="266"/>
      <c r="BS1310" s="266"/>
      <c r="BT1310" s="266"/>
      <c r="BU1310" s="266"/>
      <c r="BV1310" s="266"/>
    </row>
    <row r="1311" spans="12:74">
      <c r="L1311" s="266"/>
      <c r="M1311" s="266"/>
      <c r="N1311" s="266"/>
      <c r="O1311" s="266"/>
      <c r="P1311" s="266"/>
      <c r="Q1311" s="266"/>
      <c r="BR1311" s="266"/>
      <c r="BS1311" s="266"/>
      <c r="BT1311" s="266"/>
      <c r="BU1311" s="266"/>
      <c r="BV1311" s="266"/>
    </row>
    <row r="1312" spans="12:74">
      <c r="L1312" s="266"/>
      <c r="M1312" s="266"/>
      <c r="N1312" s="266"/>
      <c r="O1312" s="266"/>
      <c r="P1312" s="266"/>
      <c r="Q1312" s="266"/>
      <c r="BR1312" s="266"/>
      <c r="BS1312" s="266"/>
      <c r="BT1312" s="266"/>
      <c r="BU1312" s="266"/>
      <c r="BV1312" s="266"/>
    </row>
    <row r="1313" spans="12:74">
      <c r="L1313" s="266"/>
      <c r="M1313" s="266"/>
      <c r="N1313" s="266"/>
      <c r="O1313" s="266"/>
      <c r="P1313" s="266"/>
      <c r="Q1313" s="266"/>
      <c r="BR1313" s="266"/>
      <c r="BS1313" s="266"/>
      <c r="BT1313" s="266"/>
      <c r="BU1313" s="266"/>
      <c r="BV1313" s="266"/>
    </row>
    <row r="1314" spans="12:74">
      <c r="L1314" s="266"/>
      <c r="M1314" s="266"/>
      <c r="N1314" s="266"/>
      <c r="O1314" s="266"/>
      <c r="P1314" s="266"/>
      <c r="Q1314" s="266"/>
      <c r="BR1314" s="266"/>
      <c r="BS1314" s="266"/>
      <c r="BT1314" s="266"/>
      <c r="BU1314" s="266"/>
      <c r="BV1314" s="266"/>
    </row>
    <row r="1315" spans="12:74">
      <c r="L1315" s="266"/>
      <c r="M1315" s="266"/>
      <c r="N1315" s="266"/>
      <c r="O1315" s="266"/>
      <c r="P1315" s="266"/>
      <c r="Q1315" s="266"/>
      <c r="BR1315" s="266"/>
      <c r="BS1315" s="266"/>
      <c r="BT1315" s="266"/>
      <c r="BU1315" s="266"/>
      <c r="BV1315" s="266"/>
    </row>
    <row r="1316" spans="12:74">
      <c r="L1316" s="266"/>
      <c r="M1316" s="266"/>
      <c r="N1316" s="266"/>
      <c r="O1316" s="266"/>
      <c r="P1316" s="266"/>
      <c r="Q1316" s="266"/>
      <c r="BR1316" s="266"/>
      <c r="BS1316" s="266"/>
      <c r="BT1316" s="266"/>
      <c r="BU1316" s="266"/>
      <c r="BV1316" s="266"/>
    </row>
    <row r="1317" spans="12:74">
      <c r="L1317" s="266"/>
      <c r="M1317" s="266"/>
      <c r="N1317" s="266"/>
      <c r="O1317" s="266"/>
      <c r="P1317" s="266"/>
      <c r="Q1317" s="266"/>
      <c r="BR1317" s="266"/>
      <c r="BS1317" s="266"/>
      <c r="BT1317" s="266"/>
      <c r="BU1317" s="266"/>
      <c r="BV1317" s="266"/>
    </row>
    <row r="1318" spans="12:74">
      <c r="L1318" s="266"/>
      <c r="M1318" s="266"/>
      <c r="N1318" s="266"/>
      <c r="O1318" s="266"/>
      <c r="P1318" s="266"/>
      <c r="Q1318" s="266"/>
      <c r="BR1318" s="266"/>
      <c r="BS1318" s="266"/>
      <c r="BT1318" s="266"/>
      <c r="BU1318" s="266"/>
      <c r="BV1318" s="266"/>
    </row>
    <row r="1319" spans="12:74">
      <c r="L1319" s="266"/>
      <c r="M1319" s="266"/>
      <c r="N1319" s="266"/>
      <c r="O1319" s="266"/>
      <c r="P1319" s="266"/>
      <c r="Q1319" s="266"/>
      <c r="BR1319" s="266"/>
      <c r="BS1319" s="266"/>
      <c r="BT1319" s="266"/>
      <c r="BU1319" s="266"/>
      <c r="BV1319" s="266"/>
    </row>
    <row r="1320" spans="12:74">
      <c r="L1320" s="266"/>
      <c r="M1320" s="266"/>
      <c r="N1320" s="266"/>
      <c r="O1320" s="266"/>
      <c r="P1320" s="266"/>
      <c r="Q1320" s="266"/>
      <c r="BR1320" s="266"/>
      <c r="BS1320" s="266"/>
      <c r="BT1320" s="266"/>
      <c r="BU1320" s="266"/>
      <c r="BV1320" s="266"/>
    </row>
    <row r="1321" spans="12:74">
      <c r="L1321" s="266"/>
      <c r="M1321" s="266"/>
      <c r="N1321" s="266"/>
      <c r="O1321" s="266"/>
      <c r="P1321" s="266"/>
      <c r="Q1321" s="266"/>
      <c r="BR1321" s="266"/>
      <c r="BS1321" s="266"/>
      <c r="BT1321" s="266"/>
      <c r="BU1321" s="266"/>
      <c r="BV1321" s="266"/>
    </row>
    <row r="1322" spans="12:74">
      <c r="L1322" s="266"/>
      <c r="M1322" s="266"/>
      <c r="N1322" s="266"/>
      <c r="O1322" s="266"/>
      <c r="P1322" s="266"/>
      <c r="Q1322" s="266"/>
      <c r="BR1322" s="266"/>
      <c r="BS1322" s="266"/>
      <c r="BT1322" s="266"/>
      <c r="BU1322" s="266"/>
      <c r="BV1322" s="266"/>
    </row>
    <row r="1323" spans="12:74">
      <c r="L1323" s="266"/>
      <c r="M1323" s="266"/>
      <c r="N1323" s="266"/>
      <c r="O1323" s="266"/>
      <c r="P1323" s="266"/>
      <c r="Q1323" s="266"/>
      <c r="BR1323" s="266"/>
      <c r="BS1323" s="266"/>
      <c r="BT1323" s="266"/>
      <c r="BU1323" s="266"/>
      <c r="BV1323" s="266"/>
    </row>
    <row r="1324" spans="12:74">
      <c r="L1324" s="266"/>
      <c r="M1324" s="266"/>
      <c r="N1324" s="266"/>
      <c r="O1324" s="266"/>
      <c r="P1324" s="266"/>
      <c r="Q1324" s="266"/>
      <c r="BR1324" s="266"/>
      <c r="BS1324" s="266"/>
      <c r="BT1324" s="266"/>
      <c r="BU1324" s="266"/>
      <c r="BV1324" s="266"/>
    </row>
    <row r="1325" spans="12:74">
      <c r="L1325" s="266"/>
      <c r="M1325" s="266"/>
      <c r="N1325" s="266"/>
      <c r="O1325" s="266"/>
      <c r="P1325" s="266"/>
      <c r="Q1325" s="266"/>
      <c r="BR1325" s="266"/>
      <c r="BS1325" s="266"/>
      <c r="BT1325" s="266"/>
      <c r="BU1325" s="266"/>
      <c r="BV1325" s="266"/>
    </row>
    <row r="1326" spans="12:74">
      <c r="L1326" s="266"/>
      <c r="M1326" s="266"/>
      <c r="N1326" s="266"/>
      <c r="O1326" s="266"/>
      <c r="P1326" s="266"/>
      <c r="Q1326" s="266"/>
      <c r="BR1326" s="266"/>
      <c r="BS1326" s="266"/>
      <c r="BT1326" s="266"/>
      <c r="BU1326" s="266"/>
      <c r="BV1326" s="266"/>
    </row>
    <row r="1327" spans="12:74">
      <c r="L1327" s="266"/>
      <c r="M1327" s="266"/>
      <c r="N1327" s="266"/>
      <c r="O1327" s="266"/>
      <c r="P1327" s="266"/>
      <c r="Q1327" s="266"/>
      <c r="BR1327" s="266"/>
      <c r="BS1327" s="266"/>
      <c r="BT1327" s="266"/>
      <c r="BU1327" s="266"/>
      <c r="BV1327" s="266"/>
    </row>
    <row r="1328" spans="12:74">
      <c r="L1328" s="266"/>
      <c r="M1328" s="266"/>
      <c r="N1328" s="266"/>
      <c r="O1328" s="266"/>
      <c r="P1328" s="266"/>
      <c r="Q1328" s="266"/>
      <c r="BR1328" s="266"/>
      <c r="BS1328" s="266"/>
      <c r="BT1328" s="266"/>
      <c r="BU1328" s="266"/>
      <c r="BV1328" s="266"/>
    </row>
    <row r="1329" spans="12:74">
      <c r="L1329" s="266"/>
      <c r="M1329" s="266"/>
      <c r="N1329" s="266"/>
      <c r="O1329" s="266"/>
      <c r="P1329" s="266"/>
      <c r="Q1329" s="266"/>
      <c r="BR1329" s="266"/>
      <c r="BS1329" s="266"/>
      <c r="BT1329" s="266"/>
      <c r="BU1329" s="266"/>
      <c r="BV1329" s="266"/>
    </row>
    <row r="1330" spans="12:74">
      <c r="L1330" s="266"/>
      <c r="M1330" s="266"/>
      <c r="N1330" s="266"/>
      <c r="O1330" s="266"/>
      <c r="P1330" s="266"/>
      <c r="Q1330" s="266"/>
      <c r="BR1330" s="266"/>
      <c r="BS1330" s="266"/>
      <c r="BT1330" s="266"/>
      <c r="BU1330" s="266"/>
      <c r="BV1330" s="266"/>
    </row>
    <row r="1331" spans="12:74">
      <c r="L1331" s="266"/>
      <c r="M1331" s="266"/>
      <c r="N1331" s="266"/>
      <c r="O1331" s="266"/>
      <c r="P1331" s="266"/>
      <c r="Q1331" s="266"/>
      <c r="BR1331" s="266"/>
      <c r="BS1331" s="266"/>
      <c r="BT1331" s="266"/>
      <c r="BU1331" s="266"/>
      <c r="BV1331" s="266"/>
    </row>
    <row r="1332" spans="12:74">
      <c r="L1332" s="266"/>
      <c r="M1332" s="266"/>
      <c r="N1332" s="266"/>
      <c r="O1332" s="266"/>
      <c r="P1332" s="266"/>
      <c r="Q1332" s="266"/>
      <c r="BR1332" s="266"/>
      <c r="BS1332" s="266"/>
      <c r="BT1332" s="266"/>
      <c r="BU1332" s="266"/>
      <c r="BV1332" s="266"/>
    </row>
    <row r="1333" spans="12:74">
      <c r="L1333" s="266"/>
      <c r="M1333" s="266"/>
      <c r="N1333" s="266"/>
      <c r="O1333" s="266"/>
      <c r="P1333" s="266"/>
      <c r="Q1333" s="266"/>
      <c r="BR1333" s="266"/>
      <c r="BS1333" s="266"/>
      <c r="BT1333" s="266"/>
      <c r="BU1333" s="266"/>
      <c r="BV1333" s="266"/>
    </row>
    <row r="1334" spans="12:74">
      <c r="L1334" s="266"/>
      <c r="M1334" s="266"/>
      <c r="N1334" s="266"/>
      <c r="O1334" s="266"/>
      <c r="P1334" s="266"/>
      <c r="Q1334" s="266"/>
      <c r="BR1334" s="266"/>
      <c r="BS1334" s="266"/>
      <c r="BT1334" s="266"/>
      <c r="BU1334" s="266"/>
      <c r="BV1334" s="266"/>
    </row>
    <row r="1335" spans="12:74">
      <c r="L1335" s="266"/>
      <c r="M1335" s="266"/>
      <c r="N1335" s="266"/>
      <c r="O1335" s="266"/>
      <c r="P1335" s="266"/>
      <c r="Q1335" s="266"/>
      <c r="BR1335" s="266"/>
      <c r="BS1335" s="266"/>
      <c r="BT1335" s="266"/>
      <c r="BU1335" s="266"/>
      <c r="BV1335" s="266"/>
    </row>
    <row r="1336" spans="12:74">
      <c r="L1336" s="266"/>
      <c r="M1336" s="266"/>
      <c r="N1336" s="266"/>
      <c r="O1336" s="266"/>
      <c r="P1336" s="266"/>
      <c r="Q1336" s="266"/>
      <c r="BR1336" s="266"/>
      <c r="BS1336" s="266"/>
      <c r="BT1336" s="266"/>
      <c r="BU1336" s="266"/>
      <c r="BV1336" s="266"/>
    </row>
    <row r="1337" spans="12:74">
      <c r="L1337" s="266"/>
      <c r="M1337" s="266"/>
      <c r="N1337" s="266"/>
      <c r="O1337" s="266"/>
      <c r="P1337" s="266"/>
      <c r="Q1337" s="266"/>
      <c r="BR1337" s="266"/>
      <c r="BS1337" s="266"/>
      <c r="BT1337" s="266"/>
      <c r="BU1337" s="266"/>
      <c r="BV1337" s="266"/>
    </row>
    <row r="1338" spans="12:74">
      <c r="L1338" s="266"/>
      <c r="M1338" s="266"/>
      <c r="N1338" s="266"/>
      <c r="O1338" s="266"/>
      <c r="P1338" s="266"/>
      <c r="Q1338" s="266"/>
      <c r="BR1338" s="266"/>
      <c r="BS1338" s="266"/>
      <c r="BT1338" s="266"/>
      <c r="BU1338" s="266"/>
      <c r="BV1338" s="266"/>
    </row>
    <row r="1339" spans="12:74">
      <c r="L1339" s="266"/>
      <c r="M1339" s="266"/>
      <c r="N1339" s="266"/>
      <c r="O1339" s="266"/>
      <c r="P1339" s="266"/>
      <c r="Q1339" s="266"/>
      <c r="BR1339" s="266"/>
      <c r="BS1339" s="266"/>
      <c r="BT1339" s="266"/>
      <c r="BU1339" s="266"/>
      <c r="BV1339" s="266"/>
    </row>
    <row r="1340" spans="12:74">
      <c r="L1340" s="266"/>
      <c r="M1340" s="266"/>
      <c r="N1340" s="266"/>
      <c r="O1340" s="266"/>
      <c r="P1340" s="266"/>
      <c r="Q1340" s="266"/>
      <c r="BR1340" s="266"/>
      <c r="BS1340" s="266"/>
      <c r="BT1340" s="266"/>
      <c r="BU1340" s="266"/>
      <c r="BV1340" s="266"/>
    </row>
    <row r="1341" spans="12:74">
      <c r="L1341" s="266"/>
      <c r="M1341" s="266"/>
      <c r="N1341" s="266"/>
      <c r="O1341" s="266"/>
      <c r="P1341" s="266"/>
      <c r="Q1341" s="266"/>
      <c r="BR1341" s="266"/>
      <c r="BS1341" s="266"/>
      <c r="BT1341" s="266"/>
      <c r="BU1341" s="266"/>
      <c r="BV1341" s="266"/>
    </row>
    <row r="1342" spans="12:74">
      <c r="L1342" s="266"/>
      <c r="M1342" s="266"/>
      <c r="N1342" s="266"/>
      <c r="O1342" s="266"/>
      <c r="P1342" s="266"/>
      <c r="Q1342" s="266"/>
      <c r="BR1342" s="266"/>
      <c r="BS1342" s="266"/>
      <c r="BT1342" s="266"/>
      <c r="BU1342" s="266"/>
      <c r="BV1342" s="266"/>
    </row>
    <row r="1343" spans="12:74">
      <c r="L1343" s="266"/>
      <c r="M1343" s="266"/>
      <c r="N1343" s="266"/>
      <c r="O1343" s="266"/>
      <c r="P1343" s="266"/>
      <c r="Q1343" s="266"/>
      <c r="BR1343" s="266"/>
      <c r="BS1343" s="266"/>
      <c r="BT1343" s="266"/>
      <c r="BU1343" s="266"/>
      <c r="BV1343" s="266"/>
    </row>
    <row r="1344" spans="12:74">
      <c r="L1344" s="266"/>
      <c r="M1344" s="266"/>
      <c r="N1344" s="266"/>
      <c r="O1344" s="266"/>
      <c r="P1344" s="266"/>
      <c r="Q1344" s="266"/>
      <c r="BR1344" s="266"/>
      <c r="BS1344" s="266"/>
      <c r="BT1344" s="266"/>
      <c r="BU1344" s="266"/>
      <c r="BV1344" s="266"/>
    </row>
    <row r="1345" spans="12:74">
      <c r="L1345" s="266"/>
      <c r="M1345" s="266"/>
      <c r="N1345" s="266"/>
      <c r="O1345" s="266"/>
      <c r="P1345" s="266"/>
      <c r="Q1345" s="266"/>
      <c r="BR1345" s="266"/>
      <c r="BS1345" s="266"/>
      <c r="BT1345" s="266"/>
      <c r="BU1345" s="266"/>
      <c r="BV1345" s="266"/>
    </row>
    <row r="1346" spans="12:74">
      <c r="L1346" s="266"/>
      <c r="M1346" s="266"/>
      <c r="N1346" s="266"/>
      <c r="O1346" s="266"/>
      <c r="P1346" s="266"/>
      <c r="Q1346" s="266"/>
      <c r="BR1346" s="266"/>
      <c r="BS1346" s="266"/>
      <c r="BT1346" s="266"/>
      <c r="BU1346" s="266"/>
      <c r="BV1346" s="266"/>
    </row>
    <row r="1347" spans="12:74">
      <c r="L1347" s="266"/>
      <c r="M1347" s="266"/>
      <c r="N1347" s="266"/>
      <c r="O1347" s="266"/>
      <c r="P1347" s="266"/>
      <c r="Q1347" s="266"/>
      <c r="BR1347" s="266"/>
      <c r="BS1347" s="266"/>
      <c r="BT1347" s="266"/>
      <c r="BU1347" s="266"/>
      <c r="BV1347" s="266"/>
    </row>
    <row r="1348" spans="12:74">
      <c r="L1348" s="266"/>
      <c r="M1348" s="266"/>
      <c r="N1348" s="266"/>
      <c r="O1348" s="266"/>
      <c r="P1348" s="266"/>
      <c r="Q1348" s="266"/>
      <c r="BR1348" s="266"/>
      <c r="BS1348" s="266"/>
      <c r="BT1348" s="266"/>
      <c r="BU1348" s="266"/>
      <c r="BV1348" s="266"/>
    </row>
    <row r="1349" spans="12:74">
      <c r="L1349" s="266"/>
      <c r="M1349" s="266"/>
      <c r="N1349" s="266"/>
      <c r="O1349" s="266"/>
      <c r="P1349" s="266"/>
      <c r="Q1349" s="266"/>
      <c r="BR1349" s="266"/>
      <c r="BS1349" s="266"/>
      <c r="BT1349" s="266"/>
      <c r="BU1349" s="266"/>
      <c r="BV1349" s="266"/>
    </row>
    <row r="1350" spans="12:74">
      <c r="L1350" s="266"/>
      <c r="M1350" s="266"/>
      <c r="N1350" s="266"/>
      <c r="O1350" s="266"/>
      <c r="P1350" s="266"/>
      <c r="Q1350" s="266"/>
      <c r="BR1350" s="266"/>
      <c r="BS1350" s="266"/>
      <c r="BT1350" s="266"/>
      <c r="BU1350" s="266"/>
      <c r="BV1350" s="266"/>
    </row>
    <row r="1351" spans="12:74">
      <c r="L1351" s="266"/>
      <c r="M1351" s="266"/>
      <c r="N1351" s="266"/>
      <c r="O1351" s="266"/>
      <c r="P1351" s="266"/>
      <c r="Q1351" s="266"/>
      <c r="BR1351" s="266"/>
      <c r="BS1351" s="266"/>
      <c r="BT1351" s="266"/>
      <c r="BU1351" s="266"/>
      <c r="BV1351" s="266"/>
    </row>
    <row r="1352" spans="12:74">
      <c r="L1352" s="266"/>
      <c r="M1352" s="266"/>
      <c r="N1352" s="266"/>
      <c r="O1352" s="266"/>
      <c r="P1352" s="266"/>
      <c r="Q1352" s="266"/>
      <c r="BR1352" s="266"/>
      <c r="BS1352" s="266"/>
      <c r="BT1352" s="266"/>
      <c r="BU1352" s="266"/>
      <c r="BV1352" s="266"/>
    </row>
    <row r="1353" spans="12:74">
      <c r="L1353" s="266"/>
      <c r="M1353" s="266"/>
      <c r="N1353" s="266"/>
      <c r="O1353" s="266"/>
      <c r="P1353" s="266"/>
      <c r="Q1353" s="266"/>
      <c r="BR1353" s="266"/>
      <c r="BS1353" s="266"/>
      <c r="BT1353" s="266"/>
      <c r="BU1353" s="266"/>
      <c r="BV1353" s="266"/>
    </row>
    <row r="1354" spans="12:74">
      <c r="L1354" s="266"/>
      <c r="M1354" s="266"/>
      <c r="N1354" s="266"/>
      <c r="O1354" s="266"/>
      <c r="P1354" s="266"/>
      <c r="Q1354" s="266"/>
      <c r="BR1354" s="266"/>
      <c r="BS1354" s="266"/>
      <c r="BT1354" s="266"/>
      <c r="BU1354" s="266"/>
      <c r="BV1354" s="266"/>
    </row>
    <row r="1355" spans="12:74">
      <c r="L1355" s="266"/>
      <c r="M1355" s="266"/>
      <c r="N1355" s="266"/>
      <c r="O1355" s="266"/>
      <c r="P1355" s="266"/>
      <c r="Q1355" s="266"/>
      <c r="BR1355" s="266"/>
      <c r="BS1355" s="266"/>
      <c r="BT1355" s="266"/>
      <c r="BU1355" s="266"/>
      <c r="BV1355" s="266"/>
    </row>
    <row r="1356" spans="12:74">
      <c r="L1356" s="266"/>
      <c r="M1356" s="266"/>
      <c r="N1356" s="266"/>
      <c r="O1356" s="266"/>
      <c r="P1356" s="266"/>
      <c r="Q1356" s="266"/>
      <c r="BR1356" s="266"/>
      <c r="BS1356" s="266"/>
      <c r="BT1356" s="266"/>
      <c r="BU1356" s="266"/>
      <c r="BV1356" s="266"/>
    </row>
    <row r="1357" spans="12:74">
      <c r="L1357" s="266"/>
      <c r="M1357" s="266"/>
      <c r="N1357" s="266"/>
      <c r="O1357" s="266"/>
      <c r="P1357" s="266"/>
      <c r="Q1357" s="266"/>
      <c r="BR1357" s="266"/>
      <c r="BS1357" s="266"/>
      <c r="BT1357" s="266"/>
      <c r="BU1357" s="266"/>
      <c r="BV1357" s="266"/>
    </row>
    <row r="1358" spans="12:74">
      <c r="L1358" s="266"/>
      <c r="M1358" s="266"/>
      <c r="N1358" s="266"/>
      <c r="O1358" s="266"/>
      <c r="P1358" s="266"/>
      <c r="Q1358" s="266"/>
      <c r="BR1358" s="266"/>
      <c r="BS1358" s="266"/>
      <c r="BT1358" s="266"/>
      <c r="BU1358" s="266"/>
      <c r="BV1358" s="266"/>
    </row>
    <row r="1359" spans="12:74">
      <c r="L1359" s="266"/>
      <c r="M1359" s="266"/>
      <c r="N1359" s="266"/>
      <c r="O1359" s="266"/>
      <c r="P1359" s="266"/>
      <c r="Q1359" s="266"/>
      <c r="BR1359" s="266"/>
      <c r="BS1359" s="266"/>
      <c r="BT1359" s="266"/>
      <c r="BU1359" s="266"/>
      <c r="BV1359" s="266"/>
    </row>
    <row r="1360" spans="12:74">
      <c r="L1360" s="266"/>
      <c r="M1360" s="266"/>
      <c r="N1360" s="266"/>
      <c r="O1360" s="266"/>
      <c r="P1360" s="266"/>
      <c r="Q1360" s="266"/>
      <c r="BR1360" s="266"/>
      <c r="BS1360" s="266"/>
      <c r="BT1360" s="266"/>
      <c r="BU1360" s="266"/>
      <c r="BV1360" s="266"/>
    </row>
    <row r="1361" spans="12:74">
      <c r="L1361" s="266"/>
      <c r="M1361" s="266"/>
      <c r="N1361" s="266"/>
      <c r="O1361" s="266"/>
      <c r="P1361" s="266"/>
      <c r="Q1361" s="266"/>
      <c r="BR1361" s="266"/>
      <c r="BS1361" s="266"/>
      <c r="BT1361" s="266"/>
      <c r="BU1361" s="266"/>
      <c r="BV1361" s="266"/>
    </row>
    <row r="1362" spans="12:74">
      <c r="L1362" s="266"/>
      <c r="M1362" s="266"/>
      <c r="N1362" s="266"/>
      <c r="O1362" s="266"/>
      <c r="P1362" s="266"/>
      <c r="Q1362" s="266"/>
      <c r="BR1362" s="266"/>
      <c r="BS1362" s="266"/>
      <c r="BT1362" s="266"/>
      <c r="BU1362" s="266"/>
      <c r="BV1362" s="266"/>
    </row>
    <row r="1363" spans="12:74">
      <c r="L1363" s="266"/>
      <c r="M1363" s="266"/>
      <c r="N1363" s="266"/>
      <c r="O1363" s="266"/>
      <c r="P1363" s="266"/>
      <c r="Q1363" s="266"/>
      <c r="BR1363" s="266"/>
      <c r="BS1363" s="266"/>
      <c r="BT1363" s="266"/>
      <c r="BU1363" s="266"/>
      <c r="BV1363" s="266"/>
    </row>
    <row r="1364" spans="12:74">
      <c r="L1364" s="266"/>
      <c r="M1364" s="266"/>
      <c r="N1364" s="266"/>
      <c r="O1364" s="266"/>
      <c r="P1364" s="266"/>
      <c r="Q1364" s="266"/>
      <c r="BR1364" s="266"/>
      <c r="BS1364" s="266"/>
      <c r="BT1364" s="266"/>
      <c r="BU1364" s="266"/>
      <c r="BV1364" s="266"/>
    </row>
    <row r="1365" spans="12:74">
      <c r="L1365" s="266"/>
      <c r="M1365" s="266"/>
      <c r="N1365" s="266"/>
      <c r="O1365" s="266"/>
      <c r="P1365" s="266"/>
      <c r="Q1365" s="266"/>
      <c r="BR1365" s="266"/>
      <c r="BS1365" s="266"/>
      <c r="BT1365" s="266"/>
      <c r="BU1365" s="266"/>
      <c r="BV1365" s="266"/>
    </row>
    <row r="1366" spans="12:74">
      <c r="L1366" s="266"/>
      <c r="M1366" s="266"/>
      <c r="N1366" s="266"/>
      <c r="O1366" s="266"/>
      <c r="P1366" s="266"/>
      <c r="Q1366" s="266"/>
      <c r="BR1366" s="266"/>
      <c r="BS1366" s="266"/>
      <c r="BT1366" s="266"/>
      <c r="BU1366" s="266"/>
      <c r="BV1366" s="266"/>
    </row>
    <row r="1367" spans="12:74">
      <c r="L1367" s="266"/>
      <c r="M1367" s="266"/>
      <c r="N1367" s="266"/>
      <c r="O1367" s="266"/>
      <c r="P1367" s="266"/>
      <c r="Q1367" s="266"/>
      <c r="BR1367" s="266"/>
      <c r="BS1367" s="266"/>
      <c r="BT1367" s="266"/>
      <c r="BU1367" s="266"/>
      <c r="BV1367" s="266"/>
    </row>
    <row r="1368" spans="12:74">
      <c r="L1368" s="266"/>
      <c r="M1368" s="266"/>
      <c r="N1368" s="266"/>
      <c r="O1368" s="266"/>
      <c r="P1368" s="266"/>
      <c r="Q1368" s="266"/>
      <c r="BR1368" s="266"/>
      <c r="BS1368" s="266"/>
      <c r="BT1368" s="266"/>
      <c r="BU1368" s="266"/>
      <c r="BV1368" s="266"/>
    </row>
    <row r="1369" spans="12:74">
      <c r="L1369" s="266"/>
      <c r="M1369" s="266"/>
      <c r="N1369" s="266"/>
      <c r="O1369" s="266"/>
      <c r="P1369" s="266"/>
      <c r="Q1369" s="266"/>
      <c r="BR1369" s="266"/>
      <c r="BS1369" s="266"/>
      <c r="BT1369" s="266"/>
      <c r="BU1369" s="266"/>
      <c r="BV1369" s="266"/>
    </row>
    <row r="1370" spans="12:74">
      <c r="L1370" s="266"/>
      <c r="M1370" s="266"/>
      <c r="N1370" s="266"/>
      <c r="O1370" s="266"/>
      <c r="P1370" s="266"/>
      <c r="Q1370" s="266"/>
      <c r="BR1370" s="266"/>
      <c r="BS1370" s="266"/>
      <c r="BT1370" s="266"/>
      <c r="BU1370" s="266"/>
      <c r="BV1370" s="266"/>
    </row>
    <row r="1371" spans="12:74">
      <c r="L1371" s="266"/>
      <c r="M1371" s="266"/>
      <c r="N1371" s="266"/>
      <c r="O1371" s="266"/>
      <c r="P1371" s="266"/>
      <c r="Q1371" s="266"/>
      <c r="BR1371" s="266"/>
      <c r="BS1371" s="266"/>
      <c r="BT1371" s="266"/>
      <c r="BU1371" s="266"/>
      <c r="BV1371" s="266"/>
    </row>
    <row r="1372" spans="12:74">
      <c r="L1372" s="266"/>
      <c r="M1372" s="266"/>
      <c r="N1372" s="266"/>
      <c r="O1372" s="266"/>
      <c r="P1372" s="266"/>
      <c r="Q1372" s="266"/>
      <c r="BR1372" s="266"/>
      <c r="BS1372" s="266"/>
      <c r="BT1372" s="266"/>
      <c r="BU1372" s="266"/>
      <c r="BV1372" s="266"/>
    </row>
    <row r="1373" spans="12:74">
      <c r="L1373" s="266"/>
      <c r="M1373" s="266"/>
      <c r="N1373" s="266"/>
      <c r="O1373" s="266"/>
      <c r="P1373" s="266"/>
      <c r="Q1373" s="266"/>
      <c r="BR1373" s="266"/>
      <c r="BS1373" s="266"/>
      <c r="BT1373" s="266"/>
      <c r="BU1373" s="266"/>
      <c r="BV1373" s="266"/>
    </row>
    <row r="1374" spans="12:74">
      <c r="L1374" s="266"/>
      <c r="M1374" s="266"/>
      <c r="N1374" s="266"/>
      <c r="O1374" s="266"/>
      <c r="P1374" s="266"/>
      <c r="Q1374" s="266"/>
      <c r="BR1374" s="266"/>
      <c r="BS1374" s="266"/>
      <c r="BT1374" s="266"/>
      <c r="BU1374" s="266"/>
      <c r="BV1374" s="266"/>
    </row>
    <row r="1375" spans="12:74">
      <c r="L1375" s="266"/>
      <c r="M1375" s="266"/>
      <c r="N1375" s="266"/>
      <c r="O1375" s="266"/>
      <c r="P1375" s="266"/>
      <c r="Q1375" s="266"/>
      <c r="BR1375" s="266"/>
      <c r="BS1375" s="266"/>
      <c r="BT1375" s="266"/>
      <c r="BU1375" s="266"/>
      <c r="BV1375" s="266"/>
    </row>
    <row r="1376" spans="12:74">
      <c r="L1376" s="266"/>
      <c r="M1376" s="266"/>
      <c r="N1376" s="266"/>
      <c r="O1376" s="266"/>
      <c r="P1376" s="266"/>
      <c r="Q1376" s="266"/>
      <c r="BR1376" s="266"/>
      <c r="BS1376" s="266"/>
      <c r="BT1376" s="266"/>
      <c r="BU1376" s="266"/>
      <c r="BV1376" s="266"/>
    </row>
    <row r="1377" spans="12:74">
      <c r="L1377" s="266"/>
      <c r="M1377" s="266"/>
      <c r="N1377" s="266"/>
      <c r="O1377" s="266"/>
      <c r="P1377" s="266"/>
      <c r="Q1377" s="266"/>
      <c r="BR1377" s="266"/>
      <c r="BS1377" s="266"/>
      <c r="BT1377" s="266"/>
      <c r="BU1377" s="266"/>
      <c r="BV1377" s="266"/>
    </row>
    <row r="1378" spans="12:74">
      <c r="L1378" s="266"/>
      <c r="M1378" s="266"/>
      <c r="N1378" s="266"/>
      <c r="O1378" s="266"/>
      <c r="P1378" s="266"/>
      <c r="Q1378" s="266"/>
      <c r="BR1378" s="266"/>
      <c r="BS1378" s="266"/>
      <c r="BT1378" s="266"/>
      <c r="BU1378" s="266"/>
      <c r="BV1378" s="266"/>
    </row>
    <row r="1379" spans="12:74">
      <c r="L1379" s="266"/>
      <c r="M1379" s="266"/>
      <c r="N1379" s="266"/>
      <c r="O1379" s="266"/>
      <c r="P1379" s="266"/>
      <c r="Q1379" s="266"/>
      <c r="BR1379" s="266"/>
      <c r="BS1379" s="266"/>
      <c r="BT1379" s="266"/>
      <c r="BU1379" s="266"/>
      <c r="BV1379" s="266"/>
    </row>
    <row r="1380" spans="12:74">
      <c r="L1380" s="266"/>
      <c r="M1380" s="266"/>
      <c r="N1380" s="266"/>
      <c r="O1380" s="266"/>
      <c r="P1380" s="266"/>
      <c r="Q1380" s="266"/>
      <c r="BR1380" s="266"/>
      <c r="BS1380" s="266"/>
      <c r="BT1380" s="266"/>
      <c r="BU1380" s="266"/>
      <c r="BV1380" s="266"/>
    </row>
    <row r="1381" spans="12:74">
      <c r="L1381" s="266"/>
      <c r="M1381" s="266"/>
      <c r="N1381" s="266"/>
      <c r="O1381" s="266"/>
      <c r="P1381" s="266"/>
      <c r="Q1381" s="266"/>
      <c r="BR1381" s="266"/>
      <c r="BS1381" s="266"/>
      <c r="BT1381" s="266"/>
      <c r="BU1381" s="266"/>
      <c r="BV1381" s="266"/>
    </row>
    <row r="1382" spans="12:74">
      <c r="L1382" s="266"/>
      <c r="M1382" s="266"/>
      <c r="N1382" s="266"/>
      <c r="O1382" s="266"/>
      <c r="P1382" s="266"/>
      <c r="Q1382" s="266"/>
      <c r="BR1382" s="266"/>
      <c r="BS1382" s="266"/>
      <c r="BT1382" s="266"/>
      <c r="BU1382" s="266"/>
      <c r="BV1382" s="266"/>
    </row>
    <row r="1383" spans="12:74">
      <c r="L1383" s="266"/>
      <c r="M1383" s="266"/>
      <c r="N1383" s="266"/>
      <c r="O1383" s="266"/>
      <c r="P1383" s="266"/>
      <c r="Q1383" s="266"/>
      <c r="BR1383" s="266"/>
      <c r="BS1383" s="266"/>
      <c r="BT1383" s="266"/>
      <c r="BU1383" s="266"/>
      <c r="BV1383" s="266"/>
    </row>
    <row r="1384" spans="12:74">
      <c r="L1384" s="266"/>
      <c r="M1384" s="266"/>
      <c r="N1384" s="266"/>
      <c r="O1384" s="266"/>
      <c r="P1384" s="266"/>
      <c r="Q1384" s="266"/>
      <c r="BR1384" s="266"/>
      <c r="BS1384" s="266"/>
      <c r="BT1384" s="266"/>
      <c r="BU1384" s="266"/>
      <c r="BV1384" s="266"/>
    </row>
    <row r="1385" spans="12:74">
      <c r="L1385" s="266"/>
      <c r="M1385" s="266"/>
      <c r="N1385" s="266"/>
      <c r="O1385" s="266"/>
      <c r="P1385" s="266"/>
      <c r="Q1385" s="266"/>
      <c r="BR1385" s="266"/>
      <c r="BS1385" s="266"/>
      <c r="BT1385" s="266"/>
      <c r="BU1385" s="266"/>
      <c r="BV1385" s="266"/>
    </row>
    <row r="1386" spans="12:74">
      <c r="L1386" s="266"/>
      <c r="M1386" s="266"/>
      <c r="N1386" s="266"/>
      <c r="O1386" s="266"/>
      <c r="P1386" s="266"/>
      <c r="Q1386" s="266"/>
      <c r="BR1386" s="266"/>
      <c r="BS1386" s="266"/>
      <c r="BT1386" s="266"/>
      <c r="BU1386" s="266"/>
      <c r="BV1386" s="266"/>
    </row>
    <row r="1387" spans="12:74">
      <c r="L1387" s="266"/>
      <c r="M1387" s="266"/>
      <c r="N1387" s="266"/>
      <c r="O1387" s="266"/>
      <c r="P1387" s="266"/>
      <c r="Q1387" s="266"/>
      <c r="BR1387" s="266"/>
      <c r="BS1387" s="266"/>
      <c r="BT1387" s="266"/>
      <c r="BU1387" s="266"/>
      <c r="BV1387" s="266"/>
    </row>
    <row r="1388" spans="12:74">
      <c r="L1388" s="266"/>
      <c r="M1388" s="266"/>
      <c r="N1388" s="266"/>
      <c r="O1388" s="266"/>
      <c r="P1388" s="266"/>
      <c r="Q1388" s="266"/>
      <c r="BR1388" s="266"/>
      <c r="BS1388" s="266"/>
      <c r="BT1388" s="266"/>
      <c r="BU1388" s="266"/>
      <c r="BV1388" s="266"/>
    </row>
    <row r="1389" spans="12:74">
      <c r="L1389" s="266"/>
      <c r="M1389" s="266"/>
      <c r="N1389" s="266"/>
      <c r="O1389" s="266"/>
      <c r="P1389" s="266"/>
      <c r="Q1389" s="266"/>
      <c r="BR1389" s="266"/>
      <c r="BS1389" s="266"/>
      <c r="BT1389" s="266"/>
      <c r="BU1389" s="266"/>
      <c r="BV1389" s="266"/>
    </row>
    <row r="1390" spans="12:74">
      <c r="L1390" s="266"/>
      <c r="M1390" s="266"/>
      <c r="N1390" s="266"/>
      <c r="O1390" s="266"/>
      <c r="P1390" s="266"/>
      <c r="Q1390" s="266"/>
      <c r="BR1390" s="266"/>
      <c r="BS1390" s="266"/>
      <c r="BT1390" s="266"/>
      <c r="BU1390" s="266"/>
      <c r="BV1390" s="266"/>
    </row>
    <row r="1391" spans="12:74">
      <c r="L1391" s="266"/>
      <c r="M1391" s="266"/>
      <c r="N1391" s="266"/>
      <c r="O1391" s="266"/>
      <c r="P1391" s="266"/>
      <c r="Q1391" s="266"/>
      <c r="BR1391" s="266"/>
      <c r="BS1391" s="266"/>
      <c r="BT1391" s="266"/>
      <c r="BU1391" s="266"/>
      <c r="BV1391" s="266"/>
    </row>
    <row r="1392" spans="12:74">
      <c r="L1392" s="266"/>
      <c r="M1392" s="266"/>
      <c r="N1392" s="266"/>
      <c r="O1392" s="266"/>
      <c r="P1392" s="266"/>
      <c r="Q1392" s="266"/>
      <c r="BR1392" s="266"/>
      <c r="BS1392" s="266"/>
      <c r="BT1392" s="266"/>
      <c r="BU1392" s="266"/>
      <c r="BV1392" s="266"/>
    </row>
    <row r="1393" spans="12:74">
      <c r="L1393" s="266"/>
      <c r="M1393" s="266"/>
      <c r="N1393" s="266"/>
      <c r="O1393" s="266"/>
      <c r="P1393" s="266"/>
      <c r="Q1393" s="266"/>
      <c r="BR1393" s="266"/>
      <c r="BS1393" s="266"/>
      <c r="BT1393" s="266"/>
      <c r="BU1393" s="266"/>
      <c r="BV1393" s="266"/>
    </row>
    <row r="1394" spans="12:74">
      <c r="L1394" s="266"/>
      <c r="M1394" s="266"/>
      <c r="N1394" s="266"/>
      <c r="O1394" s="266"/>
      <c r="P1394" s="266"/>
      <c r="Q1394" s="266"/>
      <c r="BR1394" s="266"/>
      <c r="BS1394" s="266"/>
      <c r="BT1394" s="266"/>
      <c r="BU1394" s="266"/>
      <c r="BV1394" s="266"/>
    </row>
    <row r="1395" spans="12:74">
      <c r="L1395" s="266"/>
      <c r="M1395" s="266"/>
      <c r="N1395" s="266"/>
      <c r="O1395" s="266"/>
      <c r="P1395" s="266"/>
      <c r="Q1395" s="266"/>
      <c r="BR1395" s="266"/>
      <c r="BS1395" s="266"/>
      <c r="BT1395" s="266"/>
      <c r="BU1395" s="266"/>
      <c r="BV1395" s="266"/>
    </row>
    <row r="1396" spans="12:74">
      <c r="L1396" s="266"/>
      <c r="M1396" s="266"/>
      <c r="N1396" s="266"/>
      <c r="O1396" s="266"/>
      <c r="P1396" s="266"/>
      <c r="Q1396" s="266"/>
      <c r="BR1396" s="266"/>
      <c r="BS1396" s="266"/>
      <c r="BT1396" s="266"/>
      <c r="BU1396" s="266"/>
      <c r="BV1396" s="266"/>
    </row>
    <row r="1397" spans="12:74">
      <c r="L1397" s="266"/>
      <c r="M1397" s="266"/>
      <c r="N1397" s="266"/>
      <c r="O1397" s="266"/>
      <c r="P1397" s="266"/>
      <c r="Q1397" s="266"/>
      <c r="BR1397" s="266"/>
      <c r="BS1397" s="266"/>
      <c r="BT1397" s="266"/>
      <c r="BU1397" s="266"/>
      <c r="BV1397" s="266"/>
    </row>
    <row r="1398" spans="12:74">
      <c r="L1398" s="266"/>
      <c r="M1398" s="266"/>
      <c r="N1398" s="266"/>
      <c r="O1398" s="266"/>
      <c r="P1398" s="266"/>
      <c r="Q1398" s="266"/>
      <c r="BR1398" s="266"/>
      <c r="BS1398" s="266"/>
      <c r="BT1398" s="266"/>
      <c r="BU1398" s="266"/>
      <c r="BV1398" s="266"/>
    </row>
    <row r="1399" spans="12:74">
      <c r="L1399" s="266"/>
      <c r="M1399" s="266"/>
      <c r="N1399" s="266"/>
      <c r="O1399" s="266"/>
      <c r="P1399" s="266"/>
      <c r="Q1399" s="266"/>
      <c r="BR1399" s="266"/>
      <c r="BS1399" s="266"/>
      <c r="BT1399" s="266"/>
      <c r="BU1399" s="266"/>
      <c r="BV1399" s="266"/>
    </row>
    <row r="1400" spans="12:74">
      <c r="L1400" s="266"/>
      <c r="M1400" s="266"/>
      <c r="N1400" s="266"/>
      <c r="O1400" s="266"/>
      <c r="P1400" s="266"/>
      <c r="Q1400" s="266"/>
      <c r="BR1400" s="266"/>
      <c r="BS1400" s="266"/>
      <c r="BT1400" s="266"/>
      <c r="BU1400" s="266"/>
      <c r="BV1400" s="266"/>
    </row>
    <row r="1401" spans="12:74">
      <c r="L1401" s="266"/>
      <c r="M1401" s="266"/>
      <c r="N1401" s="266"/>
      <c r="O1401" s="266"/>
      <c r="P1401" s="266"/>
      <c r="Q1401" s="266"/>
      <c r="BR1401" s="266"/>
      <c r="BS1401" s="266"/>
      <c r="BT1401" s="266"/>
      <c r="BU1401" s="266"/>
      <c r="BV1401" s="266"/>
    </row>
    <row r="1402" spans="12:74">
      <c r="L1402" s="266"/>
      <c r="M1402" s="266"/>
      <c r="N1402" s="266"/>
      <c r="O1402" s="266"/>
      <c r="P1402" s="266"/>
      <c r="Q1402" s="266"/>
      <c r="BR1402" s="266"/>
      <c r="BS1402" s="266"/>
      <c r="BT1402" s="266"/>
      <c r="BU1402" s="266"/>
      <c r="BV1402" s="266"/>
    </row>
    <row r="1403" spans="12:74">
      <c r="L1403" s="266"/>
      <c r="M1403" s="266"/>
      <c r="N1403" s="266"/>
      <c r="O1403" s="266"/>
      <c r="P1403" s="266"/>
      <c r="Q1403" s="266"/>
      <c r="BR1403" s="266"/>
      <c r="BS1403" s="266"/>
      <c r="BT1403" s="266"/>
      <c r="BU1403" s="266"/>
      <c r="BV1403" s="266"/>
    </row>
    <row r="1404" spans="12:74">
      <c r="L1404" s="266"/>
      <c r="M1404" s="266"/>
      <c r="N1404" s="266"/>
      <c r="O1404" s="266"/>
      <c r="P1404" s="266"/>
      <c r="Q1404" s="266"/>
      <c r="BR1404" s="266"/>
      <c r="BS1404" s="266"/>
      <c r="BT1404" s="266"/>
      <c r="BU1404" s="266"/>
      <c r="BV1404" s="266"/>
    </row>
    <row r="1405" spans="12:74">
      <c r="L1405" s="266"/>
      <c r="M1405" s="266"/>
      <c r="N1405" s="266"/>
      <c r="O1405" s="266"/>
      <c r="P1405" s="266"/>
      <c r="Q1405" s="266"/>
      <c r="BR1405" s="266"/>
      <c r="BS1405" s="266"/>
      <c r="BT1405" s="266"/>
      <c r="BU1405" s="266"/>
      <c r="BV1405" s="266"/>
    </row>
    <row r="1406" spans="12:74">
      <c r="L1406" s="266"/>
      <c r="M1406" s="266"/>
      <c r="N1406" s="266"/>
      <c r="O1406" s="266"/>
      <c r="P1406" s="266"/>
      <c r="Q1406" s="266"/>
      <c r="BR1406" s="266"/>
      <c r="BS1406" s="266"/>
      <c r="BT1406" s="266"/>
      <c r="BU1406" s="266"/>
      <c r="BV1406" s="266"/>
    </row>
    <row r="1407" spans="12:74">
      <c r="L1407" s="266"/>
      <c r="M1407" s="266"/>
      <c r="N1407" s="266"/>
      <c r="O1407" s="266"/>
      <c r="P1407" s="266"/>
      <c r="Q1407" s="266"/>
      <c r="BR1407" s="266"/>
      <c r="BS1407" s="266"/>
      <c r="BT1407" s="266"/>
      <c r="BU1407" s="266"/>
      <c r="BV1407" s="266"/>
    </row>
    <row r="1408" spans="12:74">
      <c r="L1408" s="266"/>
      <c r="M1408" s="266"/>
      <c r="N1408" s="266"/>
      <c r="O1408" s="266"/>
      <c r="P1408" s="266"/>
      <c r="Q1408" s="266"/>
      <c r="BR1408" s="266"/>
      <c r="BS1408" s="266"/>
      <c r="BT1408" s="266"/>
      <c r="BU1408" s="266"/>
      <c r="BV1408" s="266"/>
    </row>
    <row r="1409" spans="12:74">
      <c r="L1409" s="266"/>
      <c r="M1409" s="266"/>
      <c r="N1409" s="266"/>
      <c r="O1409" s="266"/>
      <c r="P1409" s="266"/>
      <c r="Q1409" s="266"/>
      <c r="BR1409" s="266"/>
      <c r="BS1409" s="266"/>
      <c r="BT1409" s="266"/>
      <c r="BU1409" s="266"/>
      <c r="BV1409" s="266"/>
    </row>
    <row r="1410" spans="12:74">
      <c r="L1410" s="266"/>
      <c r="M1410" s="266"/>
      <c r="N1410" s="266"/>
      <c r="O1410" s="266"/>
      <c r="P1410" s="266"/>
      <c r="Q1410" s="266"/>
      <c r="BR1410" s="266"/>
      <c r="BS1410" s="266"/>
      <c r="BT1410" s="266"/>
      <c r="BU1410" s="266"/>
      <c r="BV1410" s="266"/>
    </row>
    <row r="1411" spans="12:74">
      <c r="L1411" s="266"/>
      <c r="M1411" s="266"/>
      <c r="N1411" s="266"/>
      <c r="O1411" s="266"/>
      <c r="P1411" s="266"/>
      <c r="Q1411" s="266"/>
      <c r="BR1411" s="266"/>
      <c r="BS1411" s="266"/>
      <c r="BT1411" s="266"/>
      <c r="BU1411" s="266"/>
      <c r="BV1411" s="266"/>
    </row>
    <row r="1412" spans="12:74">
      <c r="L1412" s="266"/>
      <c r="M1412" s="266"/>
      <c r="N1412" s="266"/>
      <c r="O1412" s="266"/>
      <c r="P1412" s="266"/>
      <c r="Q1412" s="266"/>
      <c r="BR1412" s="266"/>
      <c r="BS1412" s="266"/>
      <c r="BT1412" s="266"/>
      <c r="BU1412" s="266"/>
      <c r="BV1412" s="266"/>
    </row>
    <row r="1413" spans="12:74">
      <c r="L1413" s="266"/>
      <c r="M1413" s="266"/>
      <c r="N1413" s="266"/>
      <c r="O1413" s="266"/>
      <c r="P1413" s="266"/>
      <c r="Q1413" s="266"/>
      <c r="BR1413" s="266"/>
      <c r="BS1413" s="266"/>
      <c r="BT1413" s="266"/>
      <c r="BU1413" s="266"/>
      <c r="BV1413" s="266"/>
    </row>
    <row r="1414" spans="12:74">
      <c r="L1414" s="266"/>
      <c r="M1414" s="266"/>
      <c r="N1414" s="266"/>
      <c r="O1414" s="266"/>
      <c r="P1414" s="266"/>
      <c r="Q1414" s="266"/>
      <c r="BR1414" s="266"/>
      <c r="BS1414" s="266"/>
      <c r="BT1414" s="266"/>
      <c r="BU1414" s="266"/>
      <c r="BV1414" s="266"/>
    </row>
    <row r="1415" spans="12:74">
      <c r="L1415" s="266"/>
      <c r="M1415" s="266"/>
      <c r="N1415" s="266"/>
      <c r="O1415" s="266"/>
      <c r="P1415" s="266"/>
      <c r="Q1415" s="266"/>
      <c r="BR1415" s="266"/>
      <c r="BS1415" s="266"/>
      <c r="BT1415" s="266"/>
      <c r="BU1415" s="266"/>
      <c r="BV1415" s="266"/>
    </row>
    <row r="1416" spans="12:74">
      <c r="L1416" s="266"/>
      <c r="M1416" s="266"/>
      <c r="N1416" s="266"/>
      <c r="O1416" s="266"/>
      <c r="P1416" s="266"/>
      <c r="Q1416" s="266"/>
      <c r="BR1416" s="266"/>
      <c r="BS1416" s="266"/>
      <c r="BT1416" s="266"/>
      <c r="BU1416" s="266"/>
      <c r="BV1416" s="266"/>
    </row>
    <row r="1417" spans="12:74">
      <c r="L1417" s="266"/>
      <c r="M1417" s="266"/>
      <c r="N1417" s="266"/>
      <c r="O1417" s="266"/>
      <c r="P1417" s="266"/>
      <c r="Q1417" s="266"/>
      <c r="BR1417" s="266"/>
      <c r="BS1417" s="266"/>
      <c r="BT1417" s="266"/>
      <c r="BU1417" s="266"/>
      <c r="BV1417" s="266"/>
    </row>
    <row r="1418" spans="12:74">
      <c r="L1418" s="266"/>
      <c r="M1418" s="266"/>
      <c r="N1418" s="266"/>
      <c r="O1418" s="266"/>
      <c r="P1418" s="266"/>
      <c r="Q1418" s="266"/>
      <c r="BR1418" s="266"/>
      <c r="BS1418" s="266"/>
      <c r="BT1418" s="266"/>
      <c r="BU1418" s="266"/>
      <c r="BV1418" s="266"/>
    </row>
    <row r="1419" spans="12:74">
      <c r="L1419" s="266"/>
      <c r="M1419" s="266"/>
      <c r="N1419" s="266"/>
      <c r="O1419" s="266"/>
      <c r="P1419" s="266"/>
      <c r="Q1419" s="266"/>
      <c r="BR1419" s="266"/>
      <c r="BS1419" s="266"/>
      <c r="BT1419" s="266"/>
      <c r="BU1419" s="266"/>
      <c r="BV1419" s="266"/>
    </row>
    <row r="1420" spans="12:74">
      <c r="L1420" s="266"/>
      <c r="M1420" s="266"/>
      <c r="N1420" s="266"/>
      <c r="O1420" s="266"/>
      <c r="P1420" s="266"/>
      <c r="Q1420" s="266"/>
      <c r="BR1420" s="266"/>
      <c r="BS1420" s="266"/>
      <c r="BT1420" s="266"/>
      <c r="BU1420" s="266"/>
      <c r="BV1420" s="266"/>
    </row>
    <row r="1421" spans="12:74">
      <c r="L1421" s="266"/>
      <c r="M1421" s="266"/>
      <c r="N1421" s="266"/>
      <c r="O1421" s="266"/>
      <c r="P1421" s="266"/>
      <c r="Q1421" s="266"/>
      <c r="BR1421" s="266"/>
      <c r="BS1421" s="266"/>
      <c r="BT1421" s="266"/>
      <c r="BU1421" s="266"/>
      <c r="BV1421" s="266"/>
    </row>
    <row r="1422" spans="12:74">
      <c r="L1422" s="266"/>
      <c r="M1422" s="266"/>
      <c r="N1422" s="266"/>
      <c r="O1422" s="266"/>
      <c r="P1422" s="266"/>
      <c r="Q1422" s="266"/>
      <c r="BR1422" s="266"/>
      <c r="BS1422" s="266"/>
      <c r="BT1422" s="266"/>
      <c r="BU1422" s="266"/>
      <c r="BV1422" s="266"/>
    </row>
    <row r="1423" spans="12:74">
      <c r="L1423" s="266"/>
      <c r="M1423" s="266"/>
      <c r="N1423" s="266"/>
      <c r="O1423" s="266"/>
      <c r="P1423" s="266"/>
      <c r="Q1423" s="266"/>
      <c r="BR1423" s="266"/>
      <c r="BS1423" s="266"/>
      <c r="BT1423" s="266"/>
      <c r="BU1423" s="266"/>
      <c r="BV1423" s="266"/>
    </row>
    <row r="1424" spans="12:74">
      <c r="L1424" s="266"/>
      <c r="M1424" s="266"/>
      <c r="N1424" s="266"/>
      <c r="O1424" s="266"/>
      <c r="P1424" s="266"/>
      <c r="Q1424" s="266"/>
      <c r="BR1424" s="266"/>
      <c r="BS1424" s="266"/>
      <c r="BT1424" s="266"/>
      <c r="BU1424" s="266"/>
      <c r="BV1424" s="266"/>
    </row>
    <row r="1425" spans="12:74">
      <c r="L1425" s="266"/>
      <c r="M1425" s="266"/>
      <c r="N1425" s="266"/>
      <c r="O1425" s="266"/>
      <c r="P1425" s="266"/>
      <c r="Q1425" s="266"/>
      <c r="BR1425" s="266"/>
      <c r="BS1425" s="266"/>
      <c r="BT1425" s="266"/>
      <c r="BU1425" s="266"/>
      <c r="BV1425" s="266"/>
    </row>
    <row r="1426" spans="12:74">
      <c r="L1426" s="266"/>
      <c r="M1426" s="266"/>
      <c r="N1426" s="266"/>
      <c r="O1426" s="266"/>
      <c r="P1426" s="266"/>
      <c r="Q1426" s="266"/>
      <c r="BR1426" s="266"/>
      <c r="BS1426" s="266"/>
      <c r="BT1426" s="266"/>
      <c r="BU1426" s="266"/>
      <c r="BV1426" s="266"/>
    </row>
    <row r="1427" spans="12:74">
      <c r="L1427" s="266"/>
      <c r="M1427" s="266"/>
      <c r="N1427" s="266"/>
      <c r="O1427" s="266"/>
      <c r="P1427" s="266"/>
      <c r="Q1427" s="266"/>
      <c r="BR1427" s="266"/>
      <c r="BS1427" s="266"/>
      <c r="BT1427" s="266"/>
      <c r="BU1427" s="266"/>
      <c r="BV1427" s="266"/>
    </row>
    <row r="1428" spans="12:74">
      <c r="L1428" s="266"/>
      <c r="M1428" s="266"/>
      <c r="N1428" s="266"/>
      <c r="O1428" s="266"/>
      <c r="P1428" s="266"/>
      <c r="Q1428" s="266"/>
      <c r="BR1428" s="266"/>
      <c r="BS1428" s="266"/>
      <c r="BT1428" s="266"/>
      <c r="BU1428" s="266"/>
      <c r="BV1428" s="266"/>
    </row>
    <row r="1429" spans="12:74">
      <c r="L1429" s="266"/>
      <c r="M1429" s="266"/>
      <c r="N1429" s="266"/>
      <c r="O1429" s="266"/>
      <c r="P1429" s="266"/>
      <c r="Q1429" s="266"/>
      <c r="BR1429" s="266"/>
      <c r="BS1429" s="266"/>
      <c r="BT1429" s="266"/>
      <c r="BU1429" s="266"/>
      <c r="BV1429" s="266"/>
    </row>
    <row r="1430" spans="12:74">
      <c r="L1430" s="266"/>
      <c r="M1430" s="266"/>
      <c r="N1430" s="266"/>
      <c r="O1430" s="266"/>
      <c r="P1430" s="266"/>
      <c r="Q1430" s="266"/>
      <c r="BR1430" s="266"/>
      <c r="BS1430" s="266"/>
      <c r="BT1430" s="266"/>
      <c r="BU1430" s="266"/>
      <c r="BV1430" s="266"/>
    </row>
    <row r="1431" spans="12:74">
      <c r="L1431" s="266"/>
      <c r="M1431" s="266"/>
      <c r="N1431" s="266"/>
      <c r="O1431" s="266"/>
      <c r="P1431" s="266"/>
      <c r="Q1431" s="266"/>
      <c r="BR1431" s="266"/>
      <c r="BS1431" s="266"/>
      <c r="BT1431" s="266"/>
      <c r="BU1431" s="266"/>
      <c r="BV1431" s="266"/>
    </row>
    <row r="1432" spans="12:74">
      <c r="L1432" s="266"/>
      <c r="M1432" s="266"/>
      <c r="N1432" s="266"/>
      <c r="O1432" s="266"/>
      <c r="P1432" s="266"/>
      <c r="Q1432" s="266"/>
      <c r="BR1432" s="266"/>
      <c r="BS1432" s="266"/>
      <c r="BT1432" s="266"/>
      <c r="BU1432" s="266"/>
      <c r="BV1432" s="266"/>
    </row>
    <row r="1433" spans="12:74">
      <c r="L1433" s="266"/>
      <c r="M1433" s="266"/>
      <c r="N1433" s="266"/>
      <c r="O1433" s="266"/>
      <c r="P1433" s="266"/>
      <c r="Q1433" s="266"/>
      <c r="BR1433" s="266"/>
      <c r="BS1433" s="266"/>
      <c r="BT1433" s="266"/>
      <c r="BU1433" s="266"/>
      <c r="BV1433" s="266"/>
    </row>
    <row r="1434" spans="12:74">
      <c r="L1434" s="266"/>
      <c r="M1434" s="266"/>
      <c r="N1434" s="266"/>
      <c r="O1434" s="266"/>
      <c r="P1434" s="266"/>
      <c r="Q1434" s="266"/>
      <c r="BR1434" s="266"/>
      <c r="BS1434" s="266"/>
      <c r="BT1434" s="266"/>
      <c r="BU1434" s="266"/>
      <c r="BV1434" s="266"/>
    </row>
    <row r="1435" spans="12:74">
      <c r="L1435" s="266"/>
      <c r="M1435" s="266"/>
      <c r="N1435" s="266"/>
      <c r="O1435" s="266"/>
      <c r="P1435" s="266"/>
      <c r="Q1435" s="266"/>
      <c r="BR1435" s="266"/>
      <c r="BS1435" s="266"/>
      <c r="BT1435" s="266"/>
      <c r="BU1435" s="266"/>
      <c r="BV1435" s="266"/>
    </row>
    <row r="1436" spans="12:74">
      <c r="L1436" s="266"/>
      <c r="M1436" s="266"/>
      <c r="N1436" s="266"/>
      <c r="O1436" s="266"/>
      <c r="P1436" s="266"/>
      <c r="Q1436" s="266"/>
      <c r="BR1436" s="266"/>
      <c r="BS1436" s="266"/>
      <c r="BT1436" s="266"/>
      <c r="BU1436" s="266"/>
      <c r="BV1436" s="266"/>
    </row>
    <row r="1437" spans="12:74">
      <c r="L1437" s="266"/>
      <c r="M1437" s="266"/>
      <c r="N1437" s="266"/>
      <c r="O1437" s="266"/>
      <c r="P1437" s="266"/>
      <c r="Q1437" s="266"/>
      <c r="BR1437" s="266"/>
      <c r="BS1437" s="266"/>
      <c r="BT1437" s="266"/>
      <c r="BU1437" s="266"/>
      <c r="BV1437" s="266"/>
    </row>
    <row r="1438" spans="12:74">
      <c r="L1438" s="266"/>
      <c r="M1438" s="266"/>
      <c r="N1438" s="266"/>
      <c r="O1438" s="266"/>
      <c r="P1438" s="266"/>
      <c r="Q1438" s="266"/>
      <c r="BR1438" s="266"/>
      <c r="BS1438" s="266"/>
      <c r="BT1438" s="266"/>
      <c r="BU1438" s="266"/>
      <c r="BV1438" s="266"/>
    </row>
    <row r="1439" spans="12:74">
      <c r="L1439" s="266"/>
      <c r="M1439" s="266"/>
      <c r="N1439" s="266"/>
      <c r="O1439" s="266"/>
      <c r="P1439" s="266"/>
      <c r="Q1439" s="266"/>
      <c r="BR1439" s="266"/>
      <c r="BS1439" s="266"/>
      <c r="BT1439" s="266"/>
      <c r="BU1439" s="266"/>
      <c r="BV1439" s="266"/>
    </row>
    <row r="1440" spans="12:74">
      <c r="L1440" s="266"/>
      <c r="M1440" s="266"/>
      <c r="N1440" s="266"/>
      <c r="O1440" s="266"/>
      <c r="P1440" s="266"/>
      <c r="Q1440" s="266"/>
      <c r="BR1440" s="266"/>
      <c r="BS1440" s="266"/>
      <c r="BT1440" s="266"/>
      <c r="BU1440" s="266"/>
      <c r="BV1440" s="266"/>
    </row>
    <row r="1441" spans="12:74">
      <c r="L1441" s="266"/>
      <c r="M1441" s="266"/>
      <c r="N1441" s="266"/>
      <c r="O1441" s="266"/>
      <c r="P1441" s="266"/>
      <c r="Q1441" s="266"/>
      <c r="BR1441" s="266"/>
      <c r="BS1441" s="266"/>
      <c r="BT1441" s="266"/>
      <c r="BU1441" s="266"/>
      <c r="BV1441" s="266"/>
    </row>
    <row r="1442" spans="12:74">
      <c r="L1442" s="266"/>
      <c r="M1442" s="266"/>
      <c r="N1442" s="266"/>
      <c r="O1442" s="266"/>
      <c r="P1442" s="266"/>
      <c r="Q1442" s="266"/>
      <c r="BR1442" s="266"/>
      <c r="BS1442" s="266"/>
      <c r="BT1442" s="266"/>
      <c r="BU1442" s="266"/>
      <c r="BV1442" s="266"/>
    </row>
    <row r="1443" spans="12:74">
      <c r="L1443" s="266"/>
      <c r="M1443" s="266"/>
      <c r="N1443" s="266"/>
      <c r="O1443" s="266"/>
      <c r="P1443" s="266"/>
      <c r="Q1443" s="266"/>
      <c r="BR1443" s="266"/>
      <c r="BS1443" s="266"/>
      <c r="BT1443" s="266"/>
      <c r="BU1443" s="266"/>
      <c r="BV1443" s="266"/>
    </row>
    <row r="1444" spans="12:74">
      <c r="L1444" s="266"/>
      <c r="M1444" s="266"/>
      <c r="N1444" s="266"/>
      <c r="O1444" s="266"/>
      <c r="P1444" s="266"/>
      <c r="Q1444" s="266"/>
      <c r="BR1444" s="266"/>
      <c r="BS1444" s="266"/>
      <c r="BT1444" s="266"/>
      <c r="BU1444" s="266"/>
      <c r="BV1444" s="266"/>
    </row>
    <row r="1445" spans="12:74">
      <c r="L1445" s="266"/>
      <c r="M1445" s="266"/>
      <c r="N1445" s="266"/>
      <c r="O1445" s="266"/>
      <c r="P1445" s="266"/>
      <c r="Q1445" s="266"/>
      <c r="BR1445" s="266"/>
      <c r="BS1445" s="266"/>
      <c r="BT1445" s="266"/>
      <c r="BU1445" s="266"/>
      <c r="BV1445" s="266"/>
    </row>
    <row r="1446" spans="12:74">
      <c r="L1446" s="266"/>
      <c r="M1446" s="266"/>
      <c r="N1446" s="266"/>
      <c r="O1446" s="266"/>
      <c r="P1446" s="266"/>
      <c r="Q1446" s="266"/>
      <c r="BR1446" s="266"/>
      <c r="BS1446" s="266"/>
      <c r="BT1446" s="266"/>
      <c r="BU1446" s="266"/>
      <c r="BV1446" s="266"/>
    </row>
    <row r="1447" spans="12:74">
      <c r="L1447" s="266"/>
      <c r="M1447" s="266"/>
      <c r="N1447" s="266"/>
      <c r="O1447" s="266"/>
      <c r="P1447" s="266"/>
      <c r="Q1447" s="266"/>
      <c r="BR1447" s="266"/>
      <c r="BS1447" s="266"/>
      <c r="BT1447" s="266"/>
      <c r="BU1447" s="266"/>
      <c r="BV1447" s="266"/>
    </row>
    <row r="1448" spans="12:74">
      <c r="L1448" s="266"/>
      <c r="M1448" s="266"/>
      <c r="N1448" s="266"/>
      <c r="O1448" s="266"/>
      <c r="P1448" s="266"/>
      <c r="Q1448" s="266"/>
      <c r="BR1448" s="266"/>
      <c r="BS1448" s="266"/>
      <c r="BT1448" s="266"/>
      <c r="BU1448" s="266"/>
      <c r="BV1448" s="266"/>
    </row>
    <row r="1449" spans="12:74">
      <c r="L1449" s="266"/>
      <c r="M1449" s="266"/>
      <c r="N1449" s="266"/>
      <c r="O1449" s="266"/>
      <c r="P1449" s="266"/>
      <c r="Q1449" s="266"/>
      <c r="BR1449" s="266"/>
      <c r="BS1449" s="266"/>
      <c r="BT1449" s="266"/>
      <c r="BU1449" s="266"/>
      <c r="BV1449" s="266"/>
    </row>
    <row r="1450" spans="12:74">
      <c r="L1450" s="266"/>
      <c r="M1450" s="266"/>
      <c r="N1450" s="266"/>
      <c r="O1450" s="266"/>
      <c r="P1450" s="266"/>
      <c r="Q1450" s="266"/>
      <c r="BR1450" s="266"/>
      <c r="BS1450" s="266"/>
      <c r="BT1450" s="266"/>
      <c r="BU1450" s="266"/>
      <c r="BV1450" s="266"/>
    </row>
    <row r="1451" spans="12:74">
      <c r="L1451" s="266"/>
      <c r="M1451" s="266"/>
      <c r="N1451" s="266"/>
      <c r="O1451" s="266"/>
      <c r="P1451" s="266"/>
      <c r="Q1451" s="266"/>
      <c r="BR1451" s="266"/>
      <c r="BS1451" s="266"/>
      <c r="BT1451" s="266"/>
      <c r="BU1451" s="266"/>
      <c r="BV1451" s="266"/>
    </row>
    <row r="1452" spans="12:74">
      <c r="L1452" s="266"/>
      <c r="M1452" s="266"/>
      <c r="N1452" s="266"/>
      <c r="O1452" s="266"/>
      <c r="P1452" s="266"/>
      <c r="Q1452" s="266"/>
      <c r="BR1452" s="266"/>
      <c r="BS1452" s="266"/>
      <c r="BT1452" s="266"/>
      <c r="BU1452" s="266"/>
      <c r="BV1452" s="266"/>
    </row>
    <row r="1453" spans="12:74">
      <c r="L1453" s="266"/>
      <c r="M1453" s="266"/>
      <c r="N1453" s="266"/>
      <c r="O1453" s="266"/>
      <c r="P1453" s="266"/>
      <c r="Q1453" s="266"/>
      <c r="BR1453" s="266"/>
      <c r="BS1453" s="266"/>
      <c r="BT1453" s="266"/>
      <c r="BU1453" s="266"/>
      <c r="BV1453" s="266"/>
    </row>
    <row r="1454" spans="12:74">
      <c r="L1454" s="266"/>
      <c r="M1454" s="266"/>
      <c r="N1454" s="266"/>
      <c r="O1454" s="266"/>
      <c r="P1454" s="266"/>
      <c r="Q1454" s="266"/>
      <c r="BR1454" s="266"/>
      <c r="BS1454" s="266"/>
      <c r="BT1454" s="266"/>
      <c r="BU1454" s="266"/>
      <c r="BV1454" s="266"/>
    </row>
    <row r="1455" spans="12:74">
      <c r="L1455" s="266"/>
      <c r="M1455" s="266"/>
      <c r="N1455" s="266"/>
      <c r="O1455" s="266"/>
      <c r="P1455" s="266"/>
      <c r="Q1455" s="266"/>
      <c r="BR1455" s="266"/>
      <c r="BS1455" s="266"/>
      <c r="BT1455" s="266"/>
      <c r="BU1455" s="266"/>
      <c r="BV1455" s="266"/>
    </row>
    <row r="1456" spans="12:74">
      <c r="L1456" s="266"/>
      <c r="M1456" s="266"/>
      <c r="N1456" s="266"/>
      <c r="O1456" s="266"/>
      <c r="P1456" s="266"/>
      <c r="Q1456" s="266"/>
      <c r="BR1456" s="266"/>
      <c r="BS1456" s="266"/>
      <c r="BT1456" s="266"/>
      <c r="BU1456" s="266"/>
      <c r="BV1456" s="266"/>
    </row>
    <row r="1457" spans="12:74">
      <c r="L1457" s="266"/>
      <c r="M1457" s="266"/>
      <c r="N1457" s="266"/>
      <c r="O1457" s="266"/>
      <c r="P1457" s="266"/>
      <c r="Q1457" s="266"/>
      <c r="BR1457" s="266"/>
      <c r="BS1457" s="266"/>
      <c r="BT1457" s="266"/>
      <c r="BU1457" s="266"/>
      <c r="BV1457" s="266"/>
    </row>
    <row r="1458" spans="12:74">
      <c r="L1458" s="266"/>
      <c r="M1458" s="266"/>
      <c r="N1458" s="266"/>
      <c r="O1458" s="266"/>
      <c r="P1458" s="266"/>
      <c r="Q1458" s="266"/>
      <c r="BR1458" s="266"/>
      <c r="BS1458" s="266"/>
      <c r="BT1458" s="266"/>
      <c r="BU1458" s="266"/>
      <c r="BV1458" s="266"/>
    </row>
    <row r="1459" spans="12:74">
      <c r="L1459" s="266"/>
      <c r="M1459" s="266"/>
      <c r="N1459" s="266"/>
      <c r="O1459" s="266"/>
      <c r="P1459" s="266"/>
      <c r="Q1459" s="266"/>
      <c r="BR1459" s="266"/>
      <c r="BS1459" s="266"/>
      <c r="BT1459" s="266"/>
      <c r="BU1459" s="266"/>
      <c r="BV1459" s="266"/>
    </row>
    <row r="1460" spans="12:74">
      <c r="L1460" s="266"/>
      <c r="M1460" s="266"/>
      <c r="N1460" s="266"/>
      <c r="O1460" s="266"/>
      <c r="P1460" s="266"/>
      <c r="Q1460" s="266"/>
      <c r="BR1460" s="266"/>
      <c r="BS1460" s="266"/>
      <c r="BT1460" s="266"/>
      <c r="BU1460" s="266"/>
      <c r="BV1460" s="266"/>
    </row>
    <row r="1461" spans="12:74">
      <c r="L1461" s="266"/>
      <c r="M1461" s="266"/>
      <c r="N1461" s="266"/>
      <c r="O1461" s="266"/>
      <c r="P1461" s="266"/>
      <c r="Q1461" s="266"/>
      <c r="BR1461" s="266"/>
      <c r="BS1461" s="266"/>
      <c r="BT1461" s="266"/>
      <c r="BU1461" s="266"/>
      <c r="BV1461" s="266"/>
    </row>
    <row r="1462" spans="12:74">
      <c r="L1462" s="266"/>
      <c r="M1462" s="266"/>
      <c r="N1462" s="266"/>
      <c r="O1462" s="266"/>
      <c r="P1462" s="266"/>
      <c r="Q1462" s="266"/>
      <c r="BR1462" s="266"/>
      <c r="BS1462" s="266"/>
      <c r="BT1462" s="266"/>
      <c r="BU1462" s="266"/>
      <c r="BV1462" s="266"/>
    </row>
    <row r="1463" spans="12:74">
      <c r="L1463" s="266"/>
      <c r="M1463" s="266"/>
      <c r="N1463" s="266"/>
      <c r="O1463" s="266"/>
      <c r="P1463" s="266"/>
      <c r="Q1463" s="266"/>
      <c r="BR1463" s="266"/>
      <c r="BS1463" s="266"/>
      <c r="BT1463" s="266"/>
      <c r="BU1463" s="266"/>
      <c r="BV1463" s="266"/>
    </row>
    <row r="1464" spans="12:74">
      <c r="L1464" s="266"/>
      <c r="M1464" s="266"/>
      <c r="N1464" s="266"/>
      <c r="O1464" s="266"/>
      <c r="P1464" s="266"/>
      <c r="Q1464" s="266"/>
      <c r="BR1464" s="266"/>
      <c r="BS1464" s="266"/>
      <c r="BT1464" s="266"/>
      <c r="BU1464" s="266"/>
      <c r="BV1464" s="266"/>
    </row>
    <row r="1465" spans="12:74">
      <c r="L1465" s="266"/>
      <c r="M1465" s="266"/>
      <c r="N1465" s="266"/>
      <c r="O1465" s="266"/>
      <c r="P1465" s="266"/>
      <c r="Q1465" s="266"/>
      <c r="BR1465" s="266"/>
      <c r="BS1465" s="266"/>
      <c r="BT1465" s="266"/>
      <c r="BU1465" s="266"/>
      <c r="BV1465" s="266"/>
    </row>
    <row r="1466" spans="12:74">
      <c r="L1466" s="266"/>
      <c r="M1466" s="266"/>
      <c r="N1466" s="266"/>
      <c r="O1466" s="266"/>
      <c r="P1466" s="266"/>
      <c r="Q1466" s="266"/>
      <c r="BR1466" s="266"/>
      <c r="BS1466" s="266"/>
      <c r="BT1466" s="266"/>
      <c r="BU1466" s="266"/>
      <c r="BV1466" s="266"/>
    </row>
    <row r="1467" spans="12:74">
      <c r="L1467" s="266"/>
      <c r="M1467" s="266"/>
      <c r="N1467" s="266"/>
      <c r="O1467" s="266"/>
      <c r="P1467" s="266"/>
      <c r="Q1467" s="266"/>
      <c r="BR1467" s="266"/>
      <c r="BS1467" s="266"/>
      <c r="BT1467" s="266"/>
      <c r="BU1467" s="266"/>
      <c r="BV1467" s="266"/>
    </row>
    <row r="1468" spans="12:74">
      <c r="L1468" s="266"/>
      <c r="M1468" s="266"/>
      <c r="N1468" s="266"/>
      <c r="O1468" s="266"/>
      <c r="P1468" s="266"/>
      <c r="Q1468" s="266"/>
      <c r="BR1468" s="266"/>
      <c r="BS1468" s="266"/>
      <c r="BT1468" s="266"/>
      <c r="BU1468" s="266"/>
      <c r="BV1468" s="266"/>
    </row>
    <row r="1469" spans="12:74">
      <c r="L1469" s="266"/>
      <c r="M1469" s="266"/>
      <c r="N1469" s="266"/>
      <c r="O1469" s="266"/>
      <c r="P1469" s="266"/>
      <c r="Q1469" s="266"/>
      <c r="BR1469" s="266"/>
      <c r="BS1469" s="266"/>
      <c r="BT1469" s="266"/>
      <c r="BU1469" s="266"/>
      <c r="BV1469" s="266"/>
    </row>
    <row r="1470" spans="12:74">
      <c r="L1470" s="266"/>
      <c r="M1470" s="266"/>
      <c r="N1470" s="266"/>
      <c r="O1470" s="266"/>
      <c r="P1470" s="266"/>
      <c r="Q1470" s="266"/>
      <c r="BR1470" s="266"/>
      <c r="BS1470" s="266"/>
      <c r="BT1470" s="266"/>
      <c r="BU1470" s="266"/>
      <c r="BV1470" s="266"/>
    </row>
    <row r="1471" spans="12:74">
      <c r="L1471" s="266"/>
      <c r="M1471" s="266"/>
      <c r="N1471" s="266"/>
      <c r="O1471" s="266"/>
      <c r="P1471" s="266"/>
      <c r="Q1471" s="266"/>
      <c r="BR1471" s="266"/>
      <c r="BS1471" s="266"/>
      <c r="BT1471" s="266"/>
      <c r="BU1471" s="266"/>
      <c r="BV1471" s="266"/>
    </row>
    <row r="1472" spans="12:74">
      <c r="L1472" s="266"/>
      <c r="M1472" s="266"/>
      <c r="N1472" s="266"/>
      <c r="O1472" s="266"/>
      <c r="P1472" s="266"/>
      <c r="Q1472" s="266"/>
      <c r="BR1472" s="266"/>
      <c r="BS1472" s="266"/>
      <c r="BT1472" s="266"/>
      <c r="BU1472" s="266"/>
      <c r="BV1472" s="266"/>
    </row>
    <row r="1473" spans="12:74">
      <c r="L1473" s="266"/>
      <c r="M1473" s="266"/>
      <c r="N1473" s="266"/>
      <c r="O1473" s="266"/>
      <c r="P1473" s="266"/>
      <c r="Q1473" s="266"/>
      <c r="BR1473" s="266"/>
      <c r="BS1473" s="266"/>
      <c r="BT1473" s="266"/>
      <c r="BU1473" s="266"/>
      <c r="BV1473" s="266"/>
    </row>
    <row r="1474" spans="12:74">
      <c r="L1474" s="266"/>
      <c r="M1474" s="266"/>
      <c r="N1474" s="266"/>
      <c r="O1474" s="266"/>
      <c r="P1474" s="266"/>
      <c r="Q1474" s="266"/>
      <c r="BR1474" s="266"/>
      <c r="BS1474" s="266"/>
      <c r="BT1474" s="266"/>
      <c r="BU1474" s="266"/>
      <c r="BV1474" s="266"/>
    </row>
    <row r="1475" spans="12:74">
      <c r="L1475" s="266"/>
      <c r="M1475" s="266"/>
      <c r="N1475" s="266"/>
      <c r="O1475" s="266"/>
      <c r="P1475" s="266"/>
      <c r="Q1475" s="266"/>
      <c r="BR1475" s="266"/>
      <c r="BS1475" s="266"/>
      <c r="BT1475" s="266"/>
      <c r="BU1475" s="266"/>
      <c r="BV1475" s="266"/>
    </row>
    <row r="1476" spans="12:74">
      <c r="L1476" s="266"/>
      <c r="M1476" s="266"/>
      <c r="N1476" s="266"/>
      <c r="O1476" s="266"/>
      <c r="P1476" s="266"/>
      <c r="Q1476" s="266"/>
      <c r="BR1476" s="266"/>
      <c r="BS1476" s="266"/>
      <c r="BT1476" s="266"/>
      <c r="BU1476" s="266"/>
      <c r="BV1476" s="266"/>
    </row>
    <row r="1477" spans="12:74">
      <c r="L1477" s="266"/>
      <c r="M1477" s="266"/>
      <c r="N1477" s="266"/>
      <c r="O1477" s="266"/>
      <c r="P1477" s="266"/>
      <c r="Q1477" s="266"/>
      <c r="BR1477" s="266"/>
      <c r="BS1477" s="266"/>
      <c r="BT1477" s="266"/>
      <c r="BU1477" s="266"/>
      <c r="BV1477" s="266"/>
    </row>
    <row r="1478" spans="12:74">
      <c r="L1478" s="266"/>
      <c r="M1478" s="266"/>
      <c r="N1478" s="266"/>
      <c r="O1478" s="266"/>
      <c r="P1478" s="266"/>
      <c r="Q1478" s="266"/>
      <c r="BR1478" s="266"/>
      <c r="BS1478" s="266"/>
      <c r="BT1478" s="266"/>
      <c r="BU1478" s="266"/>
      <c r="BV1478" s="266"/>
    </row>
    <row r="1479" spans="12:74">
      <c r="L1479" s="266"/>
      <c r="M1479" s="266"/>
      <c r="N1479" s="266"/>
      <c r="O1479" s="266"/>
      <c r="P1479" s="266"/>
      <c r="Q1479" s="266"/>
      <c r="BR1479" s="266"/>
      <c r="BS1479" s="266"/>
      <c r="BT1479" s="266"/>
      <c r="BU1479" s="266"/>
      <c r="BV1479" s="266"/>
    </row>
    <row r="1480" spans="12:74">
      <c r="L1480" s="266"/>
      <c r="M1480" s="266"/>
      <c r="N1480" s="266"/>
      <c r="O1480" s="266"/>
      <c r="P1480" s="266"/>
      <c r="Q1480" s="266"/>
      <c r="BR1480" s="266"/>
      <c r="BS1480" s="266"/>
      <c r="BT1480" s="266"/>
      <c r="BU1480" s="266"/>
      <c r="BV1480" s="266"/>
    </row>
    <row r="1481" spans="12:74">
      <c r="L1481" s="266"/>
      <c r="M1481" s="266"/>
      <c r="N1481" s="266"/>
      <c r="O1481" s="266"/>
      <c r="P1481" s="266"/>
      <c r="Q1481" s="266"/>
      <c r="BR1481" s="266"/>
      <c r="BS1481" s="266"/>
      <c r="BT1481" s="266"/>
      <c r="BU1481" s="266"/>
      <c r="BV1481" s="266"/>
    </row>
    <row r="1482" spans="12:74">
      <c r="L1482" s="266"/>
      <c r="M1482" s="266"/>
      <c r="N1482" s="266"/>
      <c r="O1482" s="266"/>
      <c r="P1482" s="266"/>
      <c r="Q1482" s="266"/>
      <c r="BR1482" s="266"/>
      <c r="BS1482" s="266"/>
      <c r="BT1482" s="266"/>
      <c r="BU1482" s="266"/>
      <c r="BV1482" s="266"/>
    </row>
    <row r="1483" spans="12:74">
      <c r="L1483" s="266"/>
      <c r="M1483" s="266"/>
      <c r="N1483" s="266"/>
      <c r="O1483" s="266"/>
      <c r="P1483" s="266"/>
      <c r="Q1483" s="266"/>
      <c r="BR1483" s="266"/>
      <c r="BS1483" s="266"/>
      <c r="BT1483" s="266"/>
      <c r="BU1483" s="266"/>
      <c r="BV1483" s="266"/>
    </row>
    <row r="1484" spans="12:74">
      <c r="L1484" s="266"/>
      <c r="M1484" s="266"/>
      <c r="N1484" s="266"/>
      <c r="O1484" s="266"/>
      <c r="P1484" s="266"/>
      <c r="Q1484" s="266"/>
      <c r="BR1484" s="266"/>
      <c r="BS1484" s="266"/>
      <c r="BT1484" s="266"/>
      <c r="BU1484" s="266"/>
      <c r="BV1484" s="266"/>
    </row>
    <row r="1485" spans="12:74">
      <c r="L1485" s="266"/>
      <c r="M1485" s="266"/>
      <c r="N1485" s="266"/>
      <c r="O1485" s="266"/>
      <c r="P1485" s="266"/>
      <c r="Q1485" s="266"/>
      <c r="BR1485" s="266"/>
      <c r="BS1485" s="266"/>
      <c r="BT1485" s="266"/>
      <c r="BU1485" s="266"/>
      <c r="BV1485" s="266"/>
    </row>
    <row r="1486" spans="12:74">
      <c r="L1486" s="266"/>
      <c r="M1486" s="266"/>
      <c r="N1486" s="266"/>
      <c r="O1486" s="266"/>
      <c r="P1486" s="266"/>
      <c r="Q1486" s="266"/>
      <c r="BR1486" s="266"/>
      <c r="BS1486" s="266"/>
      <c r="BT1486" s="266"/>
      <c r="BU1486" s="266"/>
      <c r="BV1486" s="266"/>
    </row>
    <row r="1487" spans="12:74">
      <c r="L1487" s="266"/>
      <c r="M1487" s="266"/>
      <c r="N1487" s="266"/>
      <c r="O1487" s="266"/>
      <c r="P1487" s="266"/>
      <c r="Q1487" s="266"/>
      <c r="BR1487" s="266"/>
      <c r="BS1487" s="266"/>
      <c r="BT1487" s="266"/>
      <c r="BU1487" s="266"/>
      <c r="BV1487" s="266"/>
    </row>
    <row r="1488" spans="12:74">
      <c r="L1488" s="266"/>
      <c r="M1488" s="266"/>
      <c r="N1488" s="266"/>
      <c r="O1488" s="266"/>
      <c r="P1488" s="266"/>
      <c r="Q1488" s="266"/>
      <c r="BR1488" s="266"/>
      <c r="BS1488" s="266"/>
      <c r="BT1488" s="266"/>
      <c r="BU1488" s="266"/>
      <c r="BV1488" s="266"/>
    </row>
    <row r="1489" spans="12:74">
      <c r="L1489" s="266"/>
      <c r="M1489" s="266"/>
      <c r="N1489" s="266"/>
      <c r="O1489" s="266"/>
      <c r="P1489" s="266"/>
      <c r="Q1489" s="266"/>
      <c r="BR1489" s="266"/>
      <c r="BS1489" s="266"/>
      <c r="BT1489" s="266"/>
      <c r="BU1489" s="266"/>
      <c r="BV1489" s="266"/>
    </row>
    <row r="1490" spans="12:74">
      <c r="L1490" s="266"/>
      <c r="M1490" s="266"/>
      <c r="N1490" s="266"/>
      <c r="O1490" s="266"/>
      <c r="P1490" s="266"/>
      <c r="Q1490" s="266"/>
      <c r="BR1490" s="266"/>
      <c r="BS1490" s="266"/>
      <c r="BT1490" s="266"/>
      <c r="BU1490" s="266"/>
      <c r="BV1490" s="266"/>
    </row>
    <row r="1491" spans="12:74">
      <c r="L1491" s="266"/>
      <c r="M1491" s="266"/>
      <c r="N1491" s="266"/>
      <c r="O1491" s="266"/>
      <c r="P1491" s="266"/>
      <c r="Q1491" s="266"/>
      <c r="BR1491" s="266"/>
      <c r="BS1491" s="266"/>
      <c r="BT1491" s="266"/>
      <c r="BU1491" s="266"/>
      <c r="BV1491" s="266"/>
    </row>
    <row r="1492" spans="12:74">
      <c r="L1492" s="266"/>
      <c r="M1492" s="266"/>
      <c r="N1492" s="266"/>
      <c r="O1492" s="266"/>
      <c r="P1492" s="266"/>
      <c r="Q1492" s="266"/>
      <c r="BR1492" s="266"/>
      <c r="BS1492" s="266"/>
      <c r="BT1492" s="266"/>
      <c r="BU1492" s="266"/>
      <c r="BV1492" s="266"/>
    </row>
    <row r="1493" spans="12:74">
      <c r="L1493" s="266"/>
      <c r="M1493" s="266"/>
      <c r="N1493" s="266"/>
      <c r="O1493" s="266"/>
      <c r="P1493" s="266"/>
      <c r="Q1493" s="266"/>
      <c r="BR1493" s="266"/>
      <c r="BS1493" s="266"/>
      <c r="BT1493" s="266"/>
      <c r="BU1493" s="266"/>
      <c r="BV1493" s="266"/>
    </row>
    <row r="1494" spans="12:74">
      <c r="L1494" s="266"/>
      <c r="M1494" s="266"/>
      <c r="N1494" s="266"/>
      <c r="O1494" s="266"/>
      <c r="P1494" s="266"/>
      <c r="Q1494" s="266"/>
      <c r="BR1494" s="266"/>
      <c r="BS1494" s="266"/>
      <c r="BT1494" s="266"/>
      <c r="BU1494" s="266"/>
      <c r="BV1494" s="266"/>
    </row>
    <row r="1495" spans="12:74">
      <c r="L1495" s="266"/>
      <c r="M1495" s="266"/>
      <c r="N1495" s="266"/>
      <c r="O1495" s="266"/>
      <c r="P1495" s="266"/>
      <c r="Q1495" s="266"/>
      <c r="BR1495" s="266"/>
      <c r="BS1495" s="266"/>
      <c r="BT1495" s="266"/>
      <c r="BU1495" s="266"/>
      <c r="BV1495" s="266"/>
    </row>
    <row r="1496" spans="12:74">
      <c r="L1496" s="266"/>
      <c r="M1496" s="266"/>
      <c r="N1496" s="266"/>
      <c r="O1496" s="266"/>
      <c r="P1496" s="266"/>
      <c r="Q1496" s="266"/>
      <c r="BR1496" s="266"/>
      <c r="BS1496" s="266"/>
      <c r="BT1496" s="266"/>
      <c r="BU1496" s="266"/>
      <c r="BV1496" s="266"/>
    </row>
    <row r="1497" spans="12:74">
      <c r="L1497" s="266"/>
      <c r="M1497" s="266"/>
      <c r="N1497" s="266"/>
      <c r="O1497" s="266"/>
      <c r="P1497" s="266"/>
      <c r="Q1497" s="266"/>
      <c r="BR1497" s="266"/>
      <c r="BS1497" s="266"/>
      <c r="BT1497" s="266"/>
      <c r="BU1497" s="266"/>
      <c r="BV1497" s="266"/>
    </row>
    <row r="1498" spans="12:74">
      <c r="L1498" s="266"/>
      <c r="M1498" s="266"/>
      <c r="N1498" s="266"/>
      <c r="O1498" s="266"/>
      <c r="P1498" s="266"/>
      <c r="Q1498" s="266"/>
      <c r="BR1498" s="266"/>
      <c r="BS1498" s="266"/>
      <c r="BT1498" s="266"/>
      <c r="BU1498" s="266"/>
      <c r="BV1498" s="266"/>
    </row>
    <row r="1499" spans="12:74">
      <c r="L1499" s="266"/>
      <c r="M1499" s="266"/>
      <c r="N1499" s="266"/>
      <c r="O1499" s="266"/>
      <c r="P1499" s="266"/>
      <c r="Q1499" s="266"/>
      <c r="BR1499" s="266"/>
      <c r="BS1499" s="266"/>
      <c r="BT1499" s="266"/>
      <c r="BU1499" s="266"/>
      <c r="BV1499" s="266"/>
    </row>
    <row r="1500" spans="12:74">
      <c r="L1500" s="266"/>
      <c r="M1500" s="266"/>
      <c r="N1500" s="266"/>
      <c r="O1500" s="266"/>
      <c r="P1500" s="266"/>
      <c r="Q1500" s="266"/>
      <c r="BR1500" s="266"/>
      <c r="BS1500" s="266"/>
      <c r="BT1500" s="266"/>
      <c r="BU1500" s="266"/>
      <c r="BV1500" s="266"/>
    </row>
    <row r="1501" spans="12:74">
      <c r="L1501" s="266"/>
      <c r="M1501" s="266"/>
      <c r="N1501" s="266"/>
      <c r="O1501" s="266"/>
      <c r="P1501" s="266"/>
      <c r="Q1501" s="266"/>
      <c r="BR1501" s="266"/>
      <c r="BS1501" s="266"/>
      <c r="BT1501" s="266"/>
      <c r="BU1501" s="266"/>
      <c r="BV1501" s="266"/>
    </row>
    <row r="1502" spans="12:74">
      <c r="L1502" s="266"/>
      <c r="M1502" s="266"/>
      <c r="N1502" s="266"/>
      <c r="O1502" s="266"/>
      <c r="P1502" s="266"/>
      <c r="Q1502" s="266"/>
      <c r="BR1502" s="266"/>
      <c r="BS1502" s="266"/>
      <c r="BT1502" s="266"/>
      <c r="BU1502" s="266"/>
      <c r="BV1502" s="266"/>
    </row>
    <row r="1503" spans="12:74">
      <c r="L1503" s="266"/>
      <c r="M1503" s="266"/>
      <c r="N1503" s="266"/>
      <c r="O1503" s="266"/>
      <c r="P1503" s="266"/>
      <c r="Q1503" s="266"/>
      <c r="BR1503" s="266"/>
      <c r="BS1503" s="266"/>
      <c r="BT1503" s="266"/>
      <c r="BU1503" s="266"/>
      <c r="BV1503" s="266"/>
    </row>
    <row r="1504" spans="12:74">
      <c r="L1504" s="266"/>
      <c r="M1504" s="266"/>
      <c r="N1504" s="266"/>
      <c r="O1504" s="266"/>
      <c r="P1504" s="266"/>
      <c r="Q1504" s="266"/>
      <c r="BR1504" s="266"/>
      <c r="BS1504" s="266"/>
      <c r="BT1504" s="266"/>
      <c r="BU1504" s="266"/>
      <c r="BV1504" s="266"/>
    </row>
    <row r="1505" spans="12:74">
      <c r="L1505" s="266"/>
      <c r="M1505" s="266"/>
      <c r="N1505" s="266"/>
      <c r="O1505" s="266"/>
      <c r="P1505" s="266"/>
      <c r="Q1505" s="266"/>
      <c r="BR1505" s="266"/>
      <c r="BS1505" s="266"/>
      <c r="BT1505" s="266"/>
      <c r="BU1505" s="266"/>
      <c r="BV1505" s="266"/>
    </row>
    <row r="1506" spans="12:74">
      <c r="L1506" s="266"/>
      <c r="M1506" s="266"/>
      <c r="N1506" s="266"/>
      <c r="O1506" s="266"/>
      <c r="P1506" s="266"/>
      <c r="Q1506" s="266"/>
      <c r="BR1506" s="266"/>
      <c r="BS1506" s="266"/>
      <c r="BT1506" s="266"/>
      <c r="BU1506" s="266"/>
      <c r="BV1506" s="266"/>
    </row>
    <row r="1507" spans="12:74">
      <c r="L1507" s="266"/>
      <c r="M1507" s="266"/>
      <c r="N1507" s="266"/>
      <c r="O1507" s="266"/>
      <c r="P1507" s="266"/>
      <c r="Q1507" s="266"/>
      <c r="BR1507" s="266"/>
      <c r="BS1507" s="266"/>
      <c r="BT1507" s="266"/>
      <c r="BU1507" s="266"/>
      <c r="BV1507" s="266"/>
    </row>
    <row r="1508" spans="12:74">
      <c r="L1508" s="266"/>
      <c r="M1508" s="266"/>
      <c r="N1508" s="266"/>
      <c r="O1508" s="266"/>
      <c r="P1508" s="266"/>
      <c r="Q1508" s="266"/>
      <c r="BR1508" s="266"/>
      <c r="BS1508" s="266"/>
      <c r="BT1508" s="266"/>
      <c r="BU1508" s="266"/>
      <c r="BV1508" s="266"/>
    </row>
    <row r="1509" spans="12:74">
      <c r="L1509" s="266"/>
      <c r="M1509" s="266"/>
      <c r="N1509" s="266"/>
      <c r="O1509" s="266"/>
      <c r="P1509" s="266"/>
      <c r="Q1509" s="266"/>
      <c r="BR1509" s="266"/>
      <c r="BS1509" s="266"/>
      <c r="BT1509" s="266"/>
      <c r="BU1509" s="266"/>
      <c r="BV1509" s="266"/>
    </row>
    <row r="1510" spans="12:74">
      <c r="L1510" s="266"/>
      <c r="M1510" s="266"/>
      <c r="N1510" s="266"/>
      <c r="O1510" s="266"/>
      <c r="P1510" s="266"/>
      <c r="Q1510" s="266"/>
      <c r="BR1510" s="266"/>
      <c r="BS1510" s="266"/>
      <c r="BT1510" s="266"/>
      <c r="BU1510" s="266"/>
      <c r="BV1510" s="266"/>
    </row>
    <row r="1511" spans="12:74">
      <c r="L1511" s="266"/>
      <c r="M1511" s="266"/>
      <c r="N1511" s="266"/>
      <c r="O1511" s="266"/>
      <c r="P1511" s="266"/>
      <c r="Q1511" s="266"/>
      <c r="BR1511" s="266"/>
      <c r="BS1511" s="266"/>
      <c r="BT1511" s="266"/>
      <c r="BU1511" s="266"/>
      <c r="BV1511" s="266"/>
    </row>
    <row r="1512" spans="12:74">
      <c r="L1512" s="266"/>
      <c r="M1512" s="266"/>
      <c r="N1512" s="266"/>
      <c r="O1512" s="266"/>
      <c r="P1512" s="266"/>
      <c r="Q1512" s="266"/>
      <c r="BR1512" s="266"/>
      <c r="BS1512" s="266"/>
      <c r="BT1512" s="266"/>
      <c r="BU1512" s="266"/>
      <c r="BV1512" s="266"/>
    </row>
    <row r="1513" spans="12:74">
      <c r="L1513" s="266"/>
      <c r="M1513" s="266"/>
      <c r="N1513" s="266"/>
      <c r="O1513" s="266"/>
      <c r="P1513" s="266"/>
      <c r="Q1513" s="266"/>
      <c r="BR1513" s="266"/>
      <c r="BS1513" s="266"/>
      <c r="BT1513" s="266"/>
      <c r="BU1513" s="266"/>
      <c r="BV1513" s="266"/>
    </row>
    <row r="1514" spans="12:74">
      <c r="L1514" s="266"/>
      <c r="M1514" s="266"/>
      <c r="N1514" s="266"/>
      <c r="O1514" s="266"/>
      <c r="P1514" s="266"/>
      <c r="Q1514" s="266"/>
      <c r="BR1514" s="266"/>
      <c r="BS1514" s="266"/>
      <c r="BT1514" s="266"/>
      <c r="BU1514" s="266"/>
      <c r="BV1514" s="266"/>
    </row>
    <row r="1515" spans="12:74">
      <c r="L1515" s="266"/>
      <c r="M1515" s="266"/>
      <c r="N1515" s="266"/>
      <c r="O1515" s="266"/>
      <c r="P1515" s="266"/>
      <c r="Q1515" s="266"/>
      <c r="BR1515" s="266"/>
      <c r="BS1515" s="266"/>
      <c r="BT1515" s="266"/>
      <c r="BU1515" s="266"/>
      <c r="BV1515" s="266"/>
    </row>
    <row r="1516" spans="12:74">
      <c r="L1516" s="266"/>
      <c r="M1516" s="266"/>
      <c r="N1516" s="266"/>
      <c r="O1516" s="266"/>
      <c r="P1516" s="266"/>
      <c r="Q1516" s="266"/>
      <c r="BR1516" s="266"/>
      <c r="BS1516" s="266"/>
      <c r="BT1516" s="266"/>
      <c r="BU1516" s="266"/>
      <c r="BV1516" s="266"/>
    </row>
    <row r="1517" spans="12:74">
      <c r="L1517" s="266"/>
      <c r="M1517" s="266"/>
      <c r="N1517" s="266"/>
      <c r="O1517" s="266"/>
      <c r="P1517" s="266"/>
      <c r="Q1517" s="266"/>
      <c r="BR1517" s="266"/>
      <c r="BS1517" s="266"/>
      <c r="BT1517" s="266"/>
      <c r="BU1517" s="266"/>
      <c r="BV1517" s="266"/>
    </row>
    <row r="1518" spans="12:74">
      <c r="L1518" s="266"/>
      <c r="M1518" s="266"/>
      <c r="N1518" s="266"/>
      <c r="O1518" s="266"/>
      <c r="P1518" s="266"/>
      <c r="Q1518" s="266"/>
      <c r="BR1518" s="266"/>
      <c r="BS1518" s="266"/>
      <c r="BT1518" s="266"/>
      <c r="BU1518" s="266"/>
      <c r="BV1518" s="266"/>
    </row>
    <row r="1519" spans="12:74">
      <c r="L1519" s="266"/>
      <c r="M1519" s="266"/>
      <c r="N1519" s="266"/>
      <c r="O1519" s="266"/>
      <c r="P1519" s="266"/>
      <c r="Q1519" s="266"/>
      <c r="BR1519" s="266"/>
      <c r="BS1519" s="266"/>
      <c r="BT1519" s="266"/>
      <c r="BU1519" s="266"/>
      <c r="BV1519" s="266"/>
    </row>
    <row r="1520" spans="12:74">
      <c r="L1520" s="266"/>
      <c r="M1520" s="266"/>
      <c r="N1520" s="266"/>
      <c r="O1520" s="266"/>
      <c r="P1520" s="266"/>
      <c r="Q1520" s="266"/>
      <c r="BR1520" s="266"/>
      <c r="BS1520" s="266"/>
      <c r="BT1520" s="266"/>
      <c r="BU1520" s="266"/>
      <c r="BV1520" s="266"/>
    </row>
    <row r="1521" spans="12:74">
      <c r="L1521" s="266"/>
      <c r="M1521" s="266"/>
      <c r="N1521" s="266"/>
      <c r="O1521" s="266"/>
      <c r="P1521" s="266"/>
      <c r="Q1521" s="266"/>
      <c r="BR1521" s="266"/>
      <c r="BS1521" s="266"/>
      <c r="BT1521" s="266"/>
      <c r="BU1521" s="266"/>
      <c r="BV1521" s="266"/>
    </row>
    <row r="1522" spans="12:74">
      <c r="L1522" s="266"/>
      <c r="M1522" s="266"/>
      <c r="N1522" s="266"/>
      <c r="O1522" s="266"/>
      <c r="P1522" s="266"/>
      <c r="Q1522" s="266"/>
      <c r="BR1522" s="266"/>
      <c r="BS1522" s="266"/>
      <c r="BT1522" s="266"/>
      <c r="BU1522" s="266"/>
      <c r="BV1522" s="266"/>
    </row>
    <row r="1523" spans="12:74">
      <c r="L1523" s="266"/>
      <c r="M1523" s="266"/>
      <c r="N1523" s="266"/>
      <c r="O1523" s="266"/>
      <c r="P1523" s="266"/>
      <c r="Q1523" s="266"/>
      <c r="BR1523" s="266"/>
      <c r="BS1523" s="266"/>
      <c r="BT1523" s="266"/>
      <c r="BU1523" s="266"/>
      <c r="BV1523" s="266"/>
    </row>
    <row r="1524" spans="12:74">
      <c r="L1524" s="266"/>
      <c r="M1524" s="266"/>
      <c r="N1524" s="266"/>
      <c r="O1524" s="266"/>
      <c r="P1524" s="266"/>
      <c r="Q1524" s="266"/>
      <c r="BR1524" s="266"/>
      <c r="BS1524" s="266"/>
      <c r="BT1524" s="266"/>
      <c r="BU1524" s="266"/>
      <c r="BV1524" s="266"/>
    </row>
    <row r="1525" spans="12:74">
      <c r="L1525" s="266"/>
      <c r="M1525" s="266"/>
      <c r="N1525" s="266"/>
      <c r="O1525" s="266"/>
      <c r="P1525" s="266"/>
      <c r="Q1525" s="266"/>
      <c r="BR1525" s="266"/>
      <c r="BS1525" s="266"/>
      <c r="BT1525" s="266"/>
      <c r="BU1525" s="266"/>
      <c r="BV1525" s="266"/>
    </row>
    <row r="1526" spans="12:74">
      <c r="L1526" s="266"/>
      <c r="M1526" s="266"/>
      <c r="N1526" s="266"/>
      <c r="O1526" s="266"/>
      <c r="P1526" s="266"/>
      <c r="Q1526" s="266"/>
      <c r="BR1526" s="266"/>
      <c r="BS1526" s="266"/>
      <c r="BT1526" s="266"/>
      <c r="BU1526" s="266"/>
      <c r="BV1526" s="266"/>
    </row>
    <row r="1527" spans="12:74">
      <c r="L1527" s="266"/>
      <c r="M1527" s="266"/>
      <c r="N1527" s="266"/>
      <c r="O1527" s="266"/>
      <c r="P1527" s="266"/>
      <c r="Q1527" s="266"/>
      <c r="BR1527" s="266"/>
      <c r="BS1527" s="266"/>
      <c r="BT1527" s="266"/>
      <c r="BU1527" s="266"/>
      <c r="BV1527" s="266"/>
    </row>
    <row r="1528" spans="12:74">
      <c r="L1528" s="266"/>
      <c r="M1528" s="266"/>
      <c r="N1528" s="266"/>
      <c r="O1528" s="266"/>
      <c r="P1528" s="266"/>
      <c r="Q1528" s="266"/>
      <c r="BR1528" s="266"/>
      <c r="BS1528" s="266"/>
      <c r="BT1528" s="266"/>
      <c r="BU1528" s="266"/>
      <c r="BV1528" s="266"/>
    </row>
    <row r="1529" spans="12:74">
      <c r="L1529" s="266"/>
      <c r="M1529" s="266"/>
      <c r="N1529" s="266"/>
      <c r="O1529" s="266"/>
      <c r="P1529" s="266"/>
      <c r="Q1529" s="266"/>
      <c r="BR1529" s="266"/>
      <c r="BS1529" s="266"/>
      <c r="BT1529" s="266"/>
      <c r="BU1529" s="266"/>
      <c r="BV1529" s="266"/>
    </row>
    <row r="1530" spans="12:74">
      <c r="L1530" s="266"/>
      <c r="M1530" s="266"/>
      <c r="N1530" s="266"/>
      <c r="O1530" s="266"/>
      <c r="P1530" s="266"/>
      <c r="Q1530" s="266"/>
      <c r="BR1530" s="266"/>
      <c r="BS1530" s="266"/>
      <c r="BT1530" s="266"/>
      <c r="BU1530" s="266"/>
      <c r="BV1530" s="266"/>
    </row>
    <row r="1531" spans="12:74">
      <c r="L1531" s="266"/>
      <c r="M1531" s="266"/>
      <c r="N1531" s="266"/>
      <c r="O1531" s="266"/>
      <c r="P1531" s="266"/>
      <c r="Q1531" s="266"/>
      <c r="BR1531" s="266"/>
      <c r="BS1531" s="266"/>
      <c r="BT1531" s="266"/>
      <c r="BU1531" s="266"/>
      <c r="BV1531" s="266"/>
    </row>
    <row r="1532" spans="12:74">
      <c r="L1532" s="266"/>
      <c r="M1532" s="266"/>
      <c r="N1532" s="266"/>
      <c r="O1532" s="266"/>
      <c r="P1532" s="266"/>
      <c r="Q1532" s="266"/>
      <c r="BR1532" s="266"/>
      <c r="BS1532" s="266"/>
      <c r="BT1532" s="266"/>
      <c r="BU1532" s="266"/>
      <c r="BV1532" s="266"/>
    </row>
    <row r="1533" spans="12:74">
      <c r="L1533" s="266"/>
      <c r="M1533" s="266"/>
      <c r="N1533" s="266"/>
      <c r="O1533" s="266"/>
      <c r="P1533" s="266"/>
      <c r="Q1533" s="266"/>
      <c r="BR1533" s="266"/>
      <c r="BS1533" s="266"/>
      <c r="BT1533" s="266"/>
      <c r="BU1533" s="266"/>
      <c r="BV1533" s="266"/>
    </row>
    <row r="1534" spans="12:74">
      <c r="L1534" s="266"/>
      <c r="M1534" s="266"/>
      <c r="N1534" s="266"/>
      <c r="O1534" s="266"/>
      <c r="P1534" s="266"/>
      <c r="Q1534" s="266"/>
      <c r="BR1534" s="266"/>
      <c r="BS1534" s="266"/>
      <c r="BT1534" s="266"/>
      <c r="BU1534" s="266"/>
      <c r="BV1534" s="266"/>
    </row>
    <row r="1535" spans="12:74">
      <c r="L1535" s="266"/>
      <c r="M1535" s="266"/>
      <c r="N1535" s="266"/>
      <c r="O1535" s="266"/>
      <c r="P1535" s="266"/>
      <c r="Q1535" s="266"/>
      <c r="BR1535" s="266"/>
      <c r="BS1535" s="266"/>
      <c r="BT1535" s="266"/>
      <c r="BU1535" s="266"/>
      <c r="BV1535" s="266"/>
    </row>
    <row r="1536" spans="12:74">
      <c r="L1536" s="266"/>
      <c r="M1536" s="266"/>
      <c r="N1536" s="266"/>
      <c r="O1536" s="266"/>
      <c r="P1536" s="266"/>
      <c r="Q1536" s="266"/>
      <c r="BR1536" s="266"/>
      <c r="BS1536" s="266"/>
      <c r="BT1536" s="266"/>
      <c r="BU1536" s="266"/>
      <c r="BV1536" s="266"/>
    </row>
    <row r="1537" spans="12:74">
      <c r="L1537" s="266"/>
      <c r="M1537" s="266"/>
      <c r="N1537" s="266"/>
      <c r="O1537" s="266"/>
      <c r="P1537" s="266"/>
      <c r="Q1537" s="266"/>
      <c r="BR1537" s="266"/>
      <c r="BS1537" s="266"/>
      <c r="BT1537" s="266"/>
      <c r="BU1537" s="266"/>
      <c r="BV1537" s="266"/>
    </row>
    <row r="1538" spans="12:74">
      <c r="L1538" s="266"/>
      <c r="M1538" s="266"/>
      <c r="N1538" s="266"/>
      <c r="O1538" s="266"/>
      <c r="P1538" s="266"/>
      <c r="Q1538" s="266"/>
      <c r="BR1538" s="266"/>
      <c r="BS1538" s="266"/>
      <c r="BT1538" s="266"/>
      <c r="BU1538" s="266"/>
      <c r="BV1538" s="266"/>
    </row>
    <row r="1539" spans="12:74">
      <c r="L1539" s="266"/>
      <c r="M1539" s="266"/>
      <c r="N1539" s="266"/>
      <c r="O1539" s="266"/>
      <c r="P1539" s="266"/>
      <c r="Q1539" s="266"/>
      <c r="BR1539" s="266"/>
      <c r="BS1539" s="266"/>
      <c r="BT1539" s="266"/>
      <c r="BU1539" s="266"/>
      <c r="BV1539" s="266"/>
    </row>
    <row r="1540" spans="12:74">
      <c r="L1540" s="266"/>
      <c r="M1540" s="266"/>
      <c r="N1540" s="266"/>
      <c r="O1540" s="266"/>
      <c r="P1540" s="266"/>
      <c r="Q1540" s="266"/>
      <c r="BR1540" s="266"/>
      <c r="BS1540" s="266"/>
      <c r="BT1540" s="266"/>
      <c r="BU1540" s="266"/>
      <c r="BV1540" s="266"/>
    </row>
    <row r="1541" spans="12:74">
      <c r="L1541" s="266"/>
      <c r="M1541" s="266"/>
      <c r="N1541" s="266"/>
      <c r="O1541" s="266"/>
      <c r="P1541" s="266"/>
      <c r="Q1541" s="266"/>
      <c r="BR1541" s="266"/>
      <c r="BS1541" s="266"/>
      <c r="BT1541" s="266"/>
      <c r="BU1541" s="266"/>
      <c r="BV1541" s="266"/>
    </row>
    <row r="1542" spans="12:74">
      <c r="L1542" s="266"/>
      <c r="M1542" s="266"/>
      <c r="N1542" s="266"/>
      <c r="O1542" s="266"/>
      <c r="P1542" s="266"/>
      <c r="Q1542" s="266"/>
      <c r="BR1542" s="266"/>
      <c r="BS1542" s="266"/>
      <c r="BT1542" s="266"/>
      <c r="BU1542" s="266"/>
      <c r="BV1542" s="266"/>
    </row>
    <row r="1543" spans="12:74">
      <c r="L1543" s="266"/>
      <c r="M1543" s="266"/>
      <c r="N1543" s="266"/>
      <c r="O1543" s="266"/>
      <c r="P1543" s="266"/>
      <c r="Q1543" s="266"/>
      <c r="BR1543" s="266"/>
      <c r="BS1543" s="266"/>
      <c r="BT1543" s="266"/>
      <c r="BU1543" s="266"/>
      <c r="BV1543" s="266"/>
    </row>
    <row r="1544" spans="12:74">
      <c r="L1544" s="266"/>
      <c r="M1544" s="266"/>
      <c r="N1544" s="266"/>
      <c r="O1544" s="266"/>
      <c r="P1544" s="266"/>
      <c r="Q1544" s="266"/>
      <c r="BR1544" s="266"/>
      <c r="BS1544" s="266"/>
      <c r="BT1544" s="266"/>
      <c r="BU1544" s="266"/>
      <c r="BV1544" s="266"/>
    </row>
    <row r="1545" spans="12:74">
      <c r="L1545" s="266"/>
      <c r="M1545" s="266"/>
      <c r="N1545" s="266"/>
      <c r="O1545" s="266"/>
      <c r="P1545" s="266"/>
      <c r="Q1545" s="266"/>
      <c r="BR1545" s="266"/>
      <c r="BS1545" s="266"/>
      <c r="BT1545" s="266"/>
      <c r="BU1545" s="266"/>
      <c r="BV1545" s="266"/>
    </row>
    <row r="1546" spans="12:74">
      <c r="L1546" s="266"/>
      <c r="M1546" s="266"/>
      <c r="N1546" s="266"/>
      <c r="O1546" s="266"/>
      <c r="P1546" s="266"/>
      <c r="Q1546" s="266"/>
      <c r="BR1546" s="266"/>
      <c r="BS1546" s="266"/>
      <c r="BT1546" s="266"/>
      <c r="BU1546" s="266"/>
      <c r="BV1546" s="266"/>
    </row>
    <row r="1547" spans="12:74">
      <c r="L1547" s="266"/>
      <c r="M1547" s="266"/>
      <c r="N1547" s="266"/>
      <c r="O1547" s="266"/>
      <c r="P1547" s="266"/>
      <c r="Q1547" s="266"/>
      <c r="BR1547" s="266"/>
      <c r="BS1547" s="266"/>
      <c r="BT1547" s="266"/>
      <c r="BU1547" s="266"/>
      <c r="BV1547" s="266"/>
    </row>
    <row r="1548" spans="12:74">
      <c r="L1548" s="266"/>
      <c r="M1548" s="266"/>
      <c r="N1548" s="266"/>
      <c r="O1548" s="266"/>
      <c r="P1548" s="266"/>
      <c r="Q1548" s="266"/>
      <c r="BR1548" s="266"/>
      <c r="BS1548" s="266"/>
      <c r="BT1548" s="266"/>
      <c r="BU1548" s="266"/>
      <c r="BV1548" s="266"/>
    </row>
    <row r="1549" spans="12:74">
      <c r="L1549" s="266"/>
      <c r="M1549" s="266"/>
      <c r="N1549" s="266"/>
      <c r="O1549" s="266"/>
      <c r="P1549" s="266"/>
      <c r="Q1549" s="266"/>
      <c r="BR1549" s="266"/>
      <c r="BS1549" s="266"/>
      <c r="BT1549" s="266"/>
      <c r="BU1549" s="266"/>
      <c r="BV1549" s="266"/>
    </row>
    <row r="1550" spans="12:74">
      <c r="L1550" s="266"/>
      <c r="M1550" s="266"/>
      <c r="N1550" s="266"/>
      <c r="O1550" s="266"/>
      <c r="P1550" s="266"/>
      <c r="Q1550" s="266"/>
      <c r="BR1550" s="266"/>
      <c r="BS1550" s="266"/>
      <c r="BT1550" s="266"/>
      <c r="BU1550" s="266"/>
      <c r="BV1550" s="266"/>
    </row>
    <row r="1551" spans="12:74">
      <c r="L1551" s="266"/>
      <c r="M1551" s="266"/>
      <c r="N1551" s="266"/>
      <c r="O1551" s="266"/>
      <c r="P1551" s="266"/>
      <c r="Q1551" s="266"/>
      <c r="BR1551" s="266"/>
      <c r="BS1551" s="266"/>
      <c r="BT1551" s="266"/>
      <c r="BU1551" s="266"/>
      <c r="BV1551" s="266"/>
    </row>
    <row r="1552" spans="12:74">
      <c r="L1552" s="266"/>
      <c r="M1552" s="266"/>
      <c r="N1552" s="266"/>
      <c r="O1552" s="266"/>
      <c r="P1552" s="266"/>
      <c r="Q1552" s="266"/>
      <c r="BR1552" s="266"/>
      <c r="BS1552" s="266"/>
      <c r="BT1552" s="266"/>
      <c r="BU1552" s="266"/>
      <c r="BV1552" s="266"/>
    </row>
    <row r="1553" spans="12:74">
      <c r="L1553" s="266"/>
      <c r="M1553" s="266"/>
      <c r="N1553" s="266"/>
      <c r="O1553" s="266"/>
      <c r="P1553" s="266"/>
      <c r="Q1553" s="266"/>
      <c r="BR1553" s="266"/>
      <c r="BS1553" s="266"/>
      <c r="BT1553" s="266"/>
      <c r="BU1553" s="266"/>
      <c r="BV1553" s="266"/>
    </row>
    <row r="1554" spans="12:74">
      <c r="L1554" s="266"/>
      <c r="M1554" s="266"/>
      <c r="N1554" s="266"/>
      <c r="O1554" s="266"/>
      <c r="P1554" s="266"/>
      <c r="Q1554" s="266"/>
      <c r="BR1554" s="266"/>
      <c r="BS1554" s="266"/>
      <c r="BT1554" s="266"/>
      <c r="BU1554" s="266"/>
      <c r="BV1554" s="266"/>
    </row>
    <row r="1555" spans="12:74">
      <c r="L1555" s="266"/>
      <c r="M1555" s="266"/>
      <c r="N1555" s="266"/>
      <c r="O1555" s="266"/>
      <c r="P1555" s="266"/>
      <c r="Q1555" s="266"/>
      <c r="BR1555" s="266"/>
      <c r="BS1555" s="266"/>
      <c r="BT1555" s="266"/>
      <c r="BU1555" s="266"/>
      <c r="BV1555" s="266"/>
    </row>
    <row r="1556" spans="12:74">
      <c r="L1556" s="266"/>
      <c r="M1556" s="266"/>
      <c r="N1556" s="266"/>
      <c r="O1556" s="266"/>
      <c r="P1556" s="266"/>
      <c r="Q1556" s="266"/>
      <c r="BR1556" s="266"/>
      <c r="BS1556" s="266"/>
      <c r="BT1556" s="266"/>
      <c r="BU1556" s="266"/>
      <c r="BV1556" s="266"/>
    </row>
    <row r="1557" spans="12:74">
      <c r="L1557" s="266"/>
      <c r="M1557" s="266"/>
      <c r="N1557" s="266"/>
      <c r="O1557" s="266"/>
      <c r="P1557" s="266"/>
      <c r="Q1557" s="266"/>
      <c r="BR1557" s="266"/>
      <c r="BS1557" s="266"/>
      <c r="BT1557" s="266"/>
      <c r="BU1557" s="266"/>
      <c r="BV1557" s="266"/>
    </row>
    <row r="1558" spans="12:74">
      <c r="L1558" s="266"/>
      <c r="M1558" s="266"/>
      <c r="N1558" s="266"/>
      <c r="O1558" s="266"/>
      <c r="P1558" s="266"/>
      <c r="Q1558" s="266"/>
      <c r="BR1558" s="266"/>
      <c r="BS1558" s="266"/>
      <c r="BT1558" s="266"/>
      <c r="BU1558" s="266"/>
      <c r="BV1558" s="266"/>
    </row>
    <row r="1559" spans="12:74">
      <c r="L1559" s="266"/>
      <c r="M1559" s="266"/>
      <c r="N1559" s="266"/>
      <c r="O1559" s="266"/>
      <c r="P1559" s="266"/>
      <c r="Q1559" s="266"/>
      <c r="BR1559" s="266"/>
      <c r="BS1559" s="266"/>
      <c r="BT1559" s="266"/>
      <c r="BU1559" s="266"/>
      <c r="BV1559" s="266"/>
    </row>
    <row r="1560" spans="12:74">
      <c r="L1560" s="266"/>
      <c r="M1560" s="266"/>
      <c r="N1560" s="266"/>
      <c r="O1560" s="266"/>
      <c r="P1560" s="266"/>
      <c r="Q1560" s="266"/>
      <c r="BR1560" s="266"/>
      <c r="BS1560" s="266"/>
      <c r="BT1560" s="266"/>
      <c r="BU1560" s="266"/>
      <c r="BV1560" s="266"/>
    </row>
    <row r="1561" spans="12:74">
      <c r="L1561" s="266"/>
      <c r="M1561" s="266"/>
      <c r="N1561" s="266"/>
      <c r="O1561" s="266"/>
      <c r="P1561" s="266"/>
      <c r="Q1561" s="266"/>
      <c r="BR1561" s="266"/>
      <c r="BS1561" s="266"/>
      <c r="BT1561" s="266"/>
      <c r="BU1561" s="266"/>
      <c r="BV1561" s="266"/>
    </row>
    <row r="1562" spans="12:74">
      <c r="L1562" s="266"/>
      <c r="M1562" s="266"/>
      <c r="N1562" s="266"/>
      <c r="O1562" s="266"/>
      <c r="P1562" s="266"/>
      <c r="Q1562" s="266"/>
      <c r="BR1562" s="266"/>
      <c r="BS1562" s="266"/>
      <c r="BT1562" s="266"/>
      <c r="BU1562" s="266"/>
      <c r="BV1562" s="266"/>
    </row>
    <row r="1563" spans="12:74">
      <c r="L1563" s="266"/>
      <c r="M1563" s="266"/>
      <c r="N1563" s="266"/>
      <c r="O1563" s="266"/>
      <c r="P1563" s="266"/>
      <c r="Q1563" s="266"/>
      <c r="BR1563" s="266"/>
      <c r="BS1563" s="266"/>
      <c r="BT1563" s="266"/>
      <c r="BU1563" s="266"/>
      <c r="BV1563" s="266"/>
    </row>
    <row r="1564" spans="12:74">
      <c r="L1564" s="266"/>
      <c r="M1564" s="266"/>
      <c r="N1564" s="266"/>
      <c r="O1564" s="266"/>
      <c r="P1564" s="266"/>
      <c r="Q1564" s="266"/>
      <c r="BR1564" s="266"/>
      <c r="BS1564" s="266"/>
      <c r="BT1564" s="266"/>
      <c r="BU1564" s="266"/>
      <c r="BV1564" s="266"/>
    </row>
    <row r="1565" spans="12:74">
      <c r="L1565" s="266"/>
      <c r="M1565" s="266"/>
      <c r="N1565" s="266"/>
      <c r="O1565" s="266"/>
      <c r="P1565" s="266"/>
      <c r="Q1565" s="266"/>
      <c r="BR1565" s="266"/>
      <c r="BS1565" s="266"/>
      <c r="BT1565" s="266"/>
      <c r="BU1565" s="266"/>
      <c r="BV1565" s="266"/>
    </row>
    <row r="1566" spans="12:74">
      <c r="L1566" s="266"/>
      <c r="M1566" s="266"/>
      <c r="N1566" s="266"/>
      <c r="O1566" s="266"/>
      <c r="P1566" s="266"/>
      <c r="Q1566" s="266"/>
      <c r="BR1566" s="266"/>
      <c r="BS1566" s="266"/>
      <c r="BT1566" s="266"/>
      <c r="BU1566" s="266"/>
      <c r="BV1566" s="266"/>
    </row>
    <row r="1567" spans="12:74">
      <c r="L1567" s="266"/>
      <c r="M1567" s="266"/>
      <c r="N1567" s="266"/>
      <c r="O1567" s="266"/>
      <c r="P1567" s="266"/>
      <c r="Q1567" s="266"/>
      <c r="BR1567" s="266"/>
      <c r="BS1567" s="266"/>
      <c r="BT1567" s="266"/>
      <c r="BU1567" s="266"/>
      <c r="BV1567" s="266"/>
    </row>
    <row r="1568" spans="12:74">
      <c r="L1568" s="266"/>
      <c r="M1568" s="266"/>
      <c r="N1568" s="266"/>
      <c r="O1568" s="266"/>
      <c r="P1568" s="266"/>
      <c r="Q1568" s="266"/>
      <c r="BR1568" s="266"/>
      <c r="BS1568" s="266"/>
      <c r="BT1568" s="266"/>
      <c r="BU1568" s="266"/>
      <c r="BV1568" s="266"/>
    </row>
    <row r="1569" spans="12:74">
      <c r="L1569" s="266"/>
      <c r="M1569" s="266"/>
      <c r="N1569" s="266"/>
      <c r="O1569" s="266"/>
      <c r="P1569" s="266"/>
      <c r="Q1569" s="266"/>
      <c r="BR1569" s="266"/>
      <c r="BS1569" s="266"/>
      <c r="BT1569" s="266"/>
      <c r="BU1569" s="266"/>
      <c r="BV1569" s="266"/>
    </row>
    <row r="1570" spans="12:74">
      <c r="L1570" s="266"/>
      <c r="M1570" s="266"/>
      <c r="N1570" s="266"/>
      <c r="O1570" s="266"/>
      <c r="P1570" s="266"/>
      <c r="Q1570" s="266"/>
      <c r="BR1570" s="266"/>
      <c r="BS1570" s="266"/>
      <c r="BT1570" s="266"/>
      <c r="BU1570" s="266"/>
      <c r="BV1570" s="266"/>
    </row>
    <row r="1571" spans="12:74">
      <c r="L1571" s="266"/>
      <c r="M1571" s="266"/>
      <c r="N1571" s="266"/>
      <c r="O1571" s="266"/>
      <c r="P1571" s="266"/>
      <c r="Q1571" s="266"/>
      <c r="BR1571" s="266"/>
      <c r="BS1571" s="266"/>
      <c r="BT1571" s="266"/>
      <c r="BU1571" s="266"/>
      <c r="BV1571" s="266"/>
    </row>
    <row r="1572" spans="12:74">
      <c r="L1572" s="266"/>
      <c r="M1572" s="266"/>
      <c r="N1572" s="266"/>
      <c r="O1572" s="266"/>
      <c r="P1572" s="266"/>
      <c r="Q1572" s="266"/>
      <c r="BR1572" s="266"/>
      <c r="BS1572" s="266"/>
      <c r="BT1572" s="266"/>
      <c r="BU1572" s="266"/>
      <c r="BV1572" s="266"/>
    </row>
    <row r="1573" spans="12:74">
      <c r="L1573" s="266"/>
      <c r="M1573" s="266"/>
      <c r="N1573" s="266"/>
      <c r="O1573" s="266"/>
      <c r="P1573" s="266"/>
      <c r="Q1573" s="266"/>
      <c r="BR1573" s="266"/>
      <c r="BS1573" s="266"/>
      <c r="BT1573" s="266"/>
      <c r="BU1573" s="266"/>
      <c r="BV1573" s="266"/>
    </row>
    <row r="1574" spans="12:74">
      <c r="L1574" s="266"/>
      <c r="M1574" s="266"/>
      <c r="N1574" s="266"/>
      <c r="O1574" s="266"/>
      <c r="P1574" s="266"/>
      <c r="Q1574" s="266"/>
      <c r="BR1574" s="266"/>
      <c r="BS1574" s="266"/>
      <c r="BT1574" s="266"/>
      <c r="BU1574" s="266"/>
      <c r="BV1574" s="266"/>
    </row>
    <row r="1575" spans="12:74">
      <c r="L1575" s="266"/>
      <c r="M1575" s="266"/>
      <c r="N1575" s="266"/>
      <c r="O1575" s="266"/>
      <c r="P1575" s="266"/>
      <c r="Q1575" s="266"/>
      <c r="BR1575" s="266"/>
      <c r="BS1575" s="266"/>
      <c r="BT1575" s="266"/>
      <c r="BU1575" s="266"/>
      <c r="BV1575" s="266"/>
    </row>
    <row r="1576" spans="12:74">
      <c r="L1576" s="266"/>
      <c r="M1576" s="266"/>
      <c r="N1576" s="266"/>
      <c r="O1576" s="266"/>
      <c r="P1576" s="266"/>
      <c r="Q1576" s="266"/>
      <c r="BR1576" s="266"/>
      <c r="BS1576" s="266"/>
      <c r="BT1576" s="266"/>
      <c r="BU1576" s="266"/>
      <c r="BV1576" s="266"/>
    </row>
    <row r="1577" spans="12:74">
      <c r="L1577" s="266"/>
      <c r="M1577" s="266"/>
      <c r="N1577" s="266"/>
      <c r="O1577" s="266"/>
      <c r="P1577" s="266"/>
      <c r="Q1577" s="266"/>
      <c r="BR1577" s="266"/>
      <c r="BS1577" s="266"/>
      <c r="BT1577" s="266"/>
      <c r="BU1577" s="266"/>
      <c r="BV1577" s="266"/>
    </row>
    <row r="1578" spans="12:74">
      <c r="L1578" s="266"/>
      <c r="M1578" s="266"/>
      <c r="N1578" s="266"/>
      <c r="O1578" s="266"/>
      <c r="P1578" s="266"/>
      <c r="Q1578" s="266"/>
      <c r="BR1578" s="266"/>
      <c r="BS1578" s="266"/>
      <c r="BT1578" s="266"/>
      <c r="BU1578" s="266"/>
      <c r="BV1578" s="266"/>
    </row>
    <row r="1579" spans="12:74">
      <c r="L1579" s="266"/>
      <c r="M1579" s="266"/>
      <c r="N1579" s="266"/>
      <c r="O1579" s="266"/>
      <c r="P1579" s="266"/>
      <c r="Q1579" s="266"/>
      <c r="BR1579" s="266"/>
      <c r="BS1579" s="266"/>
      <c r="BT1579" s="266"/>
      <c r="BU1579" s="266"/>
      <c r="BV1579" s="266"/>
    </row>
    <row r="1580" spans="12:74">
      <c r="L1580" s="266"/>
      <c r="M1580" s="266"/>
      <c r="N1580" s="266"/>
      <c r="O1580" s="266"/>
      <c r="P1580" s="266"/>
      <c r="Q1580" s="266"/>
      <c r="BR1580" s="266"/>
      <c r="BS1580" s="266"/>
      <c r="BT1580" s="266"/>
      <c r="BU1580" s="266"/>
      <c r="BV1580" s="266"/>
    </row>
    <row r="1581" spans="12:74">
      <c r="L1581" s="266"/>
      <c r="M1581" s="266"/>
      <c r="N1581" s="266"/>
      <c r="O1581" s="266"/>
      <c r="P1581" s="266"/>
      <c r="Q1581" s="266"/>
      <c r="BR1581" s="266"/>
      <c r="BS1581" s="266"/>
      <c r="BT1581" s="266"/>
      <c r="BU1581" s="266"/>
      <c r="BV1581" s="266"/>
    </row>
    <row r="1582" spans="12:74">
      <c r="L1582" s="266"/>
      <c r="M1582" s="266"/>
      <c r="N1582" s="266"/>
      <c r="O1582" s="266"/>
      <c r="P1582" s="266"/>
      <c r="Q1582" s="266"/>
      <c r="BR1582" s="266"/>
      <c r="BS1582" s="266"/>
      <c r="BT1582" s="266"/>
      <c r="BU1582" s="266"/>
      <c r="BV1582" s="266"/>
    </row>
    <row r="1583" spans="12:74">
      <c r="L1583" s="266"/>
      <c r="M1583" s="266"/>
      <c r="N1583" s="266"/>
      <c r="O1583" s="266"/>
      <c r="P1583" s="266"/>
      <c r="Q1583" s="266"/>
      <c r="BR1583" s="266"/>
      <c r="BS1583" s="266"/>
      <c r="BT1583" s="266"/>
      <c r="BU1583" s="266"/>
      <c r="BV1583" s="266"/>
    </row>
    <row r="1584" spans="12:74">
      <c r="L1584" s="266"/>
      <c r="M1584" s="266"/>
      <c r="N1584" s="266"/>
      <c r="O1584" s="266"/>
      <c r="P1584" s="266"/>
      <c r="Q1584" s="266"/>
      <c r="BR1584" s="266"/>
      <c r="BS1584" s="266"/>
      <c r="BT1584" s="266"/>
      <c r="BU1584" s="266"/>
      <c r="BV1584" s="266"/>
    </row>
    <row r="1585" spans="12:74">
      <c r="L1585" s="266"/>
      <c r="M1585" s="266"/>
      <c r="N1585" s="266"/>
      <c r="O1585" s="266"/>
      <c r="P1585" s="266"/>
      <c r="Q1585" s="266"/>
      <c r="BR1585" s="266"/>
      <c r="BS1585" s="266"/>
      <c r="BT1585" s="266"/>
      <c r="BU1585" s="266"/>
      <c r="BV1585" s="266"/>
    </row>
    <row r="1586" spans="12:74">
      <c r="L1586" s="266"/>
      <c r="M1586" s="266"/>
      <c r="N1586" s="266"/>
      <c r="O1586" s="266"/>
      <c r="P1586" s="266"/>
      <c r="Q1586" s="266"/>
      <c r="BR1586" s="266"/>
      <c r="BS1586" s="266"/>
      <c r="BT1586" s="266"/>
      <c r="BU1586" s="266"/>
      <c r="BV1586" s="266"/>
    </row>
    <row r="1587" spans="12:74">
      <c r="L1587" s="266"/>
      <c r="M1587" s="266"/>
      <c r="N1587" s="266"/>
      <c r="O1587" s="266"/>
      <c r="P1587" s="266"/>
      <c r="Q1587" s="266"/>
      <c r="BR1587" s="266"/>
      <c r="BS1587" s="266"/>
      <c r="BT1587" s="266"/>
      <c r="BU1587" s="266"/>
      <c r="BV1587" s="266"/>
    </row>
    <row r="1588" spans="12:74">
      <c r="L1588" s="266"/>
      <c r="M1588" s="266"/>
      <c r="N1588" s="266"/>
      <c r="O1588" s="266"/>
      <c r="P1588" s="266"/>
      <c r="Q1588" s="266"/>
      <c r="BR1588" s="266"/>
      <c r="BS1588" s="266"/>
      <c r="BT1588" s="266"/>
      <c r="BU1588" s="266"/>
      <c r="BV1588" s="266"/>
    </row>
    <row r="1589" spans="12:74">
      <c r="L1589" s="266"/>
      <c r="M1589" s="266"/>
      <c r="N1589" s="266"/>
      <c r="O1589" s="266"/>
      <c r="P1589" s="266"/>
      <c r="Q1589" s="266"/>
      <c r="BR1589" s="266"/>
      <c r="BS1589" s="266"/>
      <c r="BT1589" s="266"/>
      <c r="BU1589" s="266"/>
      <c r="BV1589" s="266"/>
    </row>
    <row r="1590" spans="12:74">
      <c r="L1590" s="266"/>
      <c r="M1590" s="266"/>
      <c r="N1590" s="266"/>
      <c r="O1590" s="266"/>
      <c r="P1590" s="266"/>
      <c r="Q1590" s="266"/>
      <c r="BR1590" s="266"/>
      <c r="BS1590" s="266"/>
      <c r="BT1590" s="266"/>
      <c r="BU1590" s="266"/>
      <c r="BV1590" s="266"/>
    </row>
    <row r="1591" spans="12:74">
      <c r="L1591" s="266"/>
      <c r="M1591" s="266"/>
      <c r="N1591" s="266"/>
      <c r="O1591" s="266"/>
      <c r="P1591" s="266"/>
      <c r="Q1591" s="266"/>
      <c r="BR1591" s="266"/>
      <c r="BS1591" s="266"/>
      <c r="BT1591" s="266"/>
      <c r="BU1591" s="266"/>
      <c r="BV1591" s="266"/>
    </row>
    <row r="1592" spans="12:74">
      <c r="L1592" s="266"/>
      <c r="M1592" s="266"/>
      <c r="N1592" s="266"/>
      <c r="O1592" s="266"/>
      <c r="P1592" s="266"/>
      <c r="Q1592" s="266"/>
      <c r="BR1592" s="266"/>
      <c r="BS1592" s="266"/>
      <c r="BT1592" s="266"/>
      <c r="BU1592" s="266"/>
      <c r="BV1592" s="266"/>
    </row>
    <row r="1593" spans="12:74">
      <c r="L1593" s="266"/>
      <c r="M1593" s="266"/>
      <c r="N1593" s="266"/>
      <c r="O1593" s="266"/>
      <c r="P1593" s="266"/>
      <c r="Q1593" s="266"/>
      <c r="BR1593" s="266"/>
      <c r="BS1593" s="266"/>
      <c r="BT1593" s="266"/>
      <c r="BU1593" s="266"/>
      <c r="BV1593" s="266"/>
    </row>
    <row r="1594" spans="12:74">
      <c r="L1594" s="266"/>
      <c r="M1594" s="266"/>
      <c r="N1594" s="266"/>
      <c r="O1594" s="266"/>
      <c r="P1594" s="266"/>
      <c r="Q1594" s="266"/>
      <c r="BR1594" s="266"/>
      <c r="BS1594" s="266"/>
      <c r="BT1594" s="266"/>
      <c r="BU1594" s="266"/>
      <c r="BV1594" s="266"/>
    </row>
    <row r="1595" spans="12:74">
      <c r="L1595" s="266"/>
      <c r="M1595" s="266"/>
      <c r="N1595" s="266"/>
      <c r="O1595" s="266"/>
      <c r="P1595" s="266"/>
      <c r="Q1595" s="266"/>
      <c r="BR1595" s="266"/>
      <c r="BS1595" s="266"/>
      <c r="BT1595" s="266"/>
      <c r="BU1595" s="266"/>
      <c r="BV1595" s="266"/>
    </row>
    <row r="1596" spans="12:74">
      <c r="L1596" s="266"/>
      <c r="M1596" s="266"/>
      <c r="N1596" s="266"/>
      <c r="O1596" s="266"/>
      <c r="P1596" s="266"/>
      <c r="Q1596" s="266"/>
      <c r="BR1596" s="266"/>
      <c r="BS1596" s="266"/>
      <c r="BT1596" s="266"/>
      <c r="BU1596" s="266"/>
      <c r="BV1596" s="266"/>
    </row>
    <row r="1597" spans="12:74">
      <c r="L1597" s="266"/>
      <c r="M1597" s="266"/>
      <c r="N1597" s="266"/>
      <c r="O1597" s="266"/>
      <c r="P1597" s="266"/>
      <c r="Q1597" s="266"/>
      <c r="BR1597" s="266"/>
      <c r="BS1597" s="266"/>
      <c r="BT1597" s="266"/>
      <c r="BU1597" s="266"/>
      <c r="BV1597" s="266"/>
    </row>
    <row r="1598" spans="12:74">
      <c r="L1598" s="266"/>
      <c r="M1598" s="266"/>
      <c r="N1598" s="266"/>
      <c r="O1598" s="266"/>
      <c r="P1598" s="266"/>
      <c r="Q1598" s="266"/>
      <c r="BR1598" s="266"/>
      <c r="BS1598" s="266"/>
      <c r="BT1598" s="266"/>
      <c r="BU1598" s="266"/>
      <c r="BV1598" s="266"/>
    </row>
    <row r="1599" spans="12:74">
      <c r="L1599" s="266"/>
      <c r="M1599" s="266"/>
      <c r="N1599" s="266"/>
      <c r="O1599" s="266"/>
      <c r="P1599" s="266"/>
      <c r="Q1599" s="266"/>
      <c r="BR1599" s="266"/>
      <c r="BS1599" s="266"/>
      <c r="BT1599" s="266"/>
      <c r="BU1599" s="266"/>
      <c r="BV1599" s="266"/>
    </row>
    <row r="1600" spans="12:74">
      <c r="L1600" s="266"/>
      <c r="M1600" s="266"/>
      <c r="N1600" s="266"/>
      <c r="O1600" s="266"/>
      <c r="P1600" s="266"/>
      <c r="Q1600" s="266"/>
      <c r="BR1600" s="266"/>
      <c r="BS1600" s="266"/>
      <c r="BT1600" s="266"/>
      <c r="BU1600" s="266"/>
      <c r="BV1600" s="266"/>
    </row>
    <row r="1601" spans="12:74">
      <c r="L1601" s="266"/>
      <c r="M1601" s="266"/>
      <c r="N1601" s="266"/>
      <c r="O1601" s="266"/>
      <c r="P1601" s="266"/>
      <c r="Q1601" s="266"/>
      <c r="BR1601" s="266"/>
      <c r="BS1601" s="266"/>
      <c r="BT1601" s="266"/>
      <c r="BU1601" s="266"/>
      <c r="BV1601" s="266"/>
    </row>
    <row r="1602" spans="12:74">
      <c r="L1602" s="266"/>
      <c r="M1602" s="266"/>
      <c r="N1602" s="266"/>
      <c r="O1602" s="266"/>
      <c r="P1602" s="266"/>
      <c r="Q1602" s="266"/>
      <c r="BR1602" s="266"/>
      <c r="BS1602" s="266"/>
      <c r="BT1602" s="266"/>
      <c r="BU1602" s="266"/>
      <c r="BV1602" s="266"/>
    </row>
    <row r="1603" spans="12:74">
      <c r="L1603" s="266"/>
      <c r="M1603" s="266"/>
      <c r="N1603" s="266"/>
      <c r="O1603" s="266"/>
      <c r="P1603" s="266"/>
      <c r="Q1603" s="266"/>
      <c r="BR1603" s="266"/>
      <c r="BS1603" s="266"/>
      <c r="BT1603" s="266"/>
      <c r="BU1603" s="266"/>
      <c r="BV1603" s="266"/>
    </row>
    <row r="1604" spans="12:74">
      <c r="L1604" s="266"/>
      <c r="M1604" s="266"/>
      <c r="N1604" s="266"/>
      <c r="O1604" s="266"/>
      <c r="P1604" s="266"/>
      <c r="Q1604" s="266"/>
      <c r="BR1604" s="266"/>
      <c r="BS1604" s="266"/>
      <c r="BT1604" s="266"/>
      <c r="BU1604" s="266"/>
      <c r="BV1604" s="266"/>
    </row>
    <row r="1605" spans="12:74">
      <c r="L1605" s="266"/>
      <c r="M1605" s="266"/>
      <c r="N1605" s="266"/>
      <c r="O1605" s="266"/>
      <c r="P1605" s="266"/>
      <c r="Q1605" s="266"/>
      <c r="BR1605" s="266"/>
      <c r="BS1605" s="266"/>
      <c r="BT1605" s="266"/>
      <c r="BU1605" s="266"/>
      <c r="BV1605" s="266"/>
    </row>
    <row r="1606" spans="12:74">
      <c r="L1606" s="266"/>
      <c r="M1606" s="266"/>
      <c r="N1606" s="266"/>
      <c r="O1606" s="266"/>
      <c r="P1606" s="266"/>
      <c r="Q1606" s="266"/>
      <c r="BR1606" s="266"/>
      <c r="BS1606" s="266"/>
      <c r="BT1606" s="266"/>
      <c r="BU1606" s="266"/>
      <c r="BV1606" s="266"/>
    </row>
    <row r="1607" spans="12:74">
      <c r="L1607" s="266"/>
      <c r="M1607" s="266"/>
      <c r="N1607" s="266"/>
      <c r="O1607" s="266"/>
      <c r="P1607" s="266"/>
      <c r="Q1607" s="266"/>
      <c r="BR1607" s="266"/>
      <c r="BS1607" s="266"/>
      <c r="BT1607" s="266"/>
      <c r="BU1607" s="266"/>
      <c r="BV1607" s="266"/>
    </row>
    <row r="1608" spans="12:74">
      <c r="L1608" s="266"/>
      <c r="M1608" s="266"/>
      <c r="N1608" s="266"/>
      <c r="O1608" s="266"/>
      <c r="P1608" s="266"/>
      <c r="Q1608" s="266"/>
      <c r="BR1608" s="266"/>
      <c r="BS1608" s="266"/>
      <c r="BT1608" s="266"/>
      <c r="BU1608" s="266"/>
      <c r="BV1608" s="266"/>
    </row>
    <row r="1609" spans="12:74">
      <c r="L1609" s="266"/>
      <c r="M1609" s="266"/>
      <c r="N1609" s="266"/>
      <c r="O1609" s="266"/>
      <c r="P1609" s="266"/>
      <c r="Q1609" s="266"/>
      <c r="BR1609" s="266"/>
      <c r="BS1609" s="266"/>
      <c r="BT1609" s="266"/>
      <c r="BU1609" s="266"/>
      <c r="BV1609" s="266"/>
    </row>
    <row r="1610" spans="12:74">
      <c r="L1610" s="266"/>
      <c r="M1610" s="266"/>
      <c r="N1610" s="266"/>
      <c r="O1610" s="266"/>
      <c r="P1610" s="266"/>
      <c r="Q1610" s="266"/>
      <c r="BR1610" s="266"/>
      <c r="BS1610" s="266"/>
      <c r="BT1610" s="266"/>
      <c r="BU1610" s="266"/>
      <c r="BV1610" s="266"/>
    </row>
    <row r="1611" spans="12:74">
      <c r="L1611" s="266"/>
      <c r="M1611" s="266"/>
      <c r="N1611" s="266"/>
      <c r="O1611" s="266"/>
      <c r="P1611" s="266"/>
      <c r="Q1611" s="266"/>
      <c r="BR1611" s="266"/>
      <c r="BS1611" s="266"/>
      <c r="BT1611" s="266"/>
      <c r="BU1611" s="266"/>
      <c r="BV1611" s="266"/>
    </row>
    <row r="1612" spans="12:74">
      <c r="L1612" s="266"/>
      <c r="M1612" s="266"/>
      <c r="N1612" s="266"/>
      <c r="O1612" s="266"/>
      <c r="P1612" s="266"/>
      <c r="Q1612" s="266"/>
      <c r="BR1612" s="266"/>
      <c r="BS1612" s="266"/>
      <c r="BT1612" s="266"/>
      <c r="BU1612" s="266"/>
      <c r="BV1612" s="266"/>
    </row>
    <row r="1613" spans="12:74">
      <c r="L1613" s="266"/>
      <c r="M1613" s="266"/>
      <c r="N1613" s="266"/>
      <c r="O1613" s="266"/>
      <c r="P1613" s="266"/>
      <c r="Q1613" s="266"/>
      <c r="BR1613" s="266"/>
      <c r="BS1613" s="266"/>
      <c r="BT1613" s="266"/>
      <c r="BU1613" s="266"/>
      <c r="BV1613" s="266"/>
    </row>
    <row r="1614" spans="12:74">
      <c r="L1614" s="266"/>
      <c r="M1614" s="266"/>
      <c r="N1614" s="266"/>
      <c r="O1614" s="266"/>
      <c r="P1614" s="266"/>
      <c r="Q1614" s="266"/>
      <c r="BR1614" s="266"/>
      <c r="BS1614" s="266"/>
      <c r="BT1614" s="266"/>
      <c r="BU1614" s="266"/>
      <c r="BV1614" s="266"/>
    </row>
    <row r="1615" spans="12:74">
      <c r="L1615" s="266"/>
      <c r="M1615" s="266"/>
      <c r="N1615" s="266"/>
      <c r="O1615" s="266"/>
      <c r="P1615" s="266"/>
      <c r="Q1615" s="266"/>
      <c r="BR1615" s="266"/>
      <c r="BS1615" s="266"/>
      <c r="BT1615" s="266"/>
      <c r="BU1615" s="266"/>
      <c r="BV1615" s="266"/>
    </row>
    <row r="1616" spans="12:74">
      <c r="L1616" s="266"/>
      <c r="M1616" s="266"/>
      <c r="N1616" s="266"/>
      <c r="O1616" s="266"/>
      <c r="P1616" s="266"/>
      <c r="Q1616" s="266"/>
      <c r="BR1616" s="266"/>
      <c r="BS1616" s="266"/>
      <c r="BT1616" s="266"/>
      <c r="BU1616" s="266"/>
      <c r="BV1616" s="266"/>
    </row>
    <row r="1617" spans="12:74">
      <c r="L1617" s="266"/>
      <c r="M1617" s="266"/>
      <c r="N1617" s="266"/>
      <c r="O1617" s="266"/>
      <c r="P1617" s="266"/>
      <c r="Q1617" s="266"/>
      <c r="BR1617" s="266"/>
      <c r="BS1617" s="266"/>
      <c r="BT1617" s="266"/>
      <c r="BU1617" s="266"/>
      <c r="BV1617" s="266"/>
    </row>
    <row r="1618" spans="12:74">
      <c r="L1618" s="266"/>
      <c r="M1618" s="266"/>
      <c r="N1618" s="266"/>
      <c r="O1618" s="266"/>
      <c r="P1618" s="266"/>
      <c r="Q1618" s="266"/>
      <c r="BR1618" s="266"/>
      <c r="BS1618" s="266"/>
      <c r="BT1618" s="266"/>
      <c r="BU1618" s="266"/>
      <c r="BV1618" s="266"/>
    </row>
    <row r="1619" spans="12:74">
      <c r="L1619" s="266"/>
      <c r="M1619" s="266"/>
      <c r="N1619" s="266"/>
      <c r="O1619" s="266"/>
      <c r="P1619" s="266"/>
      <c r="Q1619" s="266"/>
      <c r="BR1619" s="266"/>
      <c r="BS1619" s="266"/>
      <c r="BT1619" s="266"/>
      <c r="BU1619" s="266"/>
      <c r="BV1619" s="266"/>
    </row>
    <row r="1620" spans="12:74">
      <c r="L1620" s="266"/>
      <c r="M1620" s="266"/>
      <c r="N1620" s="266"/>
      <c r="O1620" s="266"/>
      <c r="P1620" s="266"/>
      <c r="Q1620" s="266"/>
      <c r="BR1620" s="266"/>
      <c r="BS1620" s="266"/>
      <c r="BT1620" s="266"/>
      <c r="BU1620" s="266"/>
      <c r="BV1620" s="266"/>
    </row>
    <row r="1621" spans="12:74">
      <c r="L1621" s="266"/>
      <c r="M1621" s="266"/>
      <c r="N1621" s="266"/>
      <c r="O1621" s="266"/>
      <c r="P1621" s="266"/>
      <c r="Q1621" s="266"/>
      <c r="BR1621" s="266"/>
      <c r="BS1621" s="266"/>
      <c r="BT1621" s="266"/>
      <c r="BU1621" s="266"/>
      <c r="BV1621" s="266"/>
    </row>
    <row r="1622" spans="12:74">
      <c r="L1622" s="266"/>
      <c r="M1622" s="266"/>
      <c r="N1622" s="266"/>
      <c r="O1622" s="266"/>
      <c r="P1622" s="266"/>
      <c r="Q1622" s="266"/>
      <c r="BR1622" s="266"/>
      <c r="BS1622" s="266"/>
      <c r="BT1622" s="266"/>
      <c r="BU1622" s="266"/>
      <c r="BV1622" s="266"/>
    </row>
    <row r="1623" spans="12:74">
      <c r="L1623" s="266"/>
      <c r="M1623" s="266"/>
      <c r="N1623" s="266"/>
      <c r="O1623" s="266"/>
      <c r="P1623" s="266"/>
      <c r="Q1623" s="266"/>
      <c r="BR1623" s="266"/>
      <c r="BS1623" s="266"/>
      <c r="BT1623" s="266"/>
      <c r="BU1623" s="266"/>
      <c r="BV1623" s="266"/>
    </row>
    <row r="1624" spans="12:74">
      <c r="L1624" s="266"/>
      <c r="M1624" s="266"/>
      <c r="N1624" s="266"/>
      <c r="O1624" s="266"/>
      <c r="P1624" s="266"/>
      <c r="Q1624" s="266"/>
      <c r="BR1624" s="266"/>
      <c r="BS1624" s="266"/>
      <c r="BT1624" s="266"/>
      <c r="BU1624" s="266"/>
      <c r="BV1624" s="266"/>
    </row>
    <row r="1625" spans="12:74">
      <c r="L1625" s="266"/>
      <c r="M1625" s="266"/>
      <c r="N1625" s="266"/>
      <c r="O1625" s="266"/>
      <c r="P1625" s="266"/>
      <c r="Q1625" s="266"/>
      <c r="BR1625" s="266"/>
      <c r="BS1625" s="266"/>
      <c r="BT1625" s="266"/>
      <c r="BU1625" s="266"/>
      <c r="BV1625" s="266"/>
    </row>
    <row r="1626" spans="12:74">
      <c r="L1626" s="266"/>
      <c r="M1626" s="266"/>
      <c r="N1626" s="266"/>
      <c r="O1626" s="266"/>
      <c r="P1626" s="266"/>
      <c r="Q1626" s="266"/>
      <c r="BR1626" s="266"/>
      <c r="BS1626" s="266"/>
      <c r="BT1626" s="266"/>
      <c r="BU1626" s="266"/>
      <c r="BV1626" s="266"/>
    </row>
    <row r="1627" spans="12:74">
      <c r="L1627" s="266"/>
      <c r="M1627" s="266"/>
      <c r="N1627" s="266"/>
      <c r="O1627" s="266"/>
      <c r="P1627" s="266"/>
      <c r="Q1627" s="266"/>
      <c r="BR1627" s="266"/>
      <c r="BS1627" s="266"/>
      <c r="BT1627" s="266"/>
      <c r="BU1627" s="266"/>
      <c r="BV1627" s="266"/>
    </row>
    <row r="1628" spans="12:74">
      <c r="L1628" s="266"/>
      <c r="M1628" s="266"/>
      <c r="N1628" s="266"/>
      <c r="O1628" s="266"/>
      <c r="P1628" s="266"/>
      <c r="Q1628" s="266"/>
      <c r="BR1628" s="266"/>
      <c r="BS1628" s="266"/>
      <c r="BT1628" s="266"/>
      <c r="BU1628" s="266"/>
      <c r="BV1628" s="266"/>
    </row>
    <row r="1629" spans="12:74">
      <c r="L1629" s="266"/>
      <c r="M1629" s="266"/>
      <c r="N1629" s="266"/>
      <c r="O1629" s="266"/>
      <c r="P1629" s="266"/>
      <c r="Q1629" s="266"/>
      <c r="BR1629" s="266"/>
      <c r="BS1629" s="266"/>
      <c r="BT1629" s="266"/>
      <c r="BU1629" s="266"/>
      <c r="BV1629" s="266"/>
    </row>
    <row r="1630" spans="12:74">
      <c r="L1630" s="266"/>
      <c r="M1630" s="266"/>
      <c r="N1630" s="266"/>
      <c r="O1630" s="266"/>
      <c r="P1630" s="266"/>
      <c r="Q1630" s="266"/>
      <c r="BR1630" s="266"/>
      <c r="BS1630" s="266"/>
      <c r="BT1630" s="266"/>
      <c r="BU1630" s="266"/>
      <c r="BV1630" s="266"/>
    </row>
    <row r="1631" spans="12:74">
      <c r="L1631" s="266"/>
      <c r="M1631" s="266"/>
      <c r="N1631" s="266"/>
      <c r="O1631" s="266"/>
      <c r="P1631" s="266"/>
      <c r="Q1631" s="266"/>
      <c r="BR1631" s="266"/>
      <c r="BS1631" s="266"/>
      <c r="BT1631" s="266"/>
      <c r="BU1631" s="266"/>
      <c r="BV1631" s="266"/>
    </row>
    <row r="1632" spans="12:74">
      <c r="L1632" s="266"/>
      <c r="M1632" s="266"/>
      <c r="N1632" s="266"/>
      <c r="O1632" s="266"/>
      <c r="P1632" s="266"/>
      <c r="Q1632" s="266"/>
      <c r="BR1632" s="266"/>
      <c r="BS1632" s="266"/>
      <c r="BT1632" s="266"/>
      <c r="BU1632" s="266"/>
      <c r="BV1632" s="266"/>
    </row>
    <row r="1633" spans="12:74">
      <c r="L1633" s="266"/>
      <c r="M1633" s="266"/>
      <c r="N1633" s="266"/>
      <c r="O1633" s="266"/>
      <c r="P1633" s="266"/>
      <c r="Q1633" s="266"/>
      <c r="BR1633" s="266"/>
      <c r="BS1633" s="266"/>
      <c r="BT1633" s="266"/>
      <c r="BU1633" s="266"/>
      <c r="BV1633" s="266"/>
    </row>
    <row r="1634" spans="12:74">
      <c r="L1634" s="266"/>
      <c r="M1634" s="266"/>
      <c r="N1634" s="266"/>
      <c r="O1634" s="266"/>
      <c r="P1634" s="266"/>
      <c r="Q1634" s="266"/>
      <c r="BR1634" s="266"/>
      <c r="BS1634" s="266"/>
      <c r="BT1634" s="266"/>
      <c r="BU1634" s="266"/>
      <c r="BV1634" s="266"/>
    </row>
    <row r="1635" spans="12:74">
      <c r="L1635" s="266"/>
      <c r="M1635" s="266"/>
      <c r="N1635" s="266"/>
      <c r="O1635" s="266"/>
      <c r="P1635" s="266"/>
      <c r="Q1635" s="266"/>
      <c r="BR1635" s="266"/>
      <c r="BS1635" s="266"/>
      <c r="BT1635" s="266"/>
      <c r="BU1635" s="266"/>
      <c r="BV1635" s="266"/>
    </row>
    <row r="1636" spans="12:74">
      <c r="L1636" s="266"/>
      <c r="M1636" s="266"/>
      <c r="N1636" s="266"/>
      <c r="O1636" s="266"/>
      <c r="P1636" s="266"/>
      <c r="Q1636" s="266"/>
      <c r="BR1636" s="266"/>
      <c r="BS1636" s="266"/>
      <c r="BT1636" s="266"/>
      <c r="BU1636" s="266"/>
      <c r="BV1636" s="266"/>
    </row>
    <row r="1637" spans="12:74">
      <c r="L1637" s="266"/>
      <c r="M1637" s="266"/>
      <c r="N1637" s="266"/>
      <c r="O1637" s="266"/>
      <c r="P1637" s="266"/>
      <c r="Q1637" s="266"/>
      <c r="BR1637" s="266"/>
      <c r="BS1637" s="266"/>
      <c r="BT1637" s="266"/>
      <c r="BU1637" s="266"/>
      <c r="BV1637" s="266"/>
    </row>
    <row r="1638" spans="12:74">
      <c r="L1638" s="266"/>
      <c r="M1638" s="266"/>
      <c r="N1638" s="266"/>
      <c r="O1638" s="266"/>
      <c r="P1638" s="266"/>
      <c r="Q1638" s="266"/>
      <c r="BR1638" s="266"/>
      <c r="BS1638" s="266"/>
      <c r="BT1638" s="266"/>
      <c r="BU1638" s="266"/>
      <c r="BV1638" s="266"/>
    </row>
    <row r="1639" spans="12:74">
      <c r="L1639" s="266"/>
      <c r="M1639" s="266"/>
      <c r="N1639" s="266"/>
      <c r="O1639" s="266"/>
      <c r="P1639" s="266"/>
      <c r="Q1639" s="266"/>
      <c r="BR1639" s="266"/>
      <c r="BS1639" s="266"/>
      <c r="BT1639" s="266"/>
      <c r="BU1639" s="266"/>
      <c r="BV1639" s="266"/>
    </row>
    <row r="1640" spans="12:74">
      <c r="L1640" s="266"/>
      <c r="M1640" s="266"/>
      <c r="N1640" s="266"/>
      <c r="O1640" s="266"/>
      <c r="P1640" s="266"/>
      <c r="Q1640" s="266"/>
      <c r="BR1640" s="266"/>
      <c r="BS1640" s="266"/>
      <c r="BT1640" s="266"/>
      <c r="BU1640" s="266"/>
      <c r="BV1640" s="266"/>
    </row>
    <row r="1641" spans="12:74">
      <c r="L1641" s="266"/>
      <c r="M1641" s="266"/>
      <c r="N1641" s="266"/>
      <c r="O1641" s="266"/>
      <c r="P1641" s="266"/>
      <c r="Q1641" s="266"/>
      <c r="BR1641" s="266"/>
      <c r="BS1641" s="266"/>
      <c r="BT1641" s="266"/>
      <c r="BU1641" s="266"/>
      <c r="BV1641" s="266"/>
    </row>
    <row r="1642" spans="12:74">
      <c r="L1642" s="266"/>
      <c r="M1642" s="266"/>
      <c r="N1642" s="266"/>
      <c r="O1642" s="266"/>
      <c r="P1642" s="266"/>
      <c r="Q1642" s="266"/>
      <c r="BR1642" s="266"/>
      <c r="BS1642" s="266"/>
      <c r="BT1642" s="266"/>
      <c r="BU1642" s="266"/>
      <c r="BV1642" s="266"/>
    </row>
    <row r="1643" spans="12:74">
      <c r="L1643" s="266"/>
      <c r="M1643" s="266"/>
      <c r="N1643" s="266"/>
      <c r="O1643" s="266"/>
      <c r="P1643" s="266"/>
      <c r="Q1643" s="266"/>
      <c r="BR1643" s="266"/>
      <c r="BS1643" s="266"/>
      <c r="BT1643" s="266"/>
      <c r="BU1643" s="266"/>
      <c r="BV1643" s="266"/>
    </row>
    <row r="1644" spans="12:74">
      <c r="L1644" s="266"/>
      <c r="M1644" s="266"/>
      <c r="N1644" s="266"/>
      <c r="O1644" s="266"/>
      <c r="P1644" s="266"/>
      <c r="Q1644" s="266"/>
      <c r="BR1644" s="266"/>
      <c r="BS1644" s="266"/>
      <c r="BT1644" s="266"/>
      <c r="BU1644" s="266"/>
      <c r="BV1644" s="266"/>
    </row>
    <row r="1645" spans="12:74">
      <c r="L1645" s="266"/>
      <c r="M1645" s="266"/>
      <c r="N1645" s="266"/>
      <c r="O1645" s="266"/>
      <c r="P1645" s="266"/>
      <c r="Q1645" s="266"/>
      <c r="BR1645" s="266"/>
      <c r="BS1645" s="266"/>
      <c r="BT1645" s="266"/>
      <c r="BU1645" s="266"/>
      <c r="BV1645" s="266"/>
    </row>
    <row r="1646" spans="12:74">
      <c r="L1646" s="266"/>
      <c r="M1646" s="266"/>
      <c r="N1646" s="266"/>
      <c r="O1646" s="266"/>
      <c r="P1646" s="266"/>
      <c r="Q1646" s="266"/>
      <c r="BR1646" s="266"/>
      <c r="BS1646" s="266"/>
      <c r="BT1646" s="266"/>
      <c r="BU1646" s="266"/>
      <c r="BV1646" s="266"/>
    </row>
    <row r="1647" spans="12:74">
      <c r="L1647" s="266"/>
      <c r="M1647" s="266"/>
      <c r="N1647" s="266"/>
      <c r="O1647" s="266"/>
      <c r="P1647" s="266"/>
      <c r="Q1647" s="266"/>
      <c r="BR1647" s="266"/>
      <c r="BS1647" s="266"/>
      <c r="BT1647" s="266"/>
      <c r="BU1647" s="266"/>
      <c r="BV1647" s="266"/>
    </row>
    <row r="1648" spans="12:74">
      <c r="L1648" s="266"/>
      <c r="M1648" s="266"/>
      <c r="N1648" s="266"/>
      <c r="O1648" s="266"/>
      <c r="P1648" s="266"/>
      <c r="Q1648" s="266"/>
      <c r="BR1648" s="266"/>
      <c r="BS1648" s="266"/>
      <c r="BT1648" s="266"/>
      <c r="BU1648" s="266"/>
      <c r="BV1648" s="266"/>
    </row>
    <row r="1649" spans="12:74">
      <c r="L1649" s="266"/>
      <c r="M1649" s="266"/>
      <c r="N1649" s="266"/>
      <c r="O1649" s="266"/>
      <c r="P1649" s="266"/>
      <c r="Q1649" s="266"/>
      <c r="BR1649" s="266"/>
      <c r="BS1649" s="266"/>
      <c r="BT1649" s="266"/>
      <c r="BU1649" s="266"/>
      <c r="BV1649" s="266"/>
    </row>
    <row r="1650" spans="12:74">
      <c r="L1650" s="266"/>
      <c r="M1650" s="266"/>
      <c r="N1650" s="266"/>
      <c r="O1650" s="266"/>
      <c r="P1650" s="266"/>
      <c r="Q1650" s="266"/>
      <c r="BR1650" s="266"/>
      <c r="BS1650" s="266"/>
      <c r="BT1650" s="266"/>
      <c r="BU1650" s="266"/>
      <c r="BV1650" s="266"/>
    </row>
    <row r="1651" spans="12:74">
      <c r="L1651" s="266"/>
      <c r="M1651" s="266"/>
      <c r="N1651" s="266"/>
      <c r="O1651" s="266"/>
      <c r="P1651" s="266"/>
      <c r="Q1651" s="266"/>
      <c r="BR1651" s="266"/>
      <c r="BS1651" s="266"/>
      <c r="BT1651" s="266"/>
      <c r="BU1651" s="266"/>
      <c r="BV1651" s="266"/>
    </row>
    <row r="1652" spans="12:74">
      <c r="L1652" s="266"/>
      <c r="M1652" s="266"/>
      <c r="N1652" s="266"/>
      <c r="O1652" s="266"/>
      <c r="P1652" s="266"/>
      <c r="Q1652" s="266"/>
      <c r="BR1652" s="266"/>
      <c r="BS1652" s="266"/>
      <c r="BT1652" s="266"/>
      <c r="BU1652" s="266"/>
      <c r="BV1652" s="266"/>
    </row>
    <row r="1653" spans="12:74">
      <c r="L1653" s="266"/>
      <c r="M1653" s="266"/>
      <c r="N1653" s="266"/>
      <c r="O1653" s="266"/>
      <c r="P1653" s="266"/>
      <c r="Q1653" s="266"/>
      <c r="BR1653" s="266"/>
      <c r="BS1653" s="266"/>
      <c r="BT1653" s="266"/>
      <c r="BU1653" s="266"/>
      <c r="BV1653" s="266"/>
    </row>
    <row r="1654" spans="12:74">
      <c r="L1654" s="266"/>
      <c r="M1654" s="266"/>
      <c r="N1654" s="266"/>
      <c r="O1654" s="266"/>
      <c r="P1654" s="266"/>
      <c r="Q1654" s="266"/>
      <c r="BR1654" s="266"/>
      <c r="BS1654" s="266"/>
      <c r="BT1654" s="266"/>
      <c r="BU1654" s="266"/>
      <c r="BV1654" s="266"/>
    </row>
    <row r="1655" spans="12:74">
      <c r="L1655" s="266"/>
      <c r="M1655" s="266"/>
      <c r="N1655" s="266"/>
      <c r="O1655" s="266"/>
      <c r="P1655" s="266"/>
      <c r="Q1655" s="266"/>
      <c r="BR1655" s="266"/>
      <c r="BS1655" s="266"/>
      <c r="BT1655" s="266"/>
      <c r="BU1655" s="266"/>
      <c r="BV1655" s="266"/>
    </row>
    <row r="1656" spans="12:74">
      <c r="L1656" s="266"/>
      <c r="M1656" s="266"/>
      <c r="N1656" s="266"/>
      <c r="O1656" s="266"/>
      <c r="P1656" s="266"/>
      <c r="Q1656" s="266"/>
      <c r="BR1656" s="266"/>
      <c r="BS1656" s="266"/>
      <c r="BT1656" s="266"/>
      <c r="BU1656" s="266"/>
      <c r="BV1656" s="266"/>
    </row>
    <row r="1657" spans="12:74">
      <c r="L1657" s="266"/>
      <c r="M1657" s="266"/>
      <c r="N1657" s="266"/>
      <c r="O1657" s="266"/>
      <c r="P1657" s="266"/>
      <c r="Q1657" s="266"/>
      <c r="BR1657" s="266"/>
      <c r="BS1657" s="266"/>
      <c r="BT1657" s="266"/>
      <c r="BU1657" s="266"/>
      <c r="BV1657" s="266"/>
    </row>
    <row r="1658" spans="12:74">
      <c r="L1658" s="266"/>
      <c r="M1658" s="266"/>
      <c r="N1658" s="266"/>
      <c r="O1658" s="266"/>
      <c r="P1658" s="266"/>
      <c r="Q1658" s="266"/>
      <c r="BR1658" s="266"/>
      <c r="BS1658" s="266"/>
      <c r="BT1658" s="266"/>
      <c r="BU1658" s="266"/>
      <c r="BV1658" s="266"/>
    </row>
    <row r="1659" spans="12:74">
      <c r="L1659" s="266"/>
      <c r="M1659" s="266"/>
      <c r="N1659" s="266"/>
      <c r="O1659" s="266"/>
      <c r="P1659" s="266"/>
      <c r="Q1659" s="266"/>
      <c r="BR1659" s="266"/>
      <c r="BS1659" s="266"/>
      <c r="BT1659" s="266"/>
      <c r="BU1659" s="266"/>
      <c r="BV1659" s="266"/>
    </row>
    <row r="1660" spans="12:74">
      <c r="L1660" s="266"/>
      <c r="M1660" s="266"/>
      <c r="N1660" s="266"/>
      <c r="O1660" s="266"/>
      <c r="P1660" s="266"/>
      <c r="Q1660" s="266"/>
      <c r="BR1660" s="266"/>
      <c r="BS1660" s="266"/>
      <c r="BT1660" s="266"/>
      <c r="BU1660" s="266"/>
      <c r="BV1660" s="266"/>
    </row>
    <row r="1661" spans="12:74">
      <c r="L1661" s="266"/>
      <c r="M1661" s="266"/>
      <c r="N1661" s="266"/>
      <c r="O1661" s="266"/>
      <c r="P1661" s="266"/>
      <c r="Q1661" s="266"/>
      <c r="BR1661" s="266"/>
      <c r="BS1661" s="266"/>
      <c r="BT1661" s="266"/>
      <c r="BU1661" s="266"/>
      <c r="BV1661" s="266"/>
    </row>
    <row r="1662" spans="12:74">
      <c r="L1662" s="266"/>
      <c r="M1662" s="266"/>
      <c r="N1662" s="266"/>
      <c r="O1662" s="266"/>
      <c r="P1662" s="266"/>
      <c r="Q1662" s="266"/>
      <c r="BR1662" s="266"/>
      <c r="BS1662" s="266"/>
      <c r="BT1662" s="266"/>
      <c r="BU1662" s="266"/>
      <c r="BV1662" s="266"/>
    </row>
    <row r="1663" spans="12:74">
      <c r="L1663" s="266"/>
      <c r="M1663" s="266"/>
      <c r="N1663" s="266"/>
      <c r="O1663" s="266"/>
      <c r="P1663" s="266"/>
      <c r="Q1663" s="266"/>
      <c r="BR1663" s="266"/>
      <c r="BS1663" s="266"/>
      <c r="BT1663" s="266"/>
      <c r="BU1663" s="266"/>
      <c r="BV1663" s="266"/>
    </row>
    <row r="1664" spans="12:74">
      <c r="L1664" s="266"/>
      <c r="M1664" s="266"/>
      <c r="N1664" s="266"/>
      <c r="O1664" s="266"/>
      <c r="P1664" s="266"/>
      <c r="Q1664" s="266"/>
      <c r="BR1664" s="266"/>
      <c r="BS1664" s="266"/>
      <c r="BT1664" s="266"/>
      <c r="BU1664" s="266"/>
      <c r="BV1664" s="266"/>
    </row>
    <row r="1665" spans="12:74">
      <c r="L1665" s="266"/>
      <c r="M1665" s="266"/>
      <c r="N1665" s="266"/>
      <c r="O1665" s="266"/>
      <c r="P1665" s="266"/>
      <c r="Q1665" s="266"/>
      <c r="BR1665" s="266"/>
      <c r="BS1665" s="266"/>
      <c r="BT1665" s="266"/>
      <c r="BU1665" s="266"/>
      <c r="BV1665" s="266"/>
    </row>
    <row r="1666" spans="12:74">
      <c r="L1666" s="266"/>
      <c r="M1666" s="266"/>
      <c r="N1666" s="266"/>
      <c r="O1666" s="266"/>
      <c r="P1666" s="266"/>
      <c r="Q1666" s="266"/>
      <c r="BR1666" s="266"/>
      <c r="BS1666" s="266"/>
      <c r="BT1666" s="266"/>
      <c r="BU1666" s="266"/>
      <c r="BV1666" s="266"/>
    </row>
    <row r="1667" spans="12:74">
      <c r="L1667" s="266"/>
      <c r="M1667" s="266"/>
      <c r="N1667" s="266"/>
      <c r="O1667" s="266"/>
      <c r="P1667" s="266"/>
      <c r="Q1667" s="266"/>
      <c r="BR1667" s="266"/>
      <c r="BS1667" s="266"/>
      <c r="BT1667" s="266"/>
      <c r="BU1667" s="266"/>
      <c r="BV1667" s="266"/>
    </row>
    <row r="1668" spans="12:74">
      <c r="L1668" s="266"/>
      <c r="M1668" s="266"/>
      <c r="N1668" s="266"/>
      <c r="O1668" s="266"/>
      <c r="P1668" s="266"/>
      <c r="Q1668" s="266"/>
      <c r="BR1668" s="266"/>
      <c r="BS1668" s="266"/>
      <c r="BT1668" s="266"/>
      <c r="BU1668" s="266"/>
      <c r="BV1668" s="266"/>
    </row>
    <row r="1669" spans="12:74">
      <c r="L1669" s="266"/>
      <c r="M1669" s="266"/>
      <c r="N1669" s="266"/>
      <c r="O1669" s="266"/>
      <c r="P1669" s="266"/>
      <c r="Q1669" s="266"/>
      <c r="BR1669" s="266"/>
      <c r="BS1669" s="266"/>
      <c r="BT1669" s="266"/>
      <c r="BU1669" s="266"/>
      <c r="BV1669" s="266"/>
    </row>
    <row r="1670" spans="12:74">
      <c r="L1670" s="266"/>
      <c r="M1670" s="266"/>
      <c r="N1670" s="266"/>
      <c r="O1670" s="266"/>
      <c r="P1670" s="266"/>
      <c r="Q1670" s="266"/>
      <c r="BR1670" s="266"/>
      <c r="BS1670" s="266"/>
      <c r="BT1670" s="266"/>
      <c r="BU1670" s="266"/>
      <c r="BV1670" s="266"/>
    </row>
    <row r="1671" spans="12:74">
      <c r="L1671" s="266"/>
      <c r="M1671" s="266"/>
      <c r="N1671" s="266"/>
      <c r="O1671" s="266"/>
      <c r="P1671" s="266"/>
      <c r="Q1671" s="266"/>
      <c r="BR1671" s="266"/>
      <c r="BS1671" s="266"/>
      <c r="BT1671" s="266"/>
      <c r="BU1671" s="266"/>
      <c r="BV1671" s="266"/>
    </row>
    <row r="1672" spans="12:74">
      <c r="L1672" s="266"/>
      <c r="M1672" s="266"/>
      <c r="N1672" s="266"/>
      <c r="O1672" s="266"/>
      <c r="P1672" s="266"/>
      <c r="Q1672" s="266"/>
      <c r="BR1672" s="266"/>
      <c r="BS1672" s="266"/>
      <c r="BT1672" s="266"/>
      <c r="BU1672" s="266"/>
      <c r="BV1672" s="266"/>
    </row>
    <row r="1673" spans="12:74">
      <c r="L1673" s="266"/>
      <c r="M1673" s="266"/>
      <c r="N1673" s="266"/>
      <c r="O1673" s="266"/>
      <c r="P1673" s="266"/>
      <c r="Q1673" s="266"/>
      <c r="BR1673" s="266"/>
      <c r="BS1673" s="266"/>
      <c r="BT1673" s="266"/>
      <c r="BU1673" s="266"/>
      <c r="BV1673" s="266"/>
    </row>
    <row r="1674" spans="12:74">
      <c r="L1674" s="266"/>
      <c r="M1674" s="266"/>
      <c r="N1674" s="266"/>
      <c r="O1674" s="266"/>
      <c r="P1674" s="266"/>
      <c r="Q1674" s="266"/>
      <c r="BR1674" s="266"/>
      <c r="BS1674" s="266"/>
      <c r="BT1674" s="266"/>
      <c r="BU1674" s="266"/>
      <c r="BV1674" s="266"/>
    </row>
    <row r="1675" spans="12:74">
      <c r="L1675" s="266"/>
      <c r="M1675" s="266"/>
      <c r="N1675" s="266"/>
      <c r="O1675" s="266"/>
      <c r="P1675" s="266"/>
      <c r="Q1675" s="266"/>
      <c r="BR1675" s="266"/>
      <c r="BS1675" s="266"/>
      <c r="BT1675" s="266"/>
      <c r="BU1675" s="266"/>
      <c r="BV1675" s="266"/>
    </row>
    <row r="1676" spans="12:74">
      <c r="L1676" s="266"/>
      <c r="M1676" s="266"/>
      <c r="N1676" s="266"/>
      <c r="O1676" s="266"/>
      <c r="P1676" s="266"/>
      <c r="Q1676" s="266"/>
      <c r="BR1676" s="266"/>
      <c r="BS1676" s="266"/>
      <c r="BT1676" s="266"/>
      <c r="BU1676" s="266"/>
      <c r="BV1676" s="266"/>
    </row>
    <row r="1677" spans="12:74">
      <c r="L1677" s="266"/>
      <c r="M1677" s="266"/>
      <c r="N1677" s="266"/>
      <c r="O1677" s="266"/>
      <c r="P1677" s="266"/>
      <c r="Q1677" s="266"/>
      <c r="BR1677" s="266"/>
      <c r="BS1677" s="266"/>
      <c r="BT1677" s="266"/>
      <c r="BU1677" s="266"/>
      <c r="BV1677" s="266"/>
    </row>
    <row r="1678" spans="12:74">
      <c r="L1678" s="266"/>
      <c r="M1678" s="266"/>
      <c r="N1678" s="266"/>
      <c r="O1678" s="266"/>
      <c r="P1678" s="266"/>
      <c r="Q1678" s="266"/>
      <c r="BR1678" s="266"/>
      <c r="BS1678" s="266"/>
      <c r="BT1678" s="266"/>
      <c r="BU1678" s="266"/>
      <c r="BV1678" s="266"/>
    </row>
    <row r="1679" spans="12:74">
      <c r="L1679" s="266"/>
      <c r="M1679" s="266"/>
      <c r="N1679" s="266"/>
      <c r="O1679" s="266"/>
      <c r="P1679" s="266"/>
      <c r="Q1679" s="266"/>
      <c r="BR1679" s="266"/>
      <c r="BS1679" s="266"/>
      <c r="BT1679" s="266"/>
      <c r="BU1679" s="266"/>
      <c r="BV1679" s="266"/>
    </row>
    <row r="1680" spans="12:74">
      <c r="L1680" s="266"/>
      <c r="M1680" s="266"/>
      <c r="N1680" s="266"/>
      <c r="O1680" s="266"/>
      <c r="P1680" s="266"/>
      <c r="Q1680" s="266"/>
      <c r="BR1680" s="266"/>
      <c r="BS1680" s="266"/>
      <c r="BT1680" s="266"/>
      <c r="BU1680" s="266"/>
      <c r="BV1680" s="266"/>
    </row>
    <row r="1681" spans="12:74">
      <c r="L1681" s="266"/>
      <c r="M1681" s="266"/>
      <c r="N1681" s="266"/>
      <c r="O1681" s="266"/>
      <c r="P1681" s="266"/>
      <c r="Q1681" s="266"/>
      <c r="BR1681" s="266"/>
      <c r="BS1681" s="266"/>
      <c r="BT1681" s="266"/>
      <c r="BU1681" s="266"/>
      <c r="BV1681" s="266"/>
    </row>
    <row r="1682" spans="12:74">
      <c r="L1682" s="266"/>
      <c r="M1682" s="266"/>
      <c r="N1682" s="266"/>
      <c r="O1682" s="266"/>
      <c r="P1682" s="266"/>
      <c r="Q1682" s="266"/>
      <c r="BR1682" s="266"/>
      <c r="BS1682" s="266"/>
      <c r="BT1682" s="266"/>
      <c r="BU1682" s="266"/>
      <c r="BV1682" s="266"/>
    </row>
    <row r="1683" spans="12:74">
      <c r="L1683" s="266"/>
      <c r="M1683" s="266"/>
      <c r="N1683" s="266"/>
      <c r="O1683" s="266"/>
      <c r="P1683" s="266"/>
      <c r="Q1683" s="266"/>
      <c r="BR1683" s="266"/>
      <c r="BS1683" s="266"/>
      <c r="BT1683" s="266"/>
      <c r="BU1683" s="266"/>
      <c r="BV1683" s="266"/>
    </row>
    <row r="1684" spans="12:74">
      <c r="L1684" s="266"/>
      <c r="M1684" s="266"/>
      <c r="N1684" s="266"/>
      <c r="O1684" s="266"/>
      <c r="P1684" s="266"/>
      <c r="Q1684" s="266"/>
      <c r="BR1684" s="266"/>
      <c r="BS1684" s="266"/>
      <c r="BT1684" s="266"/>
      <c r="BU1684" s="266"/>
      <c r="BV1684" s="266"/>
    </row>
    <row r="1685" spans="12:74">
      <c r="L1685" s="266"/>
      <c r="M1685" s="266"/>
      <c r="N1685" s="266"/>
      <c r="O1685" s="266"/>
      <c r="P1685" s="266"/>
      <c r="Q1685" s="266"/>
      <c r="BR1685" s="266"/>
      <c r="BS1685" s="266"/>
      <c r="BT1685" s="266"/>
      <c r="BU1685" s="266"/>
      <c r="BV1685" s="266"/>
    </row>
    <row r="1686" spans="12:74">
      <c r="L1686" s="266"/>
      <c r="M1686" s="266"/>
      <c r="N1686" s="266"/>
      <c r="O1686" s="266"/>
      <c r="P1686" s="266"/>
      <c r="Q1686" s="266"/>
      <c r="BR1686" s="266"/>
      <c r="BS1686" s="266"/>
      <c r="BT1686" s="266"/>
      <c r="BU1686" s="266"/>
      <c r="BV1686" s="266"/>
    </row>
    <row r="1687" spans="12:74">
      <c r="L1687" s="266"/>
      <c r="M1687" s="266"/>
      <c r="N1687" s="266"/>
      <c r="O1687" s="266"/>
      <c r="P1687" s="266"/>
      <c r="Q1687" s="266"/>
      <c r="BR1687" s="266"/>
      <c r="BS1687" s="266"/>
      <c r="BT1687" s="266"/>
      <c r="BU1687" s="266"/>
      <c r="BV1687" s="266"/>
    </row>
    <row r="1688" spans="12:74">
      <c r="L1688" s="266"/>
      <c r="M1688" s="266"/>
      <c r="N1688" s="266"/>
      <c r="O1688" s="266"/>
      <c r="P1688" s="266"/>
      <c r="Q1688" s="266"/>
      <c r="BR1688" s="266"/>
      <c r="BS1688" s="266"/>
      <c r="BT1688" s="266"/>
      <c r="BU1688" s="266"/>
      <c r="BV1688" s="266"/>
    </row>
    <row r="1689" spans="12:74">
      <c r="L1689" s="266"/>
      <c r="M1689" s="266"/>
      <c r="N1689" s="266"/>
      <c r="O1689" s="266"/>
      <c r="P1689" s="266"/>
      <c r="Q1689" s="266"/>
      <c r="BR1689" s="266"/>
      <c r="BS1689" s="266"/>
      <c r="BT1689" s="266"/>
      <c r="BU1689" s="266"/>
      <c r="BV1689" s="266"/>
    </row>
    <row r="1690" spans="12:74">
      <c r="L1690" s="266"/>
      <c r="M1690" s="266"/>
      <c r="N1690" s="266"/>
      <c r="O1690" s="266"/>
      <c r="P1690" s="266"/>
      <c r="Q1690" s="266"/>
      <c r="BR1690" s="266"/>
      <c r="BS1690" s="266"/>
      <c r="BT1690" s="266"/>
      <c r="BU1690" s="266"/>
      <c r="BV1690" s="266"/>
    </row>
    <row r="1691" spans="12:74">
      <c r="L1691" s="266"/>
      <c r="M1691" s="266"/>
      <c r="N1691" s="266"/>
      <c r="O1691" s="266"/>
      <c r="P1691" s="266"/>
      <c r="Q1691" s="266"/>
      <c r="BR1691" s="266"/>
      <c r="BS1691" s="266"/>
      <c r="BT1691" s="266"/>
      <c r="BU1691" s="266"/>
      <c r="BV1691" s="266"/>
    </row>
    <row r="1692" spans="12:74">
      <c r="L1692" s="266"/>
      <c r="M1692" s="266"/>
      <c r="N1692" s="266"/>
      <c r="O1692" s="266"/>
      <c r="P1692" s="266"/>
      <c r="Q1692" s="266"/>
      <c r="BR1692" s="266"/>
      <c r="BS1692" s="266"/>
      <c r="BT1692" s="266"/>
      <c r="BU1692" s="266"/>
      <c r="BV1692" s="266"/>
    </row>
    <row r="1693" spans="12:74">
      <c r="L1693" s="266"/>
      <c r="M1693" s="266"/>
      <c r="N1693" s="266"/>
      <c r="O1693" s="266"/>
      <c r="P1693" s="266"/>
      <c r="Q1693" s="266"/>
      <c r="BR1693" s="266"/>
      <c r="BS1693" s="266"/>
      <c r="BT1693" s="266"/>
      <c r="BU1693" s="266"/>
      <c r="BV1693" s="266"/>
    </row>
    <row r="1694" spans="12:74">
      <c r="L1694" s="266"/>
      <c r="M1694" s="266"/>
      <c r="N1694" s="266"/>
      <c r="O1694" s="266"/>
      <c r="P1694" s="266"/>
      <c r="Q1694" s="266"/>
      <c r="BR1694" s="266"/>
      <c r="BS1694" s="266"/>
      <c r="BT1694" s="266"/>
      <c r="BU1694" s="266"/>
      <c r="BV1694" s="266"/>
    </row>
    <row r="1695" spans="12:74">
      <c r="L1695" s="266"/>
      <c r="M1695" s="266"/>
      <c r="N1695" s="266"/>
      <c r="O1695" s="266"/>
      <c r="P1695" s="266"/>
      <c r="Q1695" s="266"/>
      <c r="BR1695" s="266"/>
      <c r="BS1695" s="266"/>
      <c r="BT1695" s="266"/>
      <c r="BU1695" s="266"/>
      <c r="BV1695" s="266"/>
    </row>
    <row r="1696" spans="12:74">
      <c r="L1696" s="266"/>
      <c r="M1696" s="266"/>
      <c r="N1696" s="266"/>
      <c r="O1696" s="266"/>
      <c r="P1696" s="266"/>
      <c r="Q1696" s="266"/>
      <c r="BR1696" s="266"/>
      <c r="BS1696" s="266"/>
      <c r="BT1696" s="266"/>
      <c r="BU1696" s="266"/>
      <c r="BV1696" s="266"/>
    </row>
    <row r="1697" spans="12:74">
      <c r="L1697" s="266"/>
      <c r="M1697" s="266"/>
      <c r="N1697" s="266"/>
      <c r="O1697" s="266"/>
      <c r="P1697" s="266"/>
      <c r="Q1697" s="266"/>
      <c r="BR1697" s="266"/>
      <c r="BS1697" s="266"/>
      <c r="BT1697" s="266"/>
      <c r="BU1697" s="266"/>
      <c r="BV1697" s="266"/>
    </row>
    <row r="1698" spans="12:74">
      <c r="L1698" s="266"/>
      <c r="M1698" s="266"/>
      <c r="N1698" s="266"/>
      <c r="O1698" s="266"/>
      <c r="P1698" s="266"/>
      <c r="Q1698" s="266"/>
      <c r="BR1698" s="266"/>
      <c r="BS1698" s="266"/>
      <c r="BT1698" s="266"/>
      <c r="BU1698" s="266"/>
      <c r="BV1698" s="266"/>
    </row>
    <row r="1699" spans="12:74">
      <c r="L1699" s="266"/>
      <c r="M1699" s="266"/>
      <c r="N1699" s="266"/>
      <c r="O1699" s="266"/>
      <c r="P1699" s="266"/>
      <c r="Q1699" s="266"/>
      <c r="BR1699" s="266"/>
      <c r="BS1699" s="266"/>
      <c r="BT1699" s="266"/>
      <c r="BU1699" s="266"/>
      <c r="BV1699" s="266"/>
    </row>
    <row r="1700" spans="12:74">
      <c r="L1700" s="266"/>
      <c r="M1700" s="266"/>
      <c r="N1700" s="266"/>
      <c r="O1700" s="266"/>
      <c r="P1700" s="266"/>
      <c r="Q1700" s="266"/>
      <c r="BR1700" s="266"/>
      <c r="BS1700" s="266"/>
      <c r="BT1700" s="266"/>
      <c r="BU1700" s="266"/>
      <c r="BV1700" s="266"/>
    </row>
    <row r="1701" spans="12:74">
      <c r="L1701" s="266"/>
      <c r="M1701" s="266"/>
      <c r="N1701" s="266"/>
      <c r="O1701" s="266"/>
      <c r="P1701" s="266"/>
      <c r="Q1701" s="266"/>
      <c r="BR1701" s="266"/>
      <c r="BS1701" s="266"/>
      <c r="BT1701" s="266"/>
      <c r="BU1701" s="266"/>
      <c r="BV1701" s="266"/>
    </row>
    <row r="1702" spans="12:74">
      <c r="L1702" s="266"/>
      <c r="M1702" s="266"/>
      <c r="N1702" s="266"/>
      <c r="O1702" s="266"/>
      <c r="P1702" s="266"/>
      <c r="Q1702" s="266"/>
      <c r="BR1702" s="266"/>
      <c r="BS1702" s="266"/>
      <c r="BT1702" s="266"/>
      <c r="BU1702" s="266"/>
      <c r="BV1702" s="266"/>
    </row>
    <row r="1703" spans="12:74">
      <c r="L1703" s="266"/>
      <c r="M1703" s="266"/>
      <c r="N1703" s="266"/>
      <c r="O1703" s="266"/>
      <c r="P1703" s="266"/>
      <c r="Q1703" s="266"/>
      <c r="BR1703" s="266"/>
      <c r="BS1703" s="266"/>
      <c r="BT1703" s="266"/>
      <c r="BU1703" s="266"/>
      <c r="BV1703" s="266"/>
    </row>
    <row r="1704" spans="12:74">
      <c r="L1704" s="266"/>
      <c r="M1704" s="266"/>
      <c r="N1704" s="266"/>
      <c r="O1704" s="266"/>
      <c r="P1704" s="266"/>
      <c r="Q1704" s="266"/>
      <c r="BR1704" s="266"/>
      <c r="BS1704" s="266"/>
      <c r="BT1704" s="266"/>
      <c r="BU1704" s="266"/>
      <c r="BV1704" s="266"/>
    </row>
    <row r="1705" spans="12:74">
      <c r="L1705" s="266"/>
      <c r="M1705" s="266"/>
      <c r="N1705" s="266"/>
      <c r="O1705" s="266"/>
      <c r="P1705" s="266"/>
      <c r="Q1705" s="266"/>
      <c r="BR1705" s="266"/>
      <c r="BS1705" s="266"/>
      <c r="BT1705" s="266"/>
      <c r="BU1705" s="266"/>
      <c r="BV1705" s="266"/>
    </row>
    <row r="1706" spans="12:74">
      <c r="L1706" s="266"/>
      <c r="M1706" s="266"/>
      <c r="N1706" s="266"/>
      <c r="O1706" s="266"/>
      <c r="P1706" s="266"/>
      <c r="Q1706" s="266"/>
      <c r="BR1706" s="266"/>
      <c r="BS1706" s="266"/>
      <c r="BT1706" s="266"/>
      <c r="BU1706" s="266"/>
      <c r="BV1706" s="266"/>
    </row>
    <row r="1707" spans="12:74">
      <c r="L1707" s="266"/>
      <c r="M1707" s="266"/>
      <c r="N1707" s="266"/>
      <c r="O1707" s="266"/>
      <c r="P1707" s="266"/>
      <c r="Q1707" s="266"/>
      <c r="BR1707" s="266"/>
      <c r="BS1707" s="266"/>
      <c r="BT1707" s="266"/>
      <c r="BU1707" s="266"/>
      <c r="BV1707" s="266"/>
    </row>
    <row r="1708" spans="12:74">
      <c r="L1708" s="266"/>
      <c r="M1708" s="266"/>
      <c r="N1708" s="266"/>
      <c r="O1708" s="266"/>
      <c r="P1708" s="266"/>
      <c r="Q1708" s="266"/>
      <c r="BR1708" s="266"/>
      <c r="BS1708" s="266"/>
      <c r="BT1708" s="266"/>
      <c r="BU1708" s="266"/>
      <c r="BV1708" s="266"/>
    </row>
    <row r="1709" spans="12:74">
      <c r="L1709" s="266"/>
      <c r="M1709" s="266"/>
      <c r="N1709" s="266"/>
      <c r="O1709" s="266"/>
      <c r="P1709" s="266"/>
      <c r="Q1709" s="266"/>
      <c r="BR1709" s="266"/>
      <c r="BS1709" s="266"/>
      <c r="BT1709" s="266"/>
      <c r="BU1709" s="266"/>
      <c r="BV1709" s="266"/>
    </row>
    <row r="1710" spans="12:74">
      <c r="L1710" s="266"/>
      <c r="M1710" s="266"/>
      <c r="N1710" s="266"/>
      <c r="O1710" s="266"/>
      <c r="P1710" s="266"/>
      <c r="Q1710" s="266"/>
      <c r="BR1710" s="266"/>
      <c r="BS1710" s="266"/>
      <c r="BT1710" s="266"/>
      <c r="BU1710" s="266"/>
      <c r="BV1710" s="266"/>
    </row>
    <row r="1711" spans="12:74">
      <c r="L1711" s="266"/>
      <c r="M1711" s="266"/>
      <c r="N1711" s="266"/>
      <c r="O1711" s="266"/>
      <c r="P1711" s="266"/>
      <c r="Q1711" s="266"/>
      <c r="BR1711" s="266"/>
      <c r="BS1711" s="266"/>
      <c r="BT1711" s="266"/>
      <c r="BU1711" s="266"/>
      <c r="BV1711" s="266"/>
    </row>
    <row r="1712" spans="12:74">
      <c r="L1712" s="266"/>
      <c r="M1712" s="266"/>
      <c r="N1712" s="266"/>
      <c r="O1712" s="266"/>
      <c r="P1712" s="266"/>
      <c r="Q1712" s="266"/>
      <c r="BR1712" s="266"/>
      <c r="BS1712" s="266"/>
      <c r="BT1712" s="266"/>
      <c r="BU1712" s="266"/>
      <c r="BV1712" s="266"/>
    </row>
    <row r="1713" spans="12:74">
      <c r="L1713" s="266"/>
      <c r="M1713" s="266"/>
      <c r="N1713" s="266"/>
      <c r="O1713" s="266"/>
      <c r="P1713" s="266"/>
      <c r="Q1713" s="266"/>
      <c r="BR1713" s="266"/>
      <c r="BS1713" s="266"/>
      <c r="BT1713" s="266"/>
      <c r="BU1713" s="266"/>
      <c r="BV1713" s="266"/>
    </row>
    <row r="1714" spans="12:74">
      <c r="L1714" s="266"/>
      <c r="M1714" s="266"/>
      <c r="N1714" s="266"/>
      <c r="O1714" s="266"/>
      <c r="P1714" s="266"/>
      <c r="Q1714" s="266"/>
      <c r="BR1714" s="266"/>
      <c r="BS1714" s="266"/>
      <c r="BT1714" s="266"/>
      <c r="BU1714" s="266"/>
      <c r="BV1714" s="266"/>
    </row>
    <row r="1715" spans="12:74">
      <c r="L1715" s="266"/>
      <c r="M1715" s="266"/>
      <c r="N1715" s="266"/>
      <c r="O1715" s="266"/>
      <c r="P1715" s="266"/>
      <c r="Q1715" s="266"/>
      <c r="BR1715" s="266"/>
      <c r="BS1715" s="266"/>
      <c r="BT1715" s="266"/>
      <c r="BU1715" s="266"/>
      <c r="BV1715" s="266"/>
    </row>
    <row r="1716" spans="12:74">
      <c r="L1716" s="266"/>
      <c r="M1716" s="266"/>
      <c r="N1716" s="266"/>
      <c r="O1716" s="266"/>
      <c r="P1716" s="266"/>
      <c r="Q1716" s="266"/>
      <c r="BR1716" s="266"/>
      <c r="BS1716" s="266"/>
      <c r="BT1716" s="266"/>
      <c r="BU1716" s="266"/>
      <c r="BV1716" s="266"/>
    </row>
    <row r="1717" spans="12:74">
      <c r="L1717" s="266"/>
      <c r="M1717" s="266"/>
      <c r="N1717" s="266"/>
      <c r="O1717" s="266"/>
      <c r="P1717" s="266"/>
      <c r="Q1717" s="266"/>
      <c r="BR1717" s="266"/>
      <c r="BS1717" s="266"/>
      <c r="BT1717" s="266"/>
      <c r="BU1717" s="266"/>
      <c r="BV1717" s="266"/>
    </row>
    <row r="1718" spans="12:74">
      <c r="L1718" s="266"/>
      <c r="M1718" s="266"/>
      <c r="N1718" s="266"/>
      <c r="O1718" s="266"/>
      <c r="P1718" s="266"/>
      <c r="Q1718" s="266"/>
      <c r="BR1718" s="266"/>
      <c r="BS1718" s="266"/>
      <c r="BT1718" s="266"/>
      <c r="BU1718" s="266"/>
      <c r="BV1718" s="266"/>
    </row>
    <row r="1719" spans="12:74">
      <c r="L1719" s="266"/>
      <c r="M1719" s="266"/>
      <c r="N1719" s="266"/>
      <c r="O1719" s="266"/>
      <c r="P1719" s="266"/>
      <c r="Q1719" s="266"/>
      <c r="BR1719" s="266"/>
      <c r="BS1719" s="266"/>
      <c r="BT1719" s="266"/>
      <c r="BU1719" s="266"/>
      <c r="BV1719" s="266"/>
    </row>
    <row r="1720" spans="12:74">
      <c r="L1720" s="266"/>
      <c r="M1720" s="266"/>
      <c r="N1720" s="266"/>
      <c r="O1720" s="266"/>
      <c r="P1720" s="266"/>
      <c r="Q1720" s="266"/>
      <c r="BR1720" s="266"/>
      <c r="BS1720" s="266"/>
      <c r="BT1720" s="266"/>
      <c r="BU1720" s="266"/>
      <c r="BV1720" s="266"/>
    </row>
    <row r="1721" spans="12:74">
      <c r="L1721" s="266"/>
      <c r="M1721" s="266"/>
      <c r="N1721" s="266"/>
      <c r="O1721" s="266"/>
      <c r="P1721" s="266"/>
      <c r="Q1721" s="266"/>
      <c r="BR1721" s="266"/>
      <c r="BS1721" s="266"/>
      <c r="BT1721" s="266"/>
      <c r="BU1721" s="266"/>
      <c r="BV1721" s="266"/>
    </row>
    <row r="1722" spans="12:74">
      <c r="L1722" s="266"/>
      <c r="M1722" s="266"/>
      <c r="N1722" s="266"/>
      <c r="O1722" s="266"/>
      <c r="P1722" s="266"/>
      <c r="Q1722" s="266"/>
      <c r="BR1722" s="266"/>
      <c r="BS1722" s="266"/>
      <c r="BT1722" s="266"/>
      <c r="BU1722" s="266"/>
      <c r="BV1722" s="266"/>
    </row>
    <row r="1723" spans="12:74">
      <c r="L1723" s="266"/>
      <c r="M1723" s="266"/>
      <c r="N1723" s="266"/>
      <c r="O1723" s="266"/>
      <c r="P1723" s="266"/>
      <c r="Q1723" s="266"/>
      <c r="BR1723" s="266"/>
      <c r="BS1723" s="266"/>
      <c r="BT1723" s="266"/>
      <c r="BU1723" s="266"/>
      <c r="BV1723" s="266"/>
    </row>
    <row r="1724" spans="12:74">
      <c r="L1724" s="266"/>
      <c r="M1724" s="266"/>
      <c r="N1724" s="266"/>
      <c r="O1724" s="266"/>
      <c r="P1724" s="266"/>
      <c r="Q1724" s="266"/>
      <c r="BR1724" s="266"/>
      <c r="BS1724" s="266"/>
      <c r="BT1724" s="266"/>
      <c r="BU1724" s="266"/>
      <c r="BV1724" s="266"/>
    </row>
    <row r="1725" spans="12:74">
      <c r="L1725" s="266"/>
      <c r="M1725" s="266"/>
      <c r="N1725" s="266"/>
      <c r="O1725" s="266"/>
      <c r="P1725" s="266"/>
      <c r="Q1725" s="266"/>
      <c r="BR1725" s="266"/>
      <c r="BS1725" s="266"/>
      <c r="BT1725" s="266"/>
      <c r="BU1725" s="266"/>
      <c r="BV1725" s="266"/>
    </row>
    <row r="1726" spans="12:74">
      <c r="L1726" s="266"/>
      <c r="M1726" s="266"/>
      <c r="N1726" s="266"/>
      <c r="O1726" s="266"/>
      <c r="P1726" s="266"/>
      <c r="Q1726" s="266"/>
      <c r="BR1726" s="266"/>
      <c r="BS1726" s="266"/>
      <c r="BT1726" s="266"/>
      <c r="BU1726" s="266"/>
      <c r="BV1726" s="266"/>
    </row>
    <row r="1727" spans="12:74">
      <c r="L1727" s="266"/>
      <c r="M1727" s="266"/>
      <c r="N1727" s="266"/>
      <c r="O1727" s="266"/>
      <c r="P1727" s="266"/>
      <c r="Q1727" s="266"/>
      <c r="BR1727" s="266"/>
      <c r="BS1727" s="266"/>
      <c r="BT1727" s="266"/>
      <c r="BU1727" s="266"/>
      <c r="BV1727" s="266"/>
    </row>
    <row r="1728" spans="12:74">
      <c r="L1728" s="266"/>
      <c r="M1728" s="266"/>
      <c r="N1728" s="266"/>
      <c r="O1728" s="266"/>
      <c r="P1728" s="266"/>
      <c r="Q1728" s="266"/>
      <c r="BR1728" s="266"/>
      <c r="BS1728" s="266"/>
      <c r="BT1728" s="266"/>
      <c r="BU1728" s="266"/>
      <c r="BV1728" s="266"/>
    </row>
    <row r="1729" spans="12:74">
      <c r="L1729" s="266"/>
      <c r="M1729" s="266"/>
      <c r="N1729" s="266"/>
      <c r="O1729" s="266"/>
      <c r="P1729" s="266"/>
      <c r="Q1729" s="266"/>
      <c r="BR1729" s="266"/>
      <c r="BS1729" s="266"/>
      <c r="BT1729" s="266"/>
      <c r="BU1729" s="266"/>
      <c r="BV1729" s="266"/>
    </row>
    <row r="1730" spans="12:74">
      <c r="L1730" s="266"/>
      <c r="M1730" s="266"/>
      <c r="N1730" s="266"/>
      <c r="O1730" s="266"/>
      <c r="P1730" s="266"/>
      <c r="Q1730" s="266"/>
      <c r="BR1730" s="266"/>
      <c r="BS1730" s="266"/>
      <c r="BT1730" s="266"/>
      <c r="BU1730" s="266"/>
      <c r="BV1730" s="266"/>
    </row>
    <row r="1731" spans="12:74">
      <c r="L1731" s="266"/>
      <c r="M1731" s="266"/>
      <c r="N1731" s="266"/>
      <c r="O1731" s="266"/>
      <c r="P1731" s="266"/>
      <c r="Q1731" s="266"/>
      <c r="BR1731" s="266"/>
      <c r="BS1731" s="266"/>
      <c r="BT1731" s="266"/>
      <c r="BU1731" s="266"/>
      <c r="BV1731" s="266"/>
    </row>
    <row r="1732" spans="12:74">
      <c r="L1732" s="266"/>
      <c r="M1732" s="266"/>
      <c r="N1732" s="266"/>
      <c r="O1732" s="266"/>
      <c r="P1732" s="266"/>
      <c r="Q1732" s="266"/>
      <c r="BR1732" s="266"/>
      <c r="BS1732" s="266"/>
      <c r="BT1732" s="266"/>
      <c r="BU1732" s="266"/>
      <c r="BV1732" s="266"/>
    </row>
    <row r="1733" spans="12:74">
      <c r="L1733" s="266"/>
      <c r="M1733" s="266"/>
      <c r="N1733" s="266"/>
      <c r="O1733" s="266"/>
      <c r="P1733" s="266"/>
      <c r="Q1733" s="266"/>
      <c r="BR1733" s="266"/>
      <c r="BS1733" s="266"/>
      <c r="BT1733" s="266"/>
      <c r="BU1733" s="266"/>
      <c r="BV1733" s="266"/>
    </row>
    <row r="1734" spans="12:74">
      <c r="L1734" s="266"/>
      <c r="M1734" s="266"/>
      <c r="N1734" s="266"/>
      <c r="O1734" s="266"/>
      <c r="P1734" s="266"/>
      <c r="Q1734" s="266"/>
      <c r="BR1734" s="266"/>
      <c r="BS1734" s="266"/>
      <c r="BT1734" s="266"/>
      <c r="BU1734" s="266"/>
      <c r="BV1734" s="266"/>
    </row>
    <row r="1735" spans="12:74">
      <c r="L1735" s="266"/>
      <c r="M1735" s="266"/>
      <c r="N1735" s="266"/>
      <c r="O1735" s="266"/>
      <c r="P1735" s="266"/>
      <c r="Q1735" s="266"/>
      <c r="BR1735" s="266"/>
      <c r="BS1735" s="266"/>
      <c r="BT1735" s="266"/>
      <c r="BU1735" s="266"/>
      <c r="BV1735" s="266"/>
    </row>
    <row r="1736" spans="12:74">
      <c r="L1736" s="266"/>
      <c r="M1736" s="266"/>
      <c r="N1736" s="266"/>
      <c r="O1736" s="266"/>
      <c r="P1736" s="266"/>
      <c r="Q1736" s="266"/>
      <c r="BR1736" s="266"/>
      <c r="BS1736" s="266"/>
      <c r="BT1736" s="266"/>
      <c r="BU1736" s="266"/>
      <c r="BV1736" s="266"/>
    </row>
    <row r="1737" spans="12:74">
      <c r="L1737" s="266"/>
      <c r="M1737" s="266"/>
      <c r="N1737" s="266"/>
      <c r="O1737" s="266"/>
      <c r="P1737" s="266"/>
      <c r="Q1737" s="266"/>
      <c r="BR1737" s="266"/>
      <c r="BS1737" s="266"/>
      <c r="BT1737" s="266"/>
      <c r="BU1737" s="266"/>
      <c r="BV1737" s="266"/>
    </row>
    <row r="1738" spans="12:74">
      <c r="L1738" s="266"/>
      <c r="M1738" s="266"/>
      <c r="N1738" s="266"/>
      <c r="O1738" s="266"/>
      <c r="P1738" s="266"/>
      <c r="Q1738" s="266"/>
      <c r="BR1738" s="266"/>
      <c r="BS1738" s="266"/>
      <c r="BT1738" s="266"/>
      <c r="BU1738" s="266"/>
      <c r="BV1738" s="266"/>
    </row>
    <row r="1739" spans="12:74">
      <c r="L1739" s="266"/>
      <c r="M1739" s="266"/>
      <c r="N1739" s="266"/>
      <c r="O1739" s="266"/>
      <c r="P1739" s="266"/>
      <c r="Q1739" s="266"/>
      <c r="BR1739" s="266"/>
      <c r="BS1739" s="266"/>
      <c r="BT1739" s="266"/>
      <c r="BU1739" s="266"/>
      <c r="BV1739" s="266"/>
    </row>
    <row r="1740" spans="12:74">
      <c r="L1740" s="266"/>
      <c r="M1740" s="266"/>
      <c r="N1740" s="266"/>
      <c r="O1740" s="266"/>
      <c r="P1740" s="266"/>
      <c r="Q1740" s="266"/>
      <c r="BR1740" s="266"/>
      <c r="BS1740" s="266"/>
      <c r="BT1740" s="266"/>
      <c r="BU1740" s="266"/>
      <c r="BV1740" s="266"/>
    </row>
    <row r="1741" spans="12:74">
      <c r="L1741" s="266"/>
      <c r="M1741" s="266"/>
      <c r="N1741" s="266"/>
      <c r="O1741" s="266"/>
      <c r="P1741" s="266"/>
      <c r="Q1741" s="266"/>
      <c r="BR1741" s="266"/>
      <c r="BS1741" s="266"/>
      <c r="BT1741" s="266"/>
      <c r="BU1741" s="266"/>
      <c r="BV1741" s="266"/>
    </row>
    <row r="1742" spans="12:74">
      <c r="L1742" s="266"/>
      <c r="M1742" s="266"/>
      <c r="N1742" s="266"/>
      <c r="O1742" s="266"/>
      <c r="P1742" s="266"/>
      <c r="Q1742" s="266"/>
      <c r="BR1742" s="266"/>
      <c r="BS1742" s="266"/>
      <c r="BT1742" s="266"/>
      <c r="BU1742" s="266"/>
      <c r="BV1742" s="266"/>
    </row>
    <row r="1743" spans="12:74">
      <c r="L1743" s="266"/>
      <c r="M1743" s="266"/>
      <c r="N1743" s="266"/>
      <c r="O1743" s="266"/>
      <c r="P1743" s="266"/>
      <c r="Q1743" s="266"/>
      <c r="BR1743" s="266"/>
      <c r="BS1743" s="266"/>
      <c r="BT1743" s="266"/>
      <c r="BU1743" s="266"/>
      <c r="BV1743" s="266"/>
    </row>
    <row r="1744" spans="12:74">
      <c r="L1744" s="266"/>
      <c r="M1744" s="266"/>
      <c r="N1744" s="266"/>
      <c r="O1744" s="266"/>
      <c r="P1744" s="266"/>
      <c r="Q1744" s="266"/>
      <c r="BR1744" s="266"/>
      <c r="BS1744" s="266"/>
      <c r="BT1744" s="266"/>
      <c r="BU1744" s="266"/>
      <c r="BV1744" s="266"/>
    </row>
    <row r="1745" spans="12:74">
      <c r="L1745" s="266"/>
      <c r="M1745" s="266"/>
      <c r="N1745" s="266"/>
      <c r="O1745" s="266"/>
      <c r="P1745" s="266"/>
      <c r="Q1745" s="266"/>
      <c r="BR1745" s="266"/>
      <c r="BS1745" s="266"/>
      <c r="BT1745" s="266"/>
      <c r="BU1745" s="266"/>
      <c r="BV1745" s="266"/>
    </row>
    <row r="1746" spans="12:74">
      <c r="L1746" s="266"/>
      <c r="M1746" s="266"/>
      <c r="N1746" s="266"/>
      <c r="O1746" s="266"/>
      <c r="P1746" s="266"/>
      <c r="Q1746" s="266"/>
      <c r="BR1746" s="266"/>
      <c r="BS1746" s="266"/>
      <c r="BT1746" s="266"/>
      <c r="BU1746" s="266"/>
      <c r="BV1746" s="266"/>
    </row>
    <row r="1747" spans="12:74">
      <c r="L1747" s="266"/>
      <c r="M1747" s="266"/>
      <c r="N1747" s="266"/>
      <c r="O1747" s="266"/>
      <c r="P1747" s="266"/>
      <c r="Q1747" s="266"/>
      <c r="BR1747" s="266"/>
      <c r="BS1747" s="266"/>
      <c r="BT1747" s="266"/>
      <c r="BU1747" s="266"/>
      <c r="BV1747" s="266"/>
    </row>
    <row r="1748" spans="12:74">
      <c r="L1748" s="266"/>
      <c r="M1748" s="266"/>
      <c r="N1748" s="266"/>
      <c r="O1748" s="266"/>
      <c r="P1748" s="266"/>
      <c r="Q1748" s="266"/>
      <c r="BR1748" s="266"/>
      <c r="BS1748" s="266"/>
      <c r="BT1748" s="266"/>
      <c r="BU1748" s="266"/>
      <c r="BV1748" s="266"/>
    </row>
    <row r="1749" spans="12:74">
      <c r="L1749" s="266"/>
      <c r="M1749" s="266"/>
      <c r="N1749" s="266"/>
      <c r="O1749" s="266"/>
      <c r="P1749" s="266"/>
      <c r="Q1749" s="266"/>
      <c r="BR1749" s="266"/>
      <c r="BS1749" s="266"/>
      <c r="BT1749" s="266"/>
      <c r="BU1749" s="266"/>
      <c r="BV1749" s="266"/>
    </row>
    <row r="1750" spans="12:74">
      <c r="L1750" s="266"/>
      <c r="M1750" s="266"/>
      <c r="N1750" s="266"/>
      <c r="O1750" s="266"/>
      <c r="P1750" s="266"/>
      <c r="Q1750" s="266"/>
      <c r="BR1750" s="266"/>
      <c r="BS1750" s="266"/>
      <c r="BT1750" s="266"/>
      <c r="BU1750" s="266"/>
      <c r="BV1750" s="266"/>
    </row>
    <row r="1751" spans="12:74">
      <c r="L1751" s="266"/>
      <c r="M1751" s="266"/>
      <c r="N1751" s="266"/>
      <c r="O1751" s="266"/>
      <c r="P1751" s="266"/>
      <c r="Q1751" s="266"/>
      <c r="BR1751" s="266"/>
      <c r="BS1751" s="266"/>
      <c r="BT1751" s="266"/>
      <c r="BU1751" s="266"/>
      <c r="BV1751" s="266"/>
    </row>
    <row r="1752" spans="12:74">
      <c r="L1752" s="266"/>
      <c r="M1752" s="266"/>
      <c r="N1752" s="266"/>
      <c r="O1752" s="266"/>
      <c r="P1752" s="266"/>
      <c r="Q1752" s="266"/>
      <c r="BR1752" s="266"/>
      <c r="BS1752" s="266"/>
      <c r="BT1752" s="266"/>
      <c r="BU1752" s="266"/>
      <c r="BV1752" s="266"/>
    </row>
    <row r="1753" spans="12:74">
      <c r="L1753" s="266"/>
      <c r="M1753" s="266"/>
      <c r="N1753" s="266"/>
      <c r="O1753" s="266"/>
      <c r="P1753" s="266"/>
      <c r="Q1753" s="266"/>
      <c r="BR1753" s="266"/>
      <c r="BS1753" s="266"/>
      <c r="BT1753" s="266"/>
      <c r="BU1753" s="266"/>
      <c r="BV1753" s="266"/>
    </row>
    <row r="1754" spans="12:74">
      <c r="L1754" s="266"/>
      <c r="M1754" s="266"/>
      <c r="N1754" s="266"/>
      <c r="O1754" s="266"/>
      <c r="P1754" s="266"/>
      <c r="Q1754" s="266"/>
      <c r="BR1754" s="266"/>
      <c r="BS1754" s="266"/>
      <c r="BT1754" s="266"/>
      <c r="BU1754" s="266"/>
      <c r="BV1754" s="266"/>
    </row>
    <row r="1755" spans="12:74">
      <c r="L1755" s="266"/>
      <c r="M1755" s="266"/>
      <c r="N1755" s="266"/>
      <c r="O1755" s="266"/>
      <c r="P1755" s="266"/>
      <c r="Q1755" s="266"/>
      <c r="BR1755" s="266"/>
      <c r="BS1755" s="266"/>
      <c r="BT1755" s="266"/>
      <c r="BU1755" s="266"/>
      <c r="BV1755" s="266"/>
    </row>
    <row r="1756" spans="12:74">
      <c r="L1756" s="266"/>
      <c r="M1756" s="266"/>
      <c r="N1756" s="266"/>
      <c r="O1756" s="266"/>
      <c r="P1756" s="266"/>
      <c r="Q1756" s="266"/>
      <c r="BR1756" s="266"/>
      <c r="BS1756" s="266"/>
      <c r="BT1756" s="266"/>
      <c r="BU1756" s="266"/>
      <c r="BV1756" s="266"/>
    </row>
    <row r="1757" spans="12:74">
      <c r="L1757" s="266"/>
      <c r="M1757" s="266"/>
      <c r="N1757" s="266"/>
      <c r="O1757" s="266"/>
      <c r="P1757" s="266"/>
      <c r="Q1757" s="266"/>
      <c r="BR1757" s="266"/>
      <c r="BS1757" s="266"/>
      <c r="BT1757" s="266"/>
      <c r="BU1757" s="266"/>
      <c r="BV1757" s="266"/>
    </row>
    <row r="1758" spans="12:74">
      <c r="L1758" s="266"/>
      <c r="M1758" s="266"/>
      <c r="N1758" s="266"/>
      <c r="O1758" s="266"/>
      <c r="P1758" s="266"/>
      <c r="Q1758" s="266"/>
      <c r="BR1758" s="266"/>
      <c r="BS1758" s="266"/>
      <c r="BT1758" s="266"/>
      <c r="BU1758" s="266"/>
      <c r="BV1758" s="266"/>
    </row>
    <row r="1759" spans="12:74">
      <c r="L1759" s="266"/>
      <c r="M1759" s="266"/>
      <c r="N1759" s="266"/>
      <c r="O1759" s="266"/>
      <c r="P1759" s="266"/>
      <c r="Q1759" s="266"/>
      <c r="BR1759" s="266"/>
      <c r="BS1759" s="266"/>
      <c r="BT1759" s="266"/>
      <c r="BU1759" s="266"/>
      <c r="BV1759" s="266"/>
    </row>
    <row r="1760" spans="12:74">
      <c r="L1760" s="266"/>
      <c r="M1760" s="266"/>
      <c r="N1760" s="266"/>
      <c r="O1760" s="266"/>
      <c r="P1760" s="266"/>
      <c r="Q1760" s="266"/>
      <c r="BR1760" s="266"/>
      <c r="BS1760" s="266"/>
      <c r="BT1760" s="266"/>
      <c r="BU1760" s="266"/>
      <c r="BV1760" s="266"/>
    </row>
    <row r="1761" spans="12:74">
      <c r="L1761" s="266"/>
      <c r="M1761" s="266"/>
      <c r="N1761" s="266"/>
      <c r="O1761" s="266"/>
      <c r="P1761" s="266"/>
      <c r="Q1761" s="266"/>
      <c r="BR1761" s="266"/>
      <c r="BS1761" s="266"/>
      <c r="BT1761" s="266"/>
      <c r="BU1761" s="266"/>
      <c r="BV1761" s="266"/>
    </row>
    <row r="1762" spans="12:74">
      <c r="L1762" s="266"/>
      <c r="M1762" s="266"/>
      <c r="N1762" s="266"/>
      <c r="O1762" s="266"/>
      <c r="P1762" s="266"/>
      <c r="Q1762" s="266"/>
      <c r="BR1762" s="266"/>
      <c r="BS1762" s="266"/>
      <c r="BT1762" s="266"/>
      <c r="BU1762" s="266"/>
      <c r="BV1762" s="266"/>
    </row>
    <row r="1763" spans="12:74">
      <c r="L1763" s="266"/>
      <c r="M1763" s="266"/>
      <c r="N1763" s="266"/>
      <c r="O1763" s="266"/>
      <c r="P1763" s="266"/>
      <c r="Q1763" s="266"/>
      <c r="BR1763" s="266"/>
      <c r="BS1763" s="266"/>
      <c r="BT1763" s="266"/>
      <c r="BU1763" s="266"/>
      <c r="BV1763" s="266"/>
    </row>
    <row r="1764" spans="12:74">
      <c r="L1764" s="266"/>
      <c r="M1764" s="266"/>
      <c r="N1764" s="266"/>
      <c r="O1764" s="266"/>
      <c r="P1764" s="266"/>
      <c r="Q1764" s="266"/>
      <c r="BR1764" s="266"/>
      <c r="BS1764" s="266"/>
      <c r="BT1764" s="266"/>
      <c r="BU1764" s="266"/>
      <c r="BV1764" s="266"/>
    </row>
    <row r="1765" spans="12:74">
      <c r="L1765" s="266"/>
      <c r="M1765" s="266"/>
      <c r="N1765" s="266"/>
      <c r="O1765" s="266"/>
      <c r="P1765" s="266"/>
      <c r="Q1765" s="266"/>
      <c r="BR1765" s="266"/>
      <c r="BS1765" s="266"/>
      <c r="BT1765" s="266"/>
      <c r="BU1765" s="266"/>
      <c r="BV1765" s="266"/>
    </row>
    <row r="1766" spans="12:74">
      <c r="L1766" s="266"/>
      <c r="M1766" s="266"/>
      <c r="N1766" s="266"/>
      <c r="O1766" s="266"/>
      <c r="P1766" s="266"/>
      <c r="Q1766" s="266"/>
      <c r="BR1766" s="266"/>
      <c r="BS1766" s="266"/>
      <c r="BT1766" s="266"/>
      <c r="BU1766" s="266"/>
      <c r="BV1766" s="266"/>
    </row>
    <row r="1767" spans="12:74">
      <c r="L1767" s="266"/>
      <c r="M1767" s="266"/>
      <c r="N1767" s="266"/>
      <c r="O1767" s="266"/>
      <c r="P1767" s="266"/>
      <c r="Q1767" s="266"/>
      <c r="BR1767" s="266"/>
      <c r="BS1767" s="266"/>
      <c r="BT1767" s="266"/>
      <c r="BU1767" s="266"/>
      <c r="BV1767" s="266"/>
    </row>
    <row r="1768" spans="12:74">
      <c r="L1768" s="266"/>
      <c r="M1768" s="266"/>
      <c r="N1768" s="266"/>
      <c r="O1768" s="266"/>
      <c r="P1768" s="266"/>
      <c r="Q1768" s="266"/>
      <c r="BR1768" s="266"/>
      <c r="BS1768" s="266"/>
      <c r="BT1768" s="266"/>
      <c r="BU1768" s="266"/>
      <c r="BV1768" s="266"/>
    </row>
    <row r="1769" spans="12:74">
      <c r="L1769" s="266"/>
      <c r="M1769" s="266"/>
      <c r="N1769" s="266"/>
      <c r="O1769" s="266"/>
      <c r="P1769" s="266"/>
      <c r="Q1769" s="266"/>
      <c r="BR1769" s="266"/>
      <c r="BS1769" s="266"/>
      <c r="BT1769" s="266"/>
      <c r="BU1769" s="266"/>
      <c r="BV1769" s="266"/>
    </row>
    <row r="1770" spans="12:74">
      <c r="L1770" s="266"/>
      <c r="M1770" s="266"/>
      <c r="N1770" s="266"/>
      <c r="O1770" s="266"/>
      <c r="P1770" s="266"/>
      <c r="Q1770" s="266"/>
      <c r="BR1770" s="266"/>
      <c r="BS1770" s="266"/>
      <c r="BT1770" s="266"/>
      <c r="BU1770" s="266"/>
      <c r="BV1770" s="266"/>
    </row>
    <row r="1771" spans="12:74">
      <c r="L1771" s="266"/>
      <c r="M1771" s="266"/>
      <c r="N1771" s="266"/>
      <c r="O1771" s="266"/>
      <c r="P1771" s="266"/>
      <c r="Q1771" s="266"/>
      <c r="BR1771" s="266"/>
      <c r="BS1771" s="266"/>
      <c r="BT1771" s="266"/>
      <c r="BU1771" s="266"/>
      <c r="BV1771" s="266"/>
    </row>
    <row r="1772" spans="12:74">
      <c r="L1772" s="266"/>
      <c r="M1772" s="266"/>
      <c r="N1772" s="266"/>
      <c r="O1772" s="266"/>
      <c r="P1772" s="266"/>
      <c r="Q1772" s="266"/>
      <c r="BR1772" s="266"/>
      <c r="BS1772" s="266"/>
      <c r="BT1772" s="266"/>
      <c r="BU1772" s="266"/>
      <c r="BV1772" s="266"/>
    </row>
    <row r="1773" spans="12:74">
      <c r="L1773" s="266"/>
      <c r="M1773" s="266"/>
      <c r="N1773" s="266"/>
      <c r="O1773" s="266"/>
      <c r="P1773" s="266"/>
      <c r="Q1773" s="266"/>
      <c r="BR1773" s="266"/>
      <c r="BS1773" s="266"/>
      <c r="BT1773" s="266"/>
      <c r="BU1773" s="266"/>
      <c r="BV1773" s="266"/>
    </row>
    <row r="1774" spans="12:74">
      <c r="L1774" s="266"/>
      <c r="M1774" s="266"/>
      <c r="N1774" s="266"/>
      <c r="O1774" s="266"/>
      <c r="P1774" s="266"/>
      <c r="Q1774" s="266"/>
      <c r="BR1774" s="266"/>
      <c r="BS1774" s="266"/>
      <c r="BT1774" s="266"/>
      <c r="BU1774" s="266"/>
      <c r="BV1774" s="266"/>
    </row>
    <row r="1775" spans="12:74">
      <c r="L1775" s="266"/>
      <c r="M1775" s="266"/>
      <c r="N1775" s="266"/>
      <c r="O1775" s="266"/>
      <c r="P1775" s="266"/>
      <c r="Q1775" s="266"/>
      <c r="BR1775" s="266"/>
      <c r="BS1775" s="266"/>
      <c r="BT1775" s="266"/>
      <c r="BU1775" s="266"/>
      <c r="BV1775" s="266"/>
    </row>
    <row r="1776" spans="12:74">
      <c r="L1776" s="266"/>
      <c r="M1776" s="266"/>
      <c r="N1776" s="266"/>
      <c r="O1776" s="266"/>
      <c r="P1776" s="266"/>
      <c r="Q1776" s="266"/>
      <c r="BR1776" s="266"/>
      <c r="BS1776" s="266"/>
      <c r="BT1776" s="266"/>
      <c r="BU1776" s="266"/>
      <c r="BV1776" s="266"/>
    </row>
    <row r="1777" spans="12:74">
      <c r="L1777" s="266"/>
      <c r="M1777" s="266"/>
      <c r="N1777" s="266"/>
      <c r="O1777" s="266"/>
      <c r="P1777" s="266"/>
      <c r="Q1777" s="266"/>
      <c r="BR1777" s="266"/>
      <c r="BS1777" s="266"/>
      <c r="BT1777" s="266"/>
      <c r="BU1777" s="266"/>
      <c r="BV1777" s="266"/>
    </row>
    <row r="1778" spans="12:74">
      <c r="L1778" s="266"/>
      <c r="M1778" s="266"/>
      <c r="N1778" s="266"/>
      <c r="O1778" s="266"/>
      <c r="P1778" s="266"/>
      <c r="Q1778" s="266"/>
      <c r="BR1778" s="266"/>
      <c r="BS1778" s="266"/>
      <c r="BT1778" s="266"/>
      <c r="BU1778" s="266"/>
      <c r="BV1778" s="266"/>
    </row>
    <row r="1779" spans="12:74">
      <c r="L1779" s="266"/>
      <c r="M1779" s="266"/>
      <c r="N1779" s="266"/>
      <c r="O1779" s="266"/>
      <c r="P1779" s="266"/>
      <c r="Q1779" s="266"/>
      <c r="BR1779" s="266"/>
      <c r="BS1779" s="266"/>
      <c r="BT1779" s="266"/>
      <c r="BU1779" s="266"/>
      <c r="BV1779" s="266"/>
    </row>
    <row r="1780" spans="12:74">
      <c r="L1780" s="266"/>
      <c r="M1780" s="266"/>
      <c r="N1780" s="266"/>
      <c r="O1780" s="266"/>
      <c r="P1780" s="266"/>
      <c r="Q1780" s="266"/>
      <c r="BR1780" s="266"/>
      <c r="BS1780" s="266"/>
      <c r="BT1780" s="266"/>
      <c r="BU1780" s="266"/>
      <c r="BV1780" s="266"/>
    </row>
    <row r="1781" spans="12:74">
      <c r="L1781" s="266"/>
      <c r="M1781" s="266"/>
      <c r="N1781" s="266"/>
      <c r="O1781" s="266"/>
      <c r="P1781" s="266"/>
      <c r="Q1781" s="266"/>
      <c r="BR1781" s="266"/>
      <c r="BS1781" s="266"/>
      <c r="BT1781" s="266"/>
      <c r="BU1781" s="266"/>
      <c r="BV1781" s="266"/>
    </row>
    <row r="1782" spans="12:74">
      <c r="L1782" s="266"/>
      <c r="M1782" s="266"/>
      <c r="N1782" s="266"/>
      <c r="O1782" s="266"/>
      <c r="P1782" s="266"/>
      <c r="Q1782" s="266"/>
      <c r="BR1782" s="266"/>
      <c r="BS1782" s="266"/>
      <c r="BT1782" s="266"/>
      <c r="BU1782" s="266"/>
      <c r="BV1782" s="266"/>
    </row>
    <row r="1783" spans="12:74">
      <c r="L1783" s="266"/>
      <c r="M1783" s="266"/>
      <c r="N1783" s="266"/>
      <c r="O1783" s="266"/>
      <c r="P1783" s="266"/>
      <c r="Q1783" s="266"/>
      <c r="BR1783" s="266"/>
      <c r="BS1783" s="266"/>
      <c r="BT1783" s="266"/>
      <c r="BU1783" s="266"/>
      <c r="BV1783" s="266"/>
    </row>
    <row r="1784" spans="12:74">
      <c r="L1784" s="266"/>
      <c r="M1784" s="266"/>
      <c r="N1784" s="266"/>
      <c r="O1784" s="266"/>
      <c r="P1784" s="266"/>
      <c r="Q1784" s="266"/>
      <c r="BR1784" s="266"/>
      <c r="BS1784" s="266"/>
      <c r="BT1784" s="266"/>
      <c r="BU1784" s="266"/>
      <c r="BV1784" s="266"/>
    </row>
    <row r="1785" spans="12:74">
      <c r="L1785" s="266"/>
      <c r="M1785" s="266"/>
      <c r="N1785" s="266"/>
      <c r="O1785" s="266"/>
      <c r="P1785" s="266"/>
      <c r="Q1785" s="266"/>
      <c r="BR1785" s="266"/>
      <c r="BS1785" s="266"/>
      <c r="BT1785" s="266"/>
      <c r="BU1785" s="266"/>
      <c r="BV1785" s="266"/>
    </row>
    <row r="1786" spans="12:74">
      <c r="L1786" s="266"/>
      <c r="M1786" s="266"/>
      <c r="N1786" s="266"/>
      <c r="O1786" s="266"/>
      <c r="P1786" s="266"/>
      <c r="Q1786" s="266"/>
      <c r="BR1786" s="266"/>
      <c r="BS1786" s="266"/>
      <c r="BT1786" s="266"/>
      <c r="BU1786" s="266"/>
      <c r="BV1786" s="266"/>
    </row>
    <row r="1787" spans="12:74">
      <c r="L1787" s="266"/>
      <c r="M1787" s="266"/>
      <c r="N1787" s="266"/>
      <c r="O1787" s="266"/>
      <c r="P1787" s="266"/>
      <c r="Q1787" s="266"/>
      <c r="BR1787" s="266"/>
      <c r="BS1787" s="266"/>
      <c r="BT1787" s="266"/>
      <c r="BU1787" s="266"/>
      <c r="BV1787" s="266"/>
    </row>
    <row r="1788" spans="12:74">
      <c r="L1788" s="266"/>
      <c r="M1788" s="266"/>
      <c r="N1788" s="266"/>
      <c r="O1788" s="266"/>
      <c r="P1788" s="266"/>
      <c r="Q1788" s="266"/>
      <c r="BR1788" s="266"/>
      <c r="BS1788" s="266"/>
      <c r="BT1788" s="266"/>
      <c r="BU1788" s="266"/>
      <c r="BV1788" s="266"/>
    </row>
    <row r="1789" spans="12:74">
      <c r="L1789" s="266"/>
      <c r="M1789" s="266"/>
      <c r="N1789" s="266"/>
      <c r="O1789" s="266"/>
      <c r="P1789" s="266"/>
      <c r="Q1789" s="266"/>
      <c r="BR1789" s="266"/>
      <c r="BS1789" s="266"/>
      <c r="BT1789" s="266"/>
      <c r="BU1789" s="266"/>
      <c r="BV1789" s="266"/>
    </row>
    <row r="1790" spans="12:74">
      <c r="L1790" s="266"/>
      <c r="M1790" s="266"/>
      <c r="N1790" s="266"/>
      <c r="O1790" s="266"/>
      <c r="P1790" s="266"/>
      <c r="Q1790" s="266"/>
      <c r="BR1790" s="266"/>
      <c r="BS1790" s="266"/>
      <c r="BT1790" s="266"/>
      <c r="BU1790" s="266"/>
      <c r="BV1790" s="266"/>
    </row>
    <row r="1791" spans="12:74">
      <c r="L1791" s="266"/>
      <c r="M1791" s="266"/>
      <c r="N1791" s="266"/>
      <c r="O1791" s="266"/>
      <c r="P1791" s="266"/>
      <c r="Q1791" s="266"/>
      <c r="BR1791" s="266"/>
      <c r="BS1791" s="266"/>
      <c r="BT1791" s="266"/>
      <c r="BU1791" s="266"/>
      <c r="BV1791" s="266"/>
    </row>
    <row r="1792" spans="12:74">
      <c r="L1792" s="266"/>
      <c r="M1792" s="266"/>
      <c r="N1792" s="266"/>
      <c r="O1792" s="266"/>
      <c r="P1792" s="266"/>
      <c r="Q1792" s="266"/>
      <c r="BR1792" s="266"/>
      <c r="BS1792" s="266"/>
      <c r="BT1792" s="266"/>
      <c r="BU1792" s="266"/>
      <c r="BV1792" s="266"/>
    </row>
    <row r="1793" spans="12:74">
      <c r="L1793" s="266"/>
      <c r="M1793" s="266"/>
      <c r="N1793" s="266"/>
      <c r="O1793" s="266"/>
      <c r="P1793" s="266"/>
      <c r="Q1793" s="266"/>
      <c r="BR1793" s="266"/>
      <c r="BS1793" s="266"/>
      <c r="BT1793" s="266"/>
      <c r="BU1793" s="266"/>
      <c r="BV1793" s="266"/>
    </row>
    <row r="1794" spans="12:74">
      <c r="L1794" s="266"/>
      <c r="M1794" s="266"/>
      <c r="N1794" s="266"/>
      <c r="O1794" s="266"/>
      <c r="P1794" s="266"/>
      <c r="Q1794" s="266"/>
      <c r="BR1794" s="266"/>
      <c r="BS1794" s="266"/>
      <c r="BT1794" s="266"/>
      <c r="BU1794" s="266"/>
      <c r="BV1794" s="266"/>
    </row>
    <row r="1795" spans="12:74">
      <c r="L1795" s="266"/>
      <c r="M1795" s="266"/>
      <c r="N1795" s="266"/>
      <c r="O1795" s="266"/>
      <c r="P1795" s="266"/>
      <c r="Q1795" s="266"/>
      <c r="BR1795" s="266"/>
      <c r="BS1795" s="266"/>
      <c r="BT1795" s="266"/>
      <c r="BU1795" s="266"/>
      <c r="BV1795" s="266"/>
    </row>
    <row r="1796" spans="12:74">
      <c r="L1796" s="266"/>
      <c r="M1796" s="266"/>
      <c r="N1796" s="266"/>
      <c r="O1796" s="266"/>
      <c r="P1796" s="266"/>
      <c r="Q1796" s="266"/>
      <c r="BR1796" s="266"/>
      <c r="BS1796" s="266"/>
      <c r="BT1796" s="266"/>
      <c r="BU1796" s="266"/>
      <c r="BV1796" s="266"/>
    </row>
    <row r="1797" spans="12:74">
      <c r="L1797" s="266"/>
      <c r="M1797" s="266"/>
      <c r="N1797" s="266"/>
      <c r="O1797" s="266"/>
      <c r="P1797" s="266"/>
      <c r="Q1797" s="266"/>
      <c r="BR1797" s="266"/>
      <c r="BS1797" s="266"/>
      <c r="BT1797" s="266"/>
      <c r="BU1797" s="266"/>
      <c r="BV1797" s="266"/>
    </row>
    <row r="1798" spans="12:74">
      <c r="L1798" s="266"/>
      <c r="M1798" s="266"/>
      <c r="N1798" s="266"/>
      <c r="O1798" s="266"/>
      <c r="P1798" s="266"/>
      <c r="Q1798" s="266"/>
      <c r="BR1798" s="266"/>
      <c r="BS1798" s="266"/>
      <c r="BT1798" s="266"/>
      <c r="BU1798" s="266"/>
      <c r="BV1798" s="266"/>
    </row>
    <row r="1799" spans="12:74">
      <c r="L1799" s="266"/>
      <c r="M1799" s="266"/>
      <c r="N1799" s="266"/>
      <c r="O1799" s="266"/>
      <c r="P1799" s="266"/>
      <c r="Q1799" s="266"/>
      <c r="BR1799" s="266"/>
      <c r="BS1799" s="266"/>
      <c r="BT1799" s="266"/>
      <c r="BU1799" s="266"/>
      <c r="BV1799" s="266"/>
    </row>
    <row r="1800" spans="12:74">
      <c r="L1800" s="266"/>
      <c r="M1800" s="266"/>
      <c r="N1800" s="266"/>
      <c r="O1800" s="266"/>
      <c r="P1800" s="266"/>
      <c r="Q1800" s="266"/>
      <c r="BR1800" s="266"/>
      <c r="BS1800" s="266"/>
      <c r="BT1800" s="266"/>
      <c r="BU1800" s="266"/>
      <c r="BV1800" s="266"/>
    </row>
    <row r="1801" spans="12:74">
      <c r="L1801" s="266"/>
      <c r="M1801" s="266"/>
      <c r="N1801" s="266"/>
      <c r="O1801" s="266"/>
      <c r="P1801" s="266"/>
      <c r="Q1801" s="266"/>
      <c r="BR1801" s="266"/>
      <c r="BS1801" s="266"/>
      <c r="BT1801" s="266"/>
      <c r="BU1801" s="266"/>
      <c r="BV1801" s="266"/>
    </row>
    <row r="1802" spans="12:74">
      <c r="L1802" s="266"/>
      <c r="M1802" s="266"/>
      <c r="N1802" s="266"/>
      <c r="O1802" s="266"/>
      <c r="P1802" s="266"/>
      <c r="Q1802" s="266"/>
      <c r="BR1802" s="266"/>
      <c r="BS1802" s="266"/>
      <c r="BT1802" s="266"/>
      <c r="BU1802" s="266"/>
      <c r="BV1802" s="266"/>
    </row>
    <row r="1803" spans="12:74">
      <c r="L1803" s="266"/>
      <c r="M1803" s="266"/>
      <c r="N1803" s="266"/>
      <c r="O1803" s="266"/>
      <c r="P1803" s="266"/>
      <c r="Q1803" s="266"/>
      <c r="BR1803" s="266"/>
      <c r="BS1803" s="266"/>
      <c r="BT1803" s="266"/>
      <c r="BU1803" s="266"/>
      <c r="BV1803" s="266"/>
    </row>
    <row r="1804" spans="12:74">
      <c r="L1804" s="266"/>
      <c r="M1804" s="266"/>
      <c r="N1804" s="266"/>
      <c r="O1804" s="266"/>
      <c r="P1804" s="266"/>
      <c r="Q1804" s="266"/>
      <c r="BR1804" s="266"/>
      <c r="BS1804" s="266"/>
      <c r="BT1804" s="266"/>
      <c r="BU1804" s="266"/>
      <c r="BV1804" s="266"/>
    </row>
    <row r="1805" spans="12:74">
      <c r="L1805" s="266"/>
      <c r="M1805" s="266"/>
      <c r="N1805" s="266"/>
      <c r="O1805" s="266"/>
      <c r="P1805" s="266"/>
      <c r="Q1805" s="266"/>
      <c r="BR1805" s="266"/>
      <c r="BS1805" s="266"/>
      <c r="BT1805" s="266"/>
      <c r="BU1805" s="266"/>
      <c r="BV1805" s="266"/>
    </row>
    <row r="1806" spans="12:74">
      <c r="L1806" s="266"/>
      <c r="M1806" s="266"/>
      <c r="N1806" s="266"/>
      <c r="O1806" s="266"/>
      <c r="P1806" s="266"/>
      <c r="Q1806" s="266"/>
      <c r="BR1806" s="266"/>
      <c r="BS1806" s="266"/>
      <c r="BT1806" s="266"/>
      <c r="BU1806" s="266"/>
      <c r="BV1806" s="266"/>
    </row>
    <row r="1807" spans="12:74">
      <c r="L1807" s="266"/>
      <c r="M1807" s="266"/>
      <c r="N1807" s="266"/>
      <c r="O1807" s="266"/>
      <c r="P1807" s="266"/>
      <c r="Q1807" s="266"/>
      <c r="BR1807" s="266"/>
      <c r="BS1807" s="266"/>
      <c r="BT1807" s="266"/>
      <c r="BU1807" s="266"/>
      <c r="BV1807" s="266"/>
    </row>
    <row r="1808" spans="12:74">
      <c r="L1808" s="266"/>
      <c r="M1808" s="266"/>
      <c r="N1808" s="266"/>
      <c r="O1808" s="266"/>
      <c r="P1808" s="266"/>
      <c r="Q1808" s="266"/>
      <c r="BR1808" s="266"/>
      <c r="BS1808" s="266"/>
      <c r="BT1808" s="266"/>
      <c r="BU1808" s="266"/>
      <c r="BV1808" s="266"/>
    </row>
    <row r="1809" spans="12:74">
      <c r="L1809" s="266"/>
      <c r="M1809" s="266"/>
      <c r="N1809" s="266"/>
      <c r="O1809" s="266"/>
      <c r="P1809" s="266"/>
      <c r="Q1809" s="266"/>
      <c r="BR1809" s="266"/>
      <c r="BS1809" s="266"/>
      <c r="BT1809" s="266"/>
      <c r="BU1809" s="266"/>
      <c r="BV1809" s="266"/>
    </row>
    <row r="1810" spans="12:74">
      <c r="L1810" s="266"/>
      <c r="M1810" s="266"/>
      <c r="N1810" s="266"/>
      <c r="O1810" s="266"/>
      <c r="P1810" s="266"/>
      <c r="Q1810" s="266"/>
      <c r="BR1810" s="266"/>
      <c r="BS1810" s="266"/>
      <c r="BT1810" s="266"/>
      <c r="BU1810" s="266"/>
      <c r="BV1810" s="266"/>
    </row>
    <row r="1811" spans="12:74">
      <c r="L1811" s="266"/>
      <c r="M1811" s="266"/>
      <c r="N1811" s="266"/>
      <c r="O1811" s="266"/>
      <c r="P1811" s="266"/>
      <c r="Q1811" s="266"/>
      <c r="BR1811" s="266"/>
      <c r="BS1811" s="266"/>
      <c r="BT1811" s="266"/>
      <c r="BU1811" s="266"/>
      <c r="BV1811" s="266"/>
    </row>
    <row r="1812" spans="12:74">
      <c r="L1812" s="266"/>
      <c r="M1812" s="266"/>
      <c r="N1812" s="266"/>
      <c r="O1812" s="266"/>
      <c r="P1812" s="266"/>
      <c r="Q1812" s="266"/>
      <c r="BR1812" s="266"/>
      <c r="BS1812" s="266"/>
      <c r="BT1812" s="266"/>
      <c r="BU1812" s="266"/>
      <c r="BV1812" s="266"/>
    </row>
    <row r="1813" spans="12:74">
      <c r="L1813" s="266"/>
      <c r="M1813" s="266"/>
      <c r="N1813" s="266"/>
      <c r="O1813" s="266"/>
      <c r="P1813" s="266"/>
      <c r="Q1813" s="266"/>
      <c r="BR1813" s="266"/>
      <c r="BS1813" s="266"/>
      <c r="BT1813" s="266"/>
      <c r="BU1813" s="266"/>
      <c r="BV1813" s="266"/>
    </row>
    <row r="1814" spans="12:74">
      <c r="L1814" s="266"/>
      <c r="M1814" s="266"/>
      <c r="N1814" s="266"/>
      <c r="O1814" s="266"/>
      <c r="P1814" s="266"/>
      <c r="Q1814" s="266"/>
      <c r="BR1814" s="266"/>
      <c r="BS1814" s="266"/>
      <c r="BT1814" s="266"/>
      <c r="BU1814" s="266"/>
      <c r="BV1814" s="266"/>
    </row>
    <row r="1815" spans="12:74">
      <c r="L1815" s="266"/>
      <c r="M1815" s="266"/>
      <c r="N1815" s="266"/>
      <c r="O1815" s="266"/>
      <c r="P1815" s="266"/>
      <c r="Q1815" s="266"/>
      <c r="BR1815" s="266"/>
      <c r="BS1815" s="266"/>
      <c r="BT1815" s="266"/>
      <c r="BU1815" s="266"/>
      <c r="BV1815" s="266"/>
    </row>
    <row r="1816" spans="12:74">
      <c r="L1816" s="266"/>
      <c r="M1816" s="266"/>
      <c r="N1816" s="266"/>
      <c r="O1816" s="266"/>
      <c r="P1816" s="266"/>
      <c r="Q1816" s="266"/>
      <c r="BR1816" s="266"/>
      <c r="BS1816" s="266"/>
      <c r="BT1816" s="266"/>
      <c r="BU1816" s="266"/>
      <c r="BV1816" s="266"/>
    </row>
    <row r="1817" spans="12:74">
      <c r="L1817" s="266"/>
      <c r="M1817" s="266"/>
      <c r="N1817" s="266"/>
      <c r="O1817" s="266"/>
      <c r="P1817" s="266"/>
      <c r="Q1817" s="266"/>
      <c r="BR1817" s="266"/>
      <c r="BS1817" s="266"/>
      <c r="BT1817" s="266"/>
      <c r="BU1817" s="266"/>
      <c r="BV1817" s="266"/>
    </row>
    <row r="1818" spans="12:74">
      <c r="L1818" s="266"/>
      <c r="M1818" s="266"/>
      <c r="N1818" s="266"/>
      <c r="O1818" s="266"/>
      <c r="P1818" s="266"/>
      <c r="Q1818" s="266"/>
      <c r="BR1818" s="266"/>
      <c r="BS1818" s="266"/>
      <c r="BT1818" s="266"/>
      <c r="BU1818" s="266"/>
      <c r="BV1818" s="266"/>
    </row>
    <row r="1819" spans="12:74">
      <c r="L1819" s="266"/>
      <c r="M1819" s="266"/>
      <c r="N1819" s="266"/>
      <c r="O1819" s="266"/>
      <c r="P1819" s="266"/>
      <c r="Q1819" s="266"/>
      <c r="BR1819" s="266"/>
      <c r="BS1819" s="266"/>
      <c r="BT1819" s="266"/>
      <c r="BU1819" s="266"/>
      <c r="BV1819" s="266"/>
    </row>
    <row r="1820" spans="12:74">
      <c r="L1820" s="266"/>
      <c r="M1820" s="266"/>
      <c r="N1820" s="266"/>
      <c r="O1820" s="266"/>
      <c r="P1820" s="266"/>
      <c r="Q1820" s="266"/>
      <c r="BR1820" s="266"/>
      <c r="BS1820" s="266"/>
      <c r="BT1820" s="266"/>
      <c r="BU1820" s="266"/>
      <c r="BV1820" s="266"/>
    </row>
    <row r="1821" spans="12:74">
      <c r="L1821" s="266"/>
      <c r="M1821" s="266"/>
      <c r="N1821" s="266"/>
      <c r="O1821" s="266"/>
      <c r="P1821" s="266"/>
      <c r="Q1821" s="266"/>
      <c r="BR1821" s="266"/>
      <c r="BS1821" s="266"/>
      <c r="BT1821" s="266"/>
      <c r="BU1821" s="266"/>
      <c r="BV1821" s="266"/>
    </row>
    <row r="1822" spans="12:74">
      <c r="L1822" s="266"/>
      <c r="M1822" s="266"/>
      <c r="N1822" s="266"/>
      <c r="O1822" s="266"/>
      <c r="P1822" s="266"/>
      <c r="Q1822" s="266"/>
      <c r="BR1822" s="266"/>
      <c r="BS1822" s="266"/>
      <c r="BT1822" s="266"/>
      <c r="BU1822" s="266"/>
      <c r="BV1822" s="266"/>
    </row>
    <row r="1823" spans="12:74">
      <c r="L1823" s="266"/>
      <c r="M1823" s="266"/>
      <c r="N1823" s="266"/>
      <c r="O1823" s="266"/>
      <c r="P1823" s="266"/>
      <c r="Q1823" s="266"/>
      <c r="BR1823" s="266"/>
      <c r="BS1823" s="266"/>
      <c r="BT1823" s="266"/>
      <c r="BU1823" s="266"/>
      <c r="BV1823" s="266"/>
    </row>
    <row r="1824" spans="12:74">
      <c r="L1824" s="266"/>
      <c r="M1824" s="266"/>
      <c r="N1824" s="266"/>
      <c r="O1824" s="266"/>
      <c r="P1824" s="266"/>
      <c r="Q1824" s="266"/>
      <c r="BR1824" s="266"/>
      <c r="BS1824" s="266"/>
      <c r="BT1824" s="266"/>
      <c r="BU1824" s="266"/>
      <c r="BV1824" s="266"/>
    </row>
    <row r="1825" spans="12:74">
      <c r="L1825" s="266"/>
      <c r="M1825" s="266"/>
      <c r="N1825" s="266"/>
      <c r="O1825" s="266"/>
      <c r="P1825" s="266"/>
      <c r="Q1825" s="266"/>
      <c r="BR1825" s="266"/>
      <c r="BS1825" s="266"/>
      <c r="BT1825" s="266"/>
      <c r="BU1825" s="266"/>
      <c r="BV1825" s="266"/>
    </row>
    <row r="1826" spans="12:74">
      <c r="L1826" s="266"/>
      <c r="M1826" s="266"/>
      <c r="N1826" s="266"/>
      <c r="O1826" s="266"/>
      <c r="P1826" s="266"/>
      <c r="Q1826" s="266"/>
      <c r="BR1826" s="266"/>
      <c r="BS1826" s="266"/>
      <c r="BT1826" s="266"/>
      <c r="BU1826" s="266"/>
      <c r="BV1826" s="266"/>
    </row>
    <row r="1827" spans="12:74">
      <c r="L1827" s="266"/>
      <c r="M1827" s="266"/>
      <c r="N1827" s="266"/>
      <c r="O1827" s="266"/>
      <c r="P1827" s="266"/>
      <c r="Q1827" s="266"/>
      <c r="BR1827" s="266"/>
      <c r="BS1827" s="266"/>
      <c r="BT1827" s="266"/>
      <c r="BU1827" s="266"/>
      <c r="BV1827" s="266"/>
    </row>
    <row r="1828" spans="12:74">
      <c r="L1828" s="266"/>
      <c r="M1828" s="266"/>
      <c r="N1828" s="266"/>
      <c r="O1828" s="266"/>
      <c r="P1828" s="266"/>
      <c r="Q1828" s="266"/>
      <c r="BR1828" s="266"/>
      <c r="BS1828" s="266"/>
      <c r="BT1828" s="266"/>
      <c r="BU1828" s="266"/>
      <c r="BV1828" s="266"/>
    </row>
    <row r="1829" spans="12:74">
      <c r="L1829" s="266"/>
      <c r="M1829" s="266"/>
      <c r="N1829" s="266"/>
      <c r="O1829" s="266"/>
      <c r="P1829" s="266"/>
      <c r="Q1829" s="266"/>
      <c r="BR1829" s="266"/>
      <c r="BS1829" s="266"/>
      <c r="BT1829" s="266"/>
      <c r="BU1829" s="266"/>
      <c r="BV1829" s="266"/>
    </row>
    <row r="1830" spans="12:74">
      <c r="L1830" s="266"/>
      <c r="M1830" s="266"/>
      <c r="N1830" s="266"/>
      <c r="O1830" s="266"/>
      <c r="P1830" s="266"/>
      <c r="Q1830" s="266"/>
      <c r="BR1830" s="266"/>
      <c r="BS1830" s="266"/>
      <c r="BT1830" s="266"/>
      <c r="BU1830" s="266"/>
      <c r="BV1830" s="266"/>
    </row>
    <row r="1831" spans="12:74">
      <c r="L1831" s="266"/>
      <c r="M1831" s="266"/>
      <c r="N1831" s="266"/>
      <c r="O1831" s="266"/>
      <c r="P1831" s="266"/>
      <c r="Q1831" s="266"/>
      <c r="BR1831" s="266"/>
      <c r="BS1831" s="266"/>
      <c r="BT1831" s="266"/>
      <c r="BU1831" s="266"/>
      <c r="BV1831" s="266"/>
    </row>
    <row r="1832" spans="12:74">
      <c r="L1832" s="266"/>
      <c r="M1832" s="266"/>
      <c r="N1832" s="266"/>
      <c r="O1832" s="266"/>
      <c r="P1832" s="266"/>
      <c r="Q1832" s="266"/>
      <c r="BR1832" s="266"/>
      <c r="BS1832" s="266"/>
      <c r="BT1832" s="266"/>
      <c r="BU1832" s="266"/>
      <c r="BV1832" s="266"/>
    </row>
    <row r="1833" spans="12:74">
      <c r="L1833" s="266"/>
      <c r="M1833" s="266"/>
      <c r="N1833" s="266"/>
      <c r="O1833" s="266"/>
      <c r="P1833" s="266"/>
      <c r="Q1833" s="266"/>
      <c r="BR1833" s="266"/>
      <c r="BS1833" s="266"/>
      <c r="BT1833" s="266"/>
      <c r="BU1833" s="266"/>
      <c r="BV1833" s="266"/>
    </row>
    <row r="1834" spans="12:74">
      <c r="L1834" s="266"/>
      <c r="M1834" s="266"/>
      <c r="N1834" s="266"/>
      <c r="O1834" s="266"/>
      <c r="P1834" s="266"/>
      <c r="Q1834" s="266"/>
      <c r="BR1834" s="266"/>
      <c r="BS1834" s="266"/>
      <c r="BT1834" s="266"/>
      <c r="BU1834" s="266"/>
      <c r="BV1834" s="266"/>
    </row>
    <row r="1835" spans="12:74">
      <c r="L1835" s="266"/>
      <c r="M1835" s="266"/>
      <c r="N1835" s="266"/>
      <c r="O1835" s="266"/>
      <c r="P1835" s="266"/>
      <c r="Q1835" s="266"/>
      <c r="BR1835" s="266"/>
      <c r="BS1835" s="266"/>
      <c r="BT1835" s="266"/>
      <c r="BU1835" s="266"/>
      <c r="BV1835" s="266"/>
    </row>
    <row r="1836" spans="12:74">
      <c r="L1836" s="266"/>
      <c r="M1836" s="266"/>
      <c r="N1836" s="266"/>
      <c r="O1836" s="266"/>
      <c r="P1836" s="266"/>
      <c r="Q1836" s="266"/>
      <c r="BR1836" s="266"/>
      <c r="BS1836" s="266"/>
      <c r="BT1836" s="266"/>
      <c r="BU1836" s="266"/>
      <c r="BV1836" s="266"/>
    </row>
    <row r="1837" spans="12:74">
      <c r="L1837" s="266"/>
      <c r="M1837" s="266"/>
      <c r="N1837" s="266"/>
      <c r="O1837" s="266"/>
      <c r="P1837" s="266"/>
      <c r="Q1837" s="266"/>
      <c r="BR1837" s="266"/>
      <c r="BS1837" s="266"/>
      <c r="BT1837" s="266"/>
      <c r="BU1837" s="266"/>
      <c r="BV1837" s="266"/>
    </row>
    <row r="1838" spans="12:74">
      <c r="L1838" s="266"/>
      <c r="M1838" s="266"/>
      <c r="N1838" s="266"/>
      <c r="O1838" s="266"/>
      <c r="P1838" s="266"/>
      <c r="Q1838" s="266"/>
      <c r="BR1838" s="266"/>
      <c r="BS1838" s="266"/>
      <c r="BT1838" s="266"/>
      <c r="BU1838" s="266"/>
      <c r="BV1838" s="266"/>
    </row>
    <row r="1839" spans="12:74">
      <c r="L1839" s="266"/>
      <c r="M1839" s="266"/>
      <c r="N1839" s="266"/>
      <c r="O1839" s="266"/>
      <c r="P1839" s="266"/>
      <c r="Q1839" s="266"/>
      <c r="BR1839" s="266"/>
      <c r="BS1839" s="266"/>
      <c r="BT1839" s="266"/>
      <c r="BU1839" s="266"/>
      <c r="BV1839" s="266"/>
    </row>
    <row r="1840" spans="12:74">
      <c r="L1840" s="266"/>
      <c r="M1840" s="266"/>
      <c r="N1840" s="266"/>
      <c r="O1840" s="266"/>
      <c r="P1840" s="266"/>
      <c r="Q1840" s="266"/>
      <c r="BR1840" s="266"/>
      <c r="BS1840" s="266"/>
      <c r="BT1840" s="266"/>
      <c r="BU1840" s="266"/>
      <c r="BV1840" s="266"/>
    </row>
    <row r="1841" spans="12:74">
      <c r="L1841" s="266"/>
      <c r="M1841" s="266"/>
      <c r="N1841" s="266"/>
      <c r="O1841" s="266"/>
      <c r="P1841" s="266"/>
      <c r="Q1841" s="266"/>
      <c r="BR1841" s="266"/>
      <c r="BS1841" s="266"/>
      <c r="BT1841" s="266"/>
      <c r="BU1841" s="266"/>
      <c r="BV1841" s="266"/>
    </row>
    <row r="1842" spans="12:74">
      <c r="L1842" s="266"/>
      <c r="M1842" s="266"/>
      <c r="N1842" s="266"/>
      <c r="O1842" s="266"/>
      <c r="P1842" s="266"/>
      <c r="Q1842" s="266"/>
      <c r="BR1842" s="266"/>
      <c r="BS1842" s="266"/>
      <c r="BT1842" s="266"/>
      <c r="BU1842" s="266"/>
      <c r="BV1842" s="266"/>
    </row>
    <row r="1843" spans="12:74">
      <c r="L1843" s="266"/>
      <c r="M1843" s="266"/>
      <c r="N1843" s="266"/>
      <c r="O1843" s="266"/>
      <c r="P1843" s="266"/>
      <c r="Q1843" s="266"/>
      <c r="BR1843" s="266"/>
      <c r="BS1843" s="266"/>
      <c r="BT1843" s="266"/>
      <c r="BU1843" s="266"/>
      <c r="BV1843" s="266"/>
    </row>
    <row r="1844" spans="12:74">
      <c r="L1844" s="266"/>
      <c r="M1844" s="266"/>
      <c r="N1844" s="266"/>
      <c r="O1844" s="266"/>
      <c r="P1844" s="266"/>
      <c r="Q1844" s="266"/>
      <c r="BR1844" s="266"/>
      <c r="BS1844" s="266"/>
      <c r="BT1844" s="266"/>
      <c r="BU1844" s="266"/>
      <c r="BV1844" s="266"/>
    </row>
    <row r="1845" spans="12:74">
      <c r="L1845" s="266"/>
      <c r="M1845" s="266"/>
      <c r="N1845" s="266"/>
      <c r="O1845" s="266"/>
      <c r="P1845" s="266"/>
      <c r="Q1845" s="266"/>
      <c r="BR1845" s="266"/>
      <c r="BS1845" s="266"/>
      <c r="BT1845" s="266"/>
      <c r="BU1845" s="266"/>
      <c r="BV1845" s="266"/>
    </row>
    <row r="1846" spans="12:74">
      <c r="L1846" s="266"/>
      <c r="M1846" s="266"/>
      <c r="N1846" s="266"/>
      <c r="O1846" s="266"/>
      <c r="P1846" s="266"/>
      <c r="Q1846" s="266"/>
      <c r="BR1846" s="266"/>
      <c r="BS1846" s="266"/>
      <c r="BT1846" s="266"/>
      <c r="BU1846" s="266"/>
      <c r="BV1846" s="266"/>
    </row>
    <row r="1847" spans="12:74">
      <c r="L1847" s="266"/>
      <c r="M1847" s="266"/>
      <c r="N1847" s="266"/>
      <c r="O1847" s="266"/>
      <c r="P1847" s="266"/>
      <c r="Q1847" s="266"/>
      <c r="BR1847" s="266"/>
      <c r="BS1847" s="266"/>
      <c r="BT1847" s="266"/>
      <c r="BU1847" s="266"/>
      <c r="BV1847" s="266"/>
    </row>
    <row r="1848" spans="12:74">
      <c r="L1848" s="266"/>
      <c r="M1848" s="266"/>
      <c r="N1848" s="266"/>
      <c r="O1848" s="266"/>
      <c r="P1848" s="266"/>
      <c r="Q1848" s="266"/>
      <c r="BR1848" s="266"/>
      <c r="BS1848" s="266"/>
      <c r="BT1848" s="266"/>
      <c r="BU1848" s="266"/>
      <c r="BV1848" s="266"/>
    </row>
    <row r="1849" spans="12:74">
      <c r="L1849" s="266"/>
      <c r="M1849" s="266"/>
      <c r="N1849" s="266"/>
      <c r="O1849" s="266"/>
      <c r="P1849" s="266"/>
      <c r="Q1849" s="266"/>
      <c r="BR1849" s="266"/>
      <c r="BS1849" s="266"/>
      <c r="BT1849" s="266"/>
      <c r="BU1849" s="266"/>
      <c r="BV1849" s="266"/>
    </row>
    <row r="1850" spans="12:74">
      <c r="L1850" s="266"/>
      <c r="M1850" s="266"/>
      <c r="N1850" s="266"/>
      <c r="O1850" s="266"/>
      <c r="P1850" s="266"/>
      <c r="Q1850" s="266"/>
      <c r="BR1850" s="266"/>
      <c r="BS1850" s="266"/>
      <c r="BT1850" s="266"/>
      <c r="BU1850" s="266"/>
      <c r="BV1850" s="266"/>
    </row>
    <row r="1851" spans="12:74">
      <c r="L1851" s="266"/>
      <c r="M1851" s="266"/>
      <c r="N1851" s="266"/>
      <c r="O1851" s="266"/>
      <c r="P1851" s="266"/>
      <c r="Q1851" s="266"/>
      <c r="BR1851" s="266"/>
      <c r="BS1851" s="266"/>
      <c r="BT1851" s="266"/>
      <c r="BU1851" s="266"/>
      <c r="BV1851" s="266"/>
    </row>
    <row r="1852" spans="12:74">
      <c r="L1852" s="266"/>
      <c r="M1852" s="266"/>
      <c r="N1852" s="266"/>
      <c r="O1852" s="266"/>
      <c r="P1852" s="266"/>
      <c r="Q1852" s="266"/>
      <c r="BR1852" s="266"/>
      <c r="BS1852" s="266"/>
      <c r="BT1852" s="266"/>
      <c r="BU1852" s="266"/>
      <c r="BV1852" s="266"/>
    </row>
    <row r="1853" spans="12:74">
      <c r="L1853" s="266"/>
      <c r="M1853" s="266"/>
      <c r="N1853" s="266"/>
      <c r="O1853" s="266"/>
      <c r="P1853" s="266"/>
      <c r="Q1853" s="266"/>
      <c r="BR1853" s="266"/>
      <c r="BS1853" s="266"/>
      <c r="BT1853" s="266"/>
      <c r="BU1853" s="266"/>
      <c r="BV1853" s="266"/>
    </row>
    <row r="1854" spans="12:74">
      <c r="L1854" s="266"/>
      <c r="M1854" s="266"/>
      <c r="N1854" s="266"/>
      <c r="O1854" s="266"/>
      <c r="P1854" s="266"/>
      <c r="Q1854" s="266"/>
      <c r="BR1854" s="266"/>
      <c r="BS1854" s="266"/>
      <c r="BT1854" s="266"/>
      <c r="BU1854" s="266"/>
      <c r="BV1854" s="266"/>
    </row>
    <row r="1855" spans="12:74">
      <c r="L1855" s="266"/>
      <c r="M1855" s="266"/>
      <c r="N1855" s="266"/>
      <c r="O1855" s="266"/>
      <c r="P1855" s="266"/>
      <c r="Q1855" s="266"/>
      <c r="BR1855" s="266"/>
      <c r="BS1855" s="266"/>
      <c r="BT1855" s="266"/>
      <c r="BU1855" s="266"/>
      <c r="BV1855" s="266"/>
    </row>
    <row r="1856" spans="12:74">
      <c r="L1856" s="266"/>
      <c r="M1856" s="266"/>
      <c r="N1856" s="266"/>
      <c r="O1856" s="266"/>
      <c r="P1856" s="266"/>
      <c r="Q1856" s="266"/>
      <c r="BR1856" s="266"/>
      <c r="BS1856" s="266"/>
      <c r="BT1856" s="266"/>
      <c r="BU1856" s="266"/>
      <c r="BV1856" s="266"/>
    </row>
    <row r="1857" spans="12:74">
      <c r="L1857" s="266"/>
      <c r="M1857" s="266"/>
      <c r="N1857" s="266"/>
      <c r="O1857" s="266"/>
      <c r="P1857" s="266"/>
      <c r="Q1857" s="266"/>
      <c r="BR1857" s="266"/>
      <c r="BS1857" s="266"/>
      <c r="BT1857" s="266"/>
      <c r="BU1857" s="266"/>
      <c r="BV1857" s="266"/>
    </row>
    <row r="1858" spans="12:74">
      <c r="L1858" s="266"/>
      <c r="M1858" s="266"/>
      <c r="N1858" s="266"/>
      <c r="O1858" s="266"/>
      <c r="P1858" s="266"/>
      <c r="Q1858" s="266"/>
      <c r="BR1858" s="266"/>
      <c r="BS1858" s="266"/>
      <c r="BT1858" s="266"/>
      <c r="BU1858" s="266"/>
      <c r="BV1858" s="266"/>
    </row>
    <row r="1859" spans="12:74">
      <c r="L1859" s="266"/>
      <c r="M1859" s="266"/>
      <c r="N1859" s="266"/>
      <c r="O1859" s="266"/>
      <c r="P1859" s="266"/>
      <c r="Q1859" s="266"/>
      <c r="BR1859" s="266"/>
      <c r="BS1859" s="266"/>
      <c r="BT1859" s="266"/>
      <c r="BU1859" s="266"/>
      <c r="BV1859" s="266"/>
    </row>
    <row r="1860" spans="12:74">
      <c r="L1860" s="266"/>
      <c r="M1860" s="266"/>
      <c r="N1860" s="266"/>
      <c r="O1860" s="266"/>
      <c r="P1860" s="266"/>
      <c r="Q1860" s="266"/>
      <c r="BR1860" s="266"/>
      <c r="BS1860" s="266"/>
      <c r="BT1860" s="266"/>
      <c r="BU1860" s="266"/>
      <c r="BV1860" s="266"/>
    </row>
    <row r="1861" spans="12:74">
      <c r="L1861" s="266"/>
      <c r="M1861" s="266"/>
      <c r="N1861" s="266"/>
      <c r="O1861" s="266"/>
      <c r="P1861" s="266"/>
      <c r="Q1861" s="266"/>
      <c r="BR1861" s="266"/>
      <c r="BS1861" s="266"/>
      <c r="BT1861" s="266"/>
      <c r="BU1861" s="266"/>
      <c r="BV1861" s="266"/>
    </row>
    <row r="1862" spans="12:74">
      <c r="L1862" s="266"/>
      <c r="M1862" s="266"/>
      <c r="N1862" s="266"/>
      <c r="O1862" s="266"/>
      <c r="P1862" s="266"/>
      <c r="Q1862" s="266"/>
      <c r="BR1862" s="266"/>
      <c r="BS1862" s="266"/>
      <c r="BT1862" s="266"/>
      <c r="BU1862" s="266"/>
      <c r="BV1862" s="266"/>
    </row>
    <row r="1863" spans="12:74">
      <c r="L1863" s="266"/>
      <c r="M1863" s="266"/>
      <c r="N1863" s="266"/>
      <c r="O1863" s="266"/>
      <c r="P1863" s="266"/>
      <c r="Q1863" s="266"/>
      <c r="BR1863" s="266"/>
      <c r="BS1863" s="266"/>
      <c r="BT1863" s="266"/>
      <c r="BU1863" s="266"/>
      <c r="BV1863" s="266"/>
    </row>
    <row r="1864" spans="12:74">
      <c r="L1864" s="266"/>
      <c r="M1864" s="266"/>
      <c r="N1864" s="266"/>
      <c r="O1864" s="266"/>
      <c r="P1864" s="266"/>
      <c r="Q1864" s="266"/>
      <c r="BR1864" s="266"/>
      <c r="BS1864" s="266"/>
      <c r="BT1864" s="266"/>
      <c r="BU1864" s="266"/>
      <c r="BV1864" s="266"/>
    </row>
    <row r="1865" spans="12:74">
      <c r="L1865" s="266"/>
      <c r="M1865" s="266"/>
      <c r="N1865" s="266"/>
      <c r="O1865" s="266"/>
      <c r="P1865" s="266"/>
      <c r="Q1865" s="266"/>
      <c r="BR1865" s="266"/>
      <c r="BS1865" s="266"/>
      <c r="BT1865" s="266"/>
      <c r="BU1865" s="266"/>
      <c r="BV1865" s="266"/>
    </row>
    <row r="1866" spans="12:74">
      <c r="L1866" s="266"/>
      <c r="M1866" s="266"/>
      <c r="N1866" s="266"/>
      <c r="O1866" s="266"/>
      <c r="P1866" s="266"/>
      <c r="Q1866" s="266"/>
      <c r="BR1866" s="266"/>
      <c r="BS1866" s="266"/>
      <c r="BT1866" s="266"/>
      <c r="BU1866" s="266"/>
      <c r="BV1866" s="266"/>
    </row>
    <row r="1867" spans="12:74">
      <c r="L1867" s="266"/>
      <c r="M1867" s="266"/>
      <c r="N1867" s="266"/>
      <c r="O1867" s="266"/>
      <c r="P1867" s="266"/>
      <c r="Q1867" s="266"/>
      <c r="BR1867" s="266"/>
      <c r="BS1867" s="266"/>
      <c r="BT1867" s="266"/>
      <c r="BU1867" s="266"/>
      <c r="BV1867" s="266"/>
    </row>
    <row r="1868" spans="12:74">
      <c r="L1868" s="266"/>
      <c r="M1868" s="266"/>
      <c r="N1868" s="266"/>
      <c r="O1868" s="266"/>
      <c r="P1868" s="266"/>
      <c r="Q1868" s="266"/>
      <c r="BR1868" s="266"/>
      <c r="BS1868" s="266"/>
      <c r="BT1868" s="266"/>
      <c r="BU1868" s="266"/>
      <c r="BV1868" s="266"/>
    </row>
    <row r="1869" spans="12:74">
      <c r="L1869" s="266"/>
      <c r="M1869" s="266"/>
      <c r="N1869" s="266"/>
      <c r="O1869" s="266"/>
      <c r="P1869" s="266"/>
      <c r="Q1869" s="266"/>
      <c r="BR1869" s="266"/>
      <c r="BS1869" s="266"/>
      <c r="BT1869" s="266"/>
      <c r="BU1869" s="266"/>
      <c r="BV1869" s="266"/>
    </row>
    <row r="1870" spans="12:74">
      <c r="L1870" s="266"/>
      <c r="M1870" s="266"/>
      <c r="N1870" s="266"/>
      <c r="O1870" s="266"/>
      <c r="P1870" s="266"/>
      <c r="Q1870" s="266"/>
      <c r="BR1870" s="266"/>
      <c r="BS1870" s="266"/>
      <c r="BT1870" s="266"/>
      <c r="BU1870" s="266"/>
      <c r="BV1870" s="266"/>
    </row>
    <row r="1871" spans="12:74">
      <c r="L1871" s="266"/>
      <c r="M1871" s="266"/>
      <c r="N1871" s="266"/>
      <c r="O1871" s="266"/>
      <c r="P1871" s="266"/>
      <c r="Q1871" s="266"/>
      <c r="BR1871" s="266"/>
      <c r="BS1871" s="266"/>
      <c r="BT1871" s="266"/>
      <c r="BU1871" s="266"/>
      <c r="BV1871" s="266"/>
    </row>
    <row r="1872" spans="12:74">
      <c r="L1872" s="266"/>
      <c r="M1872" s="266"/>
      <c r="N1872" s="266"/>
      <c r="O1872" s="266"/>
      <c r="P1872" s="266"/>
      <c r="Q1872" s="266"/>
      <c r="BR1872" s="266"/>
      <c r="BS1872" s="266"/>
      <c r="BT1872" s="266"/>
      <c r="BU1872" s="266"/>
      <c r="BV1872" s="266"/>
    </row>
    <row r="1873" spans="12:74">
      <c r="L1873" s="266"/>
      <c r="M1873" s="266"/>
      <c r="N1873" s="266"/>
      <c r="O1873" s="266"/>
      <c r="P1873" s="266"/>
      <c r="Q1873" s="266"/>
      <c r="BR1873" s="266"/>
      <c r="BS1873" s="266"/>
      <c r="BT1873" s="266"/>
      <c r="BU1873" s="266"/>
      <c r="BV1873" s="266"/>
    </row>
    <row r="1874" spans="12:74">
      <c r="L1874" s="266"/>
      <c r="M1874" s="266"/>
      <c r="N1874" s="266"/>
      <c r="O1874" s="266"/>
      <c r="P1874" s="266"/>
      <c r="Q1874" s="266"/>
      <c r="BR1874" s="266"/>
      <c r="BS1874" s="266"/>
      <c r="BT1874" s="266"/>
      <c r="BU1874" s="266"/>
      <c r="BV1874" s="266"/>
    </row>
    <row r="1875" spans="12:74">
      <c r="L1875" s="266"/>
      <c r="M1875" s="266"/>
      <c r="N1875" s="266"/>
      <c r="O1875" s="266"/>
      <c r="P1875" s="266"/>
      <c r="Q1875" s="266"/>
      <c r="BR1875" s="266"/>
      <c r="BS1875" s="266"/>
      <c r="BT1875" s="266"/>
      <c r="BU1875" s="266"/>
      <c r="BV1875" s="266"/>
    </row>
    <row r="1876" spans="12:74">
      <c r="L1876" s="266"/>
      <c r="M1876" s="266"/>
      <c r="N1876" s="266"/>
      <c r="O1876" s="266"/>
      <c r="P1876" s="266"/>
      <c r="Q1876" s="266"/>
      <c r="BR1876" s="266"/>
      <c r="BS1876" s="266"/>
      <c r="BT1876" s="266"/>
      <c r="BU1876" s="266"/>
      <c r="BV1876" s="266"/>
    </row>
    <row r="1877" spans="12:74">
      <c r="L1877" s="266"/>
      <c r="M1877" s="266"/>
      <c r="N1877" s="266"/>
      <c r="O1877" s="266"/>
      <c r="P1877" s="266"/>
      <c r="Q1877" s="266"/>
      <c r="BR1877" s="266"/>
      <c r="BS1877" s="266"/>
      <c r="BT1877" s="266"/>
      <c r="BU1877" s="266"/>
      <c r="BV1877" s="266"/>
    </row>
    <row r="1878" spans="12:74">
      <c r="L1878" s="266"/>
      <c r="M1878" s="266"/>
      <c r="N1878" s="266"/>
      <c r="O1878" s="266"/>
      <c r="P1878" s="266"/>
      <c r="Q1878" s="266"/>
      <c r="BR1878" s="266"/>
      <c r="BS1878" s="266"/>
      <c r="BT1878" s="266"/>
      <c r="BU1878" s="266"/>
      <c r="BV1878" s="266"/>
    </row>
    <row r="1879" spans="12:74">
      <c r="L1879" s="266"/>
      <c r="M1879" s="266"/>
      <c r="N1879" s="266"/>
      <c r="O1879" s="266"/>
      <c r="P1879" s="266"/>
      <c r="Q1879" s="266"/>
      <c r="BR1879" s="266"/>
      <c r="BS1879" s="266"/>
      <c r="BT1879" s="266"/>
      <c r="BU1879" s="266"/>
      <c r="BV1879" s="266"/>
    </row>
    <row r="1880" spans="12:74">
      <c r="L1880" s="266"/>
      <c r="M1880" s="266"/>
      <c r="N1880" s="266"/>
      <c r="O1880" s="266"/>
      <c r="P1880" s="266"/>
      <c r="Q1880" s="266"/>
      <c r="BR1880" s="266"/>
      <c r="BS1880" s="266"/>
      <c r="BT1880" s="266"/>
      <c r="BU1880" s="266"/>
      <c r="BV1880" s="266"/>
    </row>
    <row r="1881" spans="12:74">
      <c r="L1881" s="266"/>
      <c r="M1881" s="266"/>
      <c r="N1881" s="266"/>
      <c r="O1881" s="266"/>
      <c r="P1881" s="266"/>
      <c r="Q1881" s="266"/>
      <c r="BR1881" s="266"/>
      <c r="BS1881" s="266"/>
      <c r="BT1881" s="266"/>
      <c r="BU1881" s="266"/>
      <c r="BV1881" s="266"/>
    </row>
    <row r="1882" spans="12:74">
      <c r="L1882" s="266"/>
      <c r="M1882" s="266"/>
      <c r="N1882" s="266"/>
      <c r="O1882" s="266"/>
      <c r="P1882" s="266"/>
      <c r="Q1882" s="266"/>
      <c r="BR1882" s="266"/>
      <c r="BS1882" s="266"/>
      <c r="BT1882" s="266"/>
      <c r="BU1882" s="266"/>
      <c r="BV1882" s="266"/>
    </row>
    <row r="1883" spans="12:74">
      <c r="L1883" s="266"/>
      <c r="M1883" s="266"/>
      <c r="N1883" s="266"/>
      <c r="O1883" s="266"/>
      <c r="P1883" s="266"/>
      <c r="Q1883" s="266"/>
      <c r="BR1883" s="266"/>
      <c r="BS1883" s="266"/>
      <c r="BT1883" s="266"/>
      <c r="BU1883" s="266"/>
      <c r="BV1883" s="266"/>
    </row>
    <row r="1884" spans="12:74">
      <c r="L1884" s="266"/>
      <c r="M1884" s="266"/>
      <c r="N1884" s="266"/>
      <c r="O1884" s="266"/>
      <c r="P1884" s="266"/>
      <c r="Q1884" s="266"/>
      <c r="BR1884" s="266"/>
      <c r="BS1884" s="266"/>
      <c r="BT1884" s="266"/>
      <c r="BU1884" s="266"/>
      <c r="BV1884" s="266"/>
    </row>
    <row r="1885" spans="12:74">
      <c r="L1885" s="266"/>
      <c r="M1885" s="266"/>
      <c r="N1885" s="266"/>
      <c r="O1885" s="266"/>
      <c r="P1885" s="266"/>
      <c r="Q1885" s="266"/>
      <c r="BR1885" s="266"/>
      <c r="BS1885" s="266"/>
      <c r="BT1885" s="266"/>
      <c r="BU1885" s="266"/>
      <c r="BV1885" s="266"/>
    </row>
    <row r="1886" spans="12:74">
      <c r="L1886" s="266"/>
      <c r="M1886" s="266"/>
      <c r="N1886" s="266"/>
      <c r="O1886" s="266"/>
      <c r="P1886" s="266"/>
      <c r="Q1886" s="266"/>
      <c r="BR1886" s="266"/>
      <c r="BS1886" s="266"/>
      <c r="BT1886" s="266"/>
      <c r="BU1886" s="266"/>
      <c r="BV1886" s="266"/>
    </row>
    <row r="1887" spans="12:74">
      <c r="L1887" s="266"/>
      <c r="M1887" s="266"/>
      <c r="N1887" s="266"/>
      <c r="O1887" s="266"/>
      <c r="P1887" s="266"/>
      <c r="Q1887" s="266"/>
      <c r="BR1887" s="266"/>
      <c r="BS1887" s="266"/>
      <c r="BT1887" s="266"/>
      <c r="BU1887" s="266"/>
      <c r="BV1887" s="266"/>
    </row>
    <row r="1888" spans="12:74">
      <c r="L1888" s="266"/>
      <c r="M1888" s="266"/>
      <c r="N1888" s="266"/>
      <c r="O1888" s="266"/>
      <c r="P1888" s="266"/>
      <c r="Q1888" s="266"/>
      <c r="BR1888" s="266"/>
      <c r="BS1888" s="266"/>
      <c r="BT1888" s="266"/>
      <c r="BU1888" s="266"/>
      <c r="BV1888" s="266"/>
    </row>
    <row r="1889" spans="12:74">
      <c r="L1889" s="266"/>
      <c r="M1889" s="266"/>
      <c r="N1889" s="266"/>
      <c r="O1889" s="266"/>
      <c r="P1889" s="266"/>
      <c r="Q1889" s="266"/>
      <c r="BR1889" s="266"/>
      <c r="BS1889" s="266"/>
      <c r="BT1889" s="266"/>
      <c r="BU1889" s="266"/>
      <c r="BV1889" s="266"/>
    </row>
    <row r="1890" spans="12:74">
      <c r="L1890" s="266"/>
      <c r="M1890" s="266"/>
      <c r="N1890" s="266"/>
      <c r="O1890" s="266"/>
      <c r="P1890" s="266"/>
      <c r="Q1890" s="266"/>
      <c r="BR1890" s="266"/>
      <c r="BS1890" s="266"/>
      <c r="BT1890" s="266"/>
      <c r="BU1890" s="266"/>
      <c r="BV1890" s="266"/>
    </row>
    <row r="1891" spans="12:74">
      <c r="L1891" s="266"/>
      <c r="M1891" s="266"/>
      <c r="N1891" s="266"/>
      <c r="O1891" s="266"/>
      <c r="P1891" s="266"/>
      <c r="Q1891" s="266"/>
      <c r="BR1891" s="266"/>
      <c r="BS1891" s="266"/>
      <c r="BT1891" s="266"/>
      <c r="BU1891" s="266"/>
      <c r="BV1891" s="266"/>
    </row>
    <row r="1892" spans="12:74">
      <c r="L1892" s="266"/>
      <c r="M1892" s="266"/>
      <c r="N1892" s="266"/>
      <c r="O1892" s="266"/>
      <c r="P1892" s="266"/>
      <c r="Q1892" s="266"/>
      <c r="BR1892" s="266"/>
      <c r="BS1892" s="266"/>
      <c r="BT1892" s="266"/>
      <c r="BU1892" s="266"/>
      <c r="BV1892" s="266"/>
    </row>
    <row r="1893" spans="12:74">
      <c r="L1893" s="266"/>
      <c r="M1893" s="266"/>
      <c r="N1893" s="266"/>
      <c r="O1893" s="266"/>
      <c r="P1893" s="266"/>
      <c r="Q1893" s="266"/>
      <c r="BR1893" s="266"/>
      <c r="BS1893" s="266"/>
      <c r="BT1893" s="266"/>
      <c r="BU1893" s="266"/>
      <c r="BV1893" s="266"/>
    </row>
    <row r="1894" spans="12:74">
      <c r="L1894" s="266"/>
      <c r="M1894" s="266"/>
      <c r="N1894" s="266"/>
      <c r="O1894" s="266"/>
      <c r="P1894" s="266"/>
      <c r="Q1894" s="266"/>
      <c r="BR1894" s="266"/>
      <c r="BS1894" s="266"/>
      <c r="BT1894" s="266"/>
      <c r="BU1894" s="266"/>
      <c r="BV1894" s="266"/>
    </row>
    <row r="1895" spans="12:74">
      <c r="L1895" s="266"/>
      <c r="M1895" s="266"/>
      <c r="N1895" s="266"/>
      <c r="O1895" s="266"/>
      <c r="P1895" s="266"/>
      <c r="Q1895" s="266"/>
      <c r="BR1895" s="266"/>
      <c r="BS1895" s="266"/>
      <c r="BT1895" s="266"/>
      <c r="BU1895" s="266"/>
      <c r="BV1895" s="266"/>
    </row>
    <row r="1896" spans="12:74">
      <c r="L1896" s="266"/>
      <c r="M1896" s="266"/>
      <c r="N1896" s="266"/>
      <c r="O1896" s="266"/>
      <c r="P1896" s="266"/>
      <c r="Q1896" s="266"/>
      <c r="BR1896" s="266"/>
      <c r="BS1896" s="266"/>
      <c r="BT1896" s="266"/>
      <c r="BU1896" s="266"/>
      <c r="BV1896" s="266"/>
    </row>
    <row r="1897" spans="12:74">
      <c r="L1897" s="266"/>
      <c r="M1897" s="266"/>
      <c r="N1897" s="266"/>
      <c r="O1897" s="266"/>
      <c r="P1897" s="266"/>
      <c r="Q1897" s="266"/>
      <c r="BR1897" s="266"/>
      <c r="BS1897" s="266"/>
      <c r="BT1897" s="266"/>
      <c r="BU1897" s="266"/>
      <c r="BV1897" s="266"/>
    </row>
    <row r="1898" spans="12:74">
      <c r="L1898" s="266"/>
      <c r="M1898" s="266"/>
      <c r="N1898" s="266"/>
      <c r="O1898" s="266"/>
      <c r="P1898" s="266"/>
      <c r="Q1898" s="266"/>
      <c r="BR1898" s="266"/>
      <c r="BS1898" s="266"/>
      <c r="BT1898" s="266"/>
      <c r="BU1898" s="266"/>
      <c r="BV1898" s="266"/>
    </row>
    <row r="1899" spans="12:74">
      <c r="L1899" s="266"/>
      <c r="M1899" s="266"/>
      <c r="N1899" s="266"/>
      <c r="O1899" s="266"/>
      <c r="P1899" s="266"/>
      <c r="Q1899" s="266"/>
      <c r="BR1899" s="266"/>
      <c r="BS1899" s="266"/>
      <c r="BT1899" s="266"/>
      <c r="BU1899" s="266"/>
      <c r="BV1899" s="266"/>
    </row>
    <row r="1900" spans="12:74">
      <c r="L1900" s="266"/>
      <c r="M1900" s="266"/>
      <c r="N1900" s="266"/>
      <c r="O1900" s="266"/>
      <c r="P1900" s="266"/>
      <c r="Q1900" s="266"/>
      <c r="BR1900" s="266"/>
      <c r="BS1900" s="266"/>
      <c r="BT1900" s="266"/>
      <c r="BU1900" s="266"/>
      <c r="BV1900" s="266"/>
    </row>
    <row r="1901" spans="12:74">
      <c r="L1901" s="266"/>
      <c r="M1901" s="266"/>
      <c r="N1901" s="266"/>
      <c r="O1901" s="266"/>
      <c r="P1901" s="266"/>
      <c r="Q1901" s="266"/>
      <c r="BR1901" s="266"/>
      <c r="BS1901" s="266"/>
      <c r="BT1901" s="266"/>
      <c r="BU1901" s="266"/>
      <c r="BV1901" s="266"/>
    </row>
    <row r="1902" spans="12:74">
      <c r="L1902" s="266"/>
      <c r="M1902" s="266"/>
      <c r="N1902" s="266"/>
      <c r="O1902" s="266"/>
      <c r="P1902" s="266"/>
      <c r="Q1902" s="266"/>
      <c r="BR1902" s="266"/>
      <c r="BS1902" s="266"/>
      <c r="BT1902" s="266"/>
      <c r="BU1902" s="266"/>
      <c r="BV1902" s="266"/>
    </row>
    <row r="1903" spans="12:74">
      <c r="L1903" s="266"/>
      <c r="M1903" s="266"/>
      <c r="N1903" s="266"/>
      <c r="O1903" s="266"/>
      <c r="P1903" s="266"/>
      <c r="Q1903" s="266"/>
      <c r="BR1903" s="266"/>
      <c r="BS1903" s="266"/>
      <c r="BT1903" s="266"/>
      <c r="BU1903" s="266"/>
      <c r="BV1903" s="266"/>
    </row>
    <row r="1904" spans="12:74">
      <c r="L1904" s="266"/>
      <c r="M1904" s="266"/>
      <c r="N1904" s="266"/>
      <c r="O1904" s="266"/>
      <c r="P1904" s="266"/>
      <c r="Q1904" s="266"/>
      <c r="BR1904" s="266"/>
      <c r="BS1904" s="266"/>
      <c r="BT1904" s="266"/>
      <c r="BU1904" s="266"/>
      <c r="BV1904" s="266"/>
    </row>
    <row r="1905" spans="12:74">
      <c r="L1905" s="266"/>
      <c r="M1905" s="266"/>
      <c r="N1905" s="266"/>
      <c r="O1905" s="266"/>
      <c r="P1905" s="266"/>
      <c r="Q1905" s="266"/>
      <c r="BR1905" s="266"/>
      <c r="BS1905" s="266"/>
      <c r="BT1905" s="266"/>
      <c r="BU1905" s="266"/>
      <c r="BV1905" s="266"/>
    </row>
    <row r="1906" spans="12:74">
      <c r="L1906" s="266"/>
      <c r="M1906" s="266"/>
      <c r="N1906" s="266"/>
      <c r="O1906" s="266"/>
      <c r="P1906" s="266"/>
      <c r="Q1906" s="266"/>
      <c r="BR1906" s="266"/>
      <c r="BS1906" s="266"/>
      <c r="BT1906" s="266"/>
      <c r="BU1906" s="266"/>
      <c r="BV1906" s="266"/>
    </row>
    <row r="1907" spans="12:74">
      <c r="L1907" s="266"/>
      <c r="M1907" s="266"/>
      <c r="N1907" s="266"/>
      <c r="O1907" s="266"/>
      <c r="P1907" s="266"/>
      <c r="Q1907" s="266"/>
      <c r="BR1907" s="266"/>
      <c r="BS1907" s="266"/>
      <c r="BT1907" s="266"/>
      <c r="BU1907" s="266"/>
      <c r="BV1907" s="266"/>
    </row>
    <row r="1908" spans="12:74">
      <c r="L1908" s="266"/>
      <c r="M1908" s="266"/>
      <c r="N1908" s="266"/>
      <c r="O1908" s="266"/>
      <c r="P1908" s="266"/>
      <c r="Q1908" s="266"/>
      <c r="BR1908" s="266"/>
      <c r="BS1908" s="266"/>
      <c r="BT1908" s="266"/>
      <c r="BU1908" s="266"/>
      <c r="BV1908" s="266"/>
    </row>
    <row r="1909" spans="12:74">
      <c r="L1909" s="266"/>
      <c r="M1909" s="266"/>
      <c r="N1909" s="266"/>
      <c r="O1909" s="266"/>
      <c r="P1909" s="266"/>
      <c r="Q1909" s="266"/>
      <c r="BR1909" s="266"/>
      <c r="BS1909" s="266"/>
      <c r="BT1909" s="266"/>
      <c r="BU1909" s="266"/>
      <c r="BV1909" s="266"/>
    </row>
    <row r="1910" spans="12:74">
      <c r="L1910" s="266"/>
      <c r="M1910" s="266"/>
      <c r="N1910" s="266"/>
      <c r="O1910" s="266"/>
      <c r="P1910" s="266"/>
      <c r="Q1910" s="266"/>
      <c r="BR1910" s="266"/>
      <c r="BS1910" s="266"/>
      <c r="BT1910" s="266"/>
      <c r="BU1910" s="266"/>
      <c r="BV1910" s="266"/>
    </row>
    <row r="1911" spans="12:74">
      <c r="L1911" s="266"/>
      <c r="M1911" s="266"/>
      <c r="N1911" s="266"/>
      <c r="O1911" s="266"/>
      <c r="P1911" s="266"/>
      <c r="Q1911" s="266"/>
      <c r="BR1911" s="266"/>
      <c r="BS1911" s="266"/>
      <c r="BT1911" s="266"/>
      <c r="BU1911" s="266"/>
      <c r="BV1911" s="266"/>
    </row>
    <row r="1912" spans="12:74">
      <c r="L1912" s="266"/>
      <c r="M1912" s="266"/>
      <c r="N1912" s="266"/>
      <c r="O1912" s="266"/>
      <c r="P1912" s="266"/>
      <c r="Q1912" s="266"/>
      <c r="BR1912" s="266"/>
      <c r="BS1912" s="266"/>
      <c r="BT1912" s="266"/>
      <c r="BU1912" s="266"/>
      <c r="BV1912" s="266"/>
    </row>
    <row r="1913" spans="12:74">
      <c r="L1913" s="266"/>
      <c r="M1913" s="266"/>
      <c r="N1913" s="266"/>
      <c r="O1913" s="266"/>
      <c r="P1913" s="266"/>
      <c r="Q1913" s="266"/>
      <c r="BR1913" s="266"/>
      <c r="BS1913" s="266"/>
      <c r="BT1913" s="266"/>
      <c r="BU1913" s="266"/>
      <c r="BV1913" s="266"/>
    </row>
    <row r="1914" spans="12:74">
      <c r="L1914" s="266"/>
      <c r="M1914" s="266"/>
      <c r="N1914" s="266"/>
      <c r="O1914" s="266"/>
      <c r="P1914" s="266"/>
      <c r="Q1914" s="266"/>
      <c r="BR1914" s="266"/>
      <c r="BS1914" s="266"/>
      <c r="BT1914" s="266"/>
      <c r="BU1914" s="266"/>
      <c r="BV1914" s="266"/>
    </row>
    <row r="1915" spans="12:74">
      <c r="L1915" s="266"/>
      <c r="M1915" s="266"/>
      <c r="N1915" s="266"/>
      <c r="O1915" s="266"/>
      <c r="P1915" s="266"/>
      <c r="Q1915" s="266"/>
      <c r="BR1915" s="266"/>
      <c r="BS1915" s="266"/>
      <c r="BT1915" s="266"/>
      <c r="BU1915" s="266"/>
      <c r="BV1915" s="266"/>
    </row>
    <row r="1916" spans="12:74">
      <c r="L1916" s="266"/>
      <c r="M1916" s="266"/>
      <c r="N1916" s="266"/>
      <c r="O1916" s="266"/>
      <c r="P1916" s="266"/>
      <c r="Q1916" s="266"/>
      <c r="BR1916" s="266"/>
      <c r="BS1916" s="266"/>
      <c r="BT1916" s="266"/>
      <c r="BU1916" s="266"/>
      <c r="BV1916" s="266"/>
    </row>
    <row r="1917" spans="12:74">
      <c r="L1917" s="266"/>
      <c r="M1917" s="266"/>
      <c r="N1917" s="266"/>
      <c r="O1917" s="266"/>
      <c r="P1917" s="266"/>
      <c r="Q1917" s="266"/>
      <c r="BR1917" s="266"/>
      <c r="BS1917" s="266"/>
      <c r="BT1917" s="266"/>
      <c r="BU1917" s="266"/>
      <c r="BV1917" s="266"/>
    </row>
    <row r="1918" spans="12:74">
      <c r="L1918" s="266"/>
      <c r="M1918" s="266"/>
      <c r="N1918" s="266"/>
      <c r="O1918" s="266"/>
      <c r="P1918" s="266"/>
      <c r="Q1918" s="266"/>
      <c r="BR1918" s="266"/>
      <c r="BS1918" s="266"/>
      <c r="BT1918" s="266"/>
      <c r="BU1918" s="266"/>
      <c r="BV1918" s="266"/>
    </row>
    <row r="1919" spans="12:74">
      <c r="L1919" s="266"/>
      <c r="M1919" s="266"/>
      <c r="N1919" s="266"/>
      <c r="O1919" s="266"/>
      <c r="P1919" s="266"/>
      <c r="Q1919" s="266"/>
      <c r="BR1919" s="266"/>
      <c r="BS1919" s="266"/>
      <c r="BT1919" s="266"/>
      <c r="BU1919" s="266"/>
      <c r="BV1919" s="266"/>
    </row>
    <row r="1920" spans="12:74">
      <c r="L1920" s="266"/>
      <c r="M1920" s="266"/>
      <c r="N1920" s="266"/>
      <c r="O1920" s="266"/>
      <c r="P1920" s="266"/>
      <c r="Q1920" s="266"/>
      <c r="BR1920" s="266"/>
      <c r="BS1920" s="266"/>
      <c r="BT1920" s="266"/>
      <c r="BU1920" s="266"/>
      <c r="BV1920" s="266"/>
    </row>
    <row r="1921" spans="12:74">
      <c r="L1921" s="266"/>
      <c r="M1921" s="266"/>
      <c r="N1921" s="266"/>
      <c r="O1921" s="266"/>
      <c r="P1921" s="266"/>
      <c r="Q1921" s="266"/>
      <c r="BR1921" s="266"/>
      <c r="BS1921" s="266"/>
      <c r="BT1921" s="266"/>
      <c r="BU1921" s="266"/>
      <c r="BV1921" s="266"/>
    </row>
    <row r="1922" spans="12:74">
      <c r="L1922" s="266"/>
      <c r="M1922" s="266"/>
      <c r="N1922" s="266"/>
      <c r="O1922" s="266"/>
      <c r="P1922" s="266"/>
      <c r="Q1922" s="266"/>
      <c r="BR1922" s="266"/>
      <c r="BS1922" s="266"/>
      <c r="BT1922" s="266"/>
      <c r="BU1922" s="266"/>
      <c r="BV1922" s="266"/>
    </row>
    <row r="1923" spans="12:74">
      <c r="L1923" s="266"/>
      <c r="M1923" s="266"/>
      <c r="N1923" s="266"/>
      <c r="O1923" s="266"/>
      <c r="P1923" s="266"/>
      <c r="Q1923" s="266"/>
      <c r="BR1923" s="266"/>
      <c r="BS1923" s="266"/>
      <c r="BT1923" s="266"/>
      <c r="BU1923" s="266"/>
      <c r="BV1923" s="266"/>
    </row>
    <row r="1924" spans="12:74">
      <c r="L1924" s="266"/>
      <c r="M1924" s="266"/>
      <c r="N1924" s="266"/>
      <c r="O1924" s="266"/>
      <c r="P1924" s="266"/>
      <c r="Q1924" s="266"/>
      <c r="BR1924" s="266"/>
      <c r="BS1924" s="266"/>
      <c r="BT1924" s="266"/>
      <c r="BU1924" s="266"/>
      <c r="BV1924" s="266"/>
    </row>
    <row r="1925" spans="12:74">
      <c r="L1925" s="266"/>
      <c r="M1925" s="266"/>
      <c r="N1925" s="266"/>
      <c r="O1925" s="266"/>
      <c r="P1925" s="266"/>
      <c r="Q1925" s="266"/>
      <c r="BR1925" s="266"/>
      <c r="BS1925" s="266"/>
      <c r="BT1925" s="266"/>
      <c r="BU1925" s="266"/>
      <c r="BV1925" s="266"/>
    </row>
    <row r="1926" spans="12:74">
      <c r="L1926" s="266"/>
      <c r="M1926" s="266"/>
      <c r="N1926" s="266"/>
      <c r="O1926" s="266"/>
      <c r="P1926" s="266"/>
      <c r="Q1926" s="266"/>
      <c r="BR1926" s="266"/>
      <c r="BS1926" s="266"/>
      <c r="BT1926" s="266"/>
      <c r="BU1926" s="266"/>
      <c r="BV1926" s="266"/>
    </row>
    <row r="1927" spans="12:74">
      <c r="L1927" s="266"/>
      <c r="M1927" s="266"/>
      <c r="N1927" s="266"/>
      <c r="O1927" s="266"/>
      <c r="P1927" s="266"/>
      <c r="Q1927" s="266"/>
      <c r="BR1927" s="266"/>
      <c r="BS1927" s="266"/>
      <c r="BT1927" s="266"/>
      <c r="BU1927" s="266"/>
      <c r="BV1927" s="266"/>
    </row>
    <row r="1928" spans="12:74">
      <c r="L1928" s="266"/>
      <c r="M1928" s="266"/>
      <c r="N1928" s="266"/>
      <c r="O1928" s="266"/>
      <c r="P1928" s="266"/>
      <c r="Q1928" s="266"/>
      <c r="BR1928" s="266"/>
      <c r="BS1928" s="266"/>
      <c r="BT1928" s="266"/>
      <c r="BU1928" s="266"/>
      <c r="BV1928" s="266"/>
    </row>
    <row r="1929" spans="12:74">
      <c r="L1929" s="266"/>
      <c r="M1929" s="266"/>
      <c r="N1929" s="266"/>
      <c r="O1929" s="266"/>
      <c r="P1929" s="266"/>
      <c r="Q1929" s="266"/>
      <c r="BR1929" s="266"/>
      <c r="BS1929" s="266"/>
      <c r="BT1929" s="266"/>
      <c r="BU1929" s="266"/>
      <c r="BV1929" s="266"/>
    </row>
    <row r="1930" spans="12:74">
      <c r="L1930" s="266"/>
      <c r="M1930" s="266"/>
      <c r="N1930" s="266"/>
      <c r="O1930" s="266"/>
      <c r="P1930" s="266"/>
      <c r="Q1930" s="266"/>
      <c r="BR1930" s="266"/>
      <c r="BS1930" s="266"/>
      <c r="BT1930" s="266"/>
      <c r="BU1930" s="266"/>
      <c r="BV1930" s="266"/>
    </row>
    <row r="1931" spans="12:74">
      <c r="L1931" s="266"/>
      <c r="M1931" s="266"/>
      <c r="N1931" s="266"/>
      <c r="O1931" s="266"/>
      <c r="P1931" s="266"/>
      <c r="Q1931" s="266"/>
      <c r="BR1931" s="266"/>
      <c r="BS1931" s="266"/>
      <c r="BT1931" s="266"/>
      <c r="BU1931" s="266"/>
      <c r="BV1931" s="266"/>
    </row>
    <row r="1932" spans="12:74">
      <c r="L1932" s="266"/>
      <c r="M1932" s="266"/>
      <c r="N1932" s="266"/>
      <c r="O1932" s="266"/>
      <c r="P1932" s="266"/>
      <c r="Q1932" s="266"/>
      <c r="BR1932" s="266"/>
      <c r="BS1932" s="266"/>
      <c r="BT1932" s="266"/>
      <c r="BU1932" s="266"/>
      <c r="BV1932" s="266"/>
    </row>
    <row r="1933" spans="12:74">
      <c r="L1933" s="266"/>
      <c r="M1933" s="266"/>
      <c r="N1933" s="266"/>
      <c r="O1933" s="266"/>
      <c r="P1933" s="266"/>
      <c r="Q1933" s="266"/>
      <c r="BR1933" s="266"/>
      <c r="BS1933" s="266"/>
      <c r="BT1933" s="266"/>
      <c r="BU1933" s="266"/>
      <c r="BV1933" s="266"/>
    </row>
    <row r="1934" spans="12:74">
      <c r="L1934" s="266"/>
      <c r="M1934" s="266"/>
      <c r="N1934" s="266"/>
      <c r="O1934" s="266"/>
      <c r="P1934" s="266"/>
      <c r="Q1934" s="266"/>
      <c r="BR1934" s="266"/>
      <c r="BS1934" s="266"/>
      <c r="BT1934" s="266"/>
      <c r="BU1934" s="266"/>
      <c r="BV1934" s="266"/>
    </row>
    <row r="1935" spans="12:74">
      <c r="L1935" s="266"/>
      <c r="M1935" s="266"/>
      <c r="N1935" s="266"/>
      <c r="O1935" s="266"/>
      <c r="P1935" s="266"/>
      <c r="Q1935" s="266"/>
      <c r="BR1935" s="266"/>
      <c r="BS1935" s="266"/>
      <c r="BT1935" s="266"/>
      <c r="BU1935" s="266"/>
      <c r="BV1935" s="266"/>
    </row>
    <row r="1936" spans="12:74">
      <c r="L1936" s="266"/>
      <c r="M1936" s="266"/>
      <c r="N1936" s="266"/>
      <c r="O1936" s="266"/>
      <c r="P1936" s="266"/>
      <c r="Q1936" s="266"/>
      <c r="BR1936" s="266"/>
      <c r="BS1936" s="266"/>
      <c r="BT1936" s="266"/>
      <c r="BU1936" s="266"/>
      <c r="BV1936" s="266"/>
    </row>
    <row r="1937" spans="12:74">
      <c r="L1937" s="266"/>
      <c r="M1937" s="266"/>
      <c r="N1937" s="266"/>
      <c r="O1937" s="266"/>
      <c r="P1937" s="266"/>
      <c r="Q1937" s="266"/>
      <c r="BR1937" s="266"/>
      <c r="BS1937" s="266"/>
      <c r="BT1937" s="266"/>
      <c r="BU1937" s="266"/>
      <c r="BV1937" s="266"/>
    </row>
    <row r="1938" spans="12:74">
      <c r="L1938" s="266"/>
      <c r="M1938" s="266"/>
      <c r="N1938" s="266"/>
      <c r="O1938" s="266"/>
      <c r="P1938" s="266"/>
      <c r="Q1938" s="266"/>
      <c r="BR1938" s="266"/>
      <c r="BS1938" s="266"/>
      <c r="BT1938" s="266"/>
      <c r="BU1938" s="266"/>
      <c r="BV1938" s="266"/>
    </row>
    <row r="1939" spans="12:74">
      <c r="L1939" s="266"/>
      <c r="M1939" s="266"/>
      <c r="N1939" s="266"/>
      <c r="O1939" s="266"/>
      <c r="P1939" s="266"/>
      <c r="Q1939" s="266"/>
      <c r="BR1939" s="266"/>
      <c r="BS1939" s="266"/>
      <c r="BT1939" s="266"/>
      <c r="BU1939" s="266"/>
      <c r="BV1939" s="266"/>
    </row>
    <row r="1940" spans="12:74">
      <c r="L1940" s="266"/>
      <c r="M1940" s="266"/>
      <c r="N1940" s="266"/>
      <c r="O1940" s="266"/>
      <c r="P1940" s="266"/>
      <c r="Q1940" s="266"/>
      <c r="BR1940" s="266"/>
      <c r="BS1940" s="266"/>
      <c r="BT1940" s="266"/>
      <c r="BU1940" s="266"/>
      <c r="BV1940" s="266"/>
    </row>
    <row r="1941" spans="12:74">
      <c r="L1941" s="266"/>
      <c r="M1941" s="266"/>
      <c r="N1941" s="266"/>
      <c r="O1941" s="266"/>
      <c r="P1941" s="266"/>
      <c r="Q1941" s="266"/>
      <c r="BR1941" s="266"/>
      <c r="BS1941" s="266"/>
      <c r="BT1941" s="266"/>
      <c r="BU1941" s="266"/>
      <c r="BV1941" s="266"/>
    </row>
    <row r="1942" spans="12:74">
      <c r="L1942" s="266"/>
      <c r="M1942" s="266"/>
      <c r="N1942" s="266"/>
      <c r="O1942" s="266"/>
      <c r="P1942" s="266"/>
      <c r="Q1942" s="266"/>
      <c r="BR1942" s="266"/>
      <c r="BS1942" s="266"/>
      <c r="BT1942" s="266"/>
      <c r="BU1942" s="266"/>
      <c r="BV1942" s="266"/>
    </row>
    <row r="1943" spans="12:74">
      <c r="L1943" s="266"/>
      <c r="M1943" s="266"/>
      <c r="N1943" s="266"/>
      <c r="O1943" s="266"/>
      <c r="P1943" s="266"/>
      <c r="Q1943" s="266"/>
      <c r="BR1943" s="266"/>
      <c r="BS1943" s="266"/>
      <c r="BT1943" s="266"/>
      <c r="BU1943" s="266"/>
      <c r="BV1943" s="266"/>
    </row>
    <row r="1944" spans="12:74">
      <c r="L1944" s="266"/>
      <c r="M1944" s="266"/>
      <c r="N1944" s="266"/>
      <c r="O1944" s="266"/>
      <c r="P1944" s="266"/>
      <c r="Q1944" s="266"/>
      <c r="BR1944" s="266"/>
      <c r="BS1944" s="266"/>
      <c r="BT1944" s="266"/>
      <c r="BU1944" s="266"/>
      <c r="BV1944" s="266"/>
    </row>
    <row r="1945" spans="12:74">
      <c r="L1945" s="266"/>
      <c r="M1945" s="266"/>
      <c r="N1945" s="266"/>
      <c r="O1945" s="266"/>
      <c r="P1945" s="266"/>
      <c r="Q1945" s="266"/>
      <c r="BR1945" s="266"/>
      <c r="BS1945" s="266"/>
      <c r="BT1945" s="266"/>
      <c r="BU1945" s="266"/>
      <c r="BV1945" s="266"/>
    </row>
    <row r="1946" spans="12:74">
      <c r="L1946" s="266"/>
      <c r="M1946" s="266"/>
      <c r="N1946" s="266"/>
      <c r="O1946" s="266"/>
      <c r="P1946" s="266"/>
      <c r="Q1946" s="266"/>
      <c r="BR1946" s="266"/>
      <c r="BS1946" s="266"/>
      <c r="BT1946" s="266"/>
      <c r="BU1946" s="266"/>
      <c r="BV1946" s="266"/>
    </row>
    <row r="1947" spans="12:74">
      <c r="L1947" s="266"/>
      <c r="M1947" s="266"/>
      <c r="N1947" s="266"/>
      <c r="O1947" s="266"/>
      <c r="P1947" s="266"/>
      <c r="Q1947" s="266"/>
      <c r="BR1947" s="266"/>
      <c r="BS1947" s="266"/>
      <c r="BT1947" s="266"/>
      <c r="BU1947" s="266"/>
      <c r="BV1947" s="266"/>
    </row>
    <row r="1948" spans="12:74">
      <c r="L1948" s="266"/>
      <c r="M1948" s="266"/>
      <c r="N1948" s="266"/>
      <c r="O1948" s="266"/>
      <c r="P1948" s="266"/>
      <c r="Q1948" s="266"/>
      <c r="BR1948" s="266"/>
      <c r="BS1948" s="266"/>
      <c r="BT1948" s="266"/>
      <c r="BU1948" s="266"/>
      <c r="BV1948" s="266"/>
    </row>
    <row r="1949" spans="12:74">
      <c r="L1949" s="266"/>
      <c r="M1949" s="266"/>
      <c r="N1949" s="266"/>
      <c r="O1949" s="266"/>
      <c r="P1949" s="266"/>
      <c r="Q1949" s="266"/>
      <c r="BR1949" s="266"/>
      <c r="BS1949" s="266"/>
      <c r="BT1949" s="266"/>
      <c r="BU1949" s="266"/>
      <c r="BV1949" s="266"/>
    </row>
    <row r="1950" spans="12:74">
      <c r="L1950" s="266"/>
      <c r="M1950" s="266"/>
      <c r="N1950" s="266"/>
      <c r="O1950" s="266"/>
      <c r="P1950" s="266"/>
      <c r="Q1950" s="266"/>
      <c r="BR1950" s="266"/>
      <c r="BS1950" s="266"/>
      <c r="BT1950" s="266"/>
      <c r="BU1950" s="266"/>
      <c r="BV1950" s="266"/>
    </row>
    <row r="1951" spans="12:74">
      <c r="L1951" s="266"/>
      <c r="M1951" s="266"/>
      <c r="N1951" s="266"/>
      <c r="O1951" s="266"/>
      <c r="P1951" s="266"/>
      <c r="Q1951" s="266"/>
      <c r="BR1951" s="266"/>
      <c r="BS1951" s="266"/>
      <c r="BT1951" s="266"/>
      <c r="BU1951" s="266"/>
      <c r="BV1951" s="266"/>
    </row>
    <row r="1952" spans="12:74">
      <c r="L1952" s="266"/>
      <c r="M1952" s="266"/>
      <c r="N1952" s="266"/>
      <c r="O1952" s="266"/>
      <c r="P1952" s="266"/>
      <c r="Q1952" s="266"/>
      <c r="BR1952" s="266"/>
      <c r="BS1952" s="266"/>
      <c r="BT1952" s="266"/>
      <c r="BU1952" s="266"/>
      <c r="BV1952" s="266"/>
    </row>
    <row r="1953" spans="12:74">
      <c r="L1953" s="266"/>
      <c r="M1953" s="266"/>
      <c r="N1953" s="266"/>
      <c r="O1953" s="266"/>
      <c r="P1953" s="266"/>
      <c r="Q1953" s="266"/>
      <c r="BR1953" s="266"/>
      <c r="BS1953" s="266"/>
      <c r="BT1953" s="266"/>
      <c r="BU1953" s="266"/>
      <c r="BV1953" s="266"/>
    </row>
    <row r="1954" spans="12:74">
      <c r="L1954" s="266"/>
      <c r="M1954" s="266"/>
      <c r="N1954" s="266"/>
      <c r="O1954" s="266"/>
      <c r="P1954" s="266"/>
      <c r="Q1954" s="266"/>
      <c r="BR1954" s="266"/>
      <c r="BS1954" s="266"/>
      <c r="BT1954" s="266"/>
      <c r="BU1954" s="266"/>
      <c r="BV1954" s="266"/>
    </row>
    <row r="1955" spans="12:74">
      <c r="L1955" s="266"/>
      <c r="M1955" s="266"/>
      <c r="N1955" s="266"/>
      <c r="O1955" s="266"/>
      <c r="P1955" s="266"/>
      <c r="Q1955" s="266"/>
      <c r="BR1955" s="266"/>
      <c r="BS1955" s="266"/>
      <c r="BT1955" s="266"/>
      <c r="BU1955" s="266"/>
      <c r="BV1955" s="266"/>
    </row>
    <row r="1956" spans="12:74">
      <c r="L1956" s="266"/>
      <c r="M1956" s="266"/>
      <c r="N1956" s="266"/>
      <c r="O1956" s="266"/>
      <c r="P1956" s="266"/>
      <c r="Q1956" s="266"/>
      <c r="BR1956" s="266"/>
      <c r="BS1956" s="266"/>
      <c r="BT1956" s="266"/>
      <c r="BU1956" s="266"/>
      <c r="BV1956" s="266"/>
    </row>
    <row r="1957" spans="12:74">
      <c r="L1957" s="266"/>
      <c r="M1957" s="266"/>
      <c r="N1957" s="266"/>
      <c r="O1957" s="266"/>
      <c r="P1957" s="266"/>
      <c r="Q1957" s="266"/>
      <c r="BR1957" s="266"/>
      <c r="BS1957" s="266"/>
      <c r="BT1957" s="266"/>
      <c r="BU1957" s="266"/>
      <c r="BV1957" s="266"/>
    </row>
    <row r="1958" spans="12:74">
      <c r="L1958" s="266"/>
      <c r="M1958" s="266"/>
      <c r="N1958" s="266"/>
      <c r="O1958" s="266"/>
      <c r="P1958" s="266"/>
      <c r="Q1958" s="266"/>
      <c r="BR1958" s="266"/>
      <c r="BS1958" s="266"/>
      <c r="BT1958" s="266"/>
      <c r="BU1958" s="266"/>
      <c r="BV1958" s="266"/>
    </row>
    <row r="1959" spans="12:74">
      <c r="L1959" s="266"/>
      <c r="M1959" s="266"/>
      <c r="N1959" s="266"/>
      <c r="O1959" s="266"/>
      <c r="P1959" s="266"/>
      <c r="Q1959" s="266"/>
      <c r="BR1959" s="266"/>
      <c r="BS1959" s="266"/>
      <c r="BT1959" s="266"/>
      <c r="BU1959" s="266"/>
      <c r="BV1959" s="266"/>
    </row>
    <row r="1960" spans="12:74">
      <c r="L1960" s="266"/>
      <c r="M1960" s="266"/>
      <c r="N1960" s="266"/>
      <c r="O1960" s="266"/>
      <c r="P1960" s="266"/>
      <c r="Q1960" s="266"/>
      <c r="BR1960" s="266"/>
      <c r="BS1960" s="266"/>
      <c r="BT1960" s="266"/>
      <c r="BU1960" s="266"/>
      <c r="BV1960" s="266"/>
    </row>
    <row r="1961" spans="12:74">
      <c r="L1961" s="266"/>
      <c r="M1961" s="266"/>
      <c r="N1961" s="266"/>
      <c r="O1961" s="266"/>
      <c r="P1961" s="266"/>
      <c r="Q1961" s="266"/>
      <c r="BR1961" s="266"/>
      <c r="BS1961" s="266"/>
      <c r="BT1961" s="266"/>
      <c r="BU1961" s="266"/>
      <c r="BV1961" s="266"/>
    </row>
    <row r="1962" spans="12:74">
      <c r="L1962" s="266"/>
      <c r="M1962" s="266"/>
      <c r="N1962" s="266"/>
      <c r="O1962" s="266"/>
      <c r="P1962" s="266"/>
      <c r="Q1962" s="266"/>
      <c r="BR1962" s="266"/>
      <c r="BS1962" s="266"/>
      <c r="BT1962" s="266"/>
      <c r="BU1962" s="266"/>
      <c r="BV1962" s="266"/>
    </row>
    <row r="1963" spans="12:74">
      <c r="L1963" s="266"/>
      <c r="M1963" s="266"/>
      <c r="N1963" s="266"/>
      <c r="O1963" s="266"/>
      <c r="P1963" s="266"/>
      <c r="Q1963" s="266"/>
      <c r="BR1963" s="266"/>
      <c r="BS1963" s="266"/>
      <c r="BT1963" s="266"/>
      <c r="BU1963" s="266"/>
      <c r="BV1963" s="266"/>
    </row>
    <row r="1964" spans="12:74">
      <c r="L1964" s="266"/>
      <c r="M1964" s="266"/>
      <c r="N1964" s="266"/>
      <c r="O1964" s="266"/>
      <c r="P1964" s="266"/>
      <c r="Q1964" s="266"/>
      <c r="BR1964" s="266"/>
      <c r="BS1964" s="266"/>
      <c r="BT1964" s="266"/>
      <c r="BU1964" s="266"/>
      <c r="BV1964" s="266"/>
    </row>
    <row r="1965" spans="12:74">
      <c r="L1965" s="266"/>
      <c r="M1965" s="266"/>
      <c r="N1965" s="266"/>
      <c r="O1965" s="266"/>
      <c r="P1965" s="266"/>
      <c r="Q1965" s="266"/>
      <c r="BR1965" s="266"/>
      <c r="BS1965" s="266"/>
      <c r="BT1965" s="266"/>
      <c r="BU1965" s="266"/>
      <c r="BV1965" s="266"/>
    </row>
    <row r="1966" spans="12:74">
      <c r="L1966" s="266"/>
      <c r="M1966" s="266"/>
      <c r="N1966" s="266"/>
      <c r="O1966" s="266"/>
      <c r="P1966" s="266"/>
      <c r="Q1966" s="266"/>
      <c r="BR1966" s="266"/>
      <c r="BS1966" s="266"/>
      <c r="BT1966" s="266"/>
      <c r="BU1966" s="266"/>
      <c r="BV1966" s="266"/>
    </row>
    <row r="1967" spans="12:74">
      <c r="L1967" s="266"/>
      <c r="M1967" s="266"/>
      <c r="N1967" s="266"/>
      <c r="O1967" s="266"/>
      <c r="P1967" s="266"/>
      <c r="Q1967" s="266"/>
      <c r="BR1967" s="266"/>
      <c r="BS1967" s="266"/>
      <c r="BT1967" s="266"/>
      <c r="BU1967" s="266"/>
      <c r="BV1967" s="266"/>
    </row>
    <row r="1968" spans="12:74">
      <c r="L1968" s="266"/>
      <c r="M1968" s="266"/>
      <c r="N1968" s="266"/>
      <c r="O1968" s="266"/>
      <c r="P1968" s="266"/>
      <c r="Q1968" s="266"/>
      <c r="BR1968" s="266"/>
      <c r="BS1968" s="266"/>
      <c r="BT1968" s="266"/>
      <c r="BU1968" s="266"/>
      <c r="BV1968" s="266"/>
    </row>
    <row r="1969" spans="12:74">
      <c r="L1969" s="266"/>
      <c r="M1969" s="266"/>
      <c r="N1969" s="266"/>
      <c r="O1969" s="266"/>
      <c r="P1969" s="266"/>
      <c r="Q1969" s="266"/>
      <c r="BR1969" s="266"/>
      <c r="BS1969" s="266"/>
      <c r="BT1969" s="266"/>
      <c r="BU1969" s="266"/>
      <c r="BV1969" s="266"/>
    </row>
    <row r="1970" spans="12:74">
      <c r="L1970" s="266"/>
      <c r="M1970" s="266"/>
      <c r="N1970" s="266"/>
      <c r="O1970" s="266"/>
      <c r="P1970" s="266"/>
      <c r="Q1970" s="266"/>
      <c r="BR1970" s="266"/>
      <c r="BS1970" s="266"/>
      <c r="BT1970" s="266"/>
      <c r="BU1970" s="266"/>
      <c r="BV1970" s="266"/>
    </row>
    <row r="1971" spans="12:74">
      <c r="L1971" s="266"/>
      <c r="M1971" s="266"/>
      <c r="N1971" s="266"/>
      <c r="O1971" s="266"/>
      <c r="P1971" s="266"/>
      <c r="Q1971" s="266"/>
      <c r="BR1971" s="266"/>
      <c r="BS1971" s="266"/>
      <c r="BT1971" s="266"/>
      <c r="BU1971" s="266"/>
      <c r="BV1971" s="266"/>
    </row>
    <row r="1972" spans="12:74">
      <c r="L1972" s="266"/>
      <c r="M1972" s="266"/>
      <c r="N1972" s="266"/>
      <c r="O1972" s="266"/>
      <c r="P1972" s="266"/>
      <c r="Q1972" s="266"/>
      <c r="BR1972" s="266"/>
      <c r="BS1972" s="266"/>
      <c r="BT1972" s="266"/>
      <c r="BU1972" s="266"/>
      <c r="BV1972" s="266"/>
    </row>
    <row r="1973" spans="12:74">
      <c r="L1973" s="266"/>
      <c r="M1973" s="266"/>
      <c r="N1973" s="266"/>
      <c r="O1973" s="266"/>
      <c r="P1973" s="266"/>
      <c r="Q1973" s="266"/>
      <c r="BR1973" s="266"/>
      <c r="BS1973" s="266"/>
      <c r="BT1973" s="266"/>
      <c r="BU1973" s="266"/>
      <c r="BV1973" s="266"/>
    </row>
    <row r="1974" spans="12:74">
      <c r="L1974" s="266"/>
      <c r="M1974" s="266"/>
      <c r="N1974" s="266"/>
      <c r="O1974" s="266"/>
      <c r="P1974" s="266"/>
      <c r="Q1974" s="266"/>
      <c r="BR1974" s="266"/>
      <c r="BS1974" s="266"/>
      <c r="BT1974" s="266"/>
      <c r="BU1974" s="266"/>
      <c r="BV1974" s="266"/>
    </row>
    <row r="1975" spans="12:74">
      <c r="L1975" s="266"/>
      <c r="M1975" s="266"/>
      <c r="N1975" s="266"/>
      <c r="O1975" s="266"/>
      <c r="P1975" s="266"/>
      <c r="Q1975" s="266"/>
      <c r="BR1975" s="266"/>
      <c r="BS1975" s="266"/>
      <c r="BT1975" s="266"/>
      <c r="BU1975" s="266"/>
      <c r="BV1975" s="266"/>
    </row>
    <row r="1976" spans="12:74">
      <c r="L1976" s="266"/>
      <c r="M1976" s="266"/>
      <c r="N1976" s="266"/>
      <c r="O1976" s="266"/>
      <c r="P1976" s="266"/>
      <c r="Q1976" s="266"/>
      <c r="BR1976" s="266"/>
      <c r="BS1976" s="266"/>
      <c r="BT1976" s="266"/>
      <c r="BU1976" s="266"/>
      <c r="BV1976" s="266"/>
    </row>
    <row r="1977" spans="12:74">
      <c r="L1977" s="266"/>
      <c r="M1977" s="266"/>
      <c r="N1977" s="266"/>
      <c r="O1977" s="266"/>
      <c r="P1977" s="266"/>
      <c r="Q1977" s="266"/>
      <c r="BR1977" s="266"/>
      <c r="BS1977" s="266"/>
      <c r="BT1977" s="266"/>
      <c r="BU1977" s="266"/>
      <c r="BV1977" s="266"/>
    </row>
    <row r="1978" spans="12:74">
      <c r="L1978" s="266"/>
      <c r="M1978" s="266"/>
      <c r="N1978" s="266"/>
      <c r="O1978" s="266"/>
      <c r="P1978" s="266"/>
      <c r="Q1978" s="266"/>
      <c r="BR1978" s="266"/>
      <c r="BS1978" s="266"/>
      <c r="BT1978" s="266"/>
      <c r="BU1978" s="266"/>
      <c r="BV1978" s="266"/>
    </row>
    <row r="1979" spans="12:74">
      <c r="L1979" s="266"/>
      <c r="M1979" s="266"/>
      <c r="N1979" s="266"/>
      <c r="O1979" s="266"/>
      <c r="P1979" s="266"/>
      <c r="Q1979" s="266"/>
      <c r="BR1979" s="266"/>
      <c r="BS1979" s="266"/>
      <c r="BT1979" s="266"/>
      <c r="BU1979" s="266"/>
      <c r="BV1979" s="266"/>
    </row>
    <row r="1980" spans="12:74">
      <c r="L1980" s="266"/>
      <c r="M1980" s="266"/>
      <c r="N1980" s="266"/>
      <c r="O1980" s="266"/>
      <c r="P1980" s="266"/>
      <c r="Q1980" s="266"/>
      <c r="BR1980" s="266"/>
      <c r="BS1980" s="266"/>
      <c r="BT1980" s="266"/>
      <c r="BU1980" s="266"/>
      <c r="BV1980" s="266"/>
    </row>
    <row r="1981" spans="12:74">
      <c r="L1981" s="266"/>
      <c r="M1981" s="266"/>
      <c r="N1981" s="266"/>
      <c r="O1981" s="266"/>
      <c r="P1981" s="266"/>
      <c r="Q1981" s="266"/>
      <c r="BR1981" s="266"/>
      <c r="BS1981" s="266"/>
      <c r="BT1981" s="266"/>
      <c r="BU1981" s="266"/>
      <c r="BV1981" s="266"/>
    </row>
    <row r="1982" spans="12:74">
      <c r="L1982" s="266"/>
      <c r="M1982" s="266"/>
      <c r="N1982" s="266"/>
      <c r="O1982" s="266"/>
      <c r="P1982" s="266"/>
      <c r="Q1982" s="266"/>
      <c r="BR1982" s="266"/>
      <c r="BS1982" s="266"/>
      <c r="BT1982" s="266"/>
      <c r="BU1982" s="266"/>
      <c r="BV1982" s="266"/>
    </row>
    <row r="1983" spans="12:74">
      <c r="L1983" s="266"/>
      <c r="M1983" s="266"/>
      <c r="N1983" s="266"/>
      <c r="O1983" s="266"/>
      <c r="P1983" s="266"/>
      <c r="Q1983" s="266"/>
      <c r="BR1983" s="266"/>
      <c r="BS1983" s="266"/>
      <c r="BT1983" s="266"/>
      <c r="BU1983" s="266"/>
      <c r="BV1983" s="266"/>
    </row>
    <row r="1984" spans="12:74">
      <c r="L1984" s="266"/>
      <c r="M1984" s="266"/>
      <c r="N1984" s="266"/>
      <c r="O1984" s="266"/>
      <c r="P1984" s="266"/>
      <c r="Q1984" s="266"/>
      <c r="BR1984" s="266"/>
      <c r="BS1984" s="266"/>
      <c r="BT1984" s="266"/>
      <c r="BU1984" s="266"/>
      <c r="BV1984" s="266"/>
    </row>
    <row r="1985" spans="12:74">
      <c r="L1985" s="266"/>
      <c r="M1985" s="266"/>
      <c r="N1985" s="266"/>
      <c r="O1985" s="266"/>
      <c r="P1985" s="266"/>
      <c r="Q1985" s="266"/>
      <c r="BR1985" s="266"/>
      <c r="BS1985" s="266"/>
      <c r="BT1985" s="266"/>
      <c r="BU1985" s="266"/>
      <c r="BV1985" s="266"/>
    </row>
    <row r="1986" spans="12:74">
      <c r="L1986" s="266"/>
      <c r="M1986" s="266"/>
      <c r="N1986" s="266"/>
      <c r="O1986" s="266"/>
      <c r="P1986" s="266"/>
      <c r="Q1986" s="266"/>
      <c r="BR1986" s="266"/>
      <c r="BS1986" s="266"/>
      <c r="BT1986" s="266"/>
      <c r="BU1986" s="266"/>
      <c r="BV1986" s="266"/>
    </row>
    <row r="1987" spans="12:74">
      <c r="L1987" s="266"/>
      <c r="M1987" s="266"/>
      <c r="N1987" s="266"/>
      <c r="O1987" s="266"/>
      <c r="P1987" s="266"/>
      <c r="Q1987" s="266"/>
      <c r="BR1987" s="266"/>
      <c r="BS1987" s="266"/>
      <c r="BT1987" s="266"/>
      <c r="BU1987" s="266"/>
      <c r="BV1987" s="266"/>
    </row>
    <row r="1988" spans="12:74">
      <c r="L1988" s="266"/>
      <c r="M1988" s="266"/>
      <c r="N1988" s="266"/>
      <c r="O1988" s="266"/>
      <c r="P1988" s="266"/>
      <c r="Q1988" s="266"/>
      <c r="BR1988" s="266"/>
      <c r="BS1988" s="266"/>
      <c r="BT1988" s="266"/>
      <c r="BU1988" s="266"/>
      <c r="BV1988" s="266"/>
    </row>
    <row r="1989" spans="12:74">
      <c r="L1989" s="266"/>
      <c r="M1989" s="266"/>
      <c r="N1989" s="266"/>
      <c r="O1989" s="266"/>
      <c r="P1989" s="266"/>
      <c r="Q1989" s="266"/>
      <c r="BR1989" s="266"/>
      <c r="BS1989" s="266"/>
      <c r="BT1989" s="266"/>
      <c r="BU1989" s="266"/>
      <c r="BV1989" s="266"/>
    </row>
    <row r="1990" spans="12:74">
      <c r="L1990" s="266"/>
      <c r="M1990" s="266"/>
      <c r="N1990" s="266"/>
      <c r="O1990" s="266"/>
      <c r="P1990" s="266"/>
      <c r="Q1990" s="266"/>
      <c r="BR1990" s="266"/>
      <c r="BS1990" s="266"/>
      <c r="BT1990" s="266"/>
      <c r="BU1990" s="266"/>
      <c r="BV1990" s="266"/>
    </row>
    <row r="1991" spans="12:74">
      <c r="L1991" s="266"/>
      <c r="M1991" s="266"/>
      <c r="N1991" s="266"/>
      <c r="O1991" s="266"/>
      <c r="P1991" s="266"/>
      <c r="Q1991" s="266"/>
      <c r="BR1991" s="266"/>
      <c r="BS1991" s="266"/>
      <c r="BT1991" s="266"/>
      <c r="BU1991" s="266"/>
      <c r="BV1991" s="266"/>
    </row>
    <row r="1992" spans="12:74">
      <c r="L1992" s="266"/>
      <c r="M1992" s="266"/>
      <c r="N1992" s="266"/>
      <c r="O1992" s="266"/>
      <c r="P1992" s="266"/>
      <c r="Q1992" s="266"/>
      <c r="BR1992" s="266"/>
      <c r="BS1992" s="266"/>
      <c r="BT1992" s="266"/>
      <c r="BU1992" s="266"/>
      <c r="BV1992" s="266"/>
    </row>
    <row r="1993" spans="12:74">
      <c r="L1993" s="266"/>
      <c r="M1993" s="266"/>
      <c r="N1993" s="266"/>
      <c r="O1993" s="266"/>
      <c r="P1993" s="266"/>
      <c r="Q1993" s="266"/>
      <c r="BR1993" s="266"/>
      <c r="BS1993" s="266"/>
      <c r="BT1993" s="266"/>
      <c r="BU1993" s="266"/>
      <c r="BV1993" s="266"/>
    </row>
    <row r="1994" spans="12:74">
      <c r="L1994" s="266"/>
      <c r="M1994" s="266"/>
      <c r="N1994" s="266"/>
      <c r="O1994" s="266"/>
      <c r="P1994" s="266"/>
      <c r="Q1994" s="266"/>
      <c r="BR1994" s="266"/>
      <c r="BS1994" s="266"/>
      <c r="BT1994" s="266"/>
      <c r="BU1994" s="266"/>
      <c r="BV1994" s="266"/>
    </row>
    <row r="1995" spans="12:74">
      <c r="L1995" s="266"/>
      <c r="M1995" s="266"/>
      <c r="N1995" s="266"/>
      <c r="O1995" s="266"/>
      <c r="P1995" s="266"/>
      <c r="Q1995" s="266"/>
      <c r="BR1995" s="266"/>
      <c r="BS1995" s="266"/>
      <c r="BT1995" s="266"/>
      <c r="BU1995" s="266"/>
      <c r="BV1995" s="266"/>
    </row>
    <row r="1996" spans="12:74">
      <c r="L1996" s="266"/>
      <c r="M1996" s="266"/>
      <c r="N1996" s="266"/>
      <c r="O1996" s="266"/>
      <c r="P1996" s="266"/>
      <c r="Q1996" s="266"/>
      <c r="BR1996" s="266"/>
      <c r="BS1996" s="266"/>
      <c r="BT1996" s="266"/>
      <c r="BU1996" s="266"/>
      <c r="BV1996" s="266"/>
    </row>
    <row r="1997" spans="12:74">
      <c r="L1997" s="266"/>
      <c r="M1997" s="266"/>
      <c r="N1997" s="266"/>
      <c r="O1997" s="266"/>
      <c r="P1997" s="266"/>
      <c r="Q1997" s="266"/>
      <c r="BR1997" s="266"/>
      <c r="BS1997" s="266"/>
      <c r="BT1997" s="266"/>
      <c r="BU1997" s="266"/>
      <c r="BV1997" s="266"/>
    </row>
    <row r="1998" spans="12:74">
      <c r="L1998" s="266"/>
      <c r="M1998" s="266"/>
      <c r="N1998" s="266"/>
      <c r="O1998" s="266"/>
      <c r="P1998" s="266"/>
      <c r="Q1998" s="266"/>
      <c r="BR1998" s="266"/>
      <c r="BS1998" s="266"/>
      <c r="BT1998" s="266"/>
      <c r="BU1998" s="266"/>
      <c r="BV1998" s="266"/>
    </row>
    <row r="1999" spans="12:74">
      <c r="L1999" s="266"/>
      <c r="M1999" s="266"/>
      <c r="N1999" s="266"/>
      <c r="O1999" s="266"/>
      <c r="P1999" s="266"/>
      <c r="Q1999" s="266"/>
      <c r="BR1999" s="266"/>
      <c r="BS1999" s="266"/>
      <c r="BT1999" s="266"/>
      <c r="BU1999" s="266"/>
      <c r="BV1999" s="266"/>
    </row>
    <row r="2000" spans="12:74">
      <c r="L2000" s="266"/>
      <c r="M2000" s="266"/>
      <c r="N2000" s="266"/>
      <c r="O2000" s="266"/>
      <c r="P2000" s="266"/>
      <c r="Q2000" s="266"/>
      <c r="BR2000" s="266"/>
      <c r="BS2000" s="266"/>
      <c r="BT2000" s="266"/>
      <c r="BU2000" s="266"/>
      <c r="BV2000" s="266"/>
    </row>
    <row r="2001" spans="12:74">
      <c r="L2001" s="266"/>
      <c r="M2001" s="266"/>
      <c r="N2001" s="266"/>
      <c r="O2001" s="266"/>
      <c r="P2001" s="266"/>
      <c r="Q2001" s="266"/>
      <c r="BR2001" s="266"/>
      <c r="BS2001" s="266"/>
      <c r="BT2001" s="266"/>
      <c r="BU2001" s="266"/>
      <c r="BV2001" s="266"/>
    </row>
    <row r="2002" spans="12:74">
      <c r="L2002" s="266"/>
      <c r="M2002" s="266"/>
      <c r="N2002" s="266"/>
      <c r="O2002" s="266"/>
      <c r="P2002" s="266"/>
      <c r="Q2002" s="266"/>
      <c r="BR2002" s="266"/>
      <c r="BS2002" s="266"/>
      <c r="BT2002" s="266"/>
      <c r="BU2002" s="266"/>
      <c r="BV2002" s="266"/>
    </row>
    <row r="2003" spans="12:74">
      <c r="L2003" s="266"/>
      <c r="M2003" s="266"/>
      <c r="N2003" s="266"/>
      <c r="O2003" s="266"/>
      <c r="P2003" s="266"/>
      <c r="Q2003" s="266"/>
      <c r="BR2003" s="266"/>
      <c r="BS2003" s="266"/>
      <c r="BT2003" s="266"/>
      <c r="BU2003" s="266"/>
      <c r="BV2003" s="266"/>
    </row>
    <row r="2004" spans="12:74">
      <c r="L2004" s="266"/>
      <c r="M2004" s="266"/>
      <c r="N2004" s="266"/>
      <c r="O2004" s="266"/>
      <c r="P2004" s="266"/>
      <c r="Q2004" s="266"/>
      <c r="BR2004" s="266"/>
      <c r="BS2004" s="266"/>
      <c r="BT2004" s="266"/>
      <c r="BU2004" s="266"/>
      <c r="BV2004" s="266"/>
    </row>
    <row r="2005" spans="12:74">
      <c r="L2005" s="266"/>
      <c r="M2005" s="266"/>
      <c r="N2005" s="266"/>
      <c r="O2005" s="266"/>
      <c r="P2005" s="266"/>
      <c r="Q2005" s="266"/>
      <c r="BR2005" s="266"/>
      <c r="BS2005" s="266"/>
      <c r="BT2005" s="266"/>
      <c r="BU2005" s="266"/>
      <c r="BV2005" s="266"/>
    </row>
    <row r="2006" spans="12:74">
      <c r="L2006" s="266"/>
      <c r="M2006" s="266"/>
      <c r="N2006" s="266"/>
      <c r="O2006" s="266"/>
      <c r="P2006" s="266"/>
      <c r="Q2006" s="266"/>
      <c r="BR2006" s="266"/>
      <c r="BS2006" s="266"/>
      <c r="BT2006" s="266"/>
      <c r="BU2006" s="266"/>
      <c r="BV2006" s="266"/>
    </row>
    <row r="2007" spans="12:74">
      <c r="L2007" s="266"/>
      <c r="M2007" s="266"/>
      <c r="N2007" s="266"/>
      <c r="O2007" s="266"/>
      <c r="P2007" s="266"/>
      <c r="Q2007" s="266"/>
      <c r="BR2007" s="266"/>
      <c r="BS2007" s="266"/>
      <c r="BT2007" s="266"/>
      <c r="BU2007" s="266"/>
      <c r="BV2007" s="266"/>
    </row>
    <row r="2008" spans="12:74">
      <c r="L2008" s="266"/>
      <c r="M2008" s="266"/>
      <c r="N2008" s="266"/>
      <c r="O2008" s="266"/>
      <c r="P2008" s="266"/>
      <c r="Q2008" s="266"/>
      <c r="BR2008" s="266"/>
      <c r="BS2008" s="266"/>
      <c r="BT2008" s="266"/>
      <c r="BU2008" s="266"/>
      <c r="BV2008" s="266"/>
    </row>
    <row r="2009" spans="12:74">
      <c r="L2009" s="266"/>
      <c r="M2009" s="266"/>
      <c r="N2009" s="266"/>
      <c r="O2009" s="266"/>
      <c r="P2009" s="266"/>
      <c r="Q2009" s="266"/>
      <c r="BR2009" s="266"/>
      <c r="BS2009" s="266"/>
      <c r="BT2009" s="266"/>
      <c r="BU2009" s="266"/>
      <c r="BV2009" s="266"/>
    </row>
    <row r="2010" spans="12:74">
      <c r="L2010" s="266"/>
      <c r="M2010" s="266"/>
      <c r="N2010" s="266"/>
      <c r="O2010" s="266"/>
      <c r="P2010" s="266"/>
      <c r="Q2010" s="266"/>
      <c r="BR2010" s="266"/>
      <c r="BS2010" s="266"/>
      <c r="BT2010" s="266"/>
      <c r="BU2010" s="266"/>
      <c r="BV2010" s="266"/>
    </row>
    <row r="2011" spans="12:74">
      <c r="L2011" s="266"/>
      <c r="M2011" s="266"/>
      <c r="N2011" s="266"/>
      <c r="O2011" s="266"/>
      <c r="P2011" s="266"/>
      <c r="Q2011" s="266"/>
      <c r="BR2011" s="266"/>
      <c r="BS2011" s="266"/>
      <c r="BT2011" s="266"/>
      <c r="BU2011" s="266"/>
      <c r="BV2011" s="266"/>
    </row>
    <row r="2012" spans="12:74">
      <c r="L2012" s="266"/>
      <c r="M2012" s="266"/>
      <c r="N2012" s="266"/>
      <c r="O2012" s="266"/>
      <c r="P2012" s="266"/>
      <c r="Q2012" s="266"/>
      <c r="BR2012" s="266"/>
      <c r="BS2012" s="266"/>
      <c r="BT2012" s="266"/>
      <c r="BU2012" s="266"/>
      <c r="BV2012" s="266"/>
    </row>
    <row r="2013" spans="12:74">
      <c r="L2013" s="266"/>
      <c r="M2013" s="266"/>
      <c r="N2013" s="266"/>
      <c r="O2013" s="266"/>
      <c r="P2013" s="266"/>
      <c r="Q2013" s="266"/>
      <c r="BR2013" s="266"/>
      <c r="BS2013" s="266"/>
      <c r="BT2013" s="266"/>
      <c r="BU2013" s="266"/>
      <c r="BV2013" s="266"/>
    </row>
    <row r="2014" spans="12:74">
      <c r="L2014" s="266"/>
      <c r="M2014" s="266"/>
      <c r="N2014" s="266"/>
      <c r="O2014" s="266"/>
      <c r="P2014" s="266"/>
      <c r="Q2014" s="266"/>
      <c r="BR2014" s="266"/>
      <c r="BS2014" s="266"/>
      <c r="BT2014" s="266"/>
      <c r="BU2014" s="266"/>
      <c r="BV2014" s="266"/>
    </row>
    <row r="2015" spans="12:74">
      <c r="L2015" s="266"/>
      <c r="M2015" s="266"/>
      <c r="N2015" s="266"/>
      <c r="O2015" s="266"/>
      <c r="P2015" s="266"/>
      <c r="Q2015" s="266"/>
      <c r="BR2015" s="266"/>
      <c r="BS2015" s="266"/>
      <c r="BT2015" s="266"/>
      <c r="BU2015" s="266"/>
      <c r="BV2015" s="266"/>
    </row>
    <row r="2016" spans="12:74">
      <c r="L2016" s="266"/>
      <c r="M2016" s="266"/>
      <c r="N2016" s="266"/>
      <c r="O2016" s="266"/>
      <c r="P2016" s="266"/>
      <c r="Q2016" s="266"/>
      <c r="BR2016" s="266"/>
      <c r="BS2016" s="266"/>
      <c r="BT2016" s="266"/>
      <c r="BU2016" s="266"/>
      <c r="BV2016" s="266"/>
    </row>
    <row r="2017" spans="12:74">
      <c r="L2017" s="266"/>
      <c r="M2017" s="266"/>
      <c r="N2017" s="266"/>
      <c r="O2017" s="266"/>
      <c r="P2017" s="266"/>
      <c r="Q2017" s="266"/>
      <c r="BR2017" s="266"/>
      <c r="BS2017" s="266"/>
      <c r="BT2017" s="266"/>
      <c r="BU2017" s="266"/>
      <c r="BV2017" s="266"/>
    </row>
    <row r="2018" spans="12:74">
      <c r="L2018" s="266"/>
      <c r="M2018" s="266"/>
      <c r="N2018" s="266"/>
      <c r="O2018" s="266"/>
      <c r="P2018" s="266"/>
      <c r="Q2018" s="266"/>
      <c r="BR2018" s="266"/>
      <c r="BS2018" s="266"/>
      <c r="BT2018" s="266"/>
      <c r="BU2018" s="266"/>
      <c r="BV2018" s="266"/>
    </row>
    <row r="2019" spans="12:74">
      <c r="L2019" s="266"/>
      <c r="M2019" s="266"/>
      <c r="N2019" s="266"/>
      <c r="O2019" s="266"/>
      <c r="P2019" s="266"/>
      <c r="Q2019" s="266"/>
      <c r="BR2019" s="266"/>
      <c r="BS2019" s="266"/>
      <c r="BT2019" s="266"/>
      <c r="BU2019" s="266"/>
      <c r="BV2019" s="266"/>
    </row>
    <row r="2020" spans="12:74">
      <c r="L2020" s="266"/>
      <c r="M2020" s="266"/>
      <c r="N2020" s="266"/>
      <c r="O2020" s="266"/>
      <c r="P2020" s="266"/>
      <c r="Q2020" s="266"/>
      <c r="BR2020" s="266"/>
      <c r="BS2020" s="266"/>
      <c r="BT2020" s="266"/>
      <c r="BU2020" s="266"/>
      <c r="BV2020" s="266"/>
    </row>
    <row r="2021" spans="12:74">
      <c r="L2021" s="266"/>
      <c r="M2021" s="266"/>
      <c r="N2021" s="266"/>
      <c r="O2021" s="266"/>
      <c r="P2021" s="266"/>
      <c r="Q2021" s="266"/>
      <c r="BR2021" s="266"/>
      <c r="BS2021" s="266"/>
      <c r="BT2021" s="266"/>
      <c r="BU2021" s="266"/>
      <c r="BV2021" s="266"/>
    </row>
    <row r="2022" spans="12:74">
      <c r="L2022" s="266"/>
      <c r="M2022" s="266"/>
      <c r="N2022" s="266"/>
      <c r="O2022" s="266"/>
      <c r="P2022" s="266"/>
      <c r="Q2022" s="266"/>
      <c r="BR2022" s="266"/>
      <c r="BS2022" s="266"/>
      <c r="BT2022" s="266"/>
      <c r="BU2022" s="266"/>
      <c r="BV2022" s="266"/>
    </row>
    <row r="2023" spans="12:74">
      <c r="L2023" s="266"/>
      <c r="M2023" s="266"/>
      <c r="N2023" s="266"/>
      <c r="O2023" s="266"/>
      <c r="P2023" s="266"/>
      <c r="Q2023" s="266"/>
      <c r="BR2023" s="266"/>
      <c r="BS2023" s="266"/>
      <c r="BT2023" s="266"/>
      <c r="BU2023" s="266"/>
      <c r="BV2023" s="266"/>
    </row>
    <row r="2024" spans="12:74">
      <c r="L2024" s="266"/>
      <c r="M2024" s="266"/>
      <c r="N2024" s="266"/>
      <c r="O2024" s="266"/>
      <c r="P2024" s="266"/>
      <c r="Q2024" s="266"/>
      <c r="BR2024" s="266"/>
      <c r="BS2024" s="266"/>
      <c r="BT2024" s="266"/>
      <c r="BU2024" s="266"/>
      <c r="BV2024" s="266"/>
    </row>
    <row r="2025" spans="12:74">
      <c r="L2025" s="266"/>
      <c r="M2025" s="266"/>
      <c r="N2025" s="266"/>
      <c r="O2025" s="266"/>
      <c r="P2025" s="266"/>
      <c r="Q2025" s="266"/>
      <c r="BR2025" s="266"/>
      <c r="BS2025" s="266"/>
      <c r="BT2025" s="266"/>
      <c r="BU2025" s="266"/>
      <c r="BV2025" s="266"/>
    </row>
    <row r="2026" spans="12:74">
      <c r="L2026" s="266"/>
      <c r="M2026" s="266"/>
      <c r="N2026" s="266"/>
      <c r="O2026" s="266"/>
      <c r="P2026" s="266"/>
      <c r="Q2026" s="266"/>
      <c r="BR2026" s="266"/>
      <c r="BS2026" s="266"/>
      <c r="BT2026" s="266"/>
      <c r="BU2026" s="266"/>
      <c r="BV2026" s="266"/>
    </row>
    <row r="2027" spans="12:74">
      <c r="L2027" s="266"/>
      <c r="M2027" s="266"/>
      <c r="N2027" s="266"/>
      <c r="O2027" s="266"/>
      <c r="P2027" s="266"/>
      <c r="Q2027" s="266"/>
      <c r="BR2027" s="266"/>
      <c r="BS2027" s="266"/>
      <c r="BT2027" s="266"/>
      <c r="BU2027" s="266"/>
      <c r="BV2027" s="266"/>
    </row>
    <row r="2028" spans="12:74">
      <c r="L2028" s="266"/>
      <c r="M2028" s="266"/>
      <c r="N2028" s="266"/>
      <c r="O2028" s="266"/>
      <c r="P2028" s="266"/>
      <c r="Q2028" s="266"/>
      <c r="BR2028" s="266"/>
      <c r="BS2028" s="266"/>
      <c r="BT2028" s="266"/>
      <c r="BU2028" s="266"/>
      <c r="BV2028" s="266"/>
    </row>
    <row r="2029" spans="12:74">
      <c r="L2029" s="266"/>
      <c r="M2029" s="266"/>
      <c r="N2029" s="266"/>
      <c r="O2029" s="266"/>
      <c r="P2029" s="266"/>
      <c r="Q2029" s="266"/>
      <c r="BR2029" s="266"/>
      <c r="BS2029" s="266"/>
      <c r="BT2029" s="266"/>
      <c r="BU2029" s="266"/>
      <c r="BV2029" s="266"/>
    </row>
    <row r="2030" spans="12:74">
      <c r="L2030" s="266"/>
      <c r="M2030" s="266"/>
      <c r="N2030" s="266"/>
      <c r="O2030" s="266"/>
      <c r="P2030" s="266"/>
      <c r="Q2030" s="266"/>
      <c r="BR2030" s="266"/>
      <c r="BS2030" s="266"/>
      <c r="BT2030" s="266"/>
      <c r="BU2030" s="266"/>
      <c r="BV2030" s="266"/>
    </row>
    <row r="2031" spans="12:74">
      <c r="L2031" s="266"/>
      <c r="M2031" s="266"/>
      <c r="N2031" s="266"/>
      <c r="O2031" s="266"/>
      <c r="P2031" s="266"/>
      <c r="Q2031" s="266"/>
      <c r="BR2031" s="266"/>
      <c r="BS2031" s="266"/>
      <c r="BT2031" s="266"/>
      <c r="BU2031" s="266"/>
      <c r="BV2031" s="266"/>
    </row>
    <row r="2032" spans="12:74">
      <c r="L2032" s="266"/>
      <c r="M2032" s="266"/>
      <c r="N2032" s="266"/>
      <c r="O2032" s="266"/>
      <c r="P2032" s="266"/>
      <c r="Q2032" s="266"/>
      <c r="BR2032" s="266"/>
      <c r="BS2032" s="266"/>
      <c r="BT2032" s="266"/>
      <c r="BU2032" s="266"/>
      <c r="BV2032" s="266"/>
    </row>
    <row r="2033" spans="12:74">
      <c r="L2033" s="266"/>
      <c r="M2033" s="266"/>
      <c r="N2033" s="266"/>
      <c r="O2033" s="266"/>
      <c r="P2033" s="266"/>
      <c r="Q2033" s="266"/>
      <c r="BR2033" s="266"/>
      <c r="BS2033" s="266"/>
      <c r="BT2033" s="266"/>
      <c r="BU2033" s="266"/>
      <c r="BV2033" s="266"/>
    </row>
    <row r="2034" spans="12:74">
      <c r="L2034" s="266"/>
      <c r="M2034" s="266"/>
      <c r="N2034" s="266"/>
      <c r="O2034" s="266"/>
      <c r="P2034" s="266"/>
      <c r="Q2034" s="266"/>
      <c r="BR2034" s="266"/>
      <c r="BS2034" s="266"/>
      <c r="BT2034" s="266"/>
      <c r="BU2034" s="266"/>
      <c r="BV2034" s="266"/>
    </row>
    <row r="2035" spans="12:74">
      <c r="L2035" s="266"/>
      <c r="M2035" s="266"/>
      <c r="N2035" s="266"/>
      <c r="O2035" s="266"/>
      <c r="P2035" s="266"/>
      <c r="Q2035" s="266"/>
      <c r="BR2035" s="266"/>
      <c r="BS2035" s="266"/>
      <c r="BT2035" s="266"/>
      <c r="BU2035" s="266"/>
      <c r="BV2035" s="266"/>
    </row>
    <row r="2036" spans="12:74">
      <c r="L2036" s="266"/>
      <c r="M2036" s="266"/>
      <c r="N2036" s="266"/>
      <c r="O2036" s="266"/>
      <c r="P2036" s="266"/>
      <c r="Q2036" s="266"/>
      <c r="BR2036" s="266"/>
      <c r="BS2036" s="266"/>
      <c r="BT2036" s="266"/>
      <c r="BU2036" s="266"/>
      <c r="BV2036" s="266"/>
    </row>
    <row r="2037" spans="12:74">
      <c r="L2037" s="266"/>
      <c r="M2037" s="266"/>
      <c r="N2037" s="266"/>
      <c r="O2037" s="266"/>
      <c r="P2037" s="266"/>
      <c r="Q2037" s="266"/>
      <c r="BR2037" s="266"/>
      <c r="BS2037" s="266"/>
      <c r="BT2037" s="266"/>
      <c r="BU2037" s="266"/>
      <c r="BV2037" s="266"/>
    </row>
    <row r="2038" spans="12:74">
      <c r="L2038" s="266"/>
      <c r="M2038" s="266"/>
      <c r="N2038" s="266"/>
      <c r="O2038" s="266"/>
      <c r="P2038" s="266"/>
      <c r="Q2038" s="266"/>
      <c r="BR2038" s="266"/>
      <c r="BS2038" s="266"/>
      <c r="BT2038" s="266"/>
      <c r="BU2038" s="266"/>
      <c r="BV2038" s="266"/>
    </row>
    <row r="2039" spans="12:74">
      <c r="L2039" s="266"/>
      <c r="M2039" s="266"/>
      <c r="N2039" s="266"/>
      <c r="O2039" s="266"/>
      <c r="P2039" s="266"/>
      <c r="Q2039" s="266"/>
      <c r="BR2039" s="266"/>
      <c r="BS2039" s="266"/>
      <c r="BT2039" s="266"/>
      <c r="BU2039" s="266"/>
      <c r="BV2039" s="266"/>
    </row>
    <row r="2040" spans="12:74">
      <c r="L2040" s="266"/>
      <c r="M2040" s="266"/>
      <c r="N2040" s="266"/>
      <c r="O2040" s="266"/>
      <c r="P2040" s="266"/>
      <c r="Q2040" s="266"/>
      <c r="BR2040" s="266"/>
      <c r="BS2040" s="266"/>
      <c r="BT2040" s="266"/>
      <c r="BU2040" s="266"/>
      <c r="BV2040" s="266"/>
    </row>
    <row r="2041" spans="12:74">
      <c r="L2041" s="266"/>
      <c r="M2041" s="266"/>
      <c r="N2041" s="266"/>
      <c r="O2041" s="266"/>
      <c r="P2041" s="266"/>
      <c r="Q2041" s="266"/>
      <c r="BR2041" s="266"/>
      <c r="BS2041" s="266"/>
      <c r="BT2041" s="266"/>
      <c r="BU2041" s="266"/>
      <c r="BV2041" s="266"/>
    </row>
    <row r="2042" spans="12:74">
      <c r="L2042" s="266"/>
      <c r="M2042" s="266"/>
      <c r="N2042" s="266"/>
      <c r="O2042" s="266"/>
      <c r="P2042" s="266"/>
      <c r="Q2042" s="266"/>
      <c r="BR2042" s="266"/>
      <c r="BS2042" s="266"/>
      <c r="BT2042" s="266"/>
      <c r="BU2042" s="266"/>
      <c r="BV2042" s="266"/>
    </row>
    <row r="2043" spans="12:74">
      <c r="L2043" s="266"/>
      <c r="M2043" s="266"/>
      <c r="N2043" s="266"/>
      <c r="O2043" s="266"/>
      <c r="P2043" s="266"/>
      <c r="Q2043" s="266"/>
      <c r="BR2043" s="266"/>
      <c r="BS2043" s="266"/>
      <c r="BT2043" s="266"/>
      <c r="BU2043" s="266"/>
      <c r="BV2043" s="266"/>
    </row>
    <row r="2044" spans="12:74">
      <c r="L2044" s="266"/>
      <c r="M2044" s="266"/>
      <c r="N2044" s="266"/>
      <c r="O2044" s="266"/>
      <c r="P2044" s="266"/>
      <c r="Q2044" s="266"/>
      <c r="BR2044" s="266"/>
      <c r="BS2044" s="266"/>
      <c r="BT2044" s="266"/>
      <c r="BU2044" s="266"/>
      <c r="BV2044" s="266"/>
    </row>
    <row r="2045" spans="12:74">
      <c r="L2045" s="266"/>
      <c r="M2045" s="266"/>
      <c r="N2045" s="266"/>
      <c r="O2045" s="266"/>
      <c r="P2045" s="266"/>
      <c r="Q2045" s="266"/>
      <c r="BR2045" s="266"/>
      <c r="BS2045" s="266"/>
      <c r="BT2045" s="266"/>
      <c r="BU2045" s="266"/>
      <c r="BV2045" s="266"/>
    </row>
    <row r="2046" spans="12:74">
      <c r="L2046" s="266"/>
      <c r="M2046" s="266"/>
      <c r="N2046" s="266"/>
      <c r="O2046" s="266"/>
      <c r="P2046" s="266"/>
      <c r="Q2046" s="266"/>
      <c r="BR2046" s="266"/>
      <c r="BS2046" s="266"/>
      <c r="BT2046" s="266"/>
      <c r="BU2046" s="266"/>
      <c r="BV2046" s="266"/>
    </row>
    <row r="2047" spans="12:74">
      <c r="L2047" s="266"/>
      <c r="M2047" s="266"/>
      <c r="N2047" s="266"/>
      <c r="O2047" s="266"/>
      <c r="P2047" s="266"/>
      <c r="Q2047" s="266"/>
      <c r="BR2047" s="266"/>
      <c r="BS2047" s="266"/>
      <c r="BT2047" s="266"/>
      <c r="BU2047" s="266"/>
      <c r="BV2047" s="266"/>
    </row>
    <row r="2048" spans="12:74">
      <c r="L2048" s="266"/>
      <c r="M2048" s="266"/>
      <c r="N2048" s="266"/>
      <c r="O2048" s="266"/>
      <c r="P2048" s="266"/>
      <c r="Q2048" s="266"/>
      <c r="BR2048" s="266"/>
      <c r="BS2048" s="266"/>
      <c r="BT2048" s="266"/>
      <c r="BU2048" s="266"/>
      <c r="BV2048" s="266"/>
    </row>
    <row r="2049" spans="12:74">
      <c r="L2049" s="266"/>
      <c r="M2049" s="266"/>
      <c r="N2049" s="266"/>
      <c r="O2049" s="266"/>
      <c r="P2049" s="266"/>
      <c r="Q2049" s="266"/>
      <c r="BR2049" s="266"/>
      <c r="BS2049" s="266"/>
      <c r="BT2049" s="266"/>
      <c r="BU2049" s="266"/>
      <c r="BV2049" s="266"/>
    </row>
    <row r="2050" spans="12:74">
      <c r="L2050" s="266"/>
      <c r="M2050" s="266"/>
      <c r="N2050" s="266"/>
      <c r="O2050" s="266"/>
      <c r="P2050" s="266"/>
      <c r="Q2050" s="266"/>
      <c r="BR2050" s="266"/>
      <c r="BS2050" s="266"/>
      <c r="BT2050" s="266"/>
      <c r="BU2050" s="266"/>
      <c r="BV2050" s="266"/>
    </row>
    <row r="2051" spans="12:74">
      <c r="L2051" s="266"/>
      <c r="M2051" s="266"/>
      <c r="N2051" s="266"/>
      <c r="O2051" s="266"/>
      <c r="P2051" s="266"/>
      <c r="Q2051" s="266"/>
      <c r="BR2051" s="266"/>
      <c r="BS2051" s="266"/>
      <c r="BT2051" s="266"/>
      <c r="BU2051" s="266"/>
      <c r="BV2051" s="266"/>
    </row>
    <row r="2052" spans="12:74">
      <c r="L2052" s="266"/>
      <c r="M2052" s="266"/>
      <c r="N2052" s="266"/>
      <c r="O2052" s="266"/>
      <c r="P2052" s="266"/>
      <c r="Q2052" s="266"/>
      <c r="BR2052" s="266"/>
      <c r="BS2052" s="266"/>
      <c r="BT2052" s="266"/>
      <c r="BU2052" s="266"/>
      <c r="BV2052" s="266"/>
    </row>
    <row r="2053" spans="12:74">
      <c r="L2053" s="266"/>
      <c r="M2053" s="266"/>
      <c r="N2053" s="266"/>
      <c r="O2053" s="266"/>
      <c r="P2053" s="266"/>
      <c r="Q2053" s="266"/>
      <c r="BR2053" s="266"/>
      <c r="BS2053" s="266"/>
      <c r="BT2053" s="266"/>
      <c r="BU2053" s="266"/>
      <c r="BV2053" s="266"/>
    </row>
    <row r="2054" spans="12:74">
      <c r="L2054" s="266"/>
      <c r="M2054" s="266"/>
      <c r="N2054" s="266"/>
      <c r="O2054" s="266"/>
      <c r="P2054" s="266"/>
      <c r="Q2054" s="266"/>
      <c r="BR2054" s="266"/>
      <c r="BS2054" s="266"/>
      <c r="BT2054" s="266"/>
      <c r="BU2054" s="266"/>
      <c r="BV2054" s="266"/>
    </row>
    <row r="2055" spans="12:74">
      <c r="L2055" s="266"/>
      <c r="M2055" s="266"/>
      <c r="N2055" s="266"/>
      <c r="O2055" s="266"/>
      <c r="P2055" s="266"/>
      <c r="Q2055" s="266"/>
      <c r="BR2055" s="266"/>
      <c r="BS2055" s="266"/>
      <c r="BT2055" s="266"/>
      <c r="BU2055" s="266"/>
      <c r="BV2055" s="266"/>
    </row>
    <row r="2056" spans="12:74">
      <c r="L2056" s="266"/>
      <c r="M2056" s="266"/>
      <c r="N2056" s="266"/>
      <c r="O2056" s="266"/>
      <c r="P2056" s="266"/>
      <c r="Q2056" s="266"/>
      <c r="BR2056" s="266"/>
      <c r="BS2056" s="266"/>
      <c r="BT2056" s="266"/>
      <c r="BU2056" s="266"/>
      <c r="BV2056" s="266"/>
    </row>
    <row r="2057" spans="12:74">
      <c r="L2057" s="266"/>
      <c r="M2057" s="266"/>
      <c r="N2057" s="266"/>
      <c r="O2057" s="266"/>
      <c r="P2057" s="266"/>
      <c r="Q2057" s="266"/>
      <c r="BR2057" s="266"/>
      <c r="BS2057" s="266"/>
      <c r="BT2057" s="266"/>
      <c r="BU2057" s="266"/>
      <c r="BV2057" s="266"/>
    </row>
    <row r="2058" spans="12:74">
      <c r="L2058" s="266"/>
      <c r="M2058" s="266"/>
      <c r="N2058" s="266"/>
      <c r="O2058" s="266"/>
      <c r="P2058" s="266"/>
      <c r="Q2058" s="266"/>
      <c r="BR2058" s="266"/>
      <c r="BS2058" s="266"/>
      <c r="BT2058" s="266"/>
      <c r="BU2058" s="266"/>
      <c r="BV2058" s="266"/>
    </row>
    <row r="2059" spans="12:74">
      <c r="L2059" s="266"/>
      <c r="M2059" s="266"/>
      <c r="N2059" s="266"/>
      <c r="O2059" s="266"/>
      <c r="P2059" s="266"/>
      <c r="Q2059" s="266"/>
      <c r="BR2059" s="266"/>
      <c r="BS2059" s="266"/>
      <c r="BT2059" s="266"/>
      <c r="BU2059" s="266"/>
      <c r="BV2059" s="266"/>
    </row>
    <row r="2060" spans="12:74">
      <c r="L2060" s="266"/>
      <c r="M2060" s="266"/>
      <c r="N2060" s="266"/>
      <c r="O2060" s="266"/>
      <c r="P2060" s="266"/>
      <c r="Q2060" s="266"/>
      <c r="BR2060" s="266"/>
      <c r="BS2060" s="266"/>
      <c r="BT2060" s="266"/>
      <c r="BU2060" s="266"/>
      <c r="BV2060" s="266"/>
    </row>
    <row r="2061" spans="12:74">
      <c r="L2061" s="266"/>
      <c r="M2061" s="266"/>
      <c r="N2061" s="266"/>
      <c r="O2061" s="266"/>
      <c r="P2061" s="266"/>
      <c r="Q2061" s="266"/>
      <c r="BR2061" s="266"/>
      <c r="BS2061" s="266"/>
      <c r="BT2061" s="266"/>
      <c r="BU2061" s="266"/>
      <c r="BV2061" s="266"/>
    </row>
    <row r="2062" spans="12:74">
      <c r="L2062" s="266"/>
      <c r="M2062" s="266"/>
      <c r="N2062" s="266"/>
      <c r="O2062" s="266"/>
      <c r="P2062" s="266"/>
      <c r="Q2062" s="266"/>
      <c r="BR2062" s="266"/>
      <c r="BS2062" s="266"/>
      <c r="BT2062" s="266"/>
      <c r="BU2062" s="266"/>
      <c r="BV2062" s="266"/>
    </row>
    <row r="2063" spans="12:74">
      <c r="L2063" s="266"/>
      <c r="M2063" s="266"/>
      <c r="N2063" s="266"/>
      <c r="O2063" s="266"/>
      <c r="P2063" s="266"/>
      <c r="Q2063" s="266"/>
      <c r="BR2063" s="266"/>
      <c r="BS2063" s="266"/>
      <c r="BT2063" s="266"/>
      <c r="BU2063" s="266"/>
      <c r="BV2063" s="266"/>
    </row>
    <row r="2064" spans="12:74">
      <c r="L2064" s="266"/>
      <c r="M2064" s="266"/>
      <c r="N2064" s="266"/>
      <c r="O2064" s="266"/>
      <c r="P2064" s="266"/>
      <c r="Q2064" s="266"/>
      <c r="BR2064" s="266"/>
      <c r="BS2064" s="266"/>
      <c r="BT2064" s="266"/>
      <c r="BU2064" s="266"/>
      <c r="BV2064" s="266"/>
    </row>
    <row r="2065" spans="12:74">
      <c r="L2065" s="266"/>
      <c r="M2065" s="266"/>
      <c r="N2065" s="266"/>
      <c r="O2065" s="266"/>
      <c r="P2065" s="266"/>
      <c r="Q2065" s="266"/>
      <c r="BR2065" s="266"/>
      <c r="BS2065" s="266"/>
      <c r="BT2065" s="266"/>
      <c r="BU2065" s="266"/>
      <c r="BV2065" s="266"/>
    </row>
    <row r="2066" spans="12:74">
      <c r="L2066" s="266"/>
      <c r="M2066" s="266"/>
      <c r="N2066" s="266"/>
      <c r="O2066" s="266"/>
      <c r="P2066" s="266"/>
      <c r="Q2066" s="266"/>
      <c r="BR2066" s="266"/>
      <c r="BS2066" s="266"/>
      <c r="BT2066" s="266"/>
      <c r="BU2066" s="266"/>
      <c r="BV2066" s="266"/>
    </row>
    <row r="2067" spans="12:74">
      <c r="L2067" s="266"/>
      <c r="M2067" s="266"/>
      <c r="N2067" s="266"/>
      <c r="O2067" s="266"/>
      <c r="P2067" s="266"/>
      <c r="Q2067" s="266"/>
      <c r="BR2067" s="266"/>
      <c r="BS2067" s="266"/>
      <c r="BT2067" s="266"/>
      <c r="BU2067" s="266"/>
      <c r="BV2067" s="266"/>
    </row>
    <row r="2068" spans="12:74">
      <c r="L2068" s="266"/>
      <c r="M2068" s="266"/>
      <c r="N2068" s="266"/>
      <c r="O2068" s="266"/>
      <c r="P2068" s="266"/>
      <c r="Q2068" s="266"/>
      <c r="BR2068" s="266"/>
      <c r="BS2068" s="266"/>
      <c r="BT2068" s="266"/>
      <c r="BU2068" s="266"/>
      <c r="BV2068" s="266"/>
    </row>
    <row r="2069" spans="12:74">
      <c r="L2069" s="266"/>
      <c r="M2069" s="266"/>
      <c r="N2069" s="266"/>
      <c r="O2069" s="266"/>
      <c r="P2069" s="266"/>
      <c r="Q2069" s="266"/>
      <c r="BR2069" s="266"/>
      <c r="BS2069" s="266"/>
      <c r="BT2069" s="266"/>
      <c r="BU2069" s="266"/>
      <c r="BV2069" s="266"/>
    </row>
    <row r="2070" spans="12:74">
      <c r="L2070" s="266"/>
      <c r="M2070" s="266"/>
      <c r="N2070" s="266"/>
      <c r="O2070" s="266"/>
      <c r="P2070" s="266"/>
      <c r="Q2070" s="266"/>
      <c r="BR2070" s="266"/>
      <c r="BS2070" s="266"/>
      <c r="BT2070" s="266"/>
      <c r="BU2070" s="266"/>
      <c r="BV2070" s="266"/>
    </row>
    <row r="2071" spans="12:74">
      <c r="L2071" s="266"/>
      <c r="M2071" s="266"/>
      <c r="N2071" s="266"/>
      <c r="O2071" s="266"/>
      <c r="P2071" s="266"/>
      <c r="Q2071" s="266"/>
      <c r="BR2071" s="266"/>
      <c r="BS2071" s="266"/>
      <c r="BT2071" s="266"/>
      <c r="BU2071" s="266"/>
      <c r="BV2071" s="266"/>
    </row>
    <row r="2072" spans="12:74">
      <c r="L2072" s="266"/>
      <c r="M2072" s="266"/>
      <c r="N2072" s="266"/>
      <c r="O2072" s="266"/>
      <c r="P2072" s="266"/>
      <c r="Q2072" s="266"/>
      <c r="BR2072" s="266"/>
      <c r="BS2072" s="266"/>
      <c r="BT2072" s="266"/>
      <c r="BU2072" s="266"/>
      <c r="BV2072" s="266"/>
    </row>
    <row r="2073" spans="12:74">
      <c r="L2073" s="266"/>
      <c r="M2073" s="266"/>
      <c r="N2073" s="266"/>
      <c r="O2073" s="266"/>
      <c r="P2073" s="266"/>
      <c r="Q2073" s="266"/>
      <c r="BR2073" s="266"/>
      <c r="BS2073" s="266"/>
      <c r="BT2073" s="266"/>
      <c r="BU2073" s="266"/>
      <c r="BV2073" s="266"/>
    </row>
    <row r="2074" spans="12:74">
      <c r="L2074" s="266"/>
      <c r="M2074" s="266"/>
      <c r="N2074" s="266"/>
      <c r="O2074" s="266"/>
      <c r="P2074" s="266"/>
      <c r="Q2074" s="266"/>
      <c r="BR2074" s="266"/>
      <c r="BS2074" s="266"/>
      <c r="BT2074" s="266"/>
      <c r="BU2074" s="266"/>
      <c r="BV2074" s="266"/>
    </row>
    <row r="2075" spans="12:74">
      <c r="L2075" s="266"/>
      <c r="M2075" s="266"/>
      <c r="N2075" s="266"/>
      <c r="O2075" s="266"/>
      <c r="P2075" s="266"/>
      <c r="Q2075" s="266"/>
      <c r="BR2075" s="266"/>
      <c r="BS2075" s="266"/>
      <c r="BT2075" s="266"/>
      <c r="BU2075" s="266"/>
      <c r="BV2075" s="266"/>
    </row>
    <row r="2076" spans="12:74">
      <c r="L2076" s="266"/>
      <c r="M2076" s="266"/>
      <c r="N2076" s="266"/>
      <c r="O2076" s="266"/>
      <c r="P2076" s="266"/>
      <c r="Q2076" s="266"/>
      <c r="BR2076" s="266"/>
      <c r="BS2076" s="266"/>
      <c r="BT2076" s="266"/>
      <c r="BU2076" s="266"/>
      <c r="BV2076" s="266"/>
    </row>
    <row r="2077" spans="12:74">
      <c r="L2077" s="266"/>
      <c r="M2077" s="266"/>
      <c r="N2077" s="266"/>
      <c r="O2077" s="266"/>
      <c r="P2077" s="266"/>
      <c r="Q2077" s="266"/>
      <c r="BR2077" s="266"/>
      <c r="BS2077" s="266"/>
      <c r="BT2077" s="266"/>
      <c r="BU2077" s="266"/>
      <c r="BV2077" s="266"/>
    </row>
    <row r="2078" spans="12:74">
      <c r="L2078" s="266"/>
      <c r="M2078" s="266"/>
      <c r="N2078" s="266"/>
      <c r="O2078" s="266"/>
      <c r="P2078" s="266"/>
      <c r="Q2078" s="266"/>
      <c r="BR2078" s="266"/>
      <c r="BS2078" s="266"/>
      <c r="BT2078" s="266"/>
      <c r="BU2078" s="266"/>
      <c r="BV2078" s="266"/>
    </row>
    <row r="2079" spans="12:74">
      <c r="L2079" s="266"/>
      <c r="M2079" s="266"/>
      <c r="N2079" s="266"/>
      <c r="O2079" s="266"/>
      <c r="P2079" s="266"/>
      <c r="Q2079" s="266"/>
      <c r="BR2079" s="266"/>
      <c r="BS2079" s="266"/>
      <c r="BT2079" s="266"/>
      <c r="BU2079" s="266"/>
      <c r="BV2079" s="266"/>
    </row>
    <row r="2080" spans="12:74">
      <c r="L2080" s="266"/>
      <c r="M2080" s="266"/>
      <c r="N2080" s="266"/>
      <c r="O2080" s="266"/>
      <c r="P2080" s="266"/>
      <c r="Q2080" s="266"/>
      <c r="BR2080" s="266"/>
      <c r="BS2080" s="266"/>
      <c r="BT2080" s="266"/>
      <c r="BU2080" s="266"/>
      <c r="BV2080" s="266"/>
    </row>
    <row r="2081" spans="12:74">
      <c r="L2081" s="266"/>
      <c r="M2081" s="266"/>
      <c r="N2081" s="266"/>
      <c r="O2081" s="266"/>
      <c r="P2081" s="266"/>
      <c r="Q2081" s="266"/>
      <c r="BR2081" s="266"/>
      <c r="BS2081" s="266"/>
      <c r="BT2081" s="266"/>
      <c r="BU2081" s="266"/>
      <c r="BV2081" s="266"/>
    </row>
    <row r="2082" spans="12:74">
      <c r="L2082" s="266"/>
      <c r="M2082" s="266"/>
      <c r="N2082" s="266"/>
      <c r="O2082" s="266"/>
      <c r="P2082" s="266"/>
      <c r="Q2082" s="266"/>
      <c r="BR2082" s="266"/>
      <c r="BS2082" s="266"/>
      <c r="BT2082" s="266"/>
      <c r="BU2082" s="266"/>
      <c r="BV2082" s="266"/>
    </row>
    <row r="2083" spans="12:74">
      <c r="L2083" s="266"/>
      <c r="M2083" s="266"/>
      <c r="N2083" s="266"/>
      <c r="O2083" s="266"/>
      <c r="P2083" s="266"/>
      <c r="Q2083" s="266"/>
      <c r="BR2083" s="266"/>
      <c r="BS2083" s="266"/>
      <c r="BT2083" s="266"/>
      <c r="BU2083" s="266"/>
      <c r="BV2083" s="266"/>
    </row>
    <row r="2084" spans="12:74">
      <c r="L2084" s="266"/>
      <c r="M2084" s="266"/>
      <c r="N2084" s="266"/>
      <c r="O2084" s="266"/>
      <c r="P2084" s="266"/>
      <c r="Q2084" s="266"/>
      <c r="BR2084" s="266"/>
      <c r="BS2084" s="266"/>
      <c r="BT2084" s="266"/>
      <c r="BU2084" s="266"/>
      <c r="BV2084" s="266"/>
    </row>
    <row r="2085" spans="12:74">
      <c r="L2085" s="266"/>
      <c r="M2085" s="266"/>
      <c r="N2085" s="266"/>
      <c r="O2085" s="266"/>
      <c r="P2085" s="266"/>
      <c r="Q2085" s="266"/>
      <c r="BR2085" s="266"/>
      <c r="BS2085" s="266"/>
      <c r="BT2085" s="266"/>
      <c r="BU2085" s="266"/>
      <c r="BV2085" s="266"/>
    </row>
    <row r="2086" spans="12:74">
      <c r="L2086" s="266"/>
      <c r="M2086" s="266"/>
      <c r="N2086" s="266"/>
      <c r="O2086" s="266"/>
      <c r="P2086" s="266"/>
      <c r="Q2086" s="266"/>
      <c r="BR2086" s="266"/>
      <c r="BS2086" s="266"/>
      <c r="BT2086" s="266"/>
      <c r="BU2086" s="266"/>
      <c r="BV2086" s="266"/>
    </row>
    <row r="2087" spans="12:74">
      <c r="L2087" s="266"/>
      <c r="M2087" s="266"/>
      <c r="N2087" s="266"/>
      <c r="O2087" s="266"/>
      <c r="P2087" s="266"/>
      <c r="Q2087" s="266"/>
      <c r="BR2087" s="266"/>
      <c r="BS2087" s="266"/>
      <c r="BT2087" s="266"/>
      <c r="BU2087" s="266"/>
      <c r="BV2087" s="266"/>
    </row>
    <row r="2088" spans="12:74">
      <c r="L2088" s="266"/>
      <c r="M2088" s="266"/>
      <c r="N2088" s="266"/>
      <c r="O2088" s="266"/>
      <c r="P2088" s="266"/>
      <c r="Q2088" s="266"/>
      <c r="BR2088" s="266"/>
      <c r="BS2088" s="266"/>
      <c r="BT2088" s="266"/>
      <c r="BU2088" s="266"/>
      <c r="BV2088" s="266"/>
    </row>
    <row r="2089" spans="12:74">
      <c r="L2089" s="266"/>
      <c r="M2089" s="266"/>
      <c r="N2089" s="266"/>
      <c r="O2089" s="266"/>
      <c r="P2089" s="266"/>
      <c r="Q2089" s="266"/>
      <c r="BR2089" s="266"/>
      <c r="BS2089" s="266"/>
      <c r="BT2089" s="266"/>
      <c r="BU2089" s="266"/>
      <c r="BV2089" s="266"/>
    </row>
    <row r="2090" spans="12:74">
      <c r="L2090" s="266"/>
      <c r="M2090" s="266"/>
      <c r="N2090" s="266"/>
      <c r="O2090" s="266"/>
      <c r="P2090" s="266"/>
      <c r="Q2090" s="266"/>
      <c r="BR2090" s="266"/>
      <c r="BS2090" s="266"/>
      <c r="BT2090" s="266"/>
      <c r="BU2090" s="266"/>
      <c r="BV2090" s="266"/>
    </row>
    <row r="2091" spans="12:74">
      <c r="L2091" s="266"/>
      <c r="M2091" s="266"/>
      <c r="N2091" s="266"/>
      <c r="O2091" s="266"/>
      <c r="P2091" s="266"/>
      <c r="Q2091" s="266"/>
      <c r="BR2091" s="266"/>
      <c r="BS2091" s="266"/>
      <c r="BT2091" s="266"/>
      <c r="BU2091" s="266"/>
      <c r="BV2091" s="266"/>
    </row>
    <row r="2092" spans="12:74">
      <c r="L2092" s="266"/>
      <c r="M2092" s="266"/>
      <c r="N2092" s="266"/>
      <c r="O2092" s="266"/>
      <c r="P2092" s="266"/>
      <c r="Q2092" s="266"/>
      <c r="BR2092" s="266"/>
      <c r="BS2092" s="266"/>
      <c r="BT2092" s="266"/>
      <c r="BU2092" s="266"/>
      <c r="BV2092" s="266"/>
    </row>
    <row r="2093" spans="12:74">
      <c r="L2093" s="266"/>
      <c r="M2093" s="266"/>
      <c r="N2093" s="266"/>
      <c r="O2093" s="266"/>
      <c r="P2093" s="266"/>
      <c r="Q2093" s="266"/>
      <c r="BR2093" s="266"/>
      <c r="BS2093" s="266"/>
      <c r="BT2093" s="266"/>
      <c r="BU2093" s="266"/>
      <c r="BV2093" s="266"/>
    </row>
    <row r="2094" spans="12:74">
      <c r="L2094" s="266"/>
      <c r="M2094" s="266"/>
      <c r="N2094" s="266"/>
      <c r="O2094" s="266"/>
      <c r="P2094" s="266"/>
      <c r="Q2094" s="266"/>
      <c r="BR2094" s="266"/>
      <c r="BS2094" s="266"/>
      <c r="BT2094" s="266"/>
      <c r="BU2094" s="266"/>
      <c r="BV2094" s="266"/>
    </row>
    <row r="2095" spans="12:74">
      <c r="L2095" s="266"/>
      <c r="M2095" s="266"/>
      <c r="N2095" s="266"/>
      <c r="O2095" s="266"/>
      <c r="P2095" s="266"/>
      <c r="Q2095" s="266"/>
      <c r="BR2095" s="266"/>
      <c r="BS2095" s="266"/>
      <c r="BT2095" s="266"/>
      <c r="BU2095" s="266"/>
      <c r="BV2095" s="266"/>
    </row>
    <row r="2096" spans="12:74">
      <c r="L2096" s="266"/>
      <c r="M2096" s="266"/>
      <c r="N2096" s="266"/>
      <c r="O2096" s="266"/>
      <c r="P2096" s="266"/>
      <c r="Q2096" s="266"/>
      <c r="BR2096" s="266"/>
      <c r="BS2096" s="266"/>
      <c r="BT2096" s="266"/>
      <c r="BU2096" s="266"/>
      <c r="BV2096" s="266"/>
    </row>
    <row r="2097" spans="12:74">
      <c r="L2097" s="266"/>
      <c r="M2097" s="266"/>
      <c r="N2097" s="266"/>
      <c r="O2097" s="266"/>
      <c r="P2097" s="266"/>
      <c r="Q2097" s="266"/>
      <c r="BR2097" s="266"/>
      <c r="BS2097" s="266"/>
      <c r="BT2097" s="266"/>
      <c r="BU2097" s="266"/>
      <c r="BV2097" s="266"/>
    </row>
    <row r="2098" spans="12:74">
      <c r="L2098" s="266"/>
      <c r="M2098" s="266"/>
      <c r="N2098" s="266"/>
      <c r="O2098" s="266"/>
      <c r="P2098" s="266"/>
      <c r="Q2098" s="266"/>
      <c r="BR2098" s="266"/>
      <c r="BS2098" s="266"/>
      <c r="BT2098" s="266"/>
      <c r="BU2098" s="266"/>
      <c r="BV2098" s="266"/>
    </row>
    <row r="2099" spans="12:74">
      <c r="L2099" s="266"/>
      <c r="M2099" s="266"/>
      <c r="N2099" s="266"/>
      <c r="O2099" s="266"/>
      <c r="P2099" s="266"/>
      <c r="Q2099" s="266"/>
      <c r="BR2099" s="266"/>
      <c r="BS2099" s="266"/>
      <c r="BT2099" s="266"/>
      <c r="BU2099" s="266"/>
      <c r="BV2099" s="266"/>
    </row>
    <row r="2100" spans="12:74">
      <c r="L2100" s="266"/>
      <c r="M2100" s="266"/>
      <c r="N2100" s="266"/>
      <c r="O2100" s="266"/>
      <c r="P2100" s="266"/>
      <c r="Q2100" s="266"/>
      <c r="BR2100" s="266"/>
      <c r="BS2100" s="266"/>
      <c r="BT2100" s="266"/>
      <c r="BU2100" s="266"/>
      <c r="BV2100" s="266"/>
    </row>
    <row r="2101" spans="12:74">
      <c r="L2101" s="266"/>
      <c r="M2101" s="266"/>
      <c r="N2101" s="266"/>
      <c r="O2101" s="266"/>
      <c r="P2101" s="266"/>
      <c r="Q2101" s="266"/>
      <c r="BR2101" s="266"/>
      <c r="BS2101" s="266"/>
      <c r="BT2101" s="266"/>
      <c r="BU2101" s="266"/>
      <c r="BV2101" s="266"/>
    </row>
    <row r="2102" spans="12:74">
      <c r="L2102" s="266"/>
      <c r="M2102" s="266"/>
      <c r="N2102" s="266"/>
      <c r="O2102" s="266"/>
      <c r="P2102" s="266"/>
      <c r="Q2102" s="266"/>
      <c r="BR2102" s="266"/>
      <c r="BS2102" s="266"/>
      <c r="BT2102" s="266"/>
      <c r="BU2102" s="266"/>
      <c r="BV2102" s="266"/>
    </row>
    <row r="2103" spans="12:74">
      <c r="L2103" s="266"/>
      <c r="M2103" s="266"/>
      <c r="N2103" s="266"/>
      <c r="O2103" s="266"/>
      <c r="P2103" s="266"/>
      <c r="Q2103" s="266"/>
      <c r="BR2103" s="266"/>
      <c r="BS2103" s="266"/>
      <c r="BT2103" s="266"/>
      <c r="BU2103" s="266"/>
      <c r="BV2103" s="266"/>
    </row>
    <row r="2104" spans="12:74">
      <c r="L2104" s="266"/>
      <c r="M2104" s="266"/>
      <c r="N2104" s="266"/>
      <c r="O2104" s="266"/>
      <c r="P2104" s="266"/>
      <c r="Q2104" s="266"/>
      <c r="BR2104" s="266"/>
      <c r="BS2104" s="266"/>
      <c r="BT2104" s="266"/>
      <c r="BU2104" s="266"/>
      <c r="BV2104" s="266"/>
    </row>
    <row r="2105" spans="12:74">
      <c r="L2105" s="266"/>
      <c r="M2105" s="266"/>
      <c r="N2105" s="266"/>
      <c r="O2105" s="266"/>
      <c r="P2105" s="266"/>
      <c r="Q2105" s="266"/>
      <c r="BR2105" s="266"/>
      <c r="BS2105" s="266"/>
      <c r="BT2105" s="266"/>
      <c r="BU2105" s="266"/>
      <c r="BV2105" s="266"/>
    </row>
    <row r="2106" spans="12:74">
      <c r="L2106" s="266"/>
      <c r="M2106" s="266"/>
      <c r="N2106" s="266"/>
      <c r="O2106" s="266"/>
      <c r="P2106" s="266"/>
      <c r="Q2106" s="266"/>
      <c r="BR2106" s="266"/>
      <c r="BS2106" s="266"/>
      <c r="BT2106" s="266"/>
      <c r="BU2106" s="266"/>
      <c r="BV2106" s="266"/>
    </row>
    <row r="2107" spans="12:74">
      <c r="L2107" s="266"/>
      <c r="M2107" s="266"/>
      <c r="N2107" s="266"/>
      <c r="O2107" s="266"/>
      <c r="P2107" s="266"/>
      <c r="Q2107" s="266"/>
      <c r="BR2107" s="266"/>
      <c r="BS2107" s="266"/>
      <c r="BT2107" s="266"/>
      <c r="BU2107" s="266"/>
      <c r="BV2107" s="266"/>
    </row>
    <row r="2108" spans="12:74">
      <c r="L2108" s="266"/>
      <c r="M2108" s="266"/>
      <c r="N2108" s="266"/>
      <c r="O2108" s="266"/>
      <c r="P2108" s="266"/>
      <c r="Q2108" s="266"/>
      <c r="BR2108" s="266"/>
      <c r="BS2108" s="266"/>
      <c r="BT2108" s="266"/>
      <c r="BU2108" s="266"/>
      <c r="BV2108" s="266"/>
    </row>
    <row r="2109" spans="12:74">
      <c r="L2109" s="266"/>
      <c r="M2109" s="266"/>
      <c r="N2109" s="266"/>
      <c r="O2109" s="266"/>
      <c r="P2109" s="266"/>
      <c r="Q2109" s="266"/>
      <c r="BR2109" s="266"/>
      <c r="BS2109" s="266"/>
      <c r="BT2109" s="266"/>
      <c r="BU2109" s="266"/>
      <c r="BV2109" s="266"/>
    </row>
    <row r="2110" spans="12:74">
      <c r="L2110" s="266"/>
      <c r="M2110" s="266"/>
      <c r="N2110" s="266"/>
      <c r="O2110" s="266"/>
      <c r="P2110" s="266"/>
      <c r="Q2110" s="266"/>
      <c r="BR2110" s="266"/>
      <c r="BS2110" s="266"/>
      <c r="BT2110" s="266"/>
      <c r="BU2110" s="266"/>
      <c r="BV2110" s="266"/>
    </row>
    <row r="2111" spans="12:74">
      <c r="L2111" s="266"/>
      <c r="M2111" s="266"/>
      <c r="N2111" s="266"/>
      <c r="O2111" s="266"/>
      <c r="P2111" s="266"/>
      <c r="Q2111" s="266"/>
      <c r="BR2111" s="266"/>
      <c r="BS2111" s="266"/>
      <c r="BT2111" s="266"/>
      <c r="BU2111" s="266"/>
      <c r="BV2111" s="266"/>
    </row>
    <row r="2112" spans="12:74">
      <c r="L2112" s="266"/>
      <c r="M2112" s="266"/>
      <c r="N2112" s="266"/>
      <c r="O2112" s="266"/>
      <c r="P2112" s="266"/>
      <c r="Q2112" s="266"/>
      <c r="BR2112" s="266"/>
      <c r="BS2112" s="266"/>
      <c r="BT2112" s="266"/>
      <c r="BU2112" s="266"/>
      <c r="BV2112" s="266"/>
    </row>
    <row r="2113" spans="12:74">
      <c r="L2113" s="266"/>
      <c r="M2113" s="266"/>
      <c r="N2113" s="266"/>
      <c r="O2113" s="266"/>
      <c r="P2113" s="266"/>
      <c r="Q2113" s="266"/>
      <c r="BR2113" s="266"/>
      <c r="BS2113" s="266"/>
      <c r="BT2113" s="266"/>
      <c r="BU2113" s="266"/>
      <c r="BV2113" s="266"/>
    </row>
    <row r="2114" spans="12:74">
      <c r="L2114" s="266"/>
      <c r="M2114" s="266"/>
      <c r="N2114" s="266"/>
      <c r="O2114" s="266"/>
      <c r="P2114" s="266"/>
      <c r="Q2114" s="266"/>
      <c r="BR2114" s="266"/>
      <c r="BS2114" s="266"/>
      <c r="BT2114" s="266"/>
      <c r="BU2114" s="266"/>
      <c r="BV2114" s="266"/>
    </row>
    <row r="2115" spans="12:74">
      <c r="L2115" s="266"/>
      <c r="M2115" s="266"/>
      <c r="N2115" s="266"/>
      <c r="O2115" s="266"/>
      <c r="P2115" s="266"/>
      <c r="Q2115" s="266"/>
      <c r="BR2115" s="266"/>
      <c r="BS2115" s="266"/>
      <c r="BT2115" s="266"/>
      <c r="BU2115" s="266"/>
      <c r="BV2115" s="266"/>
    </row>
    <row r="2116" spans="12:74">
      <c r="L2116" s="266"/>
      <c r="M2116" s="266"/>
      <c r="N2116" s="266"/>
      <c r="O2116" s="266"/>
      <c r="P2116" s="266"/>
      <c r="Q2116" s="266"/>
      <c r="BR2116" s="266"/>
      <c r="BS2116" s="266"/>
      <c r="BT2116" s="266"/>
      <c r="BU2116" s="266"/>
      <c r="BV2116" s="266"/>
    </row>
    <row r="2117" spans="12:74">
      <c r="L2117" s="266"/>
      <c r="M2117" s="266"/>
      <c r="N2117" s="266"/>
      <c r="O2117" s="266"/>
      <c r="P2117" s="266"/>
      <c r="Q2117" s="266"/>
      <c r="BR2117" s="266"/>
      <c r="BS2117" s="266"/>
      <c r="BT2117" s="266"/>
      <c r="BU2117" s="266"/>
      <c r="BV2117" s="266"/>
    </row>
    <row r="2118" spans="12:74">
      <c r="L2118" s="266"/>
      <c r="M2118" s="266"/>
      <c r="N2118" s="266"/>
      <c r="O2118" s="266"/>
      <c r="P2118" s="266"/>
      <c r="Q2118" s="266"/>
      <c r="BR2118" s="266"/>
      <c r="BS2118" s="266"/>
      <c r="BT2118" s="266"/>
      <c r="BU2118" s="266"/>
      <c r="BV2118" s="266"/>
    </row>
    <row r="2119" spans="12:74">
      <c r="L2119" s="266"/>
      <c r="M2119" s="266"/>
      <c r="N2119" s="266"/>
      <c r="O2119" s="266"/>
      <c r="P2119" s="266"/>
      <c r="Q2119" s="266"/>
      <c r="BR2119" s="266"/>
      <c r="BS2119" s="266"/>
      <c r="BT2119" s="266"/>
      <c r="BU2119" s="266"/>
      <c r="BV2119" s="266"/>
    </row>
    <row r="2120" spans="12:74">
      <c r="L2120" s="266"/>
      <c r="M2120" s="266"/>
      <c r="N2120" s="266"/>
      <c r="O2120" s="266"/>
      <c r="P2120" s="266"/>
      <c r="Q2120" s="266"/>
      <c r="BR2120" s="266"/>
      <c r="BS2120" s="266"/>
      <c r="BT2120" s="266"/>
      <c r="BU2120" s="266"/>
      <c r="BV2120" s="266"/>
    </row>
    <row r="2121" spans="12:74">
      <c r="L2121" s="266"/>
      <c r="M2121" s="266"/>
      <c r="N2121" s="266"/>
      <c r="O2121" s="266"/>
      <c r="P2121" s="266"/>
      <c r="Q2121" s="266"/>
      <c r="BR2121" s="266"/>
      <c r="BS2121" s="266"/>
      <c r="BT2121" s="266"/>
      <c r="BU2121" s="266"/>
      <c r="BV2121" s="266"/>
    </row>
    <row r="2122" spans="12:74">
      <c r="L2122" s="266"/>
      <c r="M2122" s="266"/>
      <c r="N2122" s="266"/>
      <c r="O2122" s="266"/>
      <c r="P2122" s="266"/>
      <c r="Q2122" s="266"/>
      <c r="BR2122" s="266"/>
      <c r="BS2122" s="266"/>
      <c r="BT2122" s="266"/>
      <c r="BU2122" s="266"/>
      <c r="BV2122" s="266"/>
    </row>
    <row r="2123" spans="12:74">
      <c r="L2123" s="266"/>
      <c r="M2123" s="266"/>
      <c r="N2123" s="266"/>
      <c r="O2123" s="266"/>
      <c r="P2123" s="266"/>
      <c r="Q2123" s="266"/>
      <c r="BR2123" s="266"/>
      <c r="BS2123" s="266"/>
      <c r="BT2123" s="266"/>
      <c r="BU2123" s="266"/>
      <c r="BV2123" s="266"/>
    </row>
    <row r="2124" spans="12:74">
      <c r="L2124" s="266"/>
      <c r="M2124" s="266"/>
      <c r="N2124" s="266"/>
      <c r="O2124" s="266"/>
      <c r="P2124" s="266"/>
      <c r="Q2124" s="266"/>
      <c r="BR2124" s="266"/>
      <c r="BS2124" s="266"/>
      <c r="BT2124" s="266"/>
      <c r="BU2124" s="266"/>
      <c r="BV2124" s="266"/>
    </row>
    <row r="2125" spans="12:74">
      <c r="L2125" s="266"/>
      <c r="M2125" s="266"/>
      <c r="N2125" s="266"/>
      <c r="O2125" s="266"/>
      <c r="P2125" s="266"/>
      <c r="Q2125" s="266"/>
      <c r="BR2125" s="266"/>
      <c r="BS2125" s="266"/>
      <c r="BT2125" s="266"/>
      <c r="BU2125" s="266"/>
      <c r="BV2125" s="266"/>
    </row>
    <row r="2126" spans="12:74">
      <c r="L2126" s="266"/>
      <c r="M2126" s="266"/>
      <c r="N2126" s="266"/>
      <c r="O2126" s="266"/>
      <c r="P2126" s="266"/>
      <c r="Q2126" s="266"/>
      <c r="BR2126" s="266"/>
      <c r="BS2126" s="266"/>
      <c r="BT2126" s="266"/>
      <c r="BU2126" s="266"/>
      <c r="BV2126" s="266"/>
    </row>
    <row r="2127" spans="12:74">
      <c r="L2127" s="266"/>
      <c r="M2127" s="266"/>
      <c r="N2127" s="266"/>
      <c r="O2127" s="266"/>
      <c r="P2127" s="266"/>
      <c r="Q2127" s="266"/>
      <c r="BR2127" s="266"/>
      <c r="BS2127" s="266"/>
      <c r="BT2127" s="266"/>
      <c r="BU2127" s="266"/>
      <c r="BV2127" s="266"/>
    </row>
    <row r="2128" spans="12:74">
      <c r="L2128" s="266"/>
      <c r="M2128" s="266"/>
      <c r="N2128" s="266"/>
      <c r="O2128" s="266"/>
      <c r="P2128" s="266"/>
      <c r="Q2128" s="266"/>
      <c r="BR2128" s="266"/>
      <c r="BS2128" s="266"/>
      <c r="BT2128" s="266"/>
      <c r="BU2128" s="266"/>
      <c r="BV2128" s="266"/>
    </row>
    <row r="2129" spans="12:74">
      <c r="L2129" s="266"/>
      <c r="M2129" s="266"/>
      <c r="N2129" s="266"/>
      <c r="O2129" s="266"/>
      <c r="P2129" s="266"/>
      <c r="Q2129" s="266"/>
      <c r="BR2129" s="266"/>
      <c r="BS2129" s="266"/>
      <c r="BT2129" s="266"/>
      <c r="BU2129" s="266"/>
      <c r="BV2129" s="266"/>
    </row>
    <row r="2130" spans="12:74">
      <c r="L2130" s="266"/>
      <c r="M2130" s="266"/>
      <c r="N2130" s="266"/>
      <c r="O2130" s="266"/>
      <c r="P2130" s="266"/>
      <c r="Q2130" s="266"/>
      <c r="BR2130" s="266"/>
      <c r="BS2130" s="266"/>
      <c r="BT2130" s="266"/>
      <c r="BU2130" s="266"/>
      <c r="BV2130" s="266"/>
    </row>
    <row r="2131" spans="12:74">
      <c r="L2131" s="266"/>
      <c r="M2131" s="266"/>
      <c r="N2131" s="266"/>
      <c r="O2131" s="266"/>
      <c r="P2131" s="266"/>
      <c r="Q2131" s="266"/>
      <c r="BR2131" s="266"/>
      <c r="BS2131" s="266"/>
      <c r="BT2131" s="266"/>
      <c r="BU2131" s="266"/>
      <c r="BV2131" s="266"/>
    </row>
    <row r="2132" spans="12:74">
      <c r="L2132" s="266"/>
      <c r="M2132" s="266"/>
      <c r="N2132" s="266"/>
      <c r="O2132" s="266"/>
      <c r="P2132" s="266"/>
      <c r="Q2132" s="266"/>
      <c r="BR2132" s="266"/>
      <c r="BS2132" s="266"/>
      <c r="BT2132" s="266"/>
      <c r="BU2132" s="266"/>
      <c r="BV2132" s="266"/>
    </row>
    <row r="2133" spans="12:74">
      <c r="L2133" s="266"/>
      <c r="M2133" s="266"/>
      <c r="N2133" s="266"/>
      <c r="O2133" s="266"/>
      <c r="P2133" s="266"/>
      <c r="Q2133" s="266"/>
      <c r="BR2133" s="266"/>
      <c r="BS2133" s="266"/>
      <c r="BT2133" s="266"/>
      <c r="BU2133" s="266"/>
      <c r="BV2133" s="266"/>
    </row>
    <row r="2134" spans="12:74">
      <c r="L2134" s="266"/>
      <c r="M2134" s="266"/>
      <c r="N2134" s="266"/>
      <c r="O2134" s="266"/>
      <c r="P2134" s="266"/>
      <c r="Q2134" s="266"/>
      <c r="BR2134" s="266"/>
      <c r="BS2134" s="266"/>
      <c r="BT2134" s="266"/>
      <c r="BU2134" s="266"/>
      <c r="BV2134" s="266"/>
    </row>
    <row r="2135" spans="12:74">
      <c r="L2135" s="266"/>
      <c r="M2135" s="266"/>
      <c r="N2135" s="266"/>
      <c r="O2135" s="266"/>
      <c r="P2135" s="266"/>
      <c r="Q2135" s="266"/>
      <c r="BR2135" s="266"/>
      <c r="BS2135" s="266"/>
      <c r="BT2135" s="266"/>
      <c r="BU2135" s="266"/>
      <c r="BV2135" s="266"/>
    </row>
    <row r="2136" spans="12:74">
      <c r="L2136" s="266"/>
      <c r="M2136" s="266"/>
      <c r="N2136" s="266"/>
      <c r="O2136" s="266"/>
      <c r="P2136" s="266"/>
      <c r="Q2136" s="266"/>
      <c r="BR2136" s="266"/>
      <c r="BS2136" s="266"/>
      <c r="BT2136" s="266"/>
      <c r="BU2136" s="266"/>
      <c r="BV2136" s="266"/>
    </row>
    <row r="2137" spans="12:74">
      <c r="L2137" s="266"/>
      <c r="M2137" s="266"/>
      <c r="N2137" s="266"/>
      <c r="O2137" s="266"/>
      <c r="P2137" s="266"/>
      <c r="Q2137" s="266"/>
      <c r="BR2137" s="266"/>
      <c r="BS2137" s="266"/>
      <c r="BT2137" s="266"/>
      <c r="BU2137" s="266"/>
      <c r="BV2137" s="266"/>
    </row>
    <row r="2138" spans="12:74">
      <c r="L2138" s="266"/>
      <c r="M2138" s="266"/>
      <c r="N2138" s="266"/>
      <c r="O2138" s="266"/>
      <c r="P2138" s="266"/>
      <c r="Q2138" s="266"/>
      <c r="BR2138" s="266"/>
      <c r="BS2138" s="266"/>
      <c r="BT2138" s="266"/>
      <c r="BU2138" s="266"/>
      <c r="BV2138" s="266"/>
    </row>
    <row r="2139" spans="12:74">
      <c r="L2139" s="266"/>
      <c r="M2139" s="266"/>
      <c r="N2139" s="266"/>
      <c r="O2139" s="266"/>
      <c r="P2139" s="266"/>
      <c r="Q2139" s="266"/>
      <c r="BR2139" s="266"/>
      <c r="BS2139" s="266"/>
      <c r="BT2139" s="266"/>
      <c r="BU2139" s="266"/>
      <c r="BV2139" s="266"/>
    </row>
    <row r="2140" spans="12:74">
      <c r="L2140" s="266"/>
      <c r="M2140" s="266"/>
      <c r="N2140" s="266"/>
      <c r="O2140" s="266"/>
      <c r="P2140" s="266"/>
      <c r="Q2140" s="266"/>
      <c r="BR2140" s="266"/>
      <c r="BS2140" s="266"/>
      <c r="BT2140" s="266"/>
      <c r="BU2140" s="266"/>
      <c r="BV2140" s="266"/>
    </row>
    <row r="2141" spans="12:74">
      <c r="L2141" s="266"/>
      <c r="M2141" s="266"/>
      <c r="N2141" s="266"/>
      <c r="O2141" s="266"/>
      <c r="P2141" s="266"/>
      <c r="Q2141" s="266"/>
      <c r="BR2141" s="266"/>
      <c r="BS2141" s="266"/>
      <c r="BT2141" s="266"/>
      <c r="BU2141" s="266"/>
      <c r="BV2141" s="266"/>
    </row>
    <row r="2142" spans="12:74">
      <c r="L2142" s="266"/>
      <c r="M2142" s="266"/>
      <c r="N2142" s="266"/>
      <c r="O2142" s="266"/>
      <c r="P2142" s="266"/>
      <c r="Q2142" s="266"/>
      <c r="BR2142" s="266"/>
      <c r="BS2142" s="266"/>
      <c r="BT2142" s="266"/>
      <c r="BU2142" s="266"/>
      <c r="BV2142" s="266"/>
    </row>
    <row r="2143" spans="12:74">
      <c r="L2143" s="266"/>
      <c r="M2143" s="266"/>
      <c r="N2143" s="266"/>
      <c r="O2143" s="266"/>
      <c r="P2143" s="266"/>
      <c r="Q2143" s="266"/>
      <c r="BR2143" s="266"/>
      <c r="BS2143" s="266"/>
      <c r="BT2143" s="266"/>
      <c r="BU2143" s="266"/>
      <c r="BV2143" s="266"/>
    </row>
    <row r="2144" spans="12:74">
      <c r="L2144" s="266"/>
      <c r="M2144" s="266"/>
      <c r="N2144" s="266"/>
      <c r="O2144" s="266"/>
      <c r="P2144" s="266"/>
      <c r="Q2144" s="266"/>
      <c r="BR2144" s="266"/>
      <c r="BS2144" s="266"/>
      <c r="BT2144" s="266"/>
      <c r="BU2144" s="266"/>
      <c r="BV2144" s="266"/>
    </row>
    <row r="2145" spans="12:74">
      <c r="L2145" s="266"/>
      <c r="M2145" s="266"/>
      <c r="N2145" s="266"/>
      <c r="O2145" s="266"/>
      <c r="P2145" s="266"/>
      <c r="Q2145" s="266"/>
      <c r="BR2145" s="266"/>
      <c r="BS2145" s="266"/>
      <c r="BT2145" s="266"/>
      <c r="BU2145" s="266"/>
      <c r="BV2145" s="266"/>
    </row>
    <row r="2146" spans="12:74">
      <c r="L2146" s="266"/>
      <c r="M2146" s="266"/>
      <c r="N2146" s="266"/>
      <c r="O2146" s="266"/>
      <c r="P2146" s="266"/>
      <c r="Q2146" s="266"/>
      <c r="BR2146" s="266"/>
      <c r="BS2146" s="266"/>
      <c r="BT2146" s="266"/>
      <c r="BU2146" s="266"/>
      <c r="BV2146" s="266"/>
    </row>
    <row r="2147" spans="12:74">
      <c r="L2147" s="266"/>
      <c r="M2147" s="266"/>
      <c r="N2147" s="266"/>
      <c r="O2147" s="266"/>
      <c r="P2147" s="266"/>
      <c r="Q2147" s="266"/>
      <c r="BR2147" s="266"/>
      <c r="BS2147" s="266"/>
      <c r="BT2147" s="266"/>
      <c r="BU2147" s="266"/>
      <c r="BV2147" s="266"/>
    </row>
    <row r="2148" spans="12:74">
      <c r="L2148" s="266"/>
      <c r="M2148" s="266"/>
      <c r="N2148" s="266"/>
      <c r="O2148" s="266"/>
      <c r="P2148" s="266"/>
      <c r="Q2148" s="266"/>
      <c r="BR2148" s="266"/>
      <c r="BS2148" s="266"/>
      <c r="BT2148" s="266"/>
      <c r="BU2148" s="266"/>
      <c r="BV2148" s="266"/>
    </row>
    <row r="2149" spans="12:74">
      <c r="L2149" s="266"/>
      <c r="M2149" s="266"/>
      <c r="N2149" s="266"/>
      <c r="O2149" s="266"/>
      <c r="P2149" s="266"/>
      <c r="Q2149" s="266"/>
      <c r="BR2149" s="266"/>
      <c r="BS2149" s="266"/>
      <c r="BT2149" s="266"/>
      <c r="BU2149" s="266"/>
      <c r="BV2149" s="266"/>
    </row>
    <row r="2150" spans="12:74">
      <c r="L2150" s="266"/>
      <c r="M2150" s="266"/>
      <c r="N2150" s="266"/>
      <c r="O2150" s="266"/>
      <c r="P2150" s="266"/>
      <c r="Q2150" s="266"/>
      <c r="BR2150" s="266"/>
      <c r="BS2150" s="266"/>
      <c r="BT2150" s="266"/>
      <c r="BU2150" s="266"/>
      <c r="BV2150" s="266"/>
    </row>
    <row r="2151" spans="12:74">
      <c r="L2151" s="266"/>
      <c r="M2151" s="266"/>
      <c r="N2151" s="266"/>
      <c r="O2151" s="266"/>
      <c r="P2151" s="266"/>
      <c r="Q2151" s="266"/>
      <c r="BR2151" s="266"/>
      <c r="BS2151" s="266"/>
      <c r="BT2151" s="266"/>
      <c r="BU2151" s="266"/>
      <c r="BV2151" s="266"/>
    </row>
    <row r="2152" spans="12:74">
      <c r="L2152" s="266"/>
      <c r="M2152" s="266"/>
      <c r="N2152" s="266"/>
      <c r="O2152" s="266"/>
      <c r="P2152" s="266"/>
      <c r="Q2152" s="266"/>
      <c r="BR2152" s="266"/>
      <c r="BS2152" s="266"/>
      <c r="BT2152" s="266"/>
      <c r="BU2152" s="266"/>
      <c r="BV2152" s="266"/>
    </row>
    <row r="2153" spans="12:74">
      <c r="L2153" s="266"/>
      <c r="M2153" s="266"/>
      <c r="N2153" s="266"/>
      <c r="O2153" s="266"/>
      <c r="P2153" s="266"/>
      <c r="Q2153" s="266"/>
      <c r="BR2153" s="266"/>
      <c r="BS2153" s="266"/>
      <c r="BT2153" s="266"/>
      <c r="BU2153" s="266"/>
      <c r="BV2153" s="266"/>
    </row>
    <row r="2154" spans="12:74">
      <c r="L2154" s="266"/>
      <c r="M2154" s="266"/>
      <c r="N2154" s="266"/>
      <c r="O2154" s="266"/>
      <c r="P2154" s="266"/>
      <c r="Q2154" s="266"/>
      <c r="BR2154" s="266"/>
      <c r="BS2154" s="266"/>
      <c r="BT2154" s="266"/>
      <c r="BU2154" s="266"/>
      <c r="BV2154" s="266"/>
    </row>
    <row r="2155" spans="12:74">
      <c r="L2155" s="266"/>
      <c r="M2155" s="266"/>
      <c r="N2155" s="266"/>
      <c r="O2155" s="266"/>
      <c r="P2155" s="266"/>
      <c r="Q2155" s="266"/>
      <c r="BR2155" s="266"/>
      <c r="BS2155" s="266"/>
      <c r="BT2155" s="266"/>
      <c r="BU2155" s="266"/>
      <c r="BV2155" s="266"/>
    </row>
    <row r="2156" spans="12:74">
      <c r="L2156" s="266"/>
      <c r="M2156" s="266"/>
      <c r="N2156" s="266"/>
      <c r="O2156" s="266"/>
      <c r="P2156" s="266"/>
      <c r="Q2156" s="266"/>
      <c r="BR2156" s="266"/>
      <c r="BS2156" s="266"/>
      <c r="BT2156" s="266"/>
      <c r="BU2156" s="266"/>
      <c r="BV2156" s="266"/>
    </row>
    <row r="2157" spans="12:74">
      <c r="L2157" s="266"/>
      <c r="M2157" s="266"/>
      <c r="N2157" s="266"/>
      <c r="O2157" s="266"/>
      <c r="P2157" s="266"/>
      <c r="Q2157" s="266"/>
      <c r="BR2157" s="266"/>
      <c r="BS2157" s="266"/>
      <c r="BT2157" s="266"/>
      <c r="BU2157" s="266"/>
      <c r="BV2157" s="266"/>
    </row>
    <row r="2158" spans="12:74">
      <c r="L2158" s="266"/>
      <c r="M2158" s="266"/>
      <c r="N2158" s="266"/>
      <c r="O2158" s="266"/>
      <c r="P2158" s="266"/>
      <c r="Q2158" s="266"/>
      <c r="BR2158" s="266"/>
      <c r="BS2158" s="266"/>
      <c r="BT2158" s="266"/>
      <c r="BU2158" s="266"/>
      <c r="BV2158" s="266"/>
    </row>
    <row r="2159" spans="12:74">
      <c r="L2159" s="266"/>
      <c r="M2159" s="266"/>
      <c r="N2159" s="266"/>
      <c r="O2159" s="266"/>
      <c r="P2159" s="266"/>
      <c r="Q2159" s="266"/>
      <c r="BR2159" s="266"/>
      <c r="BS2159" s="266"/>
      <c r="BT2159" s="266"/>
      <c r="BU2159" s="266"/>
      <c r="BV2159" s="266"/>
    </row>
    <row r="2160" spans="12:74">
      <c r="L2160" s="266"/>
      <c r="M2160" s="266"/>
      <c r="N2160" s="266"/>
      <c r="O2160" s="266"/>
      <c r="P2160" s="266"/>
      <c r="Q2160" s="266"/>
      <c r="BR2160" s="266"/>
      <c r="BS2160" s="266"/>
      <c r="BT2160" s="266"/>
      <c r="BU2160" s="266"/>
      <c r="BV2160" s="266"/>
    </row>
    <row r="2161" spans="12:74">
      <c r="L2161" s="266"/>
      <c r="M2161" s="266"/>
      <c r="N2161" s="266"/>
      <c r="O2161" s="266"/>
      <c r="P2161" s="266"/>
      <c r="Q2161" s="266"/>
      <c r="BR2161" s="266"/>
      <c r="BS2161" s="266"/>
      <c r="BT2161" s="266"/>
      <c r="BU2161" s="266"/>
      <c r="BV2161" s="266"/>
    </row>
    <row r="2162" spans="12:74">
      <c r="L2162" s="266"/>
      <c r="M2162" s="266"/>
      <c r="N2162" s="266"/>
      <c r="O2162" s="266"/>
      <c r="P2162" s="266"/>
      <c r="Q2162" s="266"/>
      <c r="BR2162" s="266"/>
      <c r="BS2162" s="266"/>
      <c r="BT2162" s="266"/>
      <c r="BU2162" s="266"/>
      <c r="BV2162" s="266"/>
    </row>
    <row r="2163" spans="12:74">
      <c r="L2163" s="266"/>
      <c r="M2163" s="266"/>
      <c r="N2163" s="266"/>
      <c r="O2163" s="266"/>
      <c r="P2163" s="266"/>
      <c r="Q2163" s="266"/>
      <c r="BR2163" s="266"/>
      <c r="BS2163" s="266"/>
      <c r="BT2163" s="266"/>
      <c r="BU2163" s="266"/>
      <c r="BV2163" s="266"/>
    </row>
    <row r="2164" spans="12:74">
      <c r="L2164" s="266"/>
      <c r="M2164" s="266"/>
      <c r="N2164" s="266"/>
      <c r="O2164" s="266"/>
      <c r="P2164" s="266"/>
      <c r="Q2164" s="266"/>
      <c r="BR2164" s="266"/>
      <c r="BS2164" s="266"/>
      <c r="BT2164" s="266"/>
      <c r="BU2164" s="266"/>
      <c r="BV2164" s="266"/>
    </row>
    <row r="2165" spans="12:74">
      <c r="L2165" s="266"/>
      <c r="M2165" s="266"/>
      <c r="N2165" s="266"/>
      <c r="O2165" s="266"/>
      <c r="P2165" s="266"/>
      <c r="Q2165" s="266"/>
      <c r="BR2165" s="266"/>
      <c r="BS2165" s="266"/>
      <c r="BT2165" s="266"/>
      <c r="BU2165" s="266"/>
      <c r="BV2165" s="266"/>
    </row>
    <row r="2166" spans="12:74">
      <c r="L2166" s="266"/>
      <c r="M2166" s="266"/>
      <c r="N2166" s="266"/>
      <c r="O2166" s="266"/>
      <c r="P2166" s="266"/>
      <c r="Q2166" s="266"/>
      <c r="BR2166" s="266"/>
      <c r="BS2166" s="266"/>
      <c r="BT2166" s="266"/>
      <c r="BU2166" s="266"/>
      <c r="BV2166" s="266"/>
    </row>
    <row r="2167" spans="12:74">
      <c r="L2167" s="266"/>
      <c r="M2167" s="266"/>
      <c r="N2167" s="266"/>
      <c r="O2167" s="266"/>
      <c r="P2167" s="266"/>
      <c r="Q2167" s="266"/>
      <c r="BR2167" s="266"/>
      <c r="BS2167" s="266"/>
      <c r="BT2167" s="266"/>
      <c r="BU2167" s="266"/>
      <c r="BV2167" s="266"/>
    </row>
    <row r="2168" spans="12:74">
      <c r="L2168" s="266"/>
      <c r="M2168" s="266"/>
      <c r="N2168" s="266"/>
      <c r="O2168" s="266"/>
      <c r="P2168" s="266"/>
      <c r="Q2168" s="266"/>
      <c r="BR2168" s="266"/>
      <c r="BS2168" s="266"/>
      <c r="BT2168" s="266"/>
      <c r="BU2168" s="266"/>
      <c r="BV2168" s="266"/>
    </row>
    <row r="2169" spans="12:74">
      <c r="L2169" s="266"/>
      <c r="M2169" s="266"/>
      <c r="N2169" s="266"/>
      <c r="O2169" s="266"/>
      <c r="P2169" s="266"/>
      <c r="Q2169" s="266"/>
      <c r="BR2169" s="266"/>
      <c r="BS2169" s="266"/>
      <c r="BT2169" s="266"/>
      <c r="BU2169" s="266"/>
      <c r="BV2169" s="266"/>
    </row>
    <row r="2170" spans="12:74">
      <c r="L2170" s="266"/>
      <c r="M2170" s="266"/>
      <c r="N2170" s="266"/>
      <c r="O2170" s="266"/>
      <c r="P2170" s="266"/>
      <c r="Q2170" s="266"/>
      <c r="BR2170" s="266"/>
      <c r="BS2170" s="266"/>
      <c r="BT2170" s="266"/>
      <c r="BU2170" s="266"/>
      <c r="BV2170" s="266"/>
    </row>
    <row r="2171" spans="12:74">
      <c r="L2171" s="266"/>
      <c r="M2171" s="266"/>
      <c r="N2171" s="266"/>
      <c r="O2171" s="266"/>
      <c r="P2171" s="266"/>
      <c r="Q2171" s="266"/>
      <c r="BR2171" s="266"/>
      <c r="BS2171" s="266"/>
      <c r="BT2171" s="266"/>
      <c r="BU2171" s="266"/>
      <c r="BV2171" s="266"/>
    </row>
    <row r="2172" spans="12:74">
      <c r="L2172" s="266"/>
      <c r="M2172" s="266"/>
      <c r="N2172" s="266"/>
      <c r="O2172" s="266"/>
      <c r="P2172" s="266"/>
      <c r="Q2172" s="266"/>
      <c r="BR2172" s="266"/>
      <c r="BS2172" s="266"/>
      <c r="BT2172" s="266"/>
      <c r="BU2172" s="266"/>
      <c r="BV2172" s="266"/>
    </row>
    <row r="2173" spans="12:74">
      <c r="L2173" s="266"/>
      <c r="M2173" s="266"/>
      <c r="N2173" s="266"/>
      <c r="O2173" s="266"/>
      <c r="P2173" s="266"/>
      <c r="Q2173" s="266"/>
      <c r="BR2173" s="266"/>
      <c r="BS2173" s="266"/>
      <c r="BT2173" s="266"/>
      <c r="BU2173" s="266"/>
      <c r="BV2173" s="266"/>
    </row>
    <row r="2174" spans="12:74">
      <c r="L2174" s="266"/>
      <c r="M2174" s="266"/>
      <c r="N2174" s="266"/>
      <c r="O2174" s="266"/>
      <c r="P2174" s="266"/>
      <c r="Q2174" s="266"/>
      <c r="BR2174" s="266"/>
      <c r="BS2174" s="266"/>
      <c r="BT2174" s="266"/>
      <c r="BU2174" s="266"/>
      <c r="BV2174" s="266"/>
    </row>
    <row r="2175" spans="12:74">
      <c r="L2175" s="266"/>
      <c r="M2175" s="266"/>
      <c r="N2175" s="266"/>
      <c r="O2175" s="266"/>
      <c r="P2175" s="266"/>
      <c r="Q2175" s="266"/>
      <c r="BR2175" s="266"/>
      <c r="BS2175" s="266"/>
      <c r="BT2175" s="266"/>
      <c r="BU2175" s="266"/>
      <c r="BV2175" s="266"/>
    </row>
    <row r="2176" spans="12:74">
      <c r="L2176" s="266"/>
      <c r="M2176" s="266"/>
      <c r="N2176" s="266"/>
      <c r="O2176" s="266"/>
      <c r="P2176" s="266"/>
      <c r="Q2176" s="266"/>
      <c r="BR2176" s="266"/>
      <c r="BS2176" s="266"/>
      <c r="BT2176" s="266"/>
      <c r="BU2176" s="266"/>
      <c r="BV2176" s="266"/>
    </row>
    <row r="2177" spans="12:74">
      <c r="L2177" s="266"/>
      <c r="M2177" s="266"/>
      <c r="N2177" s="266"/>
      <c r="O2177" s="266"/>
      <c r="P2177" s="266"/>
      <c r="Q2177" s="266"/>
      <c r="BR2177" s="266"/>
      <c r="BS2177" s="266"/>
      <c r="BT2177" s="266"/>
      <c r="BU2177" s="266"/>
      <c r="BV2177" s="266"/>
    </row>
    <row r="2178" spans="12:74">
      <c r="L2178" s="266"/>
      <c r="M2178" s="266"/>
      <c r="N2178" s="266"/>
      <c r="O2178" s="266"/>
      <c r="P2178" s="266"/>
      <c r="Q2178" s="266"/>
      <c r="BR2178" s="266"/>
      <c r="BS2178" s="266"/>
      <c r="BT2178" s="266"/>
      <c r="BU2178" s="266"/>
      <c r="BV2178" s="266"/>
    </row>
    <row r="2179" spans="12:74">
      <c r="L2179" s="266"/>
      <c r="M2179" s="266"/>
      <c r="N2179" s="266"/>
      <c r="O2179" s="266"/>
      <c r="P2179" s="266"/>
      <c r="Q2179" s="266"/>
      <c r="BR2179" s="266"/>
      <c r="BS2179" s="266"/>
      <c r="BT2179" s="266"/>
      <c r="BU2179" s="266"/>
      <c r="BV2179" s="266"/>
    </row>
    <row r="2180" spans="12:74">
      <c r="L2180" s="266"/>
      <c r="M2180" s="266"/>
      <c r="N2180" s="266"/>
      <c r="O2180" s="266"/>
      <c r="P2180" s="266"/>
      <c r="Q2180" s="266"/>
      <c r="BR2180" s="266"/>
      <c r="BS2180" s="266"/>
      <c r="BT2180" s="266"/>
      <c r="BU2180" s="266"/>
      <c r="BV2180" s="266"/>
    </row>
    <row r="2181" spans="12:74">
      <c r="L2181" s="266"/>
      <c r="M2181" s="266"/>
      <c r="N2181" s="266"/>
      <c r="O2181" s="266"/>
      <c r="P2181" s="266"/>
      <c r="Q2181" s="266"/>
      <c r="BR2181" s="266"/>
      <c r="BS2181" s="266"/>
      <c r="BT2181" s="266"/>
      <c r="BU2181" s="266"/>
      <c r="BV2181" s="266"/>
    </row>
    <row r="2182" spans="12:74">
      <c r="L2182" s="266"/>
      <c r="M2182" s="266"/>
      <c r="N2182" s="266"/>
      <c r="O2182" s="266"/>
      <c r="P2182" s="266"/>
      <c r="Q2182" s="266"/>
      <c r="BR2182" s="266"/>
      <c r="BS2182" s="266"/>
      <c r="BT2182" s="266"/>
      <c r="BU2182" s="266"/>
      <c r="BV2182" s="266"/>
    </row>
    <row r="2183" spans="12:74">
      <c r="L2183" s="266"/>
      <c r="M2183" s="266"/>
      <c r="N2183" s="266"/>
      <c r="O2183" s="266"/>
      <c r="P2183" s="266"/>
      <c r="Q2183" s="266"/>
      <c r="BR2183" s="266"/>
      <c r="BS2183" s="266"/>
      <c r="BT2183" s="266"/>
      <c r="BU2183" s="266"/>
      <c r="BV2183" s="266"/>
    </row>
    <row r="2184" spans="12:74">
      <c r="L2184" s="266"/>
      <c r="M2184" s="266"/>
      <c r="N2184" s="266"/>
      <c r="O2184" s="266"/>
      <c r="P2184" s="266"/>
      <c r="Q2184" s="266"/>
      <c r="BR2184" s="266"/>
      <c r="BS2184" s="266"/>
      <c r="BT2184" s="266"/>
      <c r="BU2184" s="266"/>
      <c r="BV2184" s="266"/>
    </row>
    <row r="2185" spans="12:74">
      <c r="L2185" s="266"/>
      <c r="M2185" s="266"/>
      <c r="N2185" s="266"/>
      <c r="O2185" s="266"/>
      <c r="P2185" s="266"/>
      <c r="Q2185" s="266"/>
      <c r="BR2185" s="266"/>
      <c r="BS2185" s="266"/>
      <c r="BT2185" s="266"/>
      <c r="BU2185" s="266"/>
      <c r="BV2185" s="266"/>
    </row>
    <row r="2186" spans="12:74">
      <c r="L2186" s="266"/>
      <c r="M2186" s="266"/>
      <c r="N2186" s="266"/>
      <c r="O2186" s="266"/>
      <c r="P2186" s="266"/>
      <c r="Q2186" s="266"/>
      <c r="BR2186" s="266"/>
      <c r="BS2186" s="266"/>
      <c r="BT2186" s="266"/>
      <c r="BU2186" s="266"/>
      <c r="BV2186" s="266"/>
    </row>
    <row r="2187" spans="12:74">
      <c r="L2187" s="266"/>
      <c r="M2187" s="266"/>
      <c r="N2187" s="266"/>
      <c r="O2187" s="266"/>
      <c r="P2187" s="266"/>
      <c r="Q2187" s="266"/>
      <c r="BR2187" s="266"/>
      <c r="BS2187" s="266"/>
      <c r="BT2187" s="266"/>
      <c r="BU2187" s="266"/>
      <c r="BV2187" s="266"/>
    </row>
    <row r="2188" spans="12:74">
      <c r="L2188" s="266"/>
      <c r="M2188" s="266"/>
      <c r="N2188" s="266"/>
      <c r="O2188" s="266"/>
      <c r="P2188" s="266"/>
      <c r="Q2188" s="266"/>
      <c r="BR2188" s="266"/>
      <c r="BS2188" s="266"/>
      <c r="BT2188" s="266"/>
      <c r="BU2188" s="266"/>
      <c r="BV2188" s="266"/>
    </row>
    <row r="2189" spans="12:74">
      <c r="L2189" s="266"/>
      <c r="M2189" s="266"/>
      <c r="N2189" s="266"/>
      <c r="O2189" s="266"/>
      <c r="P2189" s="266"/>
      <c r="Q2189" s="266"/>
      <c r="BR2189" s="266"/>
      <c r="BS2189" s="266"/>
      <c r="BT2189" s="266"/>
      <c r="BU2189" s="266"/>
      <c r="BV2189" s="266"/>
    </row>
    <row r="2190" spans="12:74">
      <c r="L2190" s="266"/>
      <c r="M2190" s="266"/>
      <c r="N2190" s="266"/>
      <c r="O2190" s="266"/>
      <c r="P2190" s="266"/>
      <c r="Q2190" s="266"/>
      <c r="BR2190" s="266"/>
      <c r="BS2190" s="266"/>
      <c r="BT2190" s="266"/>
      <c r="BU2190" s="266"/>
      <c r="BV2190" s="266"/>
    </row>
    <row r="2191" spans="12:74">
      <c r="L2191" s="266"/>
      <c r="M2191" s="266"/>
      <c r="N2191" s="266"/>
      <c r="O2191" s="266"/>
      <c r="P2191" s="266"/>
      <c r="Q2191" s="266"/>
      <c r="BR2191" s="266"/>
      <c r="BS2191" s="266"/>
      <c r="BT2191" s="266"/>
      <c r="BU2191" s="266"/>
      <c r="BV2191" s="266"/>
    </row>
    <row r="2192" spans="12:74">
      <c r="L2192" s="266"/>
      <c r="M2192" s="266"/>
      <c r="N2192" s="266"/>
      <c r="O2192" s="266"/>
      <c r="P2192" s="266"/>
      <c r="Q2192" s="266"/>
      <c r="BR2192" s="266"/>
      <c r="BS2192" s="266"/>
      <c r="BT2192" s="266"/>
      <c r="BU2192" s="266"/>
      <c r="BV2192" s="266"/>
    </row>
    <row r="2193" spans="12:74">
      <c r="L2193" s="266"/>
      <c r="M2193" s="266"/>
      <c r="N2193" s="266"/>
      <c r="O2193" s="266"/>
      <c r="P2193" s="266"/>
      <c r="Q2193" s="266"/>
      <c r="BR2193" s="266"/>
      <c r="BS2193" s="266"/>
      <c r="BT2193" s="266"/>
      <c r="BU2193" s="266"/>
      <c r="BV2193" s="266"/>
    </row>
    <row r="2194" spans="12:74">
      <c r="L2194" s="266"/>
      <c r="M2194" s="266"/>
      <c r="N2194" s="266"/>
      <c r="O2194" s="266"/>
      <c r="P2194" s="266"/>
      <c r="Q2194" s="266"/>
      <c r="BR2194" s="266"/>
      <c r="BS2194" s="266"/>
      <c r="BT2194" s="266"/>
      <c r="BU2194" s="266"/>
      <c r="BV2194" s="266"/>
    </row>
    <row r="2195" spans="12:74">
      <c r="L2195" s="266"/>
      <c r="M2195" s="266"/>
      <c r="N2195" s="266"/>
      <c r="O2195" s="266"/>
      <c r="P2195" s="266"/>
      <c r="Q2195" s="266"/>
      <c r="BR2195" s="266"/>
      <c r="BS2195" s="266"/>
      <c r="BT2195" s="266"/>
      <c r="BU2195" s="266"/>
      <c r="BV2195" s="266"/>
    </row>
    <row r="2196" spans="12:74">
      <c r="L2196" s="266"/>
      <c r="M2196" s="266"/>
      <c r="N2196" s="266"/>
      <c r="O2196" s="266"/>
      <c r="P2196" s="266"/>
      <c r="Q2196" s="266"/>
      <c r="BR2196" s="266"/>
      <c r="BS2196" s="266"/>
      <c r="BT2196" s="266"/>
      <c r="BU2196" s="266"/>
      <c r="BV2196" s="266"/>
    </row>
    <row r="2197" spans="12:74">
      <c r="L2197" s="266"/>
      <c r="M2197" s="266"/>
      <c r="N2197" s="266"/>
      <c r="O2197" s="266"/>
      <c r="P2197" s="266"/>
      <c r="Q2197" s="266"/>
      <c r="BR2197" s="266"/>
      <c r="BS2197" s="266"/>
      <c r="BT2197" s="266"/>
      <c r="BU2197" s="266"/>
      <c r="BV2197" s="266"/>
    </row>
    <row r="2198" spans="12:74">
      <c r="L2198" s="266"/>
      <c r="M2198" s="266"/>
      <c r="N2198" s="266"/>
      <c r="O2198" s="266"/>
      <c r="P2198" s="266"/>
      <c r="Q2198" s="266"/>
      <c r="BR2198" s="266"/>
      <c r="BS2198" s="266"/>
      <c r="BT2198" s="266"/>
      <c r="BU2198" s="266"/>
      <c r="BV2198" s="266"/>
    </row>
    <row r="2199" spans="12:74">
      <c r="L2199" s="266"/>
      <c r="M2199" s="266"/>
      <c r="N2199" s="266"/>
      <c r="O2199" s="266"/>
      <c r="P2199" s="266"/>
      <c r="Q2199" s="266"/>
      <c r="BR2199" s="266"/>
      <c r="BS2199" s="266"/>
      <c r="BT2199" s="266"/>
      <c r="BU2199" s="266"/>
      <c r="BV2199" s="266"/>
    </row>
    <row r="2200" spans="12:74">
      <c r="L2200" s="266"/>
      <c r="M2200" s="266"/>
      <c r="N2200" s="266"/>
      <c r="O2200" s="266"/>
      <c r="P2200" s="266"/>
      <c r="Q2200" s="266"/>
      <c r="BR2200" s="266"/>
      <c r="BS2200" s="266"/>
      <c r="BT2200" s="266"/>
      <c r="BU2200" s="266"/>
      <c r="BV2200" s="266"/>
    </row>
    <row r="2201" spans="12:74">
      <c r="L2201" s="266"/>
      <c r="M2201" s="266"/>
      <c r="N2201" s="266"/>
      <c r="O2201" s="266"/>
      <c r="P2201" s="266"/>
      <c r="Q2201" s="266"/>
      <c r="BR2201" s="266"/>
      <c r="BS2201" s="266"/>
      <c r="BT2201" s="266"/>
      <c r="BU2201" s="266"/>
      <c r="BV2201" s="266"/>
    </row>
    <row r="2202" spans="12:74">
      <c r="L2202" s="266"/>
      <c r="M2202" s="266"/>
      <c r="N2202" s="266"/>
      <c r="O2202" s="266"/>
      <c r="P2202" s="266"/>
      <c r="Q2202" s="266"/>
      <c r="BR2202" s="266"/>
      <c r="BS2202" s="266"/>
      <c r="BT2202" s="266"/>
      <c r="BU2202" s="266"/>
      <c r="BV2202" s="266"/>
    </row>
    <row r="2203" spans="12:74">
      <c r="L2203" s="266"/>
      <c r="M2203" s="266"/>
      <c r="N2203" s="266"/>
      <c r="O2203" s="266"/>
      <c r="P2203" s="266"/>
      <c r="Q2203" s="266"/>
      <c r="BR2203" s="266"/>
      <c r="BS2203" s="266"/>
      <c r="BT2203" s="266"/>
      <c r="BU2203" s="266"/>
      <c r="BV2203" s="266"/>
    </row>
    <row r="2204" spans="12:74">
      <c r="L2204" s="266"/>
      <c r="M2204" s="266"/>
      <c r="N2204" s="266"/>
      <c r="O2204" s="266"/>
      <c r="P2204" s="266"/>
      <c r="Q2204" s="266"/>
      <c r="BR2204" s="266"/>
      <c r="BS2204" s="266"/>
      <c r="BT2204" s="266"/>
      <c r="BU2204" s="266"/>
      <c r="BV2204" s="266"/>
    </row>
    <row r="2205" spans="12:74">
      <c r="L2205" s="266"/>
      <c r="M2205" s="266"/>
      <c r="N2205" s="266"/>
      <c r="O2205" s="266"/>
      <c r="P2205" s="266"/>
      <c r="Q2205" s="266"/>
      <c r="BR2205" s="266"/>
      <c r="BS2205" s="266"/>
      <c r="BT2205" s="266"/>
      <c r="BU2205" s="266"/>
      <c r="BV2205" s="266"/>
    </row>
    <row r="2206" spans="12:74">
      <c r="L2206" s="266"/>
      <c r="M2206" s="266"/>
      <c r="N2206" s="266"/>
      <c r="O2206" s="266"/>
      <c r="P2206" s="266"/>
      <c r="Q2206" s="266"/>
      <c r="BR2206" s="266"/>
      <c r="BS2206" s="266"/>
      <c r="BT2206" s="266"/>
      <c r="BU2206" s="266"/>
      <c r="BV2206" s="266"/>
    </row>
    <row r="2207" spans="12:74">
      <c r="L2207" s="266"/>
      <c r="M2207" s="266"/>
      <c r="N2207" s="266"/>
      <c r="O2207" s="266"/>
      <c r="P2207" s="266"/>
      <c r="Q2207" s="266"/>
      <c r="BR2207" s="266"/>
      <c r="BS2207" s="266"/>
      <c r="BT2207" s="266"/>
      <c r="BU2207" s="266"/>
      <c r="BV2207" s="266"/>
    </row>
    <row r="2208" spans="12:74">
      <c r="L2208" s="266"/>
      <c r="M2208" s="266"/>
      <c r="N2208" s="266"/>
      <c r="O2208" s="266"/>
      <c r="P2208" s="266"/>
      <c r="Q2208" s="266"/>
      <c r="BR2208" s="266"/>
      <c r="BS2208" s="266"/>
      <c r="BT2208" s="266"/>
      <c r="BU2208" s="266"/>
      <c r="BV2208" s="266"/>
    </row>
    <row r="2209" spans="12:74">
      <c r="L2209" s="266"/>
      <c r="M2209" s="266"/>
      <c r="N2209" s="266"/>
      <c r="O2209" s="266"/>
      <c r="P2209" s="266"/>
      <c r="Q2209" s="266"/>
      <c r="BR2209" s="266"/>
      <c r="BS2209" s="266"/>
      <c r="BT2209" s="266"/>
      <c r="BU2209" s="266"/>
      <c r="BV2209" s="266"/>
    </row>
    <row r="2210" spans="12:74">
      <c r="L2210" s="266"/>
      <c r="M2210" s="266"/>
      <c r="N2210" s="266"/>
      <c r="O2210" s="266"/>
      <c r="P2210" s="266"/>
      <c r="Q2210" s="266"/>
      <c r="BR2210" s="266"/>
      <c r="BS2210" s="266"/>
      <c r="BT2210" s="266"/>
      <c r="BU2210" s="266"/>
      <c r="BV2210" s="266"/>
    </row>
    <row r="2211" spans="12:74">
      <c r="L2211" s="266"/>
      <c r="M2211" s="266"/>
      <c r="N2211" s="266"/>
      <c r="O2211" s="266"/>
      <c r="P2211" s="266"/>
      <c r="Q2211" s="266"/>
      <c r="BR2211" s="266"/>
      <c r="BS2211" s="266"/>
      <c r="BT2211" s="266"/>
      <c r="BU2211" s="266"/>
      <c r="BV2211" s="266"/>
    </row>
    <row r="2212" spans="12:74">
      <c r="L2212" s="266"/>
      <c r="M2212" s="266"/>
      <c r="N2212" s="266"/>
      <c r="O2212" s="266"/>
      <c r="P2212" s="266"/>
      <c r="Q2212" s="266"/>
      <c r="BR2212" s="266"/>
      <c r="BS2212" s="266"/>
      <c r="BT2212" s="266"/>
      <c r="BU2212" s="266"/>
      <c r="BV2212" s="266"/>
    </row>
    <row r="2213" spans="12:74">
      <c r="L2213" s="266"/>
      <c r="M2213" s="266"/>
      <c r="N2213" s="266"/>
      <c r="O2213" s="266"/>
      <c r="P2213" s="266"/>
      <c r="Q2213" s="266"/>
      <c r="BR2213" s="266"/>
      <c r="BS2213" s="266"/>
      <c r="BT2213" s="266"/>
      <c r="BU2213" s="266"/>
      <c r="BV2213" s="266"/>
    </row>
    <row r="2214" spans="12:74">
      <c r="L2214" s="266"/>
      <c r="M2214" s="266"/>
      <c r="N2214" s="266"/>
      <c r="O2214" s="266"/>
      <c r="P2214" s="266"/>
      <c r="Q2214" s="266"/>
      <c r="BR2214" s="266"/>
      <c r="BS2214" s="266"/>
      <c r="BT2214" s="266"/>
      <c r="BU2214" s="266"/>
      <c r="BV2214" s="266"/>
    </row>
    <row r="2215" spans="12:74">
      <c r="L2215" s="266"/>
      <c r="M2215" s="266"/>
      <c r="N2215" s="266"/>
      <c r="O2215" s="266"/>
      <c r="P2215" s="266"/>
      <c r="Q2215" s="266"/>
      <c r="BR2215" s="266"/>
      <c r="BS2215" s="266"/>
      <c r="BT2215" s="266"/>
      <c r="BU2215" s="266"/>
      <c r="BV2215" s="266"/>
    </row>
    <row r="2216" spans="12:74">
      <c r="L2216" s="266"/>
      <c r="M2216" s="266"/>
      <c r="N2216" s="266"/>
      <c r="O2216" s="266"/>
      <c r="P2216" s="266"/>
      <c r="Q2216" s="266"/>
      <c r="BR2216" s="266"/>
      <c r="BS2216" s="266"/>
      <c r="BT2216" s="266"/>
      <c r="BU2216" s="266"/>
      <c r="BV2216" s="266"/>
    </row>
    <row r="2217" spans="12:74">
      <c r="L2217" s="266"/>
      <c r="M2217" s="266"/>
      <c r="N2217" s="266"/>
      <c r="O2217" s="266"/>
      <c r="P2217" s="266"/>
      <c r="Q2217" s="266"/>
      <c r="BR2217" s="266"/>
      <c r="BS2217" s="266"/>
      <c r="BT2217" s="266"/>
      <c r="BU2217" s="266"/>
      <c r="BV2217" s="266"/>
    </row>
    <row r="2218" spans="12:74">
      <c r="L2218" s="266"/>
      <c r="M2218" s="266"/>
      <c r="N2218" s="266"/>
      <c r="O2218" s="266"/>
      <c r="P2218" s="266"/>
      <c r="Q2218" s="266"/>
      <c r="BR2218" s="266"/>
      <c r="BS2218" s="266"/>
      <c r="BT2218" s="266"/>
      <c r="BU2218" s="266"/>
      <c r="BV2218" s="266"/>
    </row>
    <row r="2219" spans="12:74">
      <c r="L2219" s="266"/>
      <c r="M2219" s="266"/>
      <c r="N2219" s="266"/>
      <c r="O2219" s="266"/>
      <c r="P2219" s="266"/>
      <c r="Q2219" s="266"/>
      <c r="BR2219" s="266"/>
      <c r="BS2219" s="266"/>
      <c r="BT2219" s="266"/>
      <c r="BU2219" s="266"/>
      <c r="BV2219" s="266"/>
    </row>
    <row r="2220" spans="12:74">
      <c r="L2220" s="266"/>
      <c r="M2220" s="266"/>
      <c r="N2220" s="266"/>
      <c r="O2220" s="266"/>
      <c r="P2220" s="266"/>
      <c r="Q2220" s="266"/>
      <c r="BR2220" s="266"/>
      <c r="BS2220" s="266"/>
      <c r="BT2220" s="266"/>
      <c r="BU2220" s="266"/>
      <c r="BV2220" s="266"/>
    </row>
    <row r="2221" spans="12:74">
      <c r="L2221" s="266"/>
      <c r="M2221" s="266"/>
      <c r="N2221" s="266"/>
      <c r="O2221" s="266"/>
      <c r="P2221" s="266"/>
      <c r="Q2221" s="266"/>
      <c r="BR2221" s="266"/>
      <c r="BS2221" s="266"/>
      <c r="BT2221" s="266"/>
      <c r="BU2221" s="266"/>
      <c r="BV2221" s="266"/>
    </row>
    <row r="2222" spans="12:74">
      <c r="L2222" s="266"/>
      <c r="M2222" s="266"/>
      <c r="N2222" s="266"/>
      <c r="O2222" s="266"/>
      <c r="P2222" s="266"/>
      <c r="Q2222" s="266"/>
      <c r="BR2222" s="266"/>
      <c r="BS2222" s="266"/>
      <c r="BT2222" s="266"/>
      <c r="BU2222" s="266"/>
      <c r="BV2222" s="266"/>
    </row>
    <row r="2223" spans="12:74">
      <c r="L2223" s="266"/>
      <c r="M2223" s="266"/>
      <c r="N2223" s="266"/>
      <c r="O2223" s="266"/>
      <c r="P2223" s="266"/>
      <c r="Q2223" s="266"/>
      <c r="BR2223" s="266"/>
      <c r="BS2223" s="266"/>
      <c r="BT2223" s="266"/>
      <c r="BU2223" s="266"/>
      <c r="BV2223" s="266"/>
    </row>
    <row r="2224" spans="12:74">
      <c r="L2224" s="266"/>
      <c r="M2224" s="266"/>
      <c r="N2224" s="266"/>
      <c r="O2224" s="266"/>
      <c r="P2224" s="266"/>
      <c r="Q2224" s="266"/>
      <c r="BR2224" s="266"/>
      <c r="BS2224" s="266"/>
      <c r="BT2224" s="266"/>
      <c r="BU2224" s="266"/>
      <c r="BV2224" s="266"/>
    </row>
    <row r="2225" spans="12:74">
      <c r="L2225" s="266"/>
      <c r="M2225" s="266"/>
      <c r="N2225" s="266"/>
      <c r="O2225" s="266"/>
      <c r="P2225" s="266"/>
      <c r="Q2225" s="266"/>
      <c r="BR2225" s="266"/>
      <c r="BS2225" s="266"/>
      <c r="BT2225" s="266"/>
      <c r="BU2225" s="266"/>
      <c r="BV2225" s="266"/>
    </row>
    <row r="2226" spans="12:74">
      <c r="L2226" s="266"/>
      <c r="M2226" s="266"/>
      <c r="N2226" s="266"/>
      <c r="O2226" s="266"/>
      <c r="P2226" s="266"/>
      <c r="Q2226" s="266"/>
      <c r="BR2226" s="266"/>
      <c r="BS2226" s="266"/>
      <c r="BT2226" s="266"/>
      <c r="BU2226" s="266"/>
      <c r="BV2226" s="266"/>
    </row>
    <row r="2227" spans="12:74">
      <c r="L2227" s="266"/>
      <c r="M2227" s="266"/>
      <c r="N2227" s="266"/>
      <c r="O2227" s="266"/>
      <c r="P2227" s="266"/>
      <c r="Q2227" s="266"/>
      <c r="BR2227" s="266"/>
      <c r="BS2227" s="266"/>
      <c r="BT2227" s="266"/>
      <c r="BU2227" s="266"/>
      <c r="BV2227" s="266"/>
    </row>
    <row r="2228" spans="12:74">
      <c r="L2228" s="266"/>
      <c r="M2228" s="266"/>
      <c r="N2228" s="266"/>
      <c r="O2228" s="266"/>
      <c r="P2228" s="266"/>
      <c r="Q2228" s="266"/>
      <c r="BR2228" s="266"/>
      <c r="BS2228" s="266"/>
      <c r="BT2228" s="266"/>
      <c r="BU2228" s="266"/>
      <c r="BV2228" s="266"/>
    </row>
    <row r="2229" spans="12:74">
      <c r="L2229" s="266"/>
      <c r="M2229" s="266"/>
      <c r="N2229" s="266"/>
      <c r="O2229" s="266"/>
      <c r="P2229" s="266"/>
      <c r="Q2229" s="266"/>
      <c r="BR2229" s="266"/>
      <c r="BS2229" s="266"/>
      <c r="BT2229" s="266"/>
      <c r="BU2229" s="266"/>
      <c r="BV2229" s="266"/>
    </row>
    <row r="2230" spans="12:74">
      <c r="L2230" s="266"/>
      <c r="M2230" s="266"/>
      <c r="N2230" s="266"/>
      <c r="O2230" s="266"/>
      <c r="P2230" s="266"/>
      <c r="Q2230" s="266"/>
      <c r="BR2230" s="266"/>
      <c r="BS2230" s="266"/>
      <c r="BT2230" s="266"/>
      <c r="BU2230" s="266"/>
      <c r="BV2230" s="266"/>
    </row>
    <row r="2231" spans="12:74">
      <c r="L2231" s="266"/>
      <c r="M2231" s="266"/>
      <c r="N2231" s="266"/>
      <c r="O2231" s="266"/>
      <c r="P2231" s="266"/>
      <c r="Q2231" s="266"/>
      <c r="BR2231" s="266"/>
      <c r="BS2231" s="266"/>
      <c r="BT2231" s="266"/>
      <c r="BU2231" s="266"/>
      <c r="BV2231" s="266"/>
    </row>
    <row r="2232" spans="12:74">
      <c r="L2232" s="266"/>
      <c r="M2232" s="266"/>
      <c r="N2232" s="266"/>
      <c r="O2232" s="266"/>
      <c r="P2232" s="266"/>
      <c r="Q2232" s="266"/>
      <c r="BR2232" s="266"/>
      <c r="BS2232" s="266"/>
      <c r="BT2232" s="266"/>
      <c r="BU2232" s="266"/>
      <c r="BV2232" s="266"/>
    </row>
    <row r="2233" spans="12:74">
      <c r="L2233" s="266"/>
      <c r="M2233" s="266"/>
      <c r="N2233" s="266"/>
      <c r="O2233" s="266"/>
      <c r="P2233" s="266"/>
      <c r="Q2233" s="266"/>
      <c r="BR2233" s="266"/>
      <c r="BS2233" s="266"/>
      <c r="BT2233" s="266"/>
      <c r="BU2233" s="266"/>
      <c r="BV2233" s="266"/>
    </row>
    <row r="2234" spans="12:74">
      <c r="L2234" s="266"/>
      <c r="M2234" s="266"/>
      <c r="N2234" s="266"/>
      <c r="O2234" s="266"/>
      <c r="P2234" s="266"/>
      <c r="Q2234" s="266"/>
      <c r="BR2234" s="266"/>
      <c r="BS2234" s="266"/>
      <c r="BT2234" s="266"/>
      <c r="BU2234" s="266"/>
      <c r="BV2234" s="266"/>
    </row>
    <row r="2235" spans="12:74">
      <c r="L2235" s="266"/>
      <c r="M2235" s="266"/>
      <c r="N2235" s="266"/>
      <c r="O2235" s="266"/>
      <c r="P2235" s="266"/>
      <c r="Q2235" s="266"/>
      <c r="BR2235" s="266"/>
      <c r="BS2235" s="266"/>
      <c r="BT2235" s="266"/>
      <c r="BU2235" s="266"/>
      <c r="BV2235" s="266"/>
    </row>
    <row r="2236" spans="12:74">
      <c r="L2236" s="266"/>
      <c r="M2236" s="266"/>
      <c r="N2236" s="266"/>
      <c r="O2236" s="266"/>
      <c r="P2236" s="266"/>
      <c r="Q2236" s="266"/>
      <c r="BR2236" s="266"/>
      <c r="BS2236" s="266"/>
      <c r="BT2236" s="266"/>
      <c r="BU2236" s="266"/>
      <c r="BV2236" s="266"/>
    </row>
    <row r="2237" spans="12:74">
      <c r="L2237" s="266"/>
      <c r="M2237" s="266"/>
      <c r="N2237" s="266"/>
      <c r="O2237" s="266"/>
      <c r="P2237" s="266"/>
      <c r="Q2237" s="266"/>
      <c r="BR2237" s="266"/>
      <c r="BS2237" s="266"/>
      <c r="BT2237" s="266"/>
      <c r="BU2237" s="266"/>
      <c r="BV2237" s="266"/>
    </row>
    <row r="2238" spans="12:74">
      <c r="L2238" s="266"/>
      <c r="M2238" s="266"/>
      <c r="N2238" s="266"/>
      <c r="O2238" s="266"/>
      <c r="P2238" s="266"/>
      <c r="Q2238" s="266"/>
      <c r="BR2238" s="266"/>
      <c r="BS2238" s="266"/>
      <c r="BT2238" s="266"/>
      <c r="BU2238" s="266"/>
      <c r="BV2238" s="266"/>
    </row>
    <row r="2239" spans="12:74">
      <c r="L2239" s="266"/>
      <c r="M2239" s="266"/>
      <c r="N2239" s="266"/>
      <c r="O2239" s="266"/>
      <c r="P2239" s="266"/>
      <c r="Q2239" s="266"/>
      <c r="BR2239" s="266"/>
      <c r="BS2239" s="266"/>
      <c r="BT2239" s="266"/>
      <c r="BU2239" s="266"/>
      <c r="BV2239" s="266"/>
    </row>
    <row r="2240" spans="12:74">
      <c r="L2240" s="266"/>
      <c r="M2240" s="266"/>
      <c r="N2240" s="266"/>
      <c r="O2240" s="266"/>
      <c r="P2240" s="266"/>
      <c r="Q2240" s="266"/>
      <c r="BR2240" s="266"/>
      <c r="BS2240" s="266"/>
      <c r="BT2240" s="266"/>
      <c r="BU2240" s="266"/>
      <c r="BV2240" s="266"/>
    </row>
    <row r="2241" spans="12:74">
      <c r="L2241" s="266"/>
      <c r="M2241" s="266"/>
      <c r="N2241" s="266"/>
      <c r="O2241" s="266"/>
      <c r="P2241" s="266"/>
      <c r="Q2241" s="266"/>
      <c r="BR2241" s="266"/>
      <c r="BS2241" s="266"/>
      <c r="BT2241" s="266"/>
      <c r="BU2241" s="266"/>
      <c r="BV2241" s="266"/>
    </row>
    <row r="2242" spans="12:74">
      <c r="L2242" s="266"/>
      <c r="M2242" s="266"/>
      <c r="N2242" s="266"/>
      <c r="O2242" s="266"/>
      <c r="P2242" s="266"/>
      <c r="Q2242" s="266"/>
      <c r="BR2242" s="266"/>
      <c r="BS2242" s="266"/>
      <c r="BT2242" s="266"/>
      <c r="BU2242" s="266"/>
      <c r="BV2242" s="266"/>
    </row>
    <row r="2243" spans="12:74">
      <c r="L2243" s="266"/>
      <c r="M2243" s="266"/>
      <c r="N2243" s="266"/>
      <c r="O2243" s="266"/>
      <c r="P2243" s="266"/>
      <c r="Q2243" s="266"/>
      <c r="BR2243" s="266"/>
      <c r="BS2243" s="266"/>
      <c r="BT2243" s="266"/>
      <c r="BU2243" s="266"/>
      <c r="BV2243" s="266"/>
    </row>
    <row r="2244" spans="12:74">
      <c r="L2244" s="266"/>
      <c r="M2244" s="266"/>
      <c r="N2244" s="266"/>
      <c r="O2244" s="266"/>
      <c r="P2244" s="266"/>
      <c r="Q2244" s="266"/>
      <c r="BR2244" s="266"/>
      <c r="BS2244" s="266"/>
      <c r="BT2244" s="266"/>
      <c r="BU2244" s="266"/>
      <c r="BV2244" s="266"/>
    </row>
    <row r="2245" spans="12:74">
      <c r="L2245" s="266"/>
      <c r="M2245" s="266"/>
      <c r="N2245" s="266"/>
      <c r="O2245" s="266"/>
      <c r="P2245" s="266"/>
      <c r="Q2245" s="266"/>
      <c r="BR2245" s="266"/>
      <c r="BS2245" s="266"/>
      <c r="BT2245" s="266"/>
      <c r="BU2245" s="266"/>
      <c r="BV2245" s="266"/>
    </row>
    <row r="2246" spans="12:74">
      <c r="L2246" s="266"/>
      <c r="M2246" s="266"/>
      <c r="N2246" s="266"/>
      <c r="O2246" s="266"/>
      <c r="P2246" s="266"/>
      <c r="Q2246" s="266"/>
      <c r="BR2246" s="266"/>
      <c r="BS2246" s="266"/>
      <c r="BT2246" s="266"/>
      <c r="BU2246" s="266"/>
      <c r="BV2246" s="266"/>
    </row>
    <row r="2247" spans="12:74">
      <c r="L2247" s="266"/>
      <c r="M2247" s="266"/>
      <c r="N2247" s="266"/>
      <c r="O2247" s="266"/>
      <c r="P2247" s="266"/>
      <c r="Q2247" s="266"/>
      <c r="BR2247" s="266"/>
      <c r="BS2247" s="266"/>
      <c r="BT2247" s="266"/>
      <c r="BU2247" s="266"/>
      <c r="BV2247" s="266"/>
    </row>
    <row r="2248" spans="12:74">
      <c r="L2248" s="266"/>
      <c r="M2248" s="266"/>
      <c r="N2248" s="266"/>
      <c r="O2248" s="266"/>
      <c r="P2248" s="266"/>
      <c r="Q2248" s="266"/>
      <c r="BR2248" s="266"/>
      <c r="BS2248" s="266"/>
      <c r="BT2248" s="266"/>
      <c r="BU2248" s="266"/>
      <c r="BV2248" s="266"/>
    </row>
    <row r="2249" spans="12:74">
      <c r="L2249" s="266"/>
      <c r="M2249" s="266"/>
      <c r="N2249" s="266"/>
      <c r="O2249" s="266"/>
      <c r="P2249" s="266"/>
      <c r="Q2249" s="266"/>
      <c r="BR2249" s="266"/>
      <c r="BS2249" s="266"/>
      <c r="BT2249" s="266"/>
      <c r="BU2249" s="266"/>
      <c r="BV2249" s="266"/>
    </row>
    <row r="2250" spans="12:74">
      <c r="L2250" s="266"/>
      <c r="M2250" s="266"/>
      <c r="N2250" s="266"/>
      <c r="O2250" s="266"/>
      <c r="P2250" s="266"/>
      <c r="Q2250" s="266"/>
      <c r="BR2250" s="266"/>
      <c r="BS2250" s="266"/>
      <c r="BT2250" s="266"/>
      <c r="BU2250" s="266"/>
      <c r="BV2250" s="266"/>
    </row>
    <row r="2251" spans="12:74">
      <c r="L2251" s="266"/>
      <c r="M2251" s="266"/>
      <c r="N2251" s="266"/>
      <c r="O2251" s="266"/>
      <c r="P2251" s="266"/>
      <c r="Q2251" s="266"/>
      <c r="BR2251" s="266"/>
      <c r="BS2251" s="266"/>
      <c r="BT2251" s="266"/>
      <c r="BU2251" s="266"/>
      <c r="BV2251" s="266"/>
    </row>
    <row r="2252" spans="12:74">
      <c r="L2252" s="266"/>
      <c r="M2252" s="266"/>
      <c r="N2252" s="266"/>
      <c r="O2252" s="266"/>
      <c r="P2252" s="266"/>
      <c r="Q2252" s="266"/>
      <c r="BR2252" s="266"/>
      <c r="BS2252" s="266"/>
      <c r="BT2252" s="266"/>
      <c r="BU2252" s="266"/>
      <c r="BV2252" s="266"/>
    </row>
    <row r="2253" spans="12:74">
      <c r="L2253" s="266"/>
      <c r="M2253" s="266"/>
      <c r="N2253" s="266"/>
      <c r="O2253" s="266"/>
      <c r="P2253" s="266"/>
      <c r="Q2253" s="266"/>
      <c r="BR2253" s="266"/>
      <c r="BS2253" s="266"/>
      <c r="BT2253" s="266"/>
      <c r="BU2253" s="266"/>
      <c r="BV2253" s="266"/>
    </row>
    <row r="2254" spans="12:74">
      <c r="L2254" s="266"/>
      <c r="M2254" s="266"/>
      <c r="N2254" s="266"/>
      <c r="O2254" s="266"/>
      <c r="P2254" s="266"/>
      <c r="Q2254" s="266"/>
      <c r="BR2254" s="266"/>
      <c r="BS2254" s="266"/>
      <c r="BT2254" s="266"/>
      <c r="BU2254" s="266"/>
      <c r="BV2254" s="266"/>
    </row>
    <row r="2255" spans="12:74">
      <c r="L2255" s="266"/>
      <c r="M2255" s="266"/>
      <c r="N2255" s="266"/>
      <c r="O2255" s="266"/>
      <c r="P2255" s="266"/>
      <c r="Q2255" s="266"/>
      <c r="BR2255" s="266"/>
      <c r="BS2255" s="266"/>
      <c r="BT2255" s="266"/>
      <c r="BU2255" s="266"/>
      <c r="BV2255" s="266"/>
    </row>
    <row r="2256" spans="12:74">
      <c r="L2256" s="266"/>
      <c r="M2256" s="266"/>
      <c r="N2256" s="266"/>
      <c r="O2256" s="266"/>
      <c r="P2256" s="266"/>
      <c r="Q2256" s="266"/>
      <c r="BR2256" s="266"/>
      <c r="BS2256" s="266"/>
      <c r="BT2256" s="266"/>
      <c r="BU2256" s="266"/>
      <c r="BV2256" s="266"/>
    </row>
    <row r="2257" spans="12:74">
      <c r="L2257" s="266"/>
      <c r="M2257" s="266"/>
      <c r="N2257" s="266"/>
      <c r="O2257" s="266"/>
      <c r="P2257" s="266"/>
      <c r="Q2257" s="266"/>
      <c r="BR2257" s="266"/>
      <c r="BS2257" s="266"/>
      <c r="BT2257" s="266"/>
      <c r="BU2257" s="266"/>
      <c r="BV2257" s="266"/>
    </row>
    <row r="2258" spans="12:74">
      <c r="L2258" s="266"/>
      <c r="M2258" s="266"/>
      <c r="N2258" s="266"/>
      <c r="O2258" s="266"/>
      <c r="P2258" s="266"/>
      <c r="Q2258" s="266"/>
      <c r="BR2258" s="266"/>
      <c r="BS2258" s="266"/>
      <c r="BT2258" s="266"/>
      <c r="BU2258" s="266"/>
      <c r="BV2258" s="266"/>
    </row>
    <row r="2259" spans="12:74">
      <c r="L2259" s="266"/>
      <c r="M2259" s="266"/>
      <c r="N2259" s="266"/>
      <c r="O2259" s="266"/>
      <c r="P2259" s="266"/>
      <c r="Q2259" s="266"/>
      <c r="BR2259" s="266"/>
      <c r="BS2259" s="266"/>
      <c r="BT2259" s="266"/>
      <c r="BU2259" s="266"/>
      <c r="BV2259" s="266"/>
    </row>
    <row r="2260" spans="12:74">
      <c r="L2260" s="266"/>
      <c r="M2260" s="266"/>
      <c r="N2260" s="266"/>
      <c r="O2260" s="266"/>
      <c r="P2260" s="266"/>
      <c r="Q2260" s="266"/>
      <c r="BR2260" s="266"/>
      <c r="BS2260" s="266"/>
      <c r="BT2260" s="266"/>
      <c r="BU2260" s="266"/>
      <c r="BV2260" s="266"/>
    </row>
    <row r="2261" spans="12:74">
      <c r="L2261" s="266"/>
      <c r="M2261" s="266"/>
      <c r="N2261" s="266"/>
      <c r="O2261" s="266"/>
      <c r="P2261" s="266"/>
      <c r="Q2261" s="266"/>
      <c r="BR2261" s="266"/>
      <c r="BS2261" s="266"/>
      <c r="BT2261" s="266"/>
      <c r="BU2261" s="266"/>
      <c r="BV2261" s="266"/>
    </row>
    <row r="2262" spans="12:74">
      <c r="L2262" s="266"/>
      <c r="M2262" s="266"/>
      <c r="N2262" s="266"/>
      <c r="O2262" s="266"/>
      <c r="P2262" s="266"/>
      <c r="Q2262" s="266"/>
      <c r="BR2262" s="266"/>
      <c r="BS2262" s="266"/>
      <c r="BT2262" s="266"/>
      <c r="BU2262" s="266"/>
      <c r="BV2262" s="266"/>
    </row>
    <row r="2263" spans="12:74">
      <c r="L2263" s="266"/>
      <c r="M2263" s="266"/>
      <c r="N2263" s="266"/>
      <c r="O2263" s="266"/>
      <c r="P2263" s="266"/>
      <c r="Q2263" s="266"/>
      <c r="BR2263" s="266"/>
      <c r="BS2263" s="266"/>
      <c r="BT2263" s="266"/>
      <c r="BU2263" s="266"/>
      <c r="BV2263" s="266"/>
    </row>
    <row r="2264" spans="12:74">
      <c r="L2264" s="266"/>
      <c r="M2264" s="266"/>
      <c r="N2264" s="266"/>
      <c r="O2264" s="266"/>
      <c r="P2264" s="266"/>
      <c r="Q2264" s="266"/>
      <c r="BR2264" s="266"/>
      <c r="BS2264" s="266"/>
      <c r="BT2264" s="266"/>
      <c r="BU2264" s="266"/>
      <c r="BV2264" s="266"/>
    </row>
    <row r="2265" spans="12:74">
      <c r="L2265" s="266"/>
      <c r="M2265" s="266"/>
      <c r="N2265" s="266"/>
      <c r="O2265" s="266"/>
      <c r="P2265" s="266"/>
      <c r="Q2265" s="266"/>
      <c r="BR2265" s="266"/>
      <c r="BS2265" s="266"/>
      <c r="BT2265" s="266"/>
      <c r="BU2265" s="266"/>
      <c r="BV2265" s="266"/>
    </row>
    <row r="2266" spans="12:74">
      <c r="L2266" s="266"/>
      <c r="M2266" s="266"/>
      <c r="N2266" s="266"/>
      <c r="O2266" s="266"/>
      <c r="P2266" s="266"/>
      <c r="Q2266" s="266"/>
      <c r="BR2266" s="266"/>
      <c r="BS2266" s="266"/>
      <c r="BT2266" s="266"/>
      <c r="BU2266" s="266"/>
      <c r="BV2266" s="266"/>
    </row>
    <row r="2267" spans="12:74">
      <c r="L2267" s="266"/>
      <c r="M2267" s="266"/>
      <c r="N2267" s="266"/>
      <c r="O2267" s="266"/>
      <c r="P2267" s="266"/>
      <c r="Q2267" s="266"/>
      <c r="BR2267" s="266"/>
      <c r="BS2267" s="266"/>
      <c r="BT2267" s="266"/>
      <c r="BU2267" s="266"/>
      <c r="BV2267" s="266"/>
    </row>
    <row r="2268" spans="12:74">
      <c r="L2268" s="266"/>
      <c r="M2268" s="266"/>
      <c r="N2268" s="266"/>
      <c r="O2268" s="266"/>
      <c r="P2268" s="266"/>
      <c r="Q2268" s="266"/>
      <c r="BR2268" s="266"/>
      <c r="BS2268" s="266"/>
      <c r="BT2268" s="266"/>
      <c r="BU2268" s="266"/>
      <c r="BV2268" s="266"/>
    </row>
    <row r="2269" spans="12:74">
      <c r="L2269" s="266"/>
      <c r="M2269" s="266"/>
      <c r="N2269" s="266"/>
      <c r="O2269" s="266"/>
      <c r="P2269" s="266"/>
      <c r="Q2269" s="266"/>
      <c r="BR2269" s="266"/>
      <c r="BS2269" s="266"/>
      <c r="BT2269" s="266"/>
      <c r="BU2269" s="266"/>
      <c r="BV2269" s="266"/>
    </row>
    <row r="2270" spans="12:74">
      <c r="L2270" s="266"/>
      <c r="M2270" s="266"/>
      <c r="N2270" s="266"/>
      <c r="O2270" s="266"/>
      <c r="P2270" s="266"/>
      <c r="Q2270" s="266"/>
      <c r="BR2270" s="266"/>
      <c r="BS2270" s="266"/>
      <c r="BT2270" s="266"/>
      <c r="BU2270" s="266"/>
      <c r="BV2270" s="266"/>
    </row>
    <row r="2271" spans="12:74">
      <c r="L2271" s="266"/>
      <c r="M2271" s="266"/>
      <c r="N2271" s="266"/>
      <c r="O2271" s="266"/>
      <c r="P2271" s="266"/>
      <c r="Q2271" s="266"/>
      <c r="BR2271" s="266"/>
      <c r="BS2271" s="266"/>
      <c r="BT2271" s="266"/>
      <c r="BU2271" s="266"/>
      <c r="BV2271" s="266"/>
    </row>
    <row r="2272" spans="12:74">
      <c r="L2272" s="266"/>
      <c r="M2272" s="266"/>
      <c r="N2272" s="266"/>
      <c r="O2272" s="266"/>
      <c r="P2272" s="266"/>
      <c r="Q2272" s="266"/>
      <c r="BR2272" s="266"/>
      <c r="BS2272" s="266"/>
      <c r="BT2272" s="266"/>
      <c r="BU2272" s="266"/>
      <c r="BV2272" s="266"/>
    </row>
    <row r="2273" spans="12:74">
      <c r="L2273" s="266"/>
      <c r="M2273" s="266"/>
      <c r="N2273" s="266"/>
      <c r="O2273" s="266"/>
      <c r="P2273" s="266"/>
      <c r="Q2273" s="266"/>
      <c r="BR2273" s="266"/>
      <c r="BS2273" s="266"/>
      <c r="BT2273" s="266"/>
      <c r="BU2273" s="266"/>
      <c r="BV2273" s="266"/>
    </row>
    <row r="2274" spans="12:74">
      <c r="L2274" s="266"/>
      <c r="M2274" s="266"/>
      <c r="N2274" s="266"/>
      <c r="O2274" s="266"/>
      <c r="P2274" s="266"/>
      <c r="Q2274" s="266"/>
      <c r="BR2274" s="266"/>
      <c r="BS2274" s="266"/>
      <c r="BT2274" s="266"/>
      <c r="BU2274" s="266"/>
      <c r="BV2274" s="266"/>
    </row>
    <row r="2275" spans="12:74">
      <c r="L2275" s="266"/>
      <c r="M2275" s="266"/>
      <c r="N2275" s="266"/>
      <c r="O2275" s="266"/>
      <c r="P2275" s="266"/>
      <c r="Q2275" s="266"/>
      <c r="BR2275" s="266"/>
      <c r="BS2275" s="266"/>
      <c r="BT2275" s="266"/>
      <c r="BU2275" s="266"/>
      <c r="BV2275" s="266"/>
    </row>
    <row r="2276" spans="12:74">
      <c r="L2276" s="266"/>
      <c r="M2276" s="266"/>
      <c r="N2276" s="266"/>
      <c r="O2276" s="266"/>
      <c r="P2276" s="266"/>
      <c r="Q2276" s="266"/>
      <c r="BR2276" s="266"/>
      <c r="BS2276" s="266"/>
      <c r="BT2276" s="266"/>
      <c r="BU2276" s="266"/>
      <c r="BV2276" s="266"/>
    </row>
    <row r="2277" spans="12:74">
      <c r="L2277" s="266"/>
      <c r="M2277" s="266"/>
      <c r="N2277" s="266"/>
      <c r="O2277" s="266"/>
      <c r="P2277" s="266"/>
      <c r="Q2277" s="266"/>
      <c r="BR2277" s="266"/>
      <c r="BS2277" s="266"/>
      <c r="BT2277" s="266"/>
      <c r="BU2277" s="266"/>
      <c r="BV2277" s="266"/>
    </row>
    <row r="2278" spans="12:74">
      <c r="L2278" s="266"/>
      <c r="M2278" s="266"/>
      <c r="N2278" s="266"/>
      <c r="O2278" s="266"/>
      <c r="P2278" s="266"/>
      <c r="Q2278" s="266"/>
      <c r="BR2278" s="266"/>
      <c r="BS2278" s="266"/>
      <c r="BT2278" s="266"/>
      <c r="BU2278" s="266"/>
      <c r="BV2278" s="266"/>
    </row>
    <row r="2279" spans="12:74">
      <c r="L2279" s="266"/>
      <c r="M2279" s="266"/>
      <c r="N2279" s="266"/>
      <c r="O2279" s="266"/>
      <c r="P2279" s="266"/>
      <c r="Q2279" s="266"/>
      <c r="BR2279" s="266"/>
      <c r="BS2279" s="266"/>
      <c r="BT2279" s="266"/>
      <c r="BU2279" s="266"/>
      <c r="BV2279" s="266"/>
    </row>
    <row r="2280" spans="12:74">
      <c r="L2280" s="266"/>
      <c r="M2280" s="266"/>
      <c r="N2280" s="266"/>
      <c r="O2280" s="266"/>
      <c r="P2280" s="266"/>
      <c r="Q2280" s="266"/>
      <c r="BR2280" s="266"/>
      <c r="BS2280" s="266"/>
      <c r="BT2280" s="266"/>
      <c r="BU2280" s="266"/>
      <c r="BV2280" s="266"/>
    </row>
    <row r="2281" spans="12:74">
      <c r="L2281" s="266"/>
      <c r="M2281" s="266"/>
      <c r="N2281" s="266"/>
      <c r="O2281" s="266"/>
      <c r="P2281" s="266"/>
      <c r="Q2281" s="266"/>
      <c r="BR2281" s="266"/>
      <c r="BS2281" s="266"/>
      <c r="BT2281" s="266"/>
      <c r="BU2281" s="266"/>
      <c r="BV2281" s="266"/>
    </row>
    <row r="2282" spans="12:74">
      <c r="L2282" s="266"/>
      <c r="M2282" s="266"/>
      <c r="N2282" s="266"/>
      <c r="O2282" s="266"/>
      <c r="P2282" s="266"/>
      <c r="Q2282" s="266"/>
      <c r="BR2282" s="266"/>
      <c r="BS2282" s="266"/>
      <c r="BT2282" s="266"/>
      <c r="BU2282" s="266"/>
      <c r="BV2282" s="266"/>
    </row>
    <row r="2283" spans="12:74">
      <c r="L2283" s="266"/>
      <c r="M2283" s="266"/>
      <c r="N2283" s="266"/>
      <c r="O2283" s="266"/>
      <c r="P2283" s="266"/>
      <c r="Q2283" s="266"/>
      <c r="BR2283" s="266"/>
      <c r="BS2283" s="266"/>
      <c r="BT2283" s="266"/>
      <c r="BU2283" s="266"/>
      <c r="BV2283" s="266"/>
    </row>
    <row r="2284" spans="12:74">
      <c r="L2284" s="266"/>
      <c r="M2284" s="266"/>
      <c r="N2284" s="266"/>
      <c r="O2284" s="266"/>
      <c r="P2284" s="266"/>
      <c r="Q2284" s="266"/>
      <c r="BR2284" s="266"/>
      <c r="BS2284" s="266"/>
      <c r="BT2284" s="266"/>
      <c r="BU2284" s="266"/>
      <c r="BV2284" s="266"/>
    </row>
    <row r="2285" spans="12:74">
      <c r="L2285" s="266"/>
      <c r="M2285" s="266"/>
      <c r="N2285" s="266"/>
      <c r="O2285" s="266"/>
      <c r="P2285" s="266"/>
      <c r="Q2285" s="266"/>
      <c r="BR2285" s="266"/>
      <c r="BS2285" s="266"/>
      <c r="BT2285" s="266"/>
      <c r="BU2285" s="266"/>
      <c r="BV2285" s="266"/>
    </row>
    <row r="2286" spans="12:74">
      <c r="L2286" s="266"/>
      <c r="M2286" s="266"/>
      <c r="N2286" s="266"/>
      <c r="O2286" s="266"/>
      <c r="P2286" s="266"/>
      <c r="Q2286" s="266"/>
      <c r="BR2286" s="266"/>
      <c r="BS2286" s="266"/>
      <c r="BT2286" s="266"/>
      <c r="BU2286" s="266"/>
      <c r="BV2286" s="266"/>
    </row>
    <row r="2287" spans="12:74">
      <c r="L2287" s="266"/>
      <c r="M2287" s="266"/>
      <c r="N2287" s="266"/>
      <c r="O2287" s="266"/>
      <c r="P2287" s="266"/>
      <c r="Q2287" s="266"/>
      <c r="BR2287" s="266"/>
      <c r="BS2287" s="266"/>
      <c r="BT2287" s="266"/>
      <c r="BU2287" s="266"/>
      <c r="BV2287" s="266"/>
    </row>
    <row r="2288" spans="12:74">
      <c r="L2288" s="266"/>
      <c r="M2288" s="266"/>
      <c r="N2288" s="266"/>
      <c r="O2288" s="266"/>
      <c r="P2288" s="266"/>
      <c r="Q2288" s="266"/>
      <c r="BR2288" s="266"/>
      <c r="BS2288" s="266"/>
      <c r="BT2288" s="266"/>
      <c r="BU2288" s="266"/>
      <c r="BV2288" s="266"/>
    </row>
    <row r="2289" spans="12:74">
      <c r="L2289" s="266"/>
      <c r="M2289" s="266"/>
      <c r="N2289" s="266"/>
      <c r="O2289" s="266"/>
      <c r="P2289" s="266"/>
      <c r="Q2289" s="266"/>
      <c r="BR2289" s="266"/>
      <c r="BS2289" s="266"/>
      <c r="BT2289" s="266"/>
      <c r="BU2289" s="266"/>
      <c r="BV2289" s="266"/>
    </row>
    <row r="2290" spans="12:74">
      <c r="L2290" s="266"/>
      <c r="M2290" s="266"/>
      <c r="N2290" s="266"/>
      <c r="O2290" s="266"/>
      <c r="P2290" s="266"/>
      <c r="Q2290" s="266"/>
      <c r="BR2290" s="266"/>
      <c r="BS2290" s="266"/>
      <c r="BT2290" s="266"/>
      <c r="BU2290" s="266"/>
      <c r="BV2290" s="266"/>
    </row>
    <row r="2291" spans="12:74">
      <c r="L2291" s="266"/>
      <c r="M2291" s="266"/>
      <c r="N2291" s="266"/>
      <c r="O2291" s="266"/>
      <c r="P2291" s="266"/>
      <c r="Q2291" s="266"/>
      <c r="BR2291" s="266"/>
      <c r="BS2291" s="266"/>
      <c r="BT2291" s="266"/>
      <c r="BU2291" s="266"/>
      <c r="BV2291" s="266"/>
    </row>
    <row r="2292" spans="12:74">
      <c r="L2292" s="266"/>
      <c r="M2292" s="266"/>
      <c r="N2292" s="266"/>
      <c r="O2292" s="266"/>
      <c r="P2292" s="266"/>
      <c r="Q2292" s="266"/>
      <c r="BR2292" s="266"/>
      <c r="BS2292" s="266"/>
      <c r="BT2292" s="266"/>
      <c r="BU2292" s="266"/>
      <c r="BV2292" s="266"/>
    </row>
    <row r="2293" spans="12:74">
      <c r="L2293" s="266"/>
      <c r="M2293" s="266"/>
      <c r="N2293" s="266"/>
      <c r="O2293" s="266"/>
      <c r="P2293" s="266"/>
      <c r="Q2293" s="266"/>
      <c r="BR2293" s="266"/>
      <c r="BS2293" s="266"/>
      <c r="BT2293" s="266"/>
      <c r="BU2293" s="266"/>
      <c r="BV2293" s="266"/>
    </row>
    <row r="2294" spans="12:74">
      <c r="L2294" s="266"/>
      <c r="M2294" s="266"/>
      <c r="N2294" s="266"/>
      <c r="O2294" s="266"/>
      <c r="P2294" s="266"/>
      <c r="Q2294" s="266"/>
      <c r="BR2294" s="266"/>
      <c r="BS2294" s="266"/>
      <c r="BT2294" s="266"/>
      <c r="BU2294" s="266"/>
      <c r="BV2294" s="266"/>
    </row>
    <row r="2295" spans="12:74">
      <c r="L2295" s="266"/>
      <c r="M2295" s="266"/>
      <c r="N2295" s="266"/>
      <c r="O2295" s="266"/>
      <c r="P2295" s="266"/>
      <c r="Q2295" s="266"/>
      <c r="BR2295" s="266"/>
      <c r="BS2295" s="266"/>
      <c r="BT2295" s="266"/>
      <c r="BU2295" s="266"/>
      <c r="BV2295" s="266"/>
    </row>
    <row r="2296" spans="12:74">
      <c r="L2296" s="266"/>
      <c r="M2296" s="266"/>
      <c r="N2296" s="266"/>
      <c r="O2296" s="266"/>
      <c r="P2296" s="266"/>
      <c r="Q2296" s="266"/>
      <c r="BR2296" s="266"/>
      <c r="BS2296" s="266"/>
      <c r="BT2296" s="266"/>
      <c r="BU2296" s="266"/>
      <c r="BV2296" s="266"/>
    </row>
    <row r="2297" spans="12:74">
      <c r="L2297" s="266"/>
      <c r="M2297" s="266"/>
      <c r="N2297" s="266"/>
      <c r="O2297" s="266"/>
      <c r="P2297" s="266"/>
      <c r="Q2297" s="266"/>
      <c r="BR2297" s="266"/>
      <c r="BS2297" s="266"/>
      <c r="BT2297" s="266"/>
      <c r="BU2297" s="266"/>
      <c r="BV2297" s="266"/>
    </row>
    <row r="2298" spans="12:74">
      <c r="L2298" s="266"/>
      <c r="M2298" s="266"/>
      <c r="N2298" s="266"/>
      <c r="O2298" s="266"/>
      <c r="P2298" s="266"/>
      <c r="Q2298" s="266"/>
      <c r="BR2298" s="266"/>
      <c r="BS2298" s="266"/>
      <c r="BT2298" s="266"/>
      <c r="BU2298" s="266"/>
      <c r="BV2298" s="266"/>
    </row>
    <row r="2299" spans="12:74">
      <c r="L2299" s="266"/>
      <c r="M2299" s="266"/>
      <c r="N2299" s="266"/>
      <c r="O2299" s="266"/>
      <c r="P2299" s="266"/>
      <c r="Q2299" s="266"/>
      <c r="BR2299" s="266"/>
      <c r="BS2299" s="266"/>
      <c r="BT2299" s="266"/>
      <c r="BU2299" s="266"/>
      <c r="BV2299" s="266"/>
    </row>
    <row r="2300" spans="12:74">
      <c r="L2300" s="266"/>
      <c r="M2300" s="266"/>
      <c r="N2300" s="266"/>
      <c r="O2300" s="266"/>
      <c r="P2300" s="266"/>
      <c r="Q2300" s="266"/>
      <c r="BR2300" s="266"/>
      <c r="BS2300" s="266"/>
      <c r="BT2300" s="266"/>
      <c r="BU2300" s="266"/>
      <c r="BV2300" s="266"/>
    </row>
    <row r="2301" spans="12:74">
      <c r="L2301" s="266"/>
      <c r="M2301" s="266"/>
      <c r="N2301" s="266"/>
      <c r="O2301" s="266"/>
      <c r="P2301" s="266"/>
      <c r="Q2301" s="266"/>
      <c r="BR2301" s="266"/>
      <c r="BS2301" s="266"/>
      <c r="BT2301" s="266"/>
      <c r="BU2301" s="266"/>
      <c r="BV2301" s="266"/>
    </row>
    <row r="2302" spans="12:74">
      <c r="L2302" s="266"/>
      <c r="M2302" s="266"/>
      <c r="N2302" s="266"/>
      <c r="O2302" s="266"/>
      <c r="P2302" s="266"/>
      <c r="Q2302" s="266"/>
      <c r="BR2302" s="266"/>
      <c r="BS2302" s="266"/>
      <c r="BT2302" s="266"/>
      <c r="BU2302" s="266"/>
      <c r="BV2302" s="266"/>
    </row>
    <row r="2303" spans="12:74">
      <c r="L2303" s="266"/>
      <c r="M2303" s="266"/>
      <c r="N2303" s="266"/>
      <c r="O2303" s="266"/>
      <c r="P2303" s="266"/>
      <c r="Q2303" s="266"/>
      <c r="BR2303" s="266"/>
      <c r="BS2303" s="266"/>
      <c r="BT2303" s="266"/>
      <c r="BU2303" s="266"/>
      <c r="BV2303" s="266"/>
    </row>
    <row r="2304" spans="12:74">
      <c r="L2304" s="266"/>
      <c r="M2304" s="266"/>
      <c r="N2304" s="266"/>
      <c r="O2304" s="266"/>
      <c r="P2304" s="266"/>
      <c r="Q2304" s="266"/>
      <c r="BR2304" s="266"/>
      <c r="BS2304" s="266"/>
      <c r="BT2304" s="266"/>
      <c r="BU2304" s="266"/>
      <c r="BV2304" s="266"/>
    </row>
    <row r="2305" spans="12:74">
      <c r="L2305" s="266"/>
      <c r="M2305" s="266"/>
      <c r="N2305" s="266"/>
      <c r="O2305" s="266"/>
      <c r="P2305" s="266"/>
      <c r="Q2305" s="266"/>
      <c r="BR2305" s="266"/>
      <c r="BS2305" s="266"/>
      <c r="BT2305" s="266"/>
      <c r="BU2305" s="266"/>
      <c r="BV2305" s="266"/>
    </row>
    <row r="2306" spans="12:74">
      <c r="L2306" s="266"/>
      <c r="M2306" s="266"/>
      <c r="N2306" s="266"/>
      <c r="O2306" s="266"/>
      <c r="P2306" s="266"/>
      <c r="Q2306" s="266"/>
      <c r="BR2306" s="266"/>
      <c r="BS2306" s="266"/>
      <c r="BT2306" s="266"/>
      <c r="BU2306" s="266"/>
      <c r="BV2306" s="266"/>
    </row>
    <row r="2307" spans="12:74">
      <c r="L2307" s="266"/>
      <c r="M2307" s="266"/>
      <c r="N2307" s="266"/>
      <c r="O2307" s="266"/>
      <c r="P2307" s="266"/>
      <c r="Q2307" s="266"/>
      <c r="BR2307" s="266"/>
      <c r="BS2307" s="266"/>
      <c r="BT2307" s="266"/>
      <c r="BU2307" s="266"/>
      <c r="BV2307" s="266"/>
    </row>
    <row r="2308" spans="12:74">
      <c r="L2308" s="266"/>
      <c r="M2308" s="266"/>
      <c r="N2308" s="266"/>
      <c r="O2308" s="266"/>
      <c r="P2308" s="266"/>
      <c r="Q2308" s="266"/>
      <c r="BR2308" s="266"/>
      <c r="BS2308" s="266"/>
      <c r="BT2308" s="266"/>
      <c r="BU2308" s="266"/>
      <c r="BV2308" s="266"/>
    </row>
    <row r="2309" spans="12:74">
      <c r="L2309" s="266"/>
      <c r="M2309" s="266"/>
      <c r="N2309" s="266"/>
      <c r="O2309" s="266"/>
      <c r="P2309" s="266"/>
      <c r="Q2309" s="266"/>
      <c r="BR2309" s="266"/>
      <c r="BS2309" s="266"/>
      <c r="BT2309" s="266"/>
      <c r="BU2309" s="266"/>
      <c r="BV2309" s="266"/>
    </row>
    <row r="2310" spans="12:74">
      <c r="L2310" s="266"/>
      <c r="M2310" s="266"/>
      <c r="N2310" s="266"/>
      <c r="O2310" s="266"/>
      <c r="P2310" s="266"/>
      <c r="Q2310" s="266"/>
      <c r="BR2310" s="266"/>
      <c r="BS2310" s="266"/>
      <c r="BT2310" s="266"/>
      <c r="BU2310" s="266"/>
      <c r="BV2310" s="266"/>
    </row>
    <row r="2311" spans="12:74">
      <c r="L2311" s="266"/>
      <c r="M2311" s="266"/>
      <c r="N2311" s="266"/>
      <c r="O2311" s="266"/>
      <c r="P2311" s="266"/>
      <c r="Q2311" s="266"/>
      <c r="BR2311" s="266"/>
      <c r="BS2311" s="266"/>
      <c r="BT2311" s="266"/>
      <c r="BU2311" s="266"/>
      <c r="BV2311" s="266"/>
    </row>
    <row r="2312" spans="12:74">
      <c r="L2312" s="266"/>
      <c r="M2312" s="266"/>
      <c r="N2312" s="266"/>
      <c r="O2312" s="266"/>
      <c r="P2312" s="266"/>
      <c r="Q2312" s="266"/>
      <c r="BR2312" s="266"/>
      <c r="BS2312" s="266"/>
      <c r="BT2312" s="266"/>
      <c r="BU2312" s="266"/>
      <c r="BV2312" s="266"/>
    </row>
    <row r="2313" spans="12:74">
      <c r="L2313" s="266"/>
      <c r="M2313" s="266"/>
      <c r="N2313" s="266"/>
      <c r="O2313" s="266"/>
      <c r="P2313" s="266"/>
      <c r="Q2313" s="266"/>
      <c r="BR2313" s="266"/>
      <c r="BS2313" s="266"/>
      <c r="BT2313" s="266"/>
      <c r="BU2313" s="266"/>
      <c r="BV2313" s="266"/>
    </row>
    <row r="2314" spans="12:74">
      <c r="L2314" s="266"/>
      <c r="M2314" s="266"/>
      <c r="N2314" s="266"/>
      <c r="O2314" s="266"/>
      <c r="P2314" s="266"/>
      <c r="Q2314" s="266"/>
      <c r="BR2314" s="266"/>
      <c r="BS2314" s="266"/>
      <c r="BT2314" s="266"/>
      <c r="BU2314" s="266"/>
      <c r="BV2314" s="266"/>
    </row>
    <row r="2315" spans="12:74">
      <c r="L2315" s="266"/>
      <c r="M2315" s="266"/>
      <c r="N2315" s="266"/>
      <c r="O2315" s="266"/>
      <c r="P2315" s="266"/>
      <c r="Q2315" s="266"/>
      <c r="BR2315" s="266"/>
      <c r="BS2315" s="266"/>
      <c r="BT2315" s="266"/>
      <c r="BU2315" s="266"/>
      <c r="BV2315" s="266"/>
    </row>
    <row r="2316" spans="12:74">
      <c r="L2316" s="266"/>
      <c r="M2316" s="266"/>
      <c r="N2316" s="266"/>
      <c r="O2316" s="266"/>
      <c r="P2316" s="266"/>
      <c r="Q2316" s="266"/>
      <c r="BR2316" s="266"/>
      <c r="BS2316" s="266"/>
      <c r="BT2316" s="266"/>
      <c r="BU2316" s="266"/>
      <c r="BV2316" s="266"/>
    </row>
    <row r="2317" spans="12:74">
      <c r="L2317" s="266"/>
      <c r="M2317" s="266"/>
      <c r="N2317" s="266"/>
      <c r="O2317" s="266"/>
      <c r="P2317" s="266"/>
      <c r="Q2317" s="266"/>
      <c r="BR2317" s="266"/>
      <c r="BS2317" s="266"/>
      <c r="BT2317" s="266"/>
      <c r="BU2317" s="266"/>
      <c r="BV2317" s="266"/>
    </row>
    <row r="2318" spans="12:74">
      <c r="L2318" s="266"/>
      <c r="M2318" s="266"/>
      <c r="N2318" s="266"/>
      <c r="O2318" s="266"/>
      <c r="P2318" s="266"/>
      <c r="Q2318" s="266"/>
      <c r="BR2318" s="266"/>
      <c r="BS2318" s="266"/>
      <c r="BT2318" s="266"/>
      <c r="BU2318" s="266"/>
      <c r="BV2318" s="266"/>
    </row>
    <row r="2319" spans="12:74">
      <c r="L2319" s="266"/>
      <c r="M2319" s="266"/>
      <c r="N2319" s="266"/>
      <c r="O2319" s="266"/>
      <c r="P2319" s="266"/>
      <c r="Q2319" s="266"/>
      <c r="BR2319" s="266"/>
      <c r="BS2319" s="266"/>
      <c r="BT2319" s="266"/>
      <c r="BU2319" s="266"/>
      <c r="BV2319" s="266"/>
    </row>
    <row r="2320" spans="12:74">
      <c r="L2320" s="266"/>
      <c r="M2320" s="266"/>
      <c r="N2320" s="266"/>
      <c r="O2320" s="266"/>
      <c r="P2320" s="266"/>
      <c r="Q2320" s="266"/>
      <c r="BR2320" s="266"/>
      <c r="BS2320" s="266"/>
      <c r="BT2320" s="266"/>
      <c r="BU2320" s="266"/>
      <c r="BV2320" s="266"/>
    </row>
    <row r="2321" spans="12:74">
      <c r="L2321" s="266"/>
      <c r="M2321" s="266"/>
      <c r="N2321" s="266"/>
      <c r="O2321" s="266"/>
      <c r="P2321" s="266"/>
      <c r="Q2321" s="266"/>
      <c r="BR2321" s="266"/>
      <c r="BS2321" s="266"/>
      <c r="BT2321" s="266"/>
      <c r="BU2321" s="266"/>
      <c r="BV2321" s="266"/>
    </row>
    <row r="2322" spans="12:74">
      <c r="L2322" s="266"/>
      <c r="M2322" s="266"/>
      <c r="N2322" s="266"/>
      <c r="O2322" s="266"/>
      <c r="P2322" s="266"/>
      <c r="Q2322" s="266"/>
      <c r="BR2322" s="266"/>
      <c r="BS2322" s="266"/>
      <c r="BT2322" s="266"/>
      <c r="BU2322" s="266"/>
      <c r="BV2322" s="266"/>
    </row>
    <row r="2323" spans="12:74">
      <c r="L2323" s="266"/>
      <c r="M2323" s="266"/>
      <c r="N2323" s="266"/>
      <c r="O2323" s="266"/>
      <c r="P2323" s="266"/>
      <c r="Q2323" s="266"/>
      <c r="BR2323" s="266"/>
      <c r="BS2323" s="266"/>
      <c r="BT2323" s="266"/>
      <c r="BU2323" s="266"/>
      <c r="BV2323" s="266"/>
    </row>
    <row r="2324" spans="12:74">
      <c r="L2324" s="266"/>
      <c r="M2324" s="266"/>
      <c r="N2324" s="266"/>
      <c r="O2324" s="266"/>
      <c r="P2324" s="266"/>
      <c r="Q2324" s="266"/>
      <c r="BR2324" s="266"/>
      <c r="BS2324" s="266"/>
      <c r="BT2324" s="266"/>
      <c r="BU2324" s="266"/>
      <c r="BV2324" s="266"/>
    </row>
    <row r="2325" spans="12:74">
      <c r="L2325" s="266"/>
      <c r="M2325" s="266"/>
      <c r="N2325" s="266"/>
      <c r="O2325" s="266"/>
      <c r="P2325" s="266"/>
      <c r="Q2325" s="266"/>
      <c r="BR2325" s="266"/>
      <c r="BS2325" s="266"/>
      <c r="BT2325" s="266"/>
      <c r="BU2325" s="266"/>
      <c r="BV2325" s="266"/>
    </row>
    <row r="2326" spans="12:74">
      <c r="L2326" s="266"/>
      <c r="M2326" s="266"/>
      <c r="N2326" s="266"/>
      <c r="O2326" s="266"/>
      <c r="P2326" s="266"/>
      <c r="Q2326" s="266"/>
      <c r="BR2326" s="266"/>
      <c r="BS2326" s="266"/>
      <c r="BT2326" s="266"/>
      <c r="BU2326" s="266"/>
      <c r="BV2326" s="266"/>
    </row>
    <row r="2327" spans="12:74">
      <c r="L2327" s="266"/>
      <c r="M2327" s="266"/>
      <c r="N2327" s="266"/>
      <c r="O2327" s="266"/>
      <c r="P2327" s="266"/>
      <c r="Q2327" s="266"/>
      <c r="BR2327" s="266"/>
      <c r="BS2327" s="266"/>
      <c r="BT2327" s="266"/>
      <c r="BU2327" s="266"/>
      <c r="BV2327" s="266"/>
    </row>
    <row r="2328" spans="12:74">
      <c r="L2328" s="266"/>
      <c r="M2328" s="266"/>
      <c r="N2328" s="266"/>
      <c r="O2328" s="266"/>
      <c r="P2328" s="266"/>
      <c r="Q2328" s="266"/>
      <c r="BR2328" s="266"/>
      <c r="BS2328" s="266"/>
      <c r="BT2328" s="266"/>
      <c r="BU2328" s="266"/>
      <c r="BV2328" s="266"/>
    </row>
    <row r="2329" spans="12:74">
      <c r="L2329" s="266"/>
      <c r="M2329" s="266"/>
      <c r="N2329" s="266"/>
      <c r="O2329" s="266"/>
      <c r="P2329" s="266"/>
      <c r="Q2329" s="266"/>
      <c r="BR2329" s="266"/>
      <c r="BS2329" s="266"/>
      <c r="BT2329" s="266"/>
      <c r="BU2329" s="266"/>
      <c r="BV2329" s="266"/>
    </row>
    <row r="2330" spans="12:74">
      <c r="L2330" s="266"/>
      <c r="M2330" s="266"/>
      <c r="N2330" s="266"/>
      <c r="O2330" s="266"/>
      <c r="P2330" s="266"/>
      <c r="Q2330" s="266"/>
      <c r="BR2330" s="266"/>
      <c r="BS2330" s="266"/>
      <c r="BT2330" s="266"/>
      <c r="BU2330" s="266"/>
      <c r="BV2330" s="266"/>
    </row>
    <row r="2331" spans="12:74">
      <c r="L2331" s="266"/>
      <c r="M2331" s="266"/>
      <c r="N2331" s="266"/>
      <c r="O2331" s="266"/>
      <c r="P2331" s="266"/>
      <c r="Q2331" s="266"/>
      <c r="BR2331" s="266"/>
      <c r="BS2331" s="266"/>
      <c r="BT2331" s="266"/>
      <c r="BU2331" s="266"/>
      <c r="BV2331" s="266"/>
    </row>
    <row r="2332" spans="12:74">
      <c r="L2332" s="266"/>
      <c r="M2332" s="266"/>
      <c r="N2332" s="266"/>
      <c r="O2332" s="266"/>
      <c r="P2332" s="266"/>
      <c r="Q2332" s="266"/>
      <c r="BR2332" s="266"/>
      <c r="BS2332" s="266"/>
      <c r="BT2332" s="266"/>
      <c r="BU2332" s="266"/>
      <c r="BV2332" s="266"/>
    </row>
    <row r="2333" spans="12:74">
      <c r="L2333" s="266"/>
      <c r="M2333" s="266"/>
      <c r="N2333" s="266"/>
      <c r="O2333" s="266"/>
      <c r="P2333" s="266"/>
      <c r="Q2333" s="266"/>
      <c r="BR2333" s="266"/>
      <c r="BS2333" s="266"/>
      <c r="BT2333" s="266"/>
      <c r="BU2333" s="266"/>
      <c r="BV2333" s="266"/>
    </row>
    <row r="2334" spans="12:74">
      <c r="L2334" s="266"/>
      <c r="M2334" s="266"/>
      <c r="N2334" s="266"/>
      <c r="O2334" s="266"/>
      <c r="P2334" s="266"/>
      <c r="Q2334" s="266"/>
      <c r="BR2334" s="266"/>
      <c r="BS2334" s="266"/>
      <c r="BT2334" s="266"/>
      <c r="BU2334" s="266"/>
      <c r="BV2334" s="266"/>
    </row>
    <row r="2335" spans="12:74">
      <c r="L2335" s="266"/>
      <c r="M2335" s="266"/>
      <c r="N2335" s="266"/>
      <c r="O2335" s="266"/>
      <c r="P2335" s="266"/>
      <c r="Q2335" s="266"/>
      <c r="BR2335" s="266"/>
      <c r="BS2335" s="266"/>
      <c r="BT2335" s="266"/>
      <c r="BU2335" s="266"/>
      <c r="BV2335" s="266"/>
    </row>
    <row r="2336" spans="12:74">
      <c r="L2336" s="266"/>
      <c r="M2336" s="266"/>
      <c r="N2336" s="266"/>
      <c r="O2336" s="266"/>
      <c r="P2336" s="266"/>
      <c r="Q2336" s="266"/>
      <c r="BR2336" s="266"/>
      <c r="BS2336" s="266"/>
      <c r="BT2336" s="266"/>
      <c r="BU2336" s="266"/>
      <c r="BV2336" s="266"/>
    </row>
    <row r="2337" spans="12:74">
      <c r="L2337" s="266"/>
      <c r="M2337" s="266"/>
      <c r="N2337" s="266"/>
      <c r="O2337" s="266"/>
      <c r="P2337" s="266"/>
      <c r="Q2337" s="266"/>
      <c r="BR2337" s="266"/>
      <c r="BS2337" s="266"/>
      <c r="BT2337" s="266"/>
      <c r="BU2337" s="266"/>
      <c r="BV2337" s="266"/>
    </row>
    <row r="2338" spans="12:74">
      <c r="L2338" s="266"/>
      <c r="M2338" s="266"/>
      <c r="N2338" s="266"/>
      <c r="O2338" s="266"/>
      <c r="P2338" s="266"/>
      <c r="Q2338" s="266"/>
      <c r="BR2338" s="266"/>
      <c r="BS2338" s="266"/>
      <c r="BT2338" s="266"/>
      <c r="BU2338" s="266"/>
      <c r="BV2338" s="266"/>
    </row>
    <row r="2339" spans="12:74">
      <c r="L2339" s="266"/>
      <c r="M2339" s="266"/>
      <c r="N2339" s="266"/>
      <c r="O2339" s="266"/>
      <c r="P2339" s="266"/>
      <c r="Q2339" s="266"/>
      <c r="BR2339" s="266"/>
      <c r="BS2339" s="266"/>
      <c r="BT2339" s="266"/>
      <c r="BU2339" s="266"/>
      <c r="BV2339" s="266"/>
    </row>
    <row r="2340" spans="12:74">
      <c r="L2340" s="266"/>
      <c r="M2340" s="266"/>
      <c r="N2340" s="266"/>
      <c r="O2340" s="266"/>
      <c r="P2340" s="266"/>
      <c r="Q2340" s="266"/>
      <c r="BR2340" s="266"/>
      <c r="BS2340" s="266"/>
      <c r="BT2340" s="266"/>
      <c r="BU2340" s="266"/>
      <c r="BV2340" s="266"/>
    </row>
    <row r="2341" spans="12:74">
      <c r="L2341" s="266"/>
      <c r="M2341" s="266"/>
      <c r="N2341" s="266"/>
      <c r="O2341" s="266"/>
      <c r="P2341" s="266"/>
      <c r="Q2341" s="266"/>
      <c r="BR2341" s="266"/>
      <c r="BS2341" s="266"/>
      <c r="BT2341" s="266"/>
      <c r="BU2341" s="266"/>
      <c r="BV2341" s="266"/>
    </row>
    <row r="2342" spans="12:74">
      <c r="L2342" s="266"/>
      <c r="M2342" s="266"/>
      <c r="N2342" s="266"/>
      <c r="O2342" s="266"/>
      <c r="P2342" s="266"/>
      <c r="Q2342" s="266"/>
      <c r="BR2342" s="266"/>
      <c r="BS2342" s="266"/>
      <c r="BT2342" s="266"/>
      <c r="BU2342" s="266"/>
      <c r="BV2342" s="266"/>
    </row>
    <row r="2343" spans="12:74">
      <c r="L2343" s="266"/>
      <c r="M2343" s="266"/>
      <c r="N2343" s="266"/>
      <c r="O2343" s="266"/>
      <c r="P2343" s="266"/>
      <c r="Q2343" s="266"/>
      <c r="BR2343" s="266"/>
      <c r="BS2343" s="266"/>
      <c r="BT2343" s="266"/>
      <c r="BU2343" s="266"/>
      <c r="BV2343" s="266"/>
    </row>
    <row r="2344" spans="12:74">
      <c r="L2344" s="266"/>
      <c r="M2344" s="266"/>
      <c r="N2344" s="266"/>
      <c r="O2344" s="266"/>
      <c r="P2344" s="266"/>
      <c r="Q2344" s="266"/>
      <c r="BR2344" s="266"/>
      <c r="BS2344" s="266"/>
      <c r="BT2344" s="266"/>
      <c r="BU2344" s="266"/>
      <c r="BV2344" s="266"/>
    </row>
    <row r="2345" spans="12:74">
      <c r="L2345" s="266"/>
      <c r="M2345" s="266"/>
      <c r="N2345" s="266"/>
      <c r="O2345" s="266"/>
      <c r="P2345" s="266"/>
      <c r="Q2345" s="266"/>
      <c r="BR2345" s="266"/>
      <c r="BS2345" s="266"/>
      <c r="BT2345" s="266"/>
      <c r="BU2345" s="266"/>
      <c r="BV2345" s="266"/>
    </row>
    <row r="2346" spans="12:74">
      <c r="L2346" s="266"/>
      <c r="M2346" s="266"/>
      <c r="N2346" s="266"/>
      <c r="O2346" s="266"/>
      <c r="P2346" s="266"/>
      <c r="Q2346" s="266"/>
      <c r="BR2346" s="266"/>
      <c r="BS2346" s="266"/>
      <c r="BT2346" s="266"/>
      <c r="BU2346" s="266"/>
      <c r="BV2346" s="266"/>
    </row>
    <row r="2347" spans="12:74">
      <c r="L2347" s="266"/>
      <c r="M2347" s="266"/>
      <c r="N2347" s="266"/>
      <c r="O2347" s="266"/>
      <c r="P2347" s="266"/>
      <c r="Q2347" s="266"/>
      <c r="BR2347" s="266"/>
      <c r="BS2347" s="266"/>
      <c r="BT2347" s="266"/>
      <c r="BU2347" s="266"/>
      <c r="BV2347" s="266"/>
    </row>
    <row r="2348" spans="12:74">
      <c r="L2348" s="266"/>
      <c r="M2348" s="266"/>
      <c r="N2348" s="266"/>
      <c r="O2348" s="266"/>
      <c r="P2348" s="266"/>
      <c r="Q2348" s="266"/>
      <c r="BR2348" s="266"/>
      <c r="BS2348" s="266"/>
      <c r="BT2348" s="266"/>
      <c r="BU2348" s="266"/>
      <c r="BV2348" s="266"/>
    </row>
    <row r="2349" spans="12:74">
      <c r="L2349" s="266"/>
      <c r="M2349" s="266"/>
      <c r="N2349" s="266"/>
      <c r="O2349" s="266"/>
      <c r="P2349" s="266"/>
      <c r="Q2349" s="266"/>
      <c r="BR2349" s="266"/>
      <c r="BS2349" s="266"/>
      <c r="BT2349" s="266"/>
      <c r="BU2349" s="266"/>
      <c r="BV2349" s="266"/>
    </row>
    <row r="2350" spans="12:74">
      <c r="L2350" s="266"/>
      <c r="M2350" s="266"/>
      <c r="N2350" s="266"/>
      <c r="O2350" s="266"/>
      <c r="P2350" s="266"/>
      <c r="Q2350" s="266"/>
      <c r="BR2350" s="266"/>
      <c r="BS2350" s="266"/>
      <c r="BT2350" s="266"/>
      <c r="BU2350" s="266"/>
      <c r="BV2350" s="266"/>
    </row>
    <row r="2351" spans="12:74">
      <c r="L2351" s="266"/>
      <c r="M2351" s="266"/>
      <c r="N2351" s="266"/>
      <c r="O2351" s="266"/>
      <c r="P2351" s="266"/>
      <c r="Q2351" s="266"/>
      <c r="BR2351" s="266"/>
      <c r="BS2351" s="266"/>
      <c r="BT2351" s="266"/>
      <c r="BU2351" s="266"/>
      <c r="BV2351" s="266"/>
    </row>
    <row r="2352" spans="12:74">
      <c r="L2352" s="266"/>
      <c r="M2352" s="266"/>
      <c r="N2352" s="266"/>
      <c r="O2352" s="266"/>
      <c r="P2352" s="266"/>
      <c r="Q2352" s="266"/>
      <c r="BR2352" s="266"/>
      <c r="BS2352" s="266"/>
      <c r="BT2352" s="266"/>
      <c r="BU2352" s="266"/>
      <c r="BV2352" s="266"/>
    </row>
    <row r="2353" spans="12:74">
      <c r="L2353" s="266"/>
      <c r="M2353" s="266"/>
      <c r="N2353" s="266"/>
      <c r="O2353" s="266"/>
      <c r="P2353" s="266"/>
      <c r="Q2353" s="266"/>
      <c r="BR2353" s="266"/>
      <c r="BS2353" s="266"/>
      <c r="BT2353" s="266"/>
      <c r="BU2353" s="266"/>
      <c r="BV2353" s="266"/>
    </row>
    <row r="2354" spans="12:74">
      <c r="L2354" s="266"/>
      <c r="M2354" s="266"/>
      <c r="N2354" s="266"/>
      <c r="O2354" s="266"/>
      <c r="P2354" s="266"/>
      <c r="Q2354" s="266"/>
      <c r="BR2354" s="266"/>
      <c r="BS2354" s="266"/>
      <c r="BT2354" s="266"/>
      <c r="BU2354" s="266"/>
      <c r="BV2354" s="266"/>
    </row>
    <row r="2355" spans="12:74">
      <c r="L2355" s="266"/>
      <c r="M2355" s="266"/>
      <c r="N2355" s="266"/>
      <c r="O2355" s="266"/>
      <c r="P2355" s="266"/>
      <c r="Q2355" s="266"/>
      <c r="BR2355" s="266"/>
      <c r="BS2355" s="266"/>
      <c r="BT2355" s="266"/>
      <c r="BU2355" s="266"/>
      <c r="BV2355" s="266"/>
    </row>
    <row r="2356" spans="12:74">
      <c r="L2356" s="266"/>
      <c r="M2356" s="266"/>
      <c r="N2356" s="266"/>
      <c r="O2356" s="266"/>
      <c r="P2356" s="266"/>
      <c r="Q2356" s="266"/>
      <c r="BR2356" s="266"/>
      <c r="BS2356" s="266"/>
      <c r="BT2356" s="266"/>
      <c r="BU2356" s="266"/>
      <c r="BV2356" s="266"/>
    </row>
    <row r="2357" spans="12:74">
      <c r="L2357" s="266"/>
      <c r="M2357" s="266"/>
      <c r="N2357" s="266"/>
      <c r="O2357" s="266"/>
      <c r="P2357" s="266"/>
      <c r="Q2357" s="266"/>
      <c r="BR2357" s="266"/>
      <c r="BS2357" s="266"/>
      <c r="BT2357" s="266"/>
      <c r="BU2357" s="266"/>
      <c r="BV2357" s="266"/>
    </row>
    <row r="2358" spans="12:74">
      <c r="L2358" s="266"/>
      <c r="M2358" s="266"/>
      <c r="N2358" s="266"/>
      <c r="O2358" s="266"/>
      <c r="P2358" s="266"/>
      <c r="Q2358" s="266"/>
      <c r="BR2358" s="266"/>
      <c r="BS2358" s="266"/>
      <c r="BT2358" s="266"/>
      <c r="BU2358" s="266"/>
      <c r="BV2358" s="266"/>
    </row>
    <row r="2359" spans="12:74">
      <c r="L2359" s="266"/>
      <c r="M2359" s="266"/>
      <c r="N2359" s="266"/>
      <c r="O2359" s="266"/>
      <c r="P2359" s="266"/>
      <c r="Q2359" s="266"/>
      <c r="BR2359" s="266"/>
      <c r="BS2359" s="266"/>
      <c r="BT2359" s="266"/>
      <c r="BU2359" s="266"/>
      <c r="BV2359" s="266"/>
    </row>
    <row r="2360" spans="12:74">
      <c r="L2360" s="266"/>
      <c r="M2360" s="266"/>
      <c r="N2360" s="266"/>
      <c r="O2360" s="266"/>
      <c r="P2360" s="266"/>
      <c r="Q2360" s="266"/>
      <c r="BR2360" s="266"/>
      <c r="BS2360" s="266"/>
      <c r="BT2360" s="266"/>
      <c r="BU2360" s="266"/>
      <c r="BV2360" s="266"/>
    </row>
    <row r="2361" spans="12:74">
      <c r="L2361" s="266"/>
      <c r="M2361" s="266"/>
      <c r="N2361" s="266"/>
      <c r="O2361" s="266"/>
      <c r="P2361" s="266"/>
      <c r="Q2361" s="266"/>
      <c r="BR2361" s="266"/>
      <c r="BS2361" s="266"/>
      <c r="BT2361" s="266"/>
      <c r="BU2361" s="266"/>
      <c r="BV2361" s="266"/>
    </row>
    <row r="2362" spans="12:74">
      <c r="L2362" s="266"/>
      <c r="M2362" s="266"/>
      <c r="N2362" s="266"/>
      <c r="O2362" s="266"/>
      <c r="P2362" s="266"/>
      <c r="Q2362" s="266"/>
      <c r="BR2362" s="266"/>
      <c r="BS2362" s="266"/>
      <c r="BT2362" s="266"/>
      <c r="BU2362" s="266"/>
      <c r="BV2362" s="266"/>
    </row>
    <row r="2363" spans="12:74">
      <c r="L2363" s="266"/>
      <c r="M2363" s="266"/>
      <c r="N2363" s="266"/>
      <c r="O2363" s="266"/>
      <c r="P2363" s="266"/>
      <c r="Q2363" s="266"/>
      <c r="BR2363" s="266"/>
      <c r="BS2363" s="266"/>
      <c r="BT2363" s="266"/>
      <c r="BU2363" s="266"/>
      <c r="BV2363" s="266"/>
    </row>
    <row r="2364" spans="12:74">
      <c r="L2364" s="266"/>
      <c r="M2364" s="266"/>
      <c r="N2364" s="266"/>
      <c r="O2364" s="266"/>
      <c r="P2364" s="266"/>
      <c r="Q2364" s="266"/>
      <c r="BR2364" s="266"/>
      <c r="BS2364" s="266"/>
      <c r="BT2364" s="266"/>
      <c r="BU2364" s="266"/>
      <c r="BV2364" s="266"/>
    </row>
    <row r="2365" spans="12:74">
      <c r="L2365" s="266"/>
      <c r="M2365" s="266"/>
      <c r="N2365" s="266"/>
      <c r="O2365" s="266"/>
      <c r="P2365" s="266"/>
      <c r="Q2365" s="266"/>
      <c r="BR2365" s="266"/>
      <c r="BS2365" s="266"/>
      <c r="BT2365" s="266"/>
      <c r="BU2365" s="266"/>
      <c r="BV2365" s="266"/>
    </row>
    <row r="2366" spans="12:74">
      <c r="L2366" s="266"/>
      <c r="M2366" s="266"/>
      <c r="N2366" s="266"/>
      <c r="O2366" s="266"/>
      <c r="P2366" s="266"/>
      <c r="Q2366" s="266"/>
      <c r="BR2366" s="266"/>
      <c r="BS2366" s="266"/>
      <c r="BT2366" s="266"/>
      <c r="BU2366" s="266"/>
      <c r="BV2366" s="266"/>
    </row>
    <row r="2367" spans="12:74">
      <c r="L2367" s="266"/>
      <c r="M2367" s="266"/>
      <c r="N2367" s="266"/>
      <c r="O2367" s="266"/>
      <c r="P2367" s="266"/>
      <c r="Q2367" s="266"/>
      <c r="BR2367" s="266"/>
      <c r="BS2367" s="266"/>
      <c r="BT2367" s="266"/>
      <c r="BU2367" s="266"/>
      <c r="BV2367" s="266"/>
    </row>
    <row r="2368" spans="12:74">
      <c r="L2368" s="266"/>
      <c r="M2368" s="266"/>
      <c r="N2368" s="266"/>
      <c r="O2368" s="266"/>
      <c r="P2368" s="266"/>
      <c r="Q2368" s="266"/>
      <c r="BR2368" s="266"/>
      <c r="BS2368" s="266"/>
      <c r="BT2368" s="266"/>
      <c r="BU2368" s="266"/>
      <c r="BV2368" s="266"/>
    </row>
    <row r="2369" spans="12:74">
      <c r="L2369" s="266"/>
      <c r="M2369" s="266"/>
      <c r="N2369" s="266"/>
      <c r="O2369" s="266"/>
      <c r="P2369" s="266"/>
      <c r="Q2369" s="266"/>
      <c r="BR2369" s="266"/>
      <c r="BS2369" s="266"/>
      <c r="BT2369" s="266"/>
      <c r="BU2369" s="266"/>
      <c r="BV2369" s="266"/>
    </row>
    <row r="2370" spans="12:74">
      <c r="L2370" s="266"/>
      <c r="M2370" s="266"/>
      <c r="N2370" s="266"/>
      <c r="O2370" s="266"/>
      <c r="P2370" s="266"/>
      <c r="Q2370" s="266"/>
      <c r="BR2370" s="266"/>
      <c r="BS2370" s="266"/>
      <c r="BT2370" s="266"/>
      <c r="BU2370" s="266"/>
      <c r="BV2370" s="266"/>
    </row>
    <row r="2371" spans="12:74">
      <c r="L2371" s="266"/>
      <c r="M2371" s="266"/>
      <c r="N2371" s="266"/>
      <c r="O2371" s="266"/>
      <c r="P2371" s="266"/>
      <c r="Q2371" s="266"/>
      <c r="BR2371" s="266"/>
      <c r="BS2371" s="266"/>
      <c r="BT2371" s="266"/>
      <c r="BU2371" s="266"/>
      <c r="BV2371" s="266"/>
    </row>
    <row r="2372" spans="12:74">
      <c r="L2372" s="266"/>
      <c r="M2372" s="266"/>
      <c r="N2372" s="266"/>
      <c r="O2372" s="266"/>
      <c r="P2372" s="266"/>
      <c r="Q2372" s="266"/>
      <c r="BR2372" s="266"/>
      <c r="BS2372" s="266"/>
      <c r="BT2372" s="266"/>
      <c r="BU2372" s="266"/>
      <c r="BV2372" s="266"/>
    </row>
    <row r="2373" spans="12:74">
      <c r="L2373" s="266"/>
      <c r="M2373" s="266"/>
      <c r="N2373" s="266"/>
      <c r="O2373" s="266"/>
      <c r="P2373" s="266"/>
      <c r="Q2373" s="266"/>
      <c r="BR2373" s="266"/>
      <c r="BS2373" s="266"/>
      <c r="BT2373" s="266"/>
      <c r="BU2373" s="266"/>
      <c r="BV2373" s="266"/>
    </row>
    <row r="2374" spans="12:74">
      <c r="L2374" s="266"/>
      <c r="M2374" s="266"/>
      <c r="N2374" s="266"/>
      <c r="O2374" s="266"/>
      <c r="P2374" s="266"/>
      <c r="Q2374" s="266"/>
      <c r="BR2374" s="266"/>
      <c r="BS2374" s="266"/>
      <c r="BT2374" s="266"/>
      <c r="BU2374" s="266"/>
      <c r="BV2374" s="266"/>
    </row>
    <row r="2375" spans="12:74">
      <c r="L2375" s="266"/>
      <c r="M2375" s="266"/>
      <c r="N2375" s="266"/>
      <c r="O2375" s="266"/>
      <c r="P2375" s="266"/>
      <c r="Q2375" s="266"/>
      <c r="BR2375" s="266"/>
      <c r="BS2375" s="266"/>
      <c r="BT2375" s="266"/>
      <c r="BU2375" s="266"/>
      <c r="BV2375" s="266"/>
    </row>
    <row r="2376" spans="12:74">
      <c r="L2376" s="266"/>
      <c r="M2376" s="266"/>
      <c r="N2376" s="266"/>
      <c r="O2376" s="266"/>
      <c r="P2376" s="266"/>
      <c r="Q2376" s="266"/>
      <c r="BR2376" s="266"/>
      <c r="BS2376" s="266"/>
      <c r="BT2376" s="266"/>
      <c r="BU2376" s="266"/>
      <c r="BV2376" s="266"/>
    </row>
    <row r="2377" spans="12:74">
      <c r="L2377" s="266"/>
      <c r="M2377" s="266"/>
      <c r="N2377" s="266"/>
      <c r="O2377" s="266"/>
      <c r="P2377" s="266"/>
      <c r="Q2377" s="266"/>
      <c r="BR2377" s="266"/>
      <c r="BS2377" s="266"/>
      <c r="BT2377" s="266"/>
      <c r="BU2377" s="266"/>
      <c r="BV2377" s="266"/>
    </row>
    <row r="2378" spans="12:74">
      <c r="L2378" s="266"/>
      <c r="M2378" s="266"/>
      <c r="N2378" s="266"/>
      <c r="O2378" s="266"/>
      <c r="P2378" s="266"/>
      <c r="Q2378" s="266"/>
      <c r="BR2378" s="266"/>
      <c r="BS2378" s="266"/>
      <c r="BT2378" s="266"/>
      <c r="BU2378" s="266"/>
      <c r="BV2378" s="266"/>
    </row>
    <row r="2379" spans="12:74">
      <c r="L2379" s="266"/>
      <c r="M2379" s="266"/>
      <c r="N2379" s="266"/>
      <c r="O2379" s="266"/>
      <c r="P2379" s="266"/>
      <c r="Q2379" s="266"/>
      <c r="BR2379" s="266"/>
      <c r="BS2379" s="266"/>
      <c r="BT2379" s="266"/>
      <c r="BU2379" s="266"/>
      <c r="BV2379" s="266"/>
    </row>
    <row r="2380" spans="12:74">
      <c r="L2380" s="266"/>
      <c r="M2380" s="266"/>
      <c r="N2380" s="266"/>
      <c r="O2380" s="266"/>
      <c r="P2380" s="266"/>
      <c r="Q2380" s="266"/>
      <c r="BR2380" s="266"/>
      <c r="BS2380" s="266"/>
      <c r="BT2380" s="266"/>
      <c r="BU2380" s="266"/>
      <c r="BV2380" s="266"/>
    </row>
    <row r="2381" spans="12:74">
      <c r="L2381" s="266"/>
      <c r="M2381" s="266"/>
      <c r="N2381" s="266"/>
      <c r="O2381" s="266"/>
      <c r="P2381" s="266"/>
      <c r="Q2381" s="266"/>
      <c r="BR2381" s="266"/>
      <c r="BS2381" s="266"/>
      <c r="BT2381" s="266"/>
      <c r="BU2381" s="266"/>
      <c r="BV2381" s="266"/>
    </row>
    <row r="2382" spans="12:74">
      <c r="L2382" s="266"/>
      <c r="M2382" s="266"/>
      <c r="N2382" s="266"/>
      <c r="O2382" s="266"/>
      <c r="P2382" s="266"/>
      <c r="Q2382" s="266"/>
      <c r="BR2382" s="266"/>
      <c r="BS2382" s="266"/>
      <c r="BT2382" s="266"/>
      <c r="BU2382" s="266"/>
      <c r="BV2382" s="266"/>
    </row>
    <row r="2383" spans="12:74">
      <c r="L2383" s="266"/>
      <c r="M2383" s="266"/>
      <c r="N2383" s="266"/>
      <c r="O2383" s="266"/>
      <c r="P2383" s="266"/>
      <c r="Q2383" s="266"/>
      <c r="BR2383" s="266"/>
      <c r="BS2383" s="266"/>
      <c r="BT2383" s="266"/>
      <c r="BU2383" s="266"/>
      <c r="BV2383" s="266"/>
    </row>
    <row r="2384" spans="12:74">
      <c r="L2384" s="266"/>
      <c r="M2384" s="266"/>
      <c r="N2384" s="266"/>
      <c r="O2384" s="266"/>
      <c r="P2384" s="266"/>
      <c r="Q2384" s="266"/>
      <c r="BR2384" s="266"/>
      <c r="BS2384" s="266"/>
      <c r="BT2384" s="266"/>
      <c r="BU2384" s="266"/>
      <c r="BV2384" s="266"/>
    </row>
    <row r="2385" spans="12:74">
      <c r="L2385" s="266"/>
      <c r="M2385" s="266"/>
      <c r="N2385" s="266"/>
      <c r="O2385" s="266"/>
      <c r="P2385" s="266"/>
      <c r="Q2385" s="266"/>
      <c r="BR2385" s="266"/>
      <c r="BS2385" s="266"/>
      <c r="BT2385" s="266"/>
      <c r="BU2385" s="266"/>
      <c r="BV2385" s="266"/>
    </row>
    <row r="2386" spans="12:74">
      <c r="L2386" s="266"/>
      <c r="M2386" s="266"/>
      <c r="N2386" s="266"/>
      <c r="O2386" s="266"/>
      <c r="P2386" s="266"/>
      <c r="Q2386" s="266"/>
      <c r="BR2386" s="266"/>
      <c r="BS2386" s="266"/>
      <c r="BT2386" s="266"/>
      <c r="BU2386" s="266"/>
      <c r="BV2386" s="266"/>
    </row>
    <row r="2387" spans="12:74">
      <c r="L2387" s="266"/>
      <c r="M2387" s="266"/>
      <c r="N2387" s="266"/>
      <c r="O2387" s="266"/>
      <c r="P2387" s="266"/>
      <c r="Q2387" s="266"/>
      <c r="BR2387" s="266"/>
      <c r="BS2387" s="266"/>
      <c r="BT2387" s="266"/>
      <c r="BU2387" s="266"/>
      <c r="BV2387" s="266"/>
    </row>
    <row r="2388" spans="12:74">
      <c r="L2388" s="266"/>
      <c r="M2388" s="266"/>
      <c r="N2388" s="266"/>
      <c r="O2388" s="266"/>
      <c r="P2388" s="266"/>
      <c r="Q2388" s="266"/>
      <c r="BR2388" s="266"/>
      <c r="BS2388" s="266"/>
      <c r="BT2388" s="266"/>
      <c r="BU2388" s="266"/>
      <c r="BV2388" s="266"/>
    </row>
    <row r="2389" spans="12:74">
      <c r="L2389" s="266"/>
      <c r="M2389" s="266"/>
      <c r="N2389" s="266"/>
      <c r="O2389" s="266"/>
      <c r="P2389" s="266"/>
      <c r="Q2389" s="266"/>
      <c r="BR2389" s="266"/>
      <c r="BS2389" s="266"/>
      <c r="BT2389" s="266"/>
      <c r="BU2389" s="266"/>
      <c r="BV2389" s="266"/>
    </row>
    <row r="2390" spans="12:74">
      <c r="L2390" s="266"/>
      <c r="M2390" s="266"/>
      <c r="N2390" s="266"/>
      <c r="O2390" s="266"/>
      <c r="P2390" s="266"/>
      <c r="Q2390" s="266"/>
      <c r="BR2390" s="266"/>
      <c r="BS2390" s="266"/>
      <c r="BT2390" s="266"/>
      <c r="BU2390" s="266"/>
      <c r="BV2390" s="266"/>
    </row>
    <row r="2391" spans="12:74">
      <c r="L2391" s="266"/>
      <c r="M2391" s="266"/>
      <c r="N2391" s="266"/>
      <c r="O2391" s="266"/>
      <c r="P2391" s="266"/>
      <c r="Q2391" s="266"/>
      <c r="BR2391" s="266"/>
      <c r="BS2391" s="266"/>
      <c r="BT2391" s="266"/>
      <c r="BU2391" s="266"/>
      <c r="BV2391" s="266"/>
    </row>
    <row r="2392" spans="12:74">
      <c r="L2392" s="266"/>
      <c r="M2392" s="266"/>
      <c r="N2392" s="266"/>
      <c r="O2392" s="266"/>
      <c r="P2392" s="266"/>
      <c r="Q2392" s="266"/>
      <c r="BR2392" s="266"/>
      <c r="BS2392" s="266"/>
      <c r="BT2392" s="266"/>
      <c r="BU2392" s="266"/>
      <c r="BV2392" s="266"/>
    </row>
    <row r="2393" spans="12:74">
      <c r="L2393" s="266"/>
      <c r="M2393" s="266"/>
      <c r="N2393" s="266"/>
      <c r="O2393" s="266"/>
      <c r="P2393" s="266"/>
      <c r="Q2393" s="266"/>
      <c r="BR2393" s="266"/>
      <c r="BS2393" s="266"/>
      <c r="BT2393" s="266"/>
      <c r="BU2393" s="266"/>
      <c r="BV2393" s="266"/>
    </row>
    <row r="2394" spans="12:74">
      <c r="L2394" s="266"/>
      <c r="M2394" s="266"/>
      <c r="N2394" s="266"/>
      <c r="O2394" s="266"/>
      <c r="P2394" s="266"/>
      <c r="Q2394" s="266"/>
      <c r="BR2394" s="266"/>
      <c r="BS2394" s="266"/>
      <c r="BT2394" s="266"/>
      <c r="BU2394" s="266"/>
      <c r="BV2394" s="266"/>
    </row>
    <row r="2395" spans="12:74">
      <c r="L2395" s="266"/>
      <c r="M2395" s="266"/>
      <c r="N2395" s="266"/>
      <c r="O2395" s="266"/>
      <c r="P2395" s="266"/>
      <c r="Q2395" s="266"/>
      <c r="BR2395" s="266"/>
      <c r="BS2395" s="266"/>
      <c r="BT2395" s="266"/>
      <c r="BU2395" s="266"/>
      <c r="BV2395" s="266"/>
    </row>
    <row r="2396" spans="12:74">
      <c r="L2396" s="266"/>
      <c r="M2396" s="266"/>
      <c r="N2396" s="266"/>
      <c r="O2396" s="266"/>
      <c r="P2396" s="266"/>
      <c r="Q2396" s="266"/>
      <c r="BR2396" s="266"/>
      <c r="BS2396" s="266"/>
      <c r="BT2396" s="266"/>
      <c r="BU2396" s="266"/>
      <c r="BV2396" s="266"/>
    </row>
    <row r="2397" spans="12:74">
      <c r="L2397" s="266"/>
      <c r="M2397" s="266"/>
      <c r="N2397" s="266"/>
      <c r="O2397" s="266"/>
      <c r="P2397" s="266"/>
      <c r="Q2397" s="266"/>
      <c r="BR2397" s="266"/>
      <c r="BS2397" s="266"/>
      <c r="BT2397" s="266"/>
      <c r="BU2397" s="266"/>
      <c r="BV2397" s="266"/>
    </row>
    <row r="2398" spans="12:74">
      <c r="L2398" s="266"/>
      <c r="M2398" s="266"/>
      <c r="N2398" s="266"/>
      <c r="O2398" s="266"/>
      <c r="P2398" s="266"/>
      <c r="Q2398" s="266"/>
      <c r="BR2398" s="266"/>
      <c r="BS2398" s="266"/>
      <c r="BT2398" s="266"/>
      <c r="BU2398" s="266"/>
      <c r="BV2398" s="266"/>
    </row>
    <row r="2399" spans="12:74">
      <c r="L2399" s="266"/>
      <c r="M2399" s="266"/>
      <c r="N2399" s="266"/>
      <c r="O2399" s="266"/>
      <c r="P2399" s="266"/>
      <c r="Q2399" s="266"/>
      <c r="BR2399" s="266"/>
      <c r="BS2399" s="266"/>
      <c r="BT2399" s="266"/>
      <c r="BU2399" s="266"/>
      <c r="BV2399" s="266"/>
    </row>
    <row r="2400" spans="12:74">
      <c r="L2400" s="266"/>
      <c r="M2400" s="266"/>
      <c r="N2400" s="266"/>
      <c r="O2400" s="266"/>
      <c r="P2400" s="266"/>
      <c r="Q2400" s="266"/>
      <c r="BR2400" s="266"/>
      <c r="BS2400" s="266"/>
      <c r="BT2400" s="266"/>
      <c r="BU2400" s="266"/>
      <c r="BV2400" s="266"/>
    </row>
    <row r="2401" spans="12:74">
      <c r="L2401" s="266"/>
      <c r="M2401" s="266"/>
      <c r="N2401" s="266"/>
      <c r="O2401" s="266"/>
      <c r="P2401" s="266"/>
      <c r="Q2401" s="266"/>
      <c r="BR2401" s="266"/>
      <c r="BS2401" s="266"/>
      <c r="BT2401" s="266"/>
      <c r="BU2401" s="266"/>
      <c r="BV2401" s="266"/>
    </row>
    <row r="2402" spans="12:74">
      <c r="L2402" s="266"/>
      <c r="M2402" s="266"/>
      <c r="N2402" s="266"/>
      <c r="O2402" s="266"/>
      <c r="P2402" s="266"/>
      <c r="Q2402" s="266"/>
      <c r="BR2402" s="266"/>
      <c r="BS2402" s="266"/>
      <c r="BT2402" s="266"/>
      <c r="BU2402" s="266"/>
      <c r="BV2402" s="266"/>
    </row>
    <row r="2403" spans="12:74">
      <c r="L2403" s="266"/>
      <c r="M2403" s="266"/>
      <c r="N2403" s="266"/>
      <c r="O2403" s="266"/>
      <c r="P2403" s="266"/>
      <c r="Q2403" s="266"/>
      <c r="BR2403" s="266"/>
      <c r="BS2403" s="266"/>
      <c r="BT2403" s="266"/>
      <c r="BU2403" s="266"/>
      <c r="BV2403" s="266"/>
    </row>
    <row r="2404" spans="12:74">
      <c r="L2404" s="266"/>
      <c r="M2404" s="266"/>
      <c r="N2404" s="266"/>
      <c r="O2404" s="266"/>
      <c r="P2404" s="266"/>
      <c r="Q2404" s="266"/>
      <c r="BR2404" s="266"/>
      <c r="BS2404" s="266"/>
      <c r="BT2404" s="266"/>
      <c r="BU2404" s="266"/>
      <c r="BV2404" s="266"/>
    </row>
    <row r="2405" spans="12:74">
      <c r="L2405" s="266"/>
      <c r="M2405" s="266"/>
      <c r="N2405" s="266"/>
      <c r="O2405" s="266"/>
      <c r="P2405" s="266"/>
      <c r="Q2405" s="266"/>
      <c r="BR2405" s="266"/>
      <c r="BS2405" s="266"/>
      <c r="BT2405" s="266"/>
      <c r="BU2405" s="266"/>
      <c r="BV2405" s="266"/>
    </row>
    <row r="2406" spans="12:74">
      <c r="L2406" s="266"/>
      <c r="M2406" s="266"/>
      <c r="N2406" s="266"/>
      <c r="O2406" s="266"/>
      <c r="P2406" s="266"/>
      <c r="Q2406" s="266"/>
      <c r="BR2406" s="266"/>
      <c r="BS2406" s="266"/>
      <c r="BT2406" s="266"/>
      <c r="BU2406" s="266"/>
      <c r="BV2406" s="266"/>
    </row>
    <row r="2407" spans="12:74">
      <c r="L2407" s="266"/>
      <c r="M2407" s="266"/>
      <c r="N2407" s="266"/>
      <c r="O2407" s="266"/>
      <c r="P2407" s="266"/>
      <c r="Q2407" s="266"/>
      <c r="BR2407" s="266"/>
      <c r="BS2407" s="266"/>
      <c r="BT2407" s="266"/>
      <c r="BU2407" s="266"/>
      <c r="BV2407" s="266"/>
    </row>
    <row r="2408" spans="12:74">
      <c r="L2408" s="266"/>
      <c r="M2408" s="266"/>
      <c r="N2408" s="266"/>
      <c r="O2408" s="266"/>
      <c r="P2408" s="266"/>
      <c r="Q2408" s="266"/>
      <c r="BR2408" s="266"/>
      <c r="BS2408" s="266"/>
      <c r="BT2408" s="266"/>
      <c r="BU2408" s="266"/>
      <c r="BV2408" s="266"/>
    </row>
    <row r="2409" spans="12:74">
      <c r="L2409" s="266"/>
      <c r="M2409" s="266"/>
      <c r="N2409" s="266"/>
      <c r="O2409" s="266"/>
      <c r="P2409" s="266"/>
      <c r="Q2409" s="266"/>
      <c r="BR2409" s="266"/>
      <c r="BS2409" s="266"/>
      <c r="BT2409" s="266"/>
      <c r="BU2409" s="266"/>
      <c r="BV2409" s="266"/>
    </row>
    <row r="2410" spans="12:74">
      <c r="L2410" s="266"/>
      <c r="M2410" s="266"/>
      <c r="N2410" s="266"/>
      <c r="O2410" s="266"/>
      <c r="P2410" s="266"/>
      <c r="Q2410" s="266"/>
      <c r="BR2410" s="266"/>
      <c r="BS2410" s="266"/>
      <c r="BT2410" s="266"/>
      <c r="BU2410" s="266"/>
      <c r="BV2410" s="266"/>
    </row>
    <row r="2411" spans="12:74">
      <c r="L2411" s="266"/>
      <c r="M2411" s="266"/>
      <c r="N2411" s="266"/>
      <c r="O2411" s="266"/>
      <c r="P2411" s="266"/>
      <c r="Q2411" s="266"/>
      <c r="BR2411" s="266"/>
      <c r="BS2411" s="266"/>
      <c r="BT2411" s="266"/>
      <c r="BU2411" s="266"/>
      <c r="BV2411" s="266"/>
    </row>
    <row r="2412" spans="12:74">
      <c r="L2412" s="266"/>
      <c r="M2412" s="266"/>
      <c r="N2412" s="266"/>
      <c r="O2412" s="266"/>
      <c r="P2412" s="266"/>
      <c r="Q2412" s="266"/>
      <c r="BR2412" s="266"/>
      <c r="BS2412" s="266"/>
      <c r="BT2412" s="266"/>
      <c r="BU2412" s="266"/>
      <c r="BV2412" s="266"/>
    </row>
    <row r="2413" spans="12:74">
      <c r="L2413" s="266"/>
      <c r="M2413" s="266"/>
      <c r="N2413" s="266"/>
      <c r="O2413" s="266"/>
      <c r="P2413" s="266"/>
      <c r="Q2413" s="266"/>
      <c r="BR2413" s="266"/>
      <c r="BS2413" s="266"/>
      <c r="BT2413" s="266"/>
      <c r="BU2413" s="266"/>
      <c r="BV2413" s="266"/>
    </row>
    <row r="2414" spans="12:74">
      <c r="L2414" s="266"/>
      <c r="M2414" s="266"/>
      <c r="N2414" s="266"/>
      <c r="O2414" s="266"/>
      <c r="P2414" s="266"/>
      <c r="Q2414" s="266"/>
      <c r="BR2414" s="266"/>
      <c r="BS2414" s="266"/>
      <c r="BT2414" s="266"/>
      <c r="BU2414" s="266"/>
      <c r="BV2414" s="266"/>
    </row>
    <row r="2415" spans="12:74">
      <c r="L2415" s="266"/>
      <c r="M2415" s="266"/>
      <c r="N2415" s="266"/>
      <c r="O2415" s="266"/>
      <c r="P2415" s="266"/>
      <c r="Q2415" s="266"/>
      <c r="BR2415" s="266"/>
      <c r="BS2415" s="266"/>
      <c r="BT2415" s="266"/>
      <c r="BU2415" s="266"/>
      <c r="BV2415" s="266"/>
    </row>
    <row r="2416" spans="12:74">
      <c r="L2416" s="266"/>
      <c r="M2416" s="266"/>
      <c r="N2416" s="266"/>
      <c r="O2416" s="266"/>
      <c r="P2416" s="266"/>
      <c r="Q2416" s="266"/>
      <c r="BR2416" s="266"/>
      <c r="BS2416" s="266"/>
      <c r="BT2416" s="266"/>
      <c r="BU2416" s="266"/>
      <c r="BV2416" s="266"/>
    </row>
    <row r="2417" spans="12:74">
      <c r="L2417" s="266"/>
      <c r="M2417" s="266"/>
      <c r="N2417" s="266"/>
      <c r="O2417" s="266"/>
      <c r="P2417" s="266"/>
      <c r="Q2417" s="266"/>
      <c r="BR2417" s="266"/>
      <c r="BS2417" s="266"/>
      <c r="BT2417" s="266"/>
      <c r="BU2417" s="266"/>
      <c r="BV2417" s="266"/>
    </row>
    <row r="2418" spans="12:74">
      <c r="L2418" s="266"/>
      <c r="M2418" s="266"/>
      <c r="N2418" s="266"/>
      <c r="O2418" s="266"/>
      <c r="P2418" s="266"/>
      <c r="Q2418" s="266"/>
      <c r="BR2418" s="266"/>
      <c r="BS2418" s="266"/>
      <c r="BT2418" s="266"/>
      <c r="BU2418" s="266"/>
      <c r="BV2418" s="266"/>
    </row>
    <row r="2419" spans="12:74">
      <c r="L2419" s="266"/>
      <c r="M2419" s="266"/>
      <c r="N2419" s="266"/>
      <c r="O2419" s="266"/>
      <c r="P2419" s="266"/>
      <c r="Q2419" s="266"/>
      <c r="BR2419" s="266"/>
      <c r="BS2419" s="266"/>
      <c r="BT2419" s="266"/>
      <c r="BU2419" s="266"/>
      <c r="BV2419" s="266"/>
    </row>
    <row r="2420" spans="12:74">
      <c r="L2420" s="266"/>
      <c r="M2420" s="266"/>
      <c r="N2420" s="266"/>
      <c r="O2420" s="266"/>
      <c r="P2420" s="266"/>
      <c r="Q2420" s="266"/>
      <c r="BR2420" s="266"/>
      <c r="BS2420" s="266"/>
      <c r="BT2420" s="266"/>
      <c r="BU2420" s="266"/>
      <c r="BV2420" s="266"/>
    </row>
    <row r="2421" spans="12:74">
      <c r="L2421" s="266"/>
      <c r="M2421" s="266"/>
      <c r="N2421" s="266"/>
      <c r="O2421" s="266"/>
      <c r="P2421" s="266"/>
      <c r="Q2421" s="266"/>
      <c r="BR2421" s="266"/>
      <c r="BS2421" s="266"/>
      <c r="BT2421" s="266"/>
      <c r="BU2421" s="266"/>
      <c r="BV2421" s="266"/>
    </row>
    <row r="2422" spans="12:74">
      <c r="L2422" s="266"/>
      <c r="M2422" s="266"/>
      <c r="N2422" s="266"/>
      <c r="O2422" s="266"/>
      <c r="P2422" s="266"/>
      <c r="Q2422" s="266"/>
      <c r="BR2422" s="266"/>
      <c r="BS2422" s="266"/>
      <c r="BT2422" s="266"/>
      <c r="BU2422" s="266"/>
      <c r="BV2422" s="266"/>
    </row>
    <row r="2423" spans="12:74">
      <c r="L2423" s="266"/>
      <c r="M2423" s="266"/>
      <c r="N2423" s="266"/>
      <c r="O2423" s="266"/>
      <c r="P2423" s="266"/>
      <c r="Q2423" s="266"/>
      <c r="BR2423" s="266"/>
      <c r="BS2423" s="266"/>
      <c r="BT2423" s="266"/>
      <c r="BU2423" s="266"/>
      <c r="BV2423" s="266"/>
    </row>
    <row r="2424" spans="12:74">
      <c r="L2424" s="266"/>
      <c r="M2424" s="266"/>
      <c r="N2424" s="266"/>
      <c r="O2424" s="266"/>
      <c r="P2424" s="266"/>
      <c r="Q2424" s="266"/>
      <c r="BR2424" s="266"/>
      <c r="BS2424" s="266"/>
      <c r="BT2424" s="266"/>
      <c r="BU2424" s="266"/>
      <c r="BV2424" s="266"/>
    </row>
    <row r="2425" spans="12:74">
      <c r="L2425" s="266"/>
      <c r="M2425" s="266"/>
      <c r="N2425" s="266"/>
      <c r="O2425" s="266"/>
      <c r="P2425" s="266"/>
      <c r="Q2425" s="266"/>
      <c r="BR2425" s="266"/>
      <c r="BS2425" s="266"/>
      <c r="BT2425" s="266"/>
      <c r="BU2425" s="266"/>
      <c r="BV2425" s="266"/>
    </row>
    <row r="2426" spans="12:74">
      <c r="L2426" s="266"/>
      <c r="M2426" s="266"/>
      <c r="N2426" s="266"/>
      <c r="O2426" s="266"/>
      <c r="P2426" s="266"/>
      <c r="Q2426" s="266"/>
      <c r="BR2426" s="266"/>
      <c r="BS2426" s="266"/>
      <c r="BT2426" s="266"/>
      <c r="BU2426" s="266"/>
      <c r="BV2426" s="266"/>
    </row>
    <row r="2427" spans="12:74">
      <c r="L2427" s="266"/>
      <c r="M2427" s="266"/>
      <c r="N2427" s="266"/>
      <c r="O2427" s="266"/>
      <c r="P2427" s="266"/>
      <c r="Q2427" s="266"/>
      <c r="BR2427" s="266"/>
      <c r="BS2427" s="266"/>
      <c r="BT2427" s="266"/>
      <c r="BU2427" s="266"/>
      <c r="BV2427" s="266"/>
    </row>
    <row r="2428" spans="12:74">
      <c r="L2428" s="266"/>
      <c r="M2428" s="266"/>
      <c r="N2428" s="266"/>
      <c r="O2428" s="266"/>
      <c r="P2428" s="266"/>
      <c r="Q2428" s="266"/>
      <c r="BR2428" s="266"/>
      <c r="BS2428" s="266"/>
      <c r="BT2428" s="266"/>
      <c r="BU2428" s="266"/>
      <c r="BV2428" s="266"/>
    </row>
    <row r="2429" spans="12:74">
      <c r="L2429" s="266"/>
      <c r="M2429" s="266"/>
      <c r="N2429" s="266"/>
      <c r="O2429" s="266"/>
      <c r="P2429" s="266"/>
      <c r="Q2429" s="266"/>
      <c r="BR2429" s="266"/>
      <c r="BS2429" s="266"/>
      <c r="BT2429" s="266"/>
      <c r="BU2429" s="266"/>
      <c r="BV2429" s="266"/>
    </row>
    <row r="2430" spans="12:74">
      <c r="L2430" s="266"/>
      <c r="M2430" s="266"/>
      <c r="N2430" s="266"/>
      <c r="O2430" s="266"/>
      <c r="P2430" s="266"/>
      <c r="Q2430" s="266"/>
      <c r="BR2430" s="266"/>
      <c r="BS2430" s="266"/>
      <c r="BT2430" s="266"/>
      <c r="BU2430" s="266"/>
      <c r="BV2430" s="266"/>
    </row>
    <row r="2431" spans="12:74">
      <c r="L2431" s="266"/>
      <c r="M2431" s="266"/>
      <c r="N2431" s="266"/>
      <c r="O2431" s="266"/>
      <c r="P2431" s="266"/>
      <c r="Q2431" s="266"/>
      <c r="BR2431" s="266"/>
      <c r="BS2431" s="266"/>
      <c r="BT2431" s="266"/>
      <c r="BU2431" s="266"/>
      <c r="BV2431" s="266"/>
    </row>
    <row r="2432" spans="12:74">
      <c r="L2432" s="266"/>
      <c r="M2432" s="266"/>
      <c r="N2432" s="266"/>
      <c r="O2432" s="266"/>
      <c r="P2432" s="266"/>
      <c r="Q2432" s="266"/>
      <c r="BR2432" s="266"/>
      <c r="BS2432" s="266"/>
      <c r="BT2432" s="266"/>
      <c r="BU2432" s="266"/>
      <c r="BV2432" s="266"/>
    </row>
    <row r="2433" spans="12:74">
      <c r="L2433" s="266"/>
      <c r="M2433" s="266"/>
      <c r="N2433" s="266"/>
      <c r="O2433" s="266"/>
      <c r="P2433" s="266"/>
      <c r="Q2433" s="266"/>
      <c r="BR2433" s="266"/>
      <c r="BS2433" s="266"/>
      <c r="BT2433" s="266"/>
      <c r="BU2433" s="266"/>
      <c r="BV2433" s="266"/>
    </row>
    <row r="2434" spans="12:74">
      <c r="L2434" s="266"/>
      <c r="M2434" s="266"/>
      <c r="N2434" s="266"/>
      <c r="O2434" s="266"/>
      <c r="P2434" s="266"/>
      <c r="Q2434" s="266"/>
      <c r="BR2434" s="266"/>
      <c r="BS2434" s="266"/>
      <c r="BT2434" s="266"/>
      <c r="BU2434" s="266"/>
      <c r="BV2434" s="266"/>
    </row>
    <row r="2435" spans="12:74">
      <c r="L2435" s="266"/>
      <c r="M2435" s="266"/>
      <c r="N2435" s="266"/>
      <c r="O2435" s="266"/>
      <c r="P2435" s="266"/>
      <c r="Q2435" s="266"/>
      <c r="BR2435" s="266"/>
      <c r="BS2435" s="266"/>
      <c r="BT2435" s="266"/>
      <c r="BU2435" s="266"/>
      <c r="BV2435" s="266"/>
    </row>
    <row r="2436" spans="12:74">
      <c r="L2436" s="266"/>
      <c r="M2436" s="266"/>
      <c r="N2436" s="266"/>
      <c r="O2436" s="266"/>
      <c r="P2436" s="266"/>
      <c r="Q2436" s="266"/>
      <c r="BR2436" s="266"/>
      <c r="BS2436" s="266"/>
      <c r="BT2436" s="266"/>
      <c r="BU2436" s="266"/>
      <c r="BV2436" s="266"/>
    </row>
    <row r="2437" spans="12:74">
      <c r="L2437" s="266"/>
      <c r="M2437" s="266"/>
      <c r="N2437" s="266"/>
      <c r="O2437" s="266"/>
      <c r="P2437" s="266"/>
      <c r="Q2437" s="266"/>
      <c r="BR2437" s="266"/>
      <c r="BS2437" s="266"/>
      <c r="BT2437" s="266"/>
      <c r="BU2437" s="266"/>
      <c r="BV2437" s="266"/>
    </row>
    <row r="2438" spans="12:74">
      <c r="L2438" s="266"/>
      <c r="M2438" s="266"/>
      <c r="N2438" s="266"/>
      <c r="O2438" s="266"/>
      <c r="P2438" s="266"/>
      <c r="Q2438" s="266"/>
      <c r="BR2438" s="266"/>
      <c r="BS2438" s="266"/>
      <c r="BT2438" s="266"/>
      <c r="BU2438" s="266"/>
      <c r="BV2438" s="266"/>
    </row>
    <row r="2439" spans="12:74">
      <c r="L2439" s="266"/>
      <c r="M2439" s="266"/>
      <c r="N2439" s="266"/>
      <c r="O2439" s="266"/>
      <c r="P2439" s="266"/>
      <c r="Q2439" s="266"/>
      <c r="BR2439" s="266"/>
      <c r="BS2439" s="266"/>
      <c r="BT2439" s="266"/>
      <c r="BU2439" s="266"/>
      <c r="BV2439" s="266"/>
    </row>
    <row r="2440" spans="12:74">
      <c r="L2440" s="266"/>
      <c r="M2440" s="266"/>
      <c r="N2440" s="266"/>
      <c r="O2440" s="266"/>
      <c r="P2440" s="266"/>
      <c r="Q2440" s="266"/>
      <c r="BR2440" s="266"/>
      <c r="BS2440" s="266"/>
      <c r="BT2440" s="266"/>
      <c r="BU2440" s="266"/>
      <c r="BV2440" s="266"/>
    </row>
    <row r="2441" spans="12:74">
      <c r="L2441" s="266"/>
      <c r="M2441" s="266"/>
      <c r="N2441" s="266"/>
      <c r="O2441" s="266"/>
      <c r="P2441" s="266"/>
      <c r="Q2441" s="266"/>
      <c r="BR2441" s="266"/>
      <c r="BS2441" s="266"/>
      <c r="BT2441" s="266"/>
      <c r="BU2441" s="266"/>
      <c r="BV2441" s="266"/>
    </row>
    <row r="2442" spans="12:74">
      <c r="L2442" s="266"/>
      <c r="M2442" s="266"/>
      <c r="N2442" s="266"/>
      <c r="O2442" s="266"/>
      <c r="P2442" s="266"/>
      <c r="Q2442" s="266"/>
      <c r="BR2442" s="266"/>
      <c r="BS2442" s="266"/>
      <c r="BT2442" s="266"/>
      <c r="BU2442" s="266"/>
      <c r="BV2442" s="266"/>
    </row>
    <row r="2443" spans="12:74">
      <c r="L2443" s="266"/>
      <c r="M2443" s="266"/>
      <c r="N2443" s="266"/>
      <c r="O2443" s="266"/>
      <c r="P2443" s="266"/>
      <c r="Q2443" s="266"/>
      <c r="BR2443" s="266"/>
      <c r="BS2443" s="266"/>
      <c r="BT2443" s="266"/>
      <c r="BU2443" s="266"/>
      <c r="BV2443" s="266"/>
    </row>
    <row r="2444" spans="12:74">
      <c r="L2444" s="266"/>
      <c r="M2444" s="266"/>
      <c r="N2444" s="266"/>
      <c r="O2444" s="266"/>
      <c r="P2444" s="266"/>
      <c r="Q2444" s="266"/>
      <c r="BR2444" s="266"/>
      <c r="BS2444" s="266"/>
      <c r="BT2444" s="266"/>
      <c r="BU2444" s="266"/>
      <c r="BV2444" s="266"/>
    </row>
    <row r="2445" spans="12:74">
      <c r="L2445" s="266"/>
      <c r="M2445" s="266"/>
      <c r="N2445" s="266"/>
      <c r="O2445" s="266"/>
      <c r="P2445" s="266"/>
      <c r="Q2445" s="266"/>
      <c r="BR2445" s="266"/>
      <c r="BS2445" s="266"/>
      <c r="BT2445" s="266"/>
      <c r="BU2445" s="266"/>
      <c r="BV2445" s="266"/>
    </row>
    <row r="2446" spans="12:74">
      <c r="L2446" s="266"/>
      <c r="M2446" s="266"/>
      <c r="N2446" s="266"/>
      <c r="O2446" s="266"/>
      <c r="P2446" s="266"/>
      <c r="Q2446" s="266"/>
      <c r="BR2446" s="266"/>
      <c r="BS2446" s="266"/>
      <c r="BT2446" s="266"/>
      <c r="BU2446" s="266"/>
      <c r="BV2446" s="266"/>
    </row>
    <row r="2447" spans="12:74">
      <c r="L2447" s="266"/>
      <c r="M2447" s="266"/>
      <c r="N2447" s="266"/>
      <c r="O2447" s="266"/>
      <c r="P2447" s="266"/>
      <c r="Q2447" s="266"/>
      <c r="BR2447" s="266"/>
      <c r="BS2447" s="266"/>
      <c r="BT2447" s="266"/>
      <c r="BU2447" s="266"/>
      <c r="BV2447" s="266"/>
    </row>
    <row r="2448" spans="12:74">
      <c r="L2448" s="266"/>
      <c r="M2448" s="266"/>
      <c r="N2448" s="266"/>
      <c r="O2448" s="266"/>
      <c r="P2448" s="266"/>
      <c r="Q2448" s="266"/>
      <c r="BR2448" s="266"/>
      <c r="BS2448" s="266"/>
      <c r="BT2448" s="266"/>
      <c r="BU2448" s="266"/>
      <c r="BV2448" s="266"/>
    </row>
    <row r="2449" spans="12:74">
      <c r="L2449" s="266"/>
      <c r="M2449" s="266"/>
      <c r="N2449" s="266"/>
      <c r="O2449" s="266"/>
      <c r="P2449" s="266"/>
      <c r="Q2449" s="266"/>
      <c r="BR2449" s="266"/>
      <c r="BS2449" s="266"/>
      <c r="BT2449" s="266"/>
      <c r="BU2449" s="266"/>
      <c r="BV2449" s="266"/>
    </row>
    <row r="2450" spans="12:74">
      <c r="L2450" s="266"/>
      <c r="M2450" s="266"/>
      <c r="N2450" s="266"/>
      <c r="O2450" s="266"/>
      <c r="P2450" s="266"/>
      <c r="Q2450" s="266"/>
      <c r="BR2450" s="266"/>
      <c r="BS2450" s="266"/>
      <c r="BT2450" s="266"/>
      <c r="BU2450" s="266"/>
      <c r="BV2450" s="266"/>
    </row>
    <row r="2451" spans="12:74">
      <c r="L2451" s="266"/>
      <c r="M2451" s="266"/>
      <c r="N2451" s="266"/>
      <c r="O2451" s="266"/>
      <c r="P2451" s="266"/>
      <c r="Q2451" s="266"/>
      <c r="BR2451" s="266"/>
      <c r="BS2451" s="266"/>
      <c r="BT2451" s="266"/>
      <c r="BU2451" s="266"/>
      <c r="BV2451" s="266"/>
    </row>
    <row r="2452" spans="12:74">
      <c r="L2452" s="266"/>
      <c r="M2452" s="266"/>
      <c r="N2452" s="266"/>
      <c r="O2452" s="266"/>
      <c r="P2452" s="266"/>
      <c r="Q2452" s="266"/>
      <c r="BR2452" s="266"/>
      <c r="BS2452" s="266"/>
      <c r="BT2452" s="266"/>
      <c r="BU2452" s="266"/>
      <c r="BV2452" s="266"/>
    </row>
    <row r="2453" spans="12:74">
      <c r="L2453" s="266"/>
      <c r="M2453" s="266"/>
      <c r="N2453" s="266"/>
      <c r="O2453" s="266"/>
      <c r="P2453" s="266"/>
      <c r="Q2453" s="266"/>
      <c r="BR2453" s="266"/>
      <c r="BS2453" s="266"/>
      <c r="BT2453" s="266"/>
      <c r="BU2453" s="266"/>
      <c r="BV2453" s="266"/>
    </row>
    <row r="2454" spans="12:74">
      <c r="L2454" s="266"/>
      <c r="M2454" s="266"/>
      <c r="N2454" s="266"/>
      <c r="O2454" s="266"/>
      <c r="P2454" s="266"/>
      <c r="Q2454" s="266"/>
      <c r="BR2454" s="266"/>
      <c r="BS2454" s="266"/>
      <c r="BT2454" s="266"/>
      <c r="BU2454" s="266"/>
      <c r="BV2454" s="266"/>
    </row>
    <row r="2455" spans="12:74">
      <c r="L2455" s="266"/>
      <c r="M2455" s="266"/>
      <c r="N2455" s="266"/>
      <c r="O2455" s="266"/>
      <c r="P2455" s="266"/>
      <c r="Q2455" s="266"/>
      <c r="BR2455" s="266"/>
      <c r="BS2455" s="266"/>
      <c r="BT2455" s="266"/>
      <c r="BU2455" s="266"/>
      <c r="BV2455" s="266"/>
    </row>
    <row r="2456" spans="12:74">
      <c r="L2456" s="266"/>
      <c r="M2456" s="266"/>
      <c r="N2456" s="266"/>
      <c r="O2456" s="266"/>
      <c r="P2456" s="266"/>
      <c r="Q2456" s="266"/>
      <c r="BR2456" s="266"/>
      <c r="BS2456" s="266"/>
      <c r="BT2456" s="266"/>
      <c r="BU2456" s="266"/>
      <c r="BV2456" s="266"/>
    </row>
    <row r="2457" spans="12:74">
      <c r="L2457" s="266"/>
      <c r="M2457" s="266"/>
      <c r="N2457" s="266"/>
      <c r="O2457" s="266"/>
      <c r="P2457" s="266"/>
      <c r="Q2457" s="266"/>
      <c r="BR2457" s="266"/>
      <c r="BS2457" s="266"/>
      <c r="BT2457" s="266"/>
      <c r="BU2457" s="266"/>
      <c r="BV2457" s="266"/>
    </row>
    <row r="2458" spans="12:74">
      <c r="L2458" s="266"/>
      <c r="M2458" s="266"/>
      <c r="N2458" s="266"/>
      <c r="O2458" s="266"/>
      <c r="P2458" s="266"/>
      <c r="Q2458" s="266"/>
      <c r="BR2458" s="266"/>
      <c r="BS2458" s="266"/>
      <c r="BT2458" s="266"/>
      <c r="BU2458" s="266"/>
      <c r="BV2458" s="266"/>
    </row>
    <row r="2459" spans="12:74">
      <c r="L2459" s="266"/>
      <c r="M2459" s="266"/>
      <c r="N2459" s="266"/>
      <c r="O2459" s="266"/>
      <c r="P2459" s="266"/>
      <c r="Q2459" s="266"/>
      <c r="BR2459" s="266"/>
      <c r="BS2459" s="266"/>
      <c r="BT2459" s="266"/>
      <c r="BU2459" s="266"/>
      <c r="BV2459" s="266"/>
    </row>
    <row r="2460" spans="12:74">
      <c r="L2460" s="266"/>
      <c r="M2460" s="266"/>
      <c r="N2460" s="266"/>
      <c r="O2460" s="266"/>
      <c r="P2460" s="266"/>
      <c r="Q2460" s="266"/>
      <c r="BR2460" s="266"/>
      <c r="BS2460" s="266"/>
      <c r="BT2460" s="266"/>
      <c r="BU2460" s="266"/>
      <c r="BV2460" s="266"/>
    </row>
    <row r="2461" spans="12:74">
      <c r="L2461" s="266"/>
      <c r="M2461" s="266"/>
      <c r="N2461" s="266"/>
      <c r="O2461" s="266"/>
      <c r="P2461" s="266"/>
      <c r="Q2461" s="266"/>
      <c r="BR2461" s="266"/>
      <c r="BS2461" s="266"/>
      <c r="BT2461" s="266"/>
      <c r="BU2461" s="266"/>
      <c r="BV2461" s="266"/>
    </row>
    <row r="2462" spans="12:74">
      <c r="L2462" s="266"/>
      <c r="M2462" s="266"/>
      <c r="N2462" s="266"/>
      <c r="O2462" s="266"/>
      <c r="P2462" s="266"/>
      <c r="Q2462" s="266"/>
      <c r="BR2462" s="266"/>
      <c r="BS2462" s="266"/>
      <c r="BT2462" s="266"/>
      <c r="BU2462" s="266"/>
      <c r="BV2462" s="266"/>
    </row>
    <row r="2463" spans="12:74">
      <c r="L2463" s="266"/>
      <c r="M2463" s="266"/>
      <c r="N2463" s="266"/>
      <c r="O2463" s="266"/>
      <c r="P2463" s="266"/>
      <c r="Q2463" s="266"/>
      <c r="BR2463" s="266"/>
      <c r="BS2463" s="266"/>
      <c r="BT2463" s="266"/>
      <c r="BU2463" s="266"/>
      <c r="BV2463" s="266"/>
    </row>
    <row r="2464" spans="12:74">
      <c r="L2464" s="266"/>
      <c r="M2464" s="266"/>
      <c r="N2464" s="266"/>
      <c r="O2464" s="266"/>
      <c r="P2464" s="266"/>
      <c r="Q2464" s="266"/>
      <c r="BR2464" s="266"/>
      <c r="BS2464" s="266"/>
      <c r="BT2464" s="266"/>
      <c r="BU2464" s="266"/>
      <c r="BV2464" s="266"/>
    </row>
    <row r="2465" spans="12:74">
      <c r="L2465" s="266"/>
      <c r="M2465" s="266"/>
      <c r="N2465" s="266"/>
      <c r="O2465" s="266"/>
      <c r="P2465" s="266"/>
      <c r="Q2465" s="266"/>
      <c r="BR2465" s="266"/>
      <c r="BS2465" s="266"/>
      <c r="BT2465" s="266"/>
      <c r="BU2465" s="266"/>
      <c r="BV2465" s="266"/>
    </row>
    <row r="2466" spans="12:74">
      <c r="L2466" s="266"/>
      <c r="M2466" s="266"/>
      <c r="N2466" s="266"/>
      <c r="O2466" s="266"/>
      <c r="P2466" s="266"/>
      <c r="Q2466" s="266"/>
      <c r="BR2466" s="266"/>
      <c r="BS2466" s="266"/>
      <c r="BT2466" s="266"/>
      <c r="BU2466" s="266"/>
      <c r="BV2466" s="266"/>
    </row>
    <row r="2467" spans="12:74">
      <c r="L2467" s="266"/>
      <c r="M2467" s="266"/>
      <c r="N2467" s="266"/>
      <c r="O2467" s="266"/>
      <c r="P2467" s="266"/>
      <c r="Q2467" s="266"/>
      <c r="BR2467" s="266"/>
      <c r="BS2467" s="266"/>
      <c r="BT2467" s="266"/>
      <c r="BU2467" s="266"/>
      <c r="BV2467" s="266"/>
    </row>
    <row r="2468" spans="12:74">
      <c r="L2468" s="266"/>
      <c r="M2468" s="266"/>
      <c r="N2468" s="266"/>
      <c r="O2468" s="266"/>
      <c r="P2468" s="266"/>
      <c r="Q2468" s="266"/>
      <c r="BR2468" s="266"/>
      <c r="BS2468" s="266"/>
      <c r="BT2468" s="266"/>
      <c r="BU2468" s="266"/>
      <c r="BV2468" s="266"/>
    </row>
    <row r="2469" spans="12:74">
      <c r="L2469" s="266"/>
      <c r="M2469" s="266"/>
      <c r="N2469" s="266"/>
      <c r="O2469" s="266"/>
      <c r="P2469" s="266"/>
      <c r="Q2469" s="266"/>
      <c r="BR2469" s="266"/>
      <c r="BS2469" s="266"/>
      <c r="BT2469" s="266"/>
      <c r="BU2469" s="266"/>
      <c r="BV2469" s="266"/>
    </row>
    <row r="2470" spans="12:74">
      <c r="L2470" s="266"/>
      <c r="M2470" s="266"/>
      <c r="N2470" s="266"/>
      <c r="O2470" s="266"/>
      <c r="P2470" s="266"/>
      <c r="Q2470" s="266"/>
      <c r="BR2470" s="266"/>
      <c r="BS2470" s="266"/>
      <c r="BT2470" s="266"/>
      <c r="BU2470" s="266"/>
      <c r="BV2470" s="266"/>
    </row>
    <row r="2471" spans="12:74">
      <c r="L2471" s="266"/>
      <c r="M2471" s="266"/>
      <c r="N2471" s="266"/>
      <c r="O2471" s="266"/>
      <c r="P2471" s="266"/>
      <c r="Q2471" s="266"/>
      <c r="BR2471" s="266"/>
      <c r="BS2471" s="266"/>
      <c r="BT2471" s="266"/>
      <c r="BU2471" s="266"/>
      <c r="BV2471" s="266"/>
    </row>
    <row r="2472" spans="12:74">
      <c r="L2472" s="266"/>
      <c r="M2472" s="266"/>
      <c r="N2472" s="266"/>
      <c r="O2472" s="266"/>
      <c r="P2472" s="266"/>
      <c r="Q2472" s="266"/>
      <c r="BR2472" s="266"/>
      <c r="BS2472" s="266"/>
      <c r="BT2472" s="266"/>
      <c r="BU2472" s="266"/>
      <c r="BV2472" s="266"/>
    </row>
    <row r="2473" spans="12:74">
      <c r="L2473" s="266"/>
      <c r="M2473" s="266"/>
      <c r="N2473" s="266"/>
      <c r="O2473" s="266"/>
      <c r="P2473" s="266"/>
      <c r="Q2473" s="266"/>
      <c r="BR2473" s="266"/>
      <c r="BS2473" s="266"/>
      <c r="BT2473" s="266"/>
      <c r="BU2473" s="266"/>
      <c r="BV2473" s="266"/>
    </row>
    <row r="2474" spans="12:74">
      <c r="L2474" s="266"/>
      <c r="M2474" s="266"/>
      <c r="N2474" s="266"/>
      <c r="O2474" s="266"/>
      <c r="P2474" s="266"/>
      <c r="Q2474" s="266"/>
      <c r="BR2474" s="266"/>
      <c r="BS2474" s="266"/>
      <c r="BT2474" s="266"/>
      <c r="BU2474" s="266"/>
      <c r="BV2474" s="266"/>
    </row>
    <row r="2475" spans="12:74">
      <c r="L2475" s="266"/>
      <c r="M2475" s="266"/>
      <c r="N2475" s="266"/>
      <c r="O2475" s="266"/>
      <c r="P2475" s="266"/>
      <c r="Q2475" s="266"/>
      <c r="BR2475" s="266"/>
      <c r="BS2475" s="266"/>
      <c r="BT2475" s="266"/>
      <c r="BU2475" s="266"/>
      <c r="BV2475" s="266"/>
    </row>
    <row r="2476" spans="12:74">
      <c r="L2476" s="266"/>
      <c r="M2476" s="266"/>
      <c r="N2476" s="266"/>
      <c r="O2476" s="266"/>
      <c r="P2476" s="266"/>
      <c r="Q2476" s="266"/>
      <c r="BR2476" s="266"/>
      <c r="BS2476" s="266"/>
      <c r="BT2476" s="266"/>
      <c r="BU2476" s="266"/>
      <c r="BV2476" s="266"/>
    </row>
    <row r="2477" spans="12:74">
      <c r="L2477" s="266"/>
      <c r="M2477" s="266"/>
      <c r="N2477" s="266"/>
      <c r="O2477" s="266"/>
      <c r="P2477" s="266"/>
      <c r="Q2477" s="266"/>
      <c r="BR2477" s="266"/>
      <c r="BS2477" s="266"/>
      <c r="BT2477" s="266"/>
      <c r="BU2477" s="266"/>
      <c r="BV2477" s="266"/>
    </row>
    <row r="2478" spans="12:74">
      <c r="L2478" s="266"/>
      <c r="M2478" s="266"/>
      <c r="N2478" s="266"/>
      <c r="O2478" s="266"/>
      <c r="P2478" s="266"/>
      <c r="Q2478" s="266"/>
      <c r="BR2478" s="266"/>
      <c r="BS2478" s="266"/>
      <c r="BT2478" s="266"/>
      <c r="BU2478" s="266"/>
      <c r="BV2478" s="266"/>
    </row>
    <row r="2479" spans="12:74">
      <c r="L2479" s="266"/>
      <c r="M2479" s="266"/>
      <c r="N2479" s="266"/>
      <c r="O2479" s="266"/>
      <c r="P2479" s="266"/>
      <c r="Q2479" s="266"/>
      <c r="BR2479" s="266"/>
      <c r="BS2479" s="266"/>
      <c r="BT2479" s="266"/>
      <c r="BU2479" s="266"/>
      <c r="BV2479" s="266"/>
    </row>
    <row r="2480" spans="12:74">
      <c r="L2480" s="266"/>
      <c r="M2480" s="266"/>
      <c r="N2480" s="266"/>
      <c r="O2480" s="266"/>
      <c r="P2480" s="266"/>
      <c r="Q2480" s="266"/>
      <c r="BR2480" s="266"/>
      <c r="BS2480" s="266"/>
      <c r="BT2480" s="266"/>
      <c r="BU2480" s="266"/>
      <c r="BV2480" s="266"/>
    </row>
    <row r="2481" spans="12:74">
      <c r="L2481" s="266"/>
      <c r="M2481" s="266"/>
      <c r="N2481" s="266"/>
      <c r="O2481" s="266"/>
      <c r="P2481" s="266"/>
      <c r="Q2481" s="266"/>
      <c r="BR2481" s="266"/>
      <c r="BS2481" s="266"/>
      <c r="BT2481" s="266"/>
      <c r="BU2481" s="266"/>
      <c r="BV2481" s="266"/>
    </row>
    <row r="2482" spans="12:74">
      <c r="L2482" s="266"/>
      <c r="M2482" s="266"/>
      <c r="N2482" s="266"/>
      <c r="O2482" s="266"/>
      <c r="P2482" s="266"/>
      <c r="Q2482" s="266"/>
      <c r="BR2482" s="266"/>
      <c r="BS2482" s="266"/>
      <c r="BT2482" s="266"/>
      <c r="BU2482" s="266"/>
      <c r="BV2482" s="266"/>
    </row>
    <row r="2483" spans="12:74">
      <c r="L2483" s="266"/>
      <c r="M2483" s="266"/>
      <c r="N2483" s="266"/>
      <c r="O2483" s="266"/>
      <c r="P2483" s="266"/>
      <c r="Q2483" s="266"/>
      <c r="BR2483" s="266"/>
      <c r="BS2483" s="266"/>
      <c r="BT2483" s="266"/>
      <c r="BU2483" s="266"/>
      <c r="BV2483" s="266"/>
    </row>
    <row r="2484" spans="12:74">
      <c r="L2484" s="266"/>
      <c r="M2484" s="266"/>
      <c r="N2484" s="266"/>
      <c r="O2484" s="266"/>
      <c r="P2484" s="266"/>
      <c r="Q2484" s="266"/>
      <c r="BR2484" s="266"/>
      <c r="BS2484" s="266"/>
      <c r="BT2484" s="266"/>
      <c r="BU2484" s="266"/>
      <c r="BV2484" s="266"/>
    </row>
    <row r="2485" spans="12:74">
      <c r="L2485" s="266"/>
      <c r="M2485" s="266"/>
      <c r="N2485" s="266"/>
      <c r="O2485" s="266"/>
      <c r="P2485" s="266"/>
      <c r="Q2485" s="266"/>
      <c r="BR2485" s="266"/>
      <c r="BS2485" s="266"/>
      <c r="BT2485" s="266"/>
      <c r="BU2485" s="266"/>
      <c r="BV2485" s="266"/>
    </row>
    <row r="2486" spans="12:74">
      <c r="L2486" s="266"/>
      <c r="M2486" s="266"/>
      <c r="N2486" s="266"/>
      <c r="O2486" s="266"/>
      <c r="P2486" s="266"/>
      <c r="Q2486" s="266"/>
      <c r="BR2486" s="266"/>
      <c r="BS2486" s="266"/>
      <c r="BT2486" s="266"/>
      <c r="BU2486" s="266"/>
      <c r="BV2486" s="266"/>
    </row>
    <row r="2487" spans="12:74">
      <c r="L2487" s="266"/>
      <c r="M2487" s="266"/>
      <c r="N2487" s="266"/>
      <c r="O2487" s="266"/>
      <c r="P2487" s="266"/>
      <c r="Q2487" s="266"/>
      <c r="BR2487" s="266"/>
      <c r="BS2487" s="266"/>
      <c r="BT2487" s="266"/>
      <c r="BU2487" s="266"/>
      <c r="BV2487" s="266"/>
    </row>
    <row r="2488" spans="12:74">
      <c r="L2488" s="266"/>
      <c r="M2488" s="266"/>
      <c r="N2488" s="266"/>
      <c r="O2488" s="266"/>
      <c r="P2488" s="266"/>
      <c r="Q2488" s="266"/>
      <c r="BR2488" s="266"/>
      <c r="BS2488" s="266"/>
      <c r="BT2488" s="266"/>
      <c r="BU2488" s="266"/>
      <c r="BV2488" s="266"/>
    </row>
    <row r="2489" spans="12:74">
      <c r="L2489" s="266"/>
      <c r="M2489" s="266"/>
      <c r="N2489" s="266"/>
      <c r="O2489" s="266"/>
      <c r="P2489" s="266"/>
      <c r="Q2489" s="266"/>
      <c r="BR2489" s="266"/>
      <c r="BS2489" s="266"/>
      <c r="BT2489" s="266"/>
      <c r="BU2489" s="266"/>
      <c r="BV2489" s="266"/>
    </row>
    <row r="2490" spans="12:74">
      <c r="L2490" s="266"/>
      <c r="M2490" s="266"/>
      <c r="N2490" s="266"/>
      <c r="O2490" s="266"/>
      <c r="P2490" s="266"/>
      <c r="Q2490" s="266"/>
      <c r="BR2490" s="266"/>
      <c r="BS2490" s="266"/>
      <c r="BT2490" s="266"/>
      <c r="BU2490" s="266"/>
      <c r="BV2490" s="266"/>
    </row>
    <row r="2491" spans="12:74">
      <c r="L2491" s="266"/>
      <c r="M2491" s="266"/>
      <c r="N2491" s="266"/>
      <c r="O2491" s="266"/>
      <c r="P2491" s="266"/>
      <c r="Q2491" s="266"/>
      <c r="BR2491" s="266"/>
      <c r="BS2491" s="266"/>
      <c r="BT2491" s="266"/>
      <c r="BU2491" s="266"/>
      <c r="BV2491" s="266"/>
    </row>
    <row r="2492" spans="12:74">
      <c r="L2492" s="266"/>
      <c r="M2492" s="266"/>
      <c r="N2492" s="266"/>
      <c r="O2492" s="266"/>
      <c r="P2492" s="266"/>
      <c r="Q2492" s="266"/>
      <c r="BR2492" s="266"/>
      <c r="BS2492" s="266"/>
      <c r="BT2492" s="266"/>
      <c r="BU2492" s="266"/>
      <c r="BV2492" s="266"/>
    </row>
    <row r="2493" spans="12:74">
      <c r="L2493" s="266"/>
      <c r="M2493" s="266"/>
      <c r="N2493" s="266"/>
      <c r="O2493" s="266"/>
      <c r="P2493" s="266"/>
      <c r="Q2493" s="266"/>
      <c r="BR2493" s="266"/>
      <c r="BS2493" s="266"/>
      <c r="BT2493" s="266"/>
      <c r="BU2493" s="266"/>
      <c r="BV2493" s="266"/>
    </row>
    <row r="2494" spans="12:74">
      <c r="L2494" s="266"/>
      <c r="M2494" s="266"/>
      <c r="N2494" s="266"/>
      <c r="O2494" s="266"/>
      <c r="P2494" s="266"/>
      <c r="Q2494" s="266"/>
      <c r="BR2494" s="266"/>
      <c r="BS2494" s="266"/>
      <c r="BT2494" s="266"/>
      <c r="BU2494" s="266"/>
      <c r="BV2494" s="266"/>
    </row>
    <row r="2495" spans="12:74">
      <c r="L2495" s="266"/>
      <c r="M2495" s="266"/>
      <c r="N2495" s="266"/>
      <c r="O2495" s="266"/>
      <c r="P2495" s="266"/>
      <c r="Q2495" s="266"/>
      <c r="BR2495" s="266"/>
      <c r="BS2495" s="266"/>
      <c r="BT2495" s="266"/>
      <c r="BU2495" s="266"/>
      <c r="BV2495" s="266"/>
    </row>
    <row r="2496" spans="12:74">
      <c r="L2496" s="266"/>
      <c r="M2496" s="266"/>
      <c r="N2496" s="266"/>
      <c r="O2496" s="266"/>
      <c r="P2496" s="266"/>
      <c r="Q2496" s="266"/>
      <c r="BR2496" s="266"/>
      <c r="BS2496" s="266"/>
      <c r="BT2496" s="266"/>
      <c r="BU2496" s="266"/>
      <c r="BV2496" s="266"/>
    </row>
    <row r="2497" spans="12:74">
      <c r="L2497" s="266"/>
      <c r="M2497" s="266"/>
      <c r="N2497" s="266"/>
      <c r="O2497" s="266"/>
      <c r="P2497" s="266"/>
      <c r="Q2497" s="266"/>
      <c r="BR2497" s="266"/>
      <c r="BS2497" s="266"/>
      <c r="BT2497" s="266"/>
      <c r="BU2497" s="266"/>
      <c r="BV2497" s="266"/>
    </row>
    <row r="2498" spans="12:74">
      <c r="L2498" s="266"/>
      <c r="M2498" s="266"/>
      <c r="N2498" s="266"/>
      <c r="O2498" s="266"/>
      <c r="P2498" s="266"/>
      <c r="Q2498" s="266"/>
      <c r="BR2498" s="266"/>
      <c r="BS2498" s="266"/>
      <c r="BT2498" s="266"/>
      <c r="BU2498" s="266"/>
      <c r="BV2498" s="266"/>
    </row>
    <row r="2499" spans="12:74">
      <c r="L2499" s="266"/>
      <c r="M2499" s="266"/>
      <c r="N2499" s="266"/>
      <c r="O2499" s="266"/>
      <c r="P2499" s="266"/>
      <c r="Q2499" s="266"/>
      <c r="BR2499" s="266"/>
      <c r="BS2499" s="266"/>
      <c r="BT2499" s="266"/>
      <c r="BU2499" s="266"/>
      <c r="BV2499" s="266"/>
    </row>
    <row r="2500" spans="12:74">
      <c r="L2500" s="266"/>
      <c r="M2500" s="266"/>
      <c r="N2500" s="266"/>
      <c r="O2500" s="266"/>
      <c r="P2500" s="266"/>
      <c r="Q2500" s="266"/>
      <c r="BR2500" s="266"/>
      <c r="BS2500" s="266"/>
      <c r="BT2500" s="266"/>
      <c r="BU2500" s="266"/>
      <c r="BV2500" s="266"/>
    </row>
    <row r="2501" spans="12:74">
      <c r="L2501" s="266"/>
      <c r="M2501" s="266"/>
      <c r="N2501" s="266"/>
      <c r="O2501" s="266"/>
      <c r="P2501" s="266"/>
      <c r="Q2501" s="266"/>
      <c r="BR2501" s="266"/>
      <c r="BS2501" s="266"/>
      <c r="BT2501" s="266"/>
      <c r="BU2501" s="266"/>
      <c r="BV2501" s="266"/>
    </row>
    <row r="2502" spans="12:74">
      <c r="L2502" s="266"/>
      <c r="M2502" s="266"/>
      <c r="N2502" s="266"/>
      <c r="O2502" s="266"/>
      <c r="P2502" s="266"/>
      <c r="Q2502" s="266"/>
      <c r="BR2502" s="266"/>
      <c r="BS2502" s="266"/>
      <c r="BT2502" s="266"/>
      <c r="BU2502" s="266"/>
      <c r="BV2502" s="266"/>
    </row>
    <row r="2503" spans="12:74">
      <c r="L2503" s="266"/>
      <c r="M2503" s="266"/>
      <c r="N2503" s="266"/>
      <c r="O2503" s="266"/>
      <c r="P2503" s="266"/>
      <c r="Q2503" s="266"/>
      <c r="BR2503" s="266"/>
      <c r="BS2503" s="266"/>
      <c r="BT2503" s="266"/>
      <c r="BU2503" s="266"/>
      <c r="BV2503" s="266"/>
    </row>
    <row r="2504" spans="12:74">
      <c r="L2504" s="266"/>
      <c r="M2504" s="266"/>
      <c r="N2504" s="266"/>
      <c r="O2504" s="266"/>
      <c r="P2504" s="266"/>
      <c r="Q2504" s="266"/>
      <c r="BR2504" s="266"/>
      <c r="BS2504" s="266"/>
      <c r="BT2504" s="266"/>
      <c r="BU2504" s="266"/>
      <c r="BV2504" s="266"/>
    </row>
    <row r="2505" spans="12:74">
      <c r="L2505" s="266"/>
      <c r="M2505" s="266"/>
      <c r="N2505" s="266"/>
      <c r="O2505" s="266"/>
      <c r="P2505" s="266"/>
      <c r="Q2505" s="266"/>
      <c r="BR2505" s="266"/>
      <c r="BS2505" s="266"/>
      <c r="BT2505" s="266"/>
      <c r="BU2505" s="266"/>
      <c r="BV2505" s="266"/>
    </row>
    <row r="2506" spans="12:74">
      <c r="L2506" s="266"/>
      <c r="M2506" s="266"/>
      <c r="N2506" s="266"/>
      <c r="O2506" s="266"/>
      <c r="P2506" s="266"/>
      <c r="Q2506" s="266"/>
      <c r="BR2506" s="266"/>
      <c r="BS2506" s="266"/>
      <c r="BT2506" s="266"/>
      <c r="BU2506" s="266"/>
      <c r="BV2506" s="266"/>
    </row>
    <row r="2507" spans="12:74">
      <c r="L2507" s="266"/>
      <c r="M2507" s="266"/>
      <c r="N2507" s="266"/>
      <c r="O2507" s="266"/>
      <c r="P2507" s="266"/>
      <c r="Q2507" s="266"/>
      <c r="BR2507" s="266"/>
      <c r="BS2507" s="266"/>
      <c r="BT2507" s="266"/>
      <c r="BU2507" s="266"/>
      <c r="BV2507" s="266"/>
    </row>
    <row r="2508" spans="12:74">
      <c r="L2508" s="266"/>
      <c r="M2508" s="266"/>
      <c r="N2508" s="266"/>
      <c r="O2508" s="266"/>
      <c r="P2508" s="266"/>
      <c r="Q2508" s="266"/>
      <c r="BR2508" s="266"/>
      <c r="BS2508" s="266"/>
      <c r="BT2508" s="266"/>
      <c r="BU2508" s="266"/>
      <c r="BV2508" s="266"/>
    </row>
    <row r="2509" spans="12:74">
      <c r="L2509" s="266"/>
      <c r="M2509" s="266"/>
      <c r="N2509" s="266"/>
      <c r="O2509" s="266"/>
      <c r="P2509" s="266"/>
      <c r="Q2509" s="266"/>
      <c r="BR2509" s="266"/>
      <c r="BS2509" s="266"/>
      <c r="BT2509" s="266"/>
      <c r="BU2509" s="266"/>
      <c r="BV2509" s="266"/>
    </row>
    <row r="2510" spans="12:74">
      <c r="L2510" s="266"/>
      <c r="M2510" s="266"/>
      <c r="N2510" s="266"/>
      <c r="O2510" s="266"/>
      <c r="P2510" s="266"/>
      <c r="Q2510" s="266"/>
      <c r="BR2510" s="266"/>
      <c r="BS2510" s="266"/>
      <c r="BT2510" s="266"/>
      <c r="BU2510" s="266"/>
      <c r="BV2510" s="266"/>
    </row>
    <row r="2511" spans="12:74">
      <c r="L2511" s="266"/>
      <c r="M2511" s="266"/>
      <c r="N2511" s="266"/>
      <c r="O2511" s="266"/>
      <c r="P2511" s="266"/>
      <c r="Q2511" s="266"/>
      <c r="BR2511" s="266"/>
      <c r="BS2511" s="266"/>
      <c r="BT2511" s="266"/>
      <c r="BU2511" s="266"/>
      <c r="BV2511" s="266"/>
    </row>
    <row r="2512" spans="12:74">
      <c r="L2512" s="266"/>
      <c r="M2512" s="266"/>
      <c r="N2512" s="266"/>
      <c r="O2512" s="266"/>
      <c r="P2512" s="266"/>
      <c r="Q2512" s="266"/>
      <c r="BR2512" s="266"/>
      <c r="BS2512" s="266"/>
      <c r="BT2512" s="266"/>
      <c r="BU2512" s="266"/>
      <c r="BV2512" s="266"/>
    </row>
    <row r="2513" spans="12:74">
      <c r="L2513" s="266"/>
      <c r="M2513" s="266"/>
      <c r="N2513" s="266"/>
      <c r="O2513" s="266"/>
      <c r="P2513" s="266"/>
      <c r="Q2513" s="266"/>
      <c r="BR2513" s="266"/>
      <c r="BS2513" s="266"/>
      <c r="BT2513" s="266"/>
      <c r="BU2513" s="266"/>
      <c r="BV2513" s="266"/>
    </row>
    <row r="2514" spans="12:74">
      <c r="L2514" s="266"/>
      <c r="M2514" s="266"/>
      <c r="N2514" s="266"/>
      <c r="O2514" s="266"/>
      <c r="P2514" s="266"/>
      <c r="Q2514" s="266"/>
      <c r="BR2514" s="266"/>
      <c r="BS2514" s="266"/>
      <c r="BT2514" s="266"/>
      <c r="BU2514" s="266"/>
      <c r="BV2514" s="266"/>
    </row>
    <row r="2515" spans="12:74">
      <c r="L2515" s="266"/>
      <c r="M2515" s="266"/>
      <c r="N2515" s="266"/>
      <c r="O2515" s="266"/>
      <c r="P2515" s="266"/>
      <c r="Q2515" s="266"/>
      <c r="BR2515" s="266"/>
      <c r="BS2515" s="266"/>
      <c r="BT2515" s="266"/>
      <c r="BU2515" s="266"/>
      <c r="BV2515" s="266"/>
    </row>
    <row r="2516" spans="12:74">
      <c r="L2516" s="266"/>
      <c r="M2516" s="266"/>
      <c r="N2516" s="266"/>
      <c r="O2516" s="266"/>
      <c r="P2516" s="266"/>
      <c r="Q2516" s="266"/>
      <c r="BR2516" s="266"/>
      <c r="BS2516" s="266"/>
      <c r="BT2516" s="266"/>
      <c r="BU2516" s="266"/>
      <c r="BV2516" s="266"/>
    </row>
    <row r="2517" spans="12:74">
      <c r="L2517" s="266"/>
      <c r="M2517" s="266"/>
      <c r="N2517" s="266"/>
      <c r="O2517" s="266"/>
      <c r="P2517" s="266"/>
      <c r="Q2517" s="266"/>
      <c r="BR2517" s="266"/>
      <c r="BS2517" s="266"/>
      <c r="BT2517" s="266"/>
      <c r="BU2517" s="266"/>
      <c r="BV2517" s="266"/>
    </row>
    <row r="2518" spans="12:74">
      <c r="L2518" s="266"/>
      <c r="M2518" s="266"/>
      <c r="N2518" s="266"/>
      <c r="O2518" s="266"/>
      <c r="P2518" s="266"/>
      <c r="Q2518" s="266"/>
      <c r="BR2518" s="266"/>
      <c r="BS2518" s="266"/>
      <c r="BT2518" s="266"/>
      <c r="BU2518" s="266"/>
      <c r="BV2518" s="266"/>
    </row>
    <row r="2519" spans="12:74">
      <c r="L2519" s="266"/>
      <c r="M2519" s="266"/>
      <c r="N2519" s="266"/>
      <c r="O2519" s="266"/>
      <c r="P2519" s="266"/>
      <c r="Q2519" s="266"/>
      <c r="BR2519" s="266"/>
      <c r="BS2519" s="266"/>
      <c r="BT2519" s="266"/>
      <c r="BU2519" s="266"/>
      <c r="BV2519" s="266"/>
    </row>
    <row r="2520" spans="12:74">
      <c r="L2520" s="266"/>
      <c r="M2520" s="266"/>
      <c r="N2520" s="266"/>
      <c r="O2520" s="266"/>
      <c r="P2520" s="266"/>
      <c r="Q2520" s="266"/>
      <c r="BR2520" s="266"/>
      <c r="BS2520" s="266"/>
      <c r="BT2520" s="266"/>
      <c r="BU2520" s="266"/>
      <c r="BV2520" s="266"/>
    </row>
    <row r="2521" spans="12:74">
      <c r="L2521" s="266"/>
      <c r="M2521" s="266"/>
      <c r="N2521" s="266"/>
      <c r="O2521" s="266"/>
      <c r="P2521" s="266"/>
      <c r="Q2521" s="266"/>
      <c r="BR2521" s="266"/>
      <c r="BS2521" s="266"/>
      <c r="BT2521" s="266"/>
      <c r="BU2521" s="266"/>
      <c r="BV2521" s="266"/>
    </row>
    <row r="2522" spans="12:74">
      <c r="L2522" s="266"/>
      <c r="M2522" s="266"/>
      <c r="N2522" s="266"/>
      <c r="O2522" s="266"/>
      <c r="P2522" s="266"/>
      <c r="Q2522" s="266"/>
      <c r="BR2522" s="266"/>
      <c r="BS2522" s="266"/>
      <c r="BT2522" s="266"/>
      <c r="BU2522" s="266"/>
      <c r="BV2522" s="266"/>
    </row>
    <row r="2523" spans="12:74">
      <c r="L2523" s="266"/>
      <c r="M2523" s="266"/>
      <c r="N2523" s="266"/>
      <c r="O2523" s="266"/>
      <c r="P2523" s="266"/>
      <c r="Q2523" s="266"/>
      <c r="BR2523" s="266"/>
      <c r="BS2523" s="266"/>
      <c r="BT2523" s="266"/>
      <c r="BU2523" s="266"/>
      <c r="BV2523" s="266"/>
    </row>
    <row r="2524" spans="12:74">
      <c r="L2524" s="266"/>
      <c r="M2524" s="266"/>
      <c r="N2524" s="266"/>
      <c r="O2524" s="266"/>
      <c r="P2524" s="266"/>
      <c r="Q2524" s="266"/>
      <c r="BR2524" s="266"/>
      <c r="BS2524" s="266"/>
      <c r="BT2524" s="266"/>
      <c r="BU2524" s="266"/>
      <c r="BV2524" s="266"/>
    </row>
    <row r="2525" spans="12:74">
      <c r="L2525" s="266"/>
      <c r="M2525" s="266"/>
      <c r="N2525" s="266"/>
      <c r="O2525" s="266"/>
      <c r="P2525" s="266"/>
      <c r="Q2525" s="266"/>
      <c r="BR2525" s="266"/>
      <c r="BS2525" s="266"/>
      <c r="BT2525" s="266"/>
      <c r="BU2525" s="266"/>
      <c r="BV2525" s="266"/>
    </row>
    <row r="2526" spans="12:74">
      <c r="L2526" s="266"/>
      <c r="M2526" s="266"/>
      <c r="N2526" s="266"/>
      <c r="O2526" s="266"/>
      <c r="P2526" s="266"/>
      <c r="Q2526" s="266"/>
      <c r="BR2526" s="266"/>
      <c r="BS2526" s="266"/>
      <c r="BT2526" s="266"/>
      <c r="BU2526" s="266"/>
      <c r="BV2526" s="266"/>
    </row>
    <row r="2527" spans="12:74">
      <c r="L2527" s="266"/>
      <c r="M2527" s="266"/>
      <c r="N2527" s="266"/>
      <c r="O2527" s="266"/>
      <c r="P2527" s="266"/>
      <c r="Q2527" s="266"/>
      <c r="BR2527" s="266"/>
      <c r="BS2527" s="266"/>
      <c r="BT2527" s="266"/>
      <c r="BU2527" s="266"/>
      <c r="BV2527" s="266"/>
    </row>
    <row r="2528" spans="12:74">
      <c r="L2528" s="266"/>
      <c r="M2528" s="266"/>
      <c r="N2528" s="266"/>
      <c r="O2528" s="266"/>
      <c r="P2528" s="266"/>
      <c r="Q2528" s="266"/>
      <c r="BR2528" s="266"/>
      <c r="BS2528" s="266"/>
      <c r="BT2528" s="266"/>
      <c r="BU2528" s="266"/>
      <c r="BV2528" s="266"/>
    </row>
    <row r="2529" spans="12:74">
      <c r="L2529" s="266"/>
      <c r="M2529" s="266"/>
      <c r="N2529" s="266"/>
      <c r="O2529" s="266"/>
      <c r="P2529" s="266"/>
      <c r="Q2529" s="266"/>
      <c r="BR2529" s="266"/>
      <c r="BS2529" s="266"/>
      <c r="BT2529" s="266"/>
      <c r="BU2529" s="266"/>
      <c r="BV2529" s="266"/>
    </row>
    <row r="2530" spans="12:74">
      <c r="L2530" s="266"/>
      <c r="M2530" s="266"/>
      <c r="N2530" s="266"/>
      <c r="O2530" s="266"/>
      <c r="P2530" s="266"/>
      <c r="Q2530" s="266"/>
      <c r="BR2530" s="266"/>
      <c r="BS2530" s="266"/>
      <c r="BT2530" s="266"/>
      <c r="BU2530" s="266"/>
      <c r="BV2530" s="266"/>
    </row>
    <row r="2531" spans="12:74">
      <c r="L2531" s="266"/>
      <c r="M2531" s="266"/>
      <c r="N2531" s="266"/>
      <c r="O2531" s="266"/>
      <c r="P2531" s="266"/>
      <c r="Q2531" s="266"/>
      <c r="BR2531" s="266"/>
      <c r="BS2531" s="266"/>
      <c r="BT2531" s="266"/>
      <c r="BU2531" s="266"/>
      <c r="BV2531" s="266"/>
    </row>
    <row r="2532" spans="12:74">
      <c r="L2532" s="266"/>
      <c r="M2532" s="266"/>
      <c r="N2532" s="266"/>
      <c r="O2532" s="266"/>
      <c r="P2532" s="266"/>
      <c r="Q2532" s="266"/>
      <c r="BR2532" s="266"/>
      <c r="BS2532" s="266"/>
      <c r="BT2532" s="266"/>
      <c r="BU2532" s="266"/>
      <c r="BV2532" s="266"/>
    </row>
    <row r="2533" spans="12:74">
      <c r="L2533" s="266"/>
      <c r="M2533" s="266"/>
      <c r="N2533" s="266"/>
      <c r="O2533" s="266"/>
      <c r="P2533" s="266"/>
      <c r="Q2533" s="266"/>
      <c r="BR2533" s="266"/>
      <c r="BS2533" s="266"/>
      <c r="BT2533" s="266"/>
      <c r="BU2533" s="266"/>
      <c r="BV2533" s="266"/>
    </row>
    <row r="2534" spans="12:74">
      <c r="L2534" s="266"/>
      <c r="M2534" s="266"/>
      <c r="N2534" s="266"/>
      <c r="O2534" s="266"/>
      <c r="P2534" s="266"/>
      <c r="Q2534" s="266"/>
      <c r="BR2534" s="266"/>
      <c r="BS2534" s="266"/>
      <c r="BT2534" s="266"/>
      <c r="BU2534" s="266"/>
      <c r="BV2534" s="266"/>
    </row>
    <row r="2535" spans="12:74">
      <c r="L2535" s="266"/>
      <c r="M2535" s="266"/>
      <c r="N2535" s="266"/>
      <c r="O2535" s="266"/>
      <c r="P2535" s="266"/>
      <c r="Q2535" s="266"/>
      <c r="BR2535" s="266"/>
      <c r="BS2535" s="266"/>
      <c r="BT2535" s="266"/>
      <c r="BU2535" s="266"/>
      <c r="BV2535" s="266"/>
    </row>
    <row r="2536" spans="12:74">
      <c r="L2536" s="266"/>
      <c r="M2536" s="266"/>
      <c r="N2536" s="266"/>
      <c r="O2536" s="266"/>
      <c r="P2536" s="266"/>
      <c r="Q2536" s="266"/>
      <c r="BR2536" s="266"/>
      <c r="BS2536" s="266"/>
      <c r="BT2536" s="266"/>
      <c r="BU2536" s="266"/>
      <c r="BV2536" s="266"/>
    </row>
    <row r="2537" spans="12:74">
      <c r="L2537" s="266"/>
      <c r="M2537" s="266"/>
      <c r="N2537" s="266"/>
      <c r="O2537" s="266"/>
      <c r="P2537" s="266"/>
      <c r="Q2537" s="266"/>
      <c r="BR2537" s="266"/>
      <c r="BS2537" s="266"/>
      <c r="BT2537" s="266"/>
      <c r="BU2537" s="266"/>
      <c r="BV2537" s="266"/>
    </row>
    <row r="2538" spans="12:74">
      <c r="L2538" s="266"/>
      <c r="M2538" s="266"/>
      <c r="N2538" s="266"/>
      <c r="O2538" s="266"/>
      <c r="P2538" s="266"/>
      <c r="Q2538" s="266"/>
      <c r="BR2538" s="266"/>
      <c r="BS2538" s="266"/>
      <c r="BT2538" s="266"/>
      <c r="BU2538" s="266"/>
      <c r="BV2538" s="266"/>
    </row>
    <row r="2539" spans="12:74">
      <c r="L2539" s="266"/>
      <c r="M2539" s="266"/>
      <c r="N2539" s="266"/>
      <c r="O2539" s="266"/>
      <c r="P2539" s="266"/>
      <c r="Q2539" s="266"/>
      <c r="BR2539" s="266"/>
      <c r="BS2539" s="266"/>
      <c r="BT2539" s="266"/>
      <c r="BU2539" s="266"/>
      <c r="BV2539" s="266"/>
    </row>
    <row r="2540" spans="12:74">
      <c r="L2540" s="266"/>
      <c r="M2540" s="266"/>
      <c r="N2540" s="266"/>
      <c r="O2540" s="266"/>
      <c r="P2540" s="266"/>
      <c r="Q2540" s="266"/>
      <c r="BR2540" s="266"/>
      <c r="BS2540" s="266"/>
      <c r="BT2540" s="266"/>
      <c r="BU2540" s="266"/>
      <c r="BV2540" s="266"/>
    </row>
    <row r="2541" spans="12:74">
      <c r="L2541" s="266"/>
      <c r="M2541" s="266"/>
      <c r="N2541" s="266"/>
      <c r="O2541" s="266"/>
      <c r="P2541" s="266"/>
      <c r="Q2541" s="266"/>
      <c r="BR2541" s="266"/>
      <c r="BS2541" s="266"/>
      <c r="BT2541" s="266"/>
      <c r="BU2541" s="266"/>
      <c r="BV2541" s="266"/>
    </row>
    <row r="2542" spans="12:74">
      <c r="L2542" s="266"/>
      <c r="M2542" s="266"/>
      <c r="N2542" s="266"/>
      <c r="O2542" s="266"/>
      <c r="P2542" s="266"/>
      <c r="Q2542" s="266"/>
      <c r="BR2542" s="266"/>
      <c r="BS2542" s="266"/>
      <c r="BT2542" s="266"/>
      <c r="BU2542" s="266"/>
      <c r="BV2542" s="266"/>
    </row>
    <row r="2543" spans="12:74">
      <c r="L2543" s="266"/>
      <c r="M2543" s="266"/>
      <c r="N2543" s="266"/>
      <c r="O2543" s="266"/>
      <c r="P2543" s="266"/>
      <c r="Q2543" s="266"/>
      <c r="BR2543" s="266"/>
      <c r="BS2543" s="266"/>
      <c r="BT2543" s="266"/>
      <c r="BU2543" s="266"/>
      <c r="BV2543" s="266"/>
    </row>
    <row r="2544" spans="12:74">
      <c r="L2544" s="266"/>
      <c r="M2544" s="266"/>
      <c r="N2544" s="266"/>
      <c r="O2544" s="266"/>
      <c r="P2544" s="266"/>
      <c r="Q2544" s="266"/>
      <c r="BR2544" s="266"/>
      <c r="BS2544" s="266"/>
      <c r="BT2544" s="266"/>
      <c r="BU2544" s="266"/>
      <c r="BV2544" s="266"/>
    </row>
    <row r="2545" spans="12:74">
      <c r="L2545" s="266"/>
      <c r="M2545" s="266"/>
      <c r="N2545" s="266"/>
      <c r="O2545" s="266"/>
      <c r="P2545" s="266"/>
      <c r="Q2545" s="266"/>
      <c r="BR2545" s="266"/>
      <c r="BS2545" s="266"/>
      <c r="BT2545" s="266"/>
      <c r="BU2545" s="266"/>
      <c r="BV2545" s="266"/>
    </row>
    <row r="2546" spans="12:74">
      <c r="L2546" s="266"/>
      <c r="M2546" s="266"/>
      <c r="N2546" s="266"/>
      <c r="O2546" s="266"/>
      <c r="P2546" s="266"/>
      <c r="Q2546" s="266"/>
      <c r="BR2546" s="266"/>
      <c r="BS2546" s="266"/>
      <c r="BT2546" s="266"/>
      <c r="BU2546" s="266"/>
      <c r="BV2546" s="266"/>
    </row>
    <row r="2547" spans="12:74">
      <c r="L2547" s="266"/>
      <c r="M2547" s="266"/>
      <c r="N2547" s="266"/>
      <c r="O2547" s="266"/>
      <c r="P2547" s="266"/>
      <c r="Q2547" s="266"/>
      <c r="BR2547" s="266"/>
      <c r="BS2547" s="266"/>
      <c r="BT2547" s="266"/>
      <c r="BU2547" s="266"/>
      <c r="BV2547" s="266"/>
    </row>
    <row r="2548" spans="12:74">
      <c r="L2548" s="266"/>
      <c r="M2548" s="266"/>
      <c r="N2548" s="266"/>
      <c r="O2548" s="266"/>
      <c r="P2548" s="266"/>
      <c r="Q2548" s="266"/>
      <c r="BR2548" s="266"/>
      <c r="BS2548" s="266"/>
      <c r="BT2548" s="266"/>
      <c r="BU2548" s="266"/>
      <c r="BV2548" s="266"/>
    </row>
    <row r="2549" spans="12:74">
      <c r="L2549" s="266"/>
      <c r="M2549" s="266"/>
      <c r="N2549" s="266"/>
      <c r="O2549" s="266"/>
      <c r="P2549" s="266"/>
      <c r="Q2549" s="266"/>
      <c r="BR2549" s="266"/>
      <c r="BS2549" s="266"/>
      <c r="BT2549" s="266"/>
      <c r="BU2549" s="266"/>
      <c r="BV2549" s="266"/>
    </row>
    <row r="2550" spans="12:74">
      <c r="L2550" s="266"/>
      <c r="M2550" s="266"/>
      <c r="N2550" s="266"/>
      <c r="O2550" s="266"/>
      <c r="P2550" s="266"/>
      <c r="Q2550" s="266"/>
      <c r="BR2550" s="266"/>
      <c r="BS2550" s="266"/>
      <c r="BT2550" s="266"/>
      <c r="BU2550" s="266"/>
      <c r="BV2550" s="266"/>
    </row>
    <row r="2551" spans="12:74">
      <c r="L2551" s="266"/>
      <c r="M2551" s="266"/>
      <c r="N2551" s="266"/>
      <c r="O2551" s="266"/>
      <c r="P2551" s="266"/>
      <c r="Q2551" s="266"/>
      <c r="BR2551" s="266"/>
      <c r="BS2551" s="266"/>
      <c r="BT2551" s="266"/>
      <c r="BU2551" s="266"/>
      <c r="BV2551" s="266"/>
    </row>
    <row r="2552" spans="12:74">
      <c r="L2552" s="266"/>
      <c r="M2552" s="266"/>
      <c r="N2552" s="266"/>
      <c r="O2552" s="266"/>
      <c r="P2552" s="266"/>
      <c r="Q2552" s="266"/>
      <c r="BR2552" s="266"/>
      <c r="BS2552" s="266"/>
      <c r="BT2552" s="266"/>
      <c r="BU2552" s="266"/>
      <c r="BV2552" s="266"/>
    </row>
    <row r="2553" spans="12:74">
      <c r="L2553" s="266"/>
      <c r="M2553" s="266"/>
      <c r="N2553" s="266"/>
      <c r="O2553" s="266"/>
      <c r="P2553" s="266"/>
      <c r="Q2553" s="266"/>
      <c r="BR2553" s="266"/>
      <c r="BS2553" s="266"/>
      <c r="BT2553" s="266"/>
      <c r="BU2553" s="266"/>
      <c r="BV2553" s="266"/>
    </row>
    <row r="2554" spans="12:74">
      <c r="L2554" s="266"/>
      <c r="M2554" s="266"/>
      <c r="N2554" s="266"/>
      <c r="O2554" s="266"/>
      <c r="P2554" s="266"/>
      <c r="Q2554" s="266"/>
      <c r="BR2554" s="266"/>
      <c r="BS2554" s="266"/>
      <c r="BT2554" s="266"/>
      <c r="BU2554" s="266"/>
      <c r="BV2554" s="266"/>
    </row>
    <row r="2555" spans="12:74">
      <c r="L2555" s="266"/>
      <c r="M2555" s="266"/>
      <c r="N2555" s="266"/>
      <c r="O2555" s="266"/>
      <c r="P2555" s="266"/>
      <c r="Q2555" s="266"/>
      <c r="BR2555" s="266"/>
      <c r="BS2555" s="266"/>
      <c r="BT2555" s="266"/>
      <c r="BU2555" s="266"/>
      <c r="BV2555" s="266"/>
    </row>
    <row r="2556" spans="12:74">
      <c r="L2556" s="266"/>
      <c r="M2556" s="266"/>
      <c r="N2556" s="266"/>
      <c r="O2556" s="266"/>
      <c r="P2556" s="266"/>
      <c r="Q2556" s="266"/>
      <c r="BR2556" s="266"/>
      <c r="BS2556" s="266"/>
      <c r="BT2556" s="266"/>
      <c r="BU2556" s="266"/>
      <c r="BV2556" s="266"/>
    </row>
    <row r="2557" spans="12:74">
      <c r="L2557" s="266"/>
      <c r="M2557" s="266"/>
      <c r="N2557" s="266"/>
      <c r="O2557" s="266"/>
      <c r="P2557" s="266"/>
      <c r="Q2557" s="266"/>
      <c r="BR2557" s="266"/>
      <c r="BS2557" s="266"/>
      <c r="BT2557" s="266"/>
      <c r="BU2557" s="266"/>
      <c r="BV2557" s="266"/>
    </row>
    <row r="2558" spans="12:74">
      <c r="L2558" s="266"/>
      <c r="M2558" s="266"/>
      <c r="N2558" s="266"/>
      <c r="O2558" s="266"/>
      <c r="P2558" s="266"/>
      <c r="Q2558" s="266"/>
      <c r="BR2558" s="266"/>
      <c r="BS2558" s="266"/>
      <c r="BT2558" s="266"/>
      <c r="BU2558" s="266"/>
      <c r="BV2558" s="266"/>
    </row>
    <row r="2559" spans="12:74">
      <c r="L2559" s="266"/>
      <c r="M2559" s="266"/>
      <c r="N2559" s="266"/>
      <c r="O2559" s="266"/>
      <c r="P2559" s="266"/>
      <c r="Q2559" s="266"/>
      <c r="BR2559" s="266"/>
      <c r="BS2559" s="266"/>
      <c r="BT2559" s="266"/>
      <c r="BU2559" s="266"/>
      <c r="BV2559" s="266"/>
    </row>
    <row r="2560" spans="12:74">
      <c r="L2560" s="266"/>
      <c r="M2560" s="266"/>
      <c r="N2560" s="266"/>
      <c r="O2560" s="266"/>
      <c r="P2560" s="266"/>
      <c r="Q2560" s="266"/>
      <c r="BR2560" s="266"/>
      <c r="BS2560" s="266"/>
      <c r="BT2560" s="266"/>
      <c r="BU2560" s="266"/>
      <c r="BV2560" s="266"/>
    </row>
    <row r="2561" spans="12:74">
      <c r="L2561" s="266"/>
      <c r="M2561" s="266"/>
      <c r="N2561" s="266"/>
      <c r="O2561" s="266"/>
      <c r="P2561" s="266"/>
      <c r="Q2561" s="266"/>
      <c r="BR2561" s="266"/>
      <c r="BS2561" s="266"/>
      <c r="BT2561" s="266"/>
      <c r="BU2561" s="266"/>
      <c r="BV2561" s="266"/>
    </row>
    <row r="2562" spans="12:74">
      <c r="L2562" s="266"/>
      <c r="M2562" s="266"/>
      <c r="N2562" s="266"/>
      <c r="O2562" s="266"/>
      <c r="P2562" s="266"/>
      <c r="Q2562" s="266"/>
      <c r="BR2562" s="266"/>
      <c r="BS2562" s="266"/>
      <c r="BT2562" s="266"/>
      <c r="BU2562" s="266"/>
      <c r="BV2562" s="266"/>
    </row>
    <row r="2563" spans="12:74">
      <c r="L2563" s="266"/>
      <c r="M2563" s="266"/>
      <c r="N2563" s="266"/>
      <c r="O2563" s="266"/>
      <c r="P2563" s="266"/>
      <c r="Q2563" s="266"/>
      <c r="BR2563" s="266"/>
      <c r="BS2563" s="266"/>
      <c r="BT2563" s="266"/>
      <c r="BU2563" s="266"/>
      <c r="BV2563" s="266"/>
    </row>
    <row r="2564" spans="12:74">
      <c r="L2564" s="266"/>
      <c r="M2564" s="266"/>
      <c r="N2564" s="266"/>
      <c r="O2564" s="266"/>
      <c r="P2564" s="266"/>
      <c r="Q2564" s="266"/>
      <c r="BR2564" s="266"/>
      <c r="BS2564" s="266"/>
      <c r="BT2564" s="266"/>
      <c r="BU2564" s="266"/>
      <c r="BV2564" s="266"/>
    </row>
    <row r="2565" spans="12:74">
      <c r="L2565" s="266"/>
      <c r="M2565" s="266"/>
      <c r="N2565" s="266"/>
      <c r="O2565" s="266"/>
      <c r="P2565" s="266"/>
      <c r="Q2565" s="266"/>
      <c r="BR2565" s="266"/>
      <c r="BS2565" s="266"/>
      <c r="BT2565" s="266"/>
      <c r="BU2565" s="266"/>
      <c r="BV2565" s="266"/>
    </row>
    <row r="2566" spans="12:74">
      <c r="L2566" s="266"/>
      <c r="M2566" s="266"/>
      <c r="N2566" s="266"/>
      <c r="O2566" s="266"/>
      <c r="P2566" s="266"/>
      <c r="Q2566" s="266"/>
      <c r="BR2566" s="266"/>
      <c r="BS2566" s="266"/>
      <c r="BT2566" s="266"/>
      <c r="BU2566" s="266"/>
      <c r="BV2566" s="266"/>
    </row>
    <row r="2567" spans="12:74">
      <c r="L2567" s="266"/>
      <c r="M2567" s="266"/>
      <c r="N2567" s="266"/>
      <c r="O2567" s="266"/>
      <c r="P2567" s="266"/>
      <c r="Q2567" s="266"/>
      <c r="BR2567" s="266"/>
      <c r="BS2567" s="266"/>
      <c r="BT2567" s="266"/>
      <c r="BU2567" s="266"/>
      <c r="BV2567" s="266"/>
    </row>
    <row r="2568" spans="12:74">
      <c r="L2568" s="266"/>
      <c r="M2568" s="266"/>
      <c r="N2568" s="266"/>
      <c r="O2568" s="266"/>
      <c r="P2568" s="266"/>
      <c r="Q2568" s="266"/>
      <c r="BR2568" s="266"/>
      <c r="BS2568" s="266"/>
      <c r="BT2568" s="266"/>
      <c r="BU2568" s="266"/>
      <c r="BV2568" s="266"/>
    </row>
    <row r="2569" spans="12:74">
      <c r="L2569" s="266"/>
      <c r="M2569" s="266"/>
      <c r="N2569" s="266"/>
      <c r="O2569" s="266"/>
      <c r="P2569" s="266"/>
      <c r="Q2569" s="266"/>
      <c r="BR2569" s="266"/>
      <c r="BS2569" s="266"/>
      <c r="BT2569" s="266"/>
      <c r="BU2569" s="266"/>
      <c r="BV2569" s="266"/>
    </row>
    <row r="2570" spans="12:74">
      <c r="L2570" s="266"/>
      <c r="M2570" s="266"/>
      <c r="N2570" s="266"/>
      <c r="O2570" s="266"/>
      <c r="P2570" s="266"/>
      <c r="Q2570" s="266"/>
      <c r="BR2570" s="266"/>
      <c r="BS2570" s="266"/>
      <c r="BT2570" s="266"/>
      <c r="BU2570" s="266"/>
      <c r="BV2570" s="266"/>
    </row>
    <row r="2571" spans="12:74">
      <c r="L2571" s="266"/>
      <c r="M2571" s="266"/>
      <c r="N2571" s="266"/>
      <c r="O2571" s="266"/>
      <c r="P2571" s="266"/>
      <c r="Q2571" s="266"/>
      <c r="BR2571" s="266"/>
      <c r="BS2571" s="266"/>
      <c r="BT2571" s="266"/>
      <c r="BU2571" s="266"/>
      <c r="BV2571" s="266"/>
    </row>
    <row r="2572" spans="12:74">
      <c r="L2572" s="266"/>
      <c r="M2572" s="266"/>
      <c r="N2572" s="266"/>
      <c r="O2572" s="266"/>
      <c r="P2572" s="266"/>
      <c r="Q2572" s="266"/>
      <c r="BR2572" s="266"/>
      <c r="BS2572" s="266"/>
      <c r="BT2572" s="266"/>
      <c r="BU2572" s="266"/>
      <c r="BV2572" s="266"/>
    </row>
    <row r="2573" spans="12:74">
      <c r="L2573" s="266"/>
      <c r="M2573" s="266"/>
      <c r="N2573" s="266"/>
      <c r="O2573" s="266"/>
      <c r="P2573" s="266"/>
      <c r="Q2573" s="266"/>
      <c r="BR2573" s="266"/>
      <c r="BS2573" s="266"/>
      <c r="BT2573" s="266"/>
      <c r="BU2573" s="266"/>
      <c r="BV2573" s="266"/>
    </row>
    <row r="2574" spans="12:74">
      <c r="L2574" s="266"/>
      <c r="M2574" s="266"/>
      <c r="N2574" s="266"/>
      <c r="O2574" s="266"/>
      <c r="P2574" s="266"/>
      <c r="Q2574" s="266"/>
      <c r="BR2574" s="266"/>
      <c r="BS2574" s="266"/>
      <c r="BT2574" s="266"/>
      <c r="BU2574" s="266"/>
      <c r="BV2574" s="266"/>
    </row>
    <row r="2575" spans="12:74">
      <c r="L2575" s="266"/>
      <c r="M2575" s="266"/>
      <c r="N2575" s="266"/>
      <c r="O2575" s="266"/>
      <c r="P2575" s="266"/>
      <c r="Q2575" s="266"/>
      <c r="BR2575" s="266"/>
      <c r="BS2575" s="266"/>
      <c r="BT2575" s="266"/>
      <c r="BU2575" s="266"/>
      <c r="BV2575" s="266"/>
    </row>
    <row r="2576" spans="12:74">
      <c r="L2576" s="266"/>
      <c r="M2576" s="266"/>
      <c r="N2576" s="266"/>
      <c r="O2576" s="266"/>
      <c r="P2576" s="266"/>
      <c r="Q2576" s="266"/>
      <c r="BR2576" s="266"/>
      <c r="BS2576" s="266"/>
      <c r="BT2576" s="266"/>
      <c r="BU2576" s="266"/>
      <c r="BV2576" s="266"/>
    </row>
    <row r="2577" spans="12:74">
      <c r="L2577" s="266"/>
      <c r="M2577" s="266"/>
      <c r="N2577" s="266"/>
      <c r="O2577" s="266"/>
      <c r="P2577" s="266"/>
      <c r="Q2577" s="266"/>
      <c r="BR2577" s="266"/>
      <c r="BS2577" s="266"/>
      <c r="BT2577" s="266"/>
      <c r="BU2577" s="266"/>
      <c r="BV2577" s="266"/>
    </row>
    <row r="2578" spans="12:74">
      <c r="L2578" s="266"/>
      <c r="M2578" s="266"/>
      <c r="N2578" s="266"/>
      <c r="O2578" s="266"/>
      <c r="P2578" s="266"/>
      <c r="Q2578" s="266"/>
      <c r="BR2578" s="266"/>
      <c r="BS2578" s="266"/>
      <c r="BT2578" s="266"/>
      <c r="BU2578" s="266"/>
      <c r="BV2578" s="266"/>
    </row>
    <row r="2579" spans="12:74">
      <c r="L2579" s="266"/>
      <c r="M2579" s="266"/>
      <c r="N2579" s="266"/>
      <c r="O2579" s="266"/>
      <c r="P2579" s="266"/>
      <c r="Q2579" s="266"/>
      <c r="BR2579" s="266"/>
      <c r="BS2579" s="266"/>
      <c r="BT2579" s="266"/>
      <c r="BU2579" s="266"/>
      <c r="BV2579" s="266"/>
    </row>
    <row r="2580" spans="12:74">
      <c r="L2580" s="266"/>
      <c r="M2580" s="266"/>
      <c r="N2580" s="266"/>
      <c r="O2580" s="266"/>
      <c r="P2580" s="266"/>
      <c r="Q2580" s="266"/>
      <c r="BR2580" s="266"/>
      <c r="BS2580" s="266"/>
      <c r="BT2580" s="266"/>
      <c r="BU2580" s="266"/>
      <c r="BV2580" s="266"/>
    </row>
    <row r="2581" spans="12:74">
      <c r="L2581" s="266"/>
      <c r="M2581" s="266"/>
      <c r="N2581" s="266"/>
      <c r="O2581" s="266"/>
      <c r="P2581" s="266"/>
      <c r="Q2581" s="266"/>
      <c r="BR2581" s="266"/>
      <c r="BS2581" s="266"/>
      <c r="BT2581" s="266"/>
      <c r="BU2581" s="266"/>
      <c r="BV2581" s="266"/>
    </row>
    <row r="2582" spans="12:74">
      <c r="L2582" s="266"/>
      <c r="M2582" s="266"/>
      <c r="N2582" s="266"/>
      <c r="O2582" s="266"/>
      <c r="P2582" s="266"/>
      <c r="Q2582" s="266"/>
      <c r="BR2582" s="266"/>
      <c r="BS2582" s="266"/>
      <c r="BT2582" s="266"/>
      <c r="BU2582" s="266"/>
      <c r="BV2582" s="266"/>
    </row>
    <row r="2583" spans="12:74">
      <c r="L2583" s="266"/>
      <c r="M2583" s="266"/>
      <c r="N2583" s="266"/>
      <c r="O2583" s="266"/>
      <c r="P2583" s="266"/>
      <c r="Q2583" s="266"/>
      <c r="BR2583" s="266"/>
      <c r="BS2583" s="266"/>
      <c r="BT2583" s="266"/>
      <c r="BU2583" s="266"/>
      <c r="BV2583" s="266"/>
    </row>
    <row r="2584" spans="12:74">
      <c r="L2584" s="266"/>
      <c r="M2584" s="266"/>
      <c r="N2584" s="266"/>
      <c r="O2584" s="266"/>
      <c r="P2584" s="266"/>
      <c r="Q2584" s="266"/>
      <c r="BR2584" s="266"/>
      <c r="BS2584" s="266"/>
      <c r="BT2584" s="266"/>
      <c r="BU2584" s="266"/>
      <c r="BV2584" s="266"/>
    </row>
    <row r="2585" spans="12:74">
      <c r="L2585" s="266"/>
      <c r="M2585" s="266"/>
      <c r="N2585" s="266"/>
      <c r="O2585" s="266"/>
      <c r="P2585" s="266"/>
      <c r="Q2585" s="266"/>
      <c r="BR2585" s="266"/>
      <c r="BS2585" s="266"/>
      <c r="BT2585" s="266"/>
      <c r="BU2585" s="266"/>
      <c r="BV2585" s="266"/>
    </row>
    <row r="2586" spans="12:74">
      <c r="L2586" s="266"/>
      <c r="M2586" s="266"/>
      <c r="N2586" s="266"/>
      <c r="O2586" s="266"/>
      <c r="P2586" s="266"/>
      <c r="Q2586" s="266"/>
      <c r="BR2586" s="266"/>
      <c r="BS2586" s="266"/>
      <c r="BT2586" s="266"/>
      <c r="BU2586" s="266"/>
      <c r="BV2586" s="266"/>
    </row>
    <row r="2587" spans="12:74">
      <c r="L2587" s="266"/>
      <c r="M2587" s="266"/>
      <c r="N2587" s="266"/>
      <c r="O2587" s="266"/>
      <c r="P2587" s="266"/>
      <c r="Q2587" s="266"/>
      <c r="BR2587" s="266"/>
      <c r="BS2587" s="266"/>
      <c r="BT2587" s="266"/>
      <c r="BU2587" s="266"/>
      <c r="BV2587" s="266"/>
    </row>
    <row r="2588" spans="12:74">
      <c r="L2588" s="266"/>
      <c r="M2588" s="266"/>
      <c r="N2588" s="266"/>
      <c r="O2588" s="266"/>
      <c r="P2588" s="266"/>
      <c r="Q2588" s="266"/>
      <c r="BR2588" s="266"/>
      <c r="BS2588" s="266"/>
      <c r="BT2588" s="266"/>
      <c r="BU2588" s="266"/>
      <c r="BV2588" s="266"/>
    </row>
    <row r="2589" spans="12:74">
      <c r="L2589" s="266"/>
      <c r="M2589" s="266"/>
      <c r="N2589" s="266"/>
      <c r="O2589" s="266"/>
      <c r="P2589" s="266"/>
      <c r="Q2589" s="266"/>
      <c r="BR2589" s="266"/>
      <c r="BS2589" s="266"/>
      <c r="BT2589" s="266"/>
      <c r="BU2589" s="266"/>
      <c r="BV2589" s="266"/>
    </row>
    <row r="2590" spans="12:74">
      <c r="L2590" s="266"/>
      <c r="M2590" s="266"/>
      <c r="N2590" s="266"/>
      <c r="O2590" s="266"/>
      <c r="P2590" s="266"/>
      <c r="Q2590" s="266"/>
      <c r="BR2590" s="266"/>
      <c r="BS2590" s="266"/>
      <c r="BT2590" s="266"/>
      <c r="BU2590" s="266"/>
      <c r="BV2590" s="266"/>
    </row>
    <row r="2591" spans="12:74">
      <c r="L2591" s="266"/>
      <c r="M2591" s="266"/>
      <c r="N2591" s="266"/>
      <c r="O2591" s="266"/>
      <c r="P2591" s="266"/>
      <c r="Q2591" s="266"/>
      <c r="BR2591" s="266"/>
      <c r="BS2591" s="266"/>
      <c r="BT2591" s="266"/>
      <c r="BU2591" s="266"/>
      <c r="BV2591" s="266"/>
    </row>
    <row r="2592" spans="12:74">
      <c r="L2592" s="266"/>
      <c r="M2592" s="266"/>
      <c r="N2592" s="266"/>
      <c r="O2592" s="266"/>
      <c r="P2592" s="266"/>
      <c r="Q2592" s="266"/>
      <c r="BR2592" s="266"/>
      <c r="BS2592" s="266"/>
      <c r="BT2592" s="266"/>
      <c r="BU2592" s="266"/>
      <c r="BV2592" s="266"/>
    </row>
    <row r="2593" spans="12:74">
      <c r="L2593" s="266"/>
      <c r="M2593" s="266"/>
      <c r="N2593" s="266"/>
      <c r="O2593" s="266"/>
      <c r="P2593" s="266"/>
      <c r="Q2593" s="266"/>
      <c r="BR2593" s="266"/>
      <c r="BS2593" s="266"/>
      <c r="BT2593" s="266"/>
      <c r="BU2593" s="266"/>
      <c r="BV2593" s="266"/>
    </row>
    <row r="2594" spans="12:74">
      <c r="L2594" s="266"/>
      <c r="M2594" s="266"/>
      <c r="N2594" s="266"/>
      <c r="O2594" s="266"/>
      <c r="P2594" s="266"/>
      <c r="Q2594" s="266"/>
      <c r="BR2594" s="266"/>
      <c r="BS2594" s="266"/>
      <c r="BT2594" s="266"/>
      <c r="BU2594" s="266"/>
      <c r="BV2594" s="266"/>
    </row>
    <row r="2595" spans="12:74">
      <c r="L2595" s="266"/>
      <c r="M2595" s="266"/>
      <c r="N2595" s="266"/>
      <c r="O2595" s="266"/>
      <c r="P2595" s="266"/>
      <c r="Q2595" s="266"/>
      <c r="BR2595" s="266"/>
      <c r="BS2595" s="266"/>
      <c r="BT2595" s="266"/>
      <c r="BU2595" s="266"/>
      <c r="BV2595" s="266"/>
    </row>
    <row r="2596" spans="12:74">
      <c r="L2596" s="266"/>
      <c r="M2596" s="266"/>
      <c r="N2596" s="266"/>
      <c r="O2596" s="266"/>
      <c r="P2596" s="266"/>
      <c r="Q2596" s="266"/>
      <c r="BR2596" s="266"/>
      <c r="BS2596" s="266"/>
      <c r="BT2596" s="266"/>
      <c r="BU2596" s="266"/>
      <c r="BV2596" s="266"/>
    </row>
    <row r="2597" spans="12:74">
      <c r="L2597" s="266"/>
      <c r="M2597" s="266"/>
      <c r="N2597" s="266"/>
      <c r="O2597" s="266"/>
      <c r="P2597" s="266"/>
      <c r="Q2597" s="266"/>
      <c r="BR2597" s="266"/>
      <c r="BS2597" s="266"/>
      <c r="BT2597" s="266"/>
      <c r="BU2597" s="266"/>
      <c r="BV2597" s="266"/>
    </row>
    <row r="2598" spans="12:74">
      <c r="L2598" s="266"/>
      <c r="M2598" s="266"/>
      <c r="N2598" s="266"/>
      <c r="O2598" s="266"/>
      <c r="P2598" s="266"/>
      <c r="Q2598" s="266"/>
      <c r="BR2598" s="266"/>
      <c r="BS2598" s="266"/>
      <c r="BT2598" s="266"/>
      <c r="BU2598" s="266"/>
      <c r="BV2598" s="266"/>
    </row>
    <row r="2599" spans="12:74">
      <c r="L2599" s="266"/>
      <c r="M2599" s="266"/>
      <c r="N2599" s="266"/>
      <c r="O2599" s="266"/>
      <c r="P2599" s="266"/>
      <c r="Q2599" s="266"/>
      <c r="BR2599" s="266"/>
      <c r="BS2599" s="266"/>
      <c r="BT2599" s="266"/>
      <c r="BU2599" s="266"/>
      <c r="BV2599" s="266"/>
    </row>
    <row r="2600" spans="12:74">
      <c r="L2600" s="266"/>
      <c r="M2600" s="266"/>
      <c r="N2600" s="266"/>
      <c r="O2600" s="266"/>
      <c r="P2600" s="266"/>
      <c r="Q2600" s="266"/>
      <c r="BR2600" s="266"/>
      <c r="BS2600" s="266"/>
      <c r="BT2600" s="266"/>
      <c r="BU2600" s="266"/>
      <c r="BV2600" s="266"/>
    </row>
    <row r="2601" spans="12:74">
      <c r="L2601" s="266"/>
      <c r="M2601" s="266"/>
      <c r="N2601" s="266"/>
      <c r="O2601" s="266"/>
      <c r="P2601" s="266"/>
      <c r="Q2601" s="266"/>
      <c r="BR2601" s="266"/>
      <c r="BS2601" s="266"/>
      <c r="BT2601" s="266"/>
      <c r="BU2601" s="266"/>
      <c r="BV2601" s="266"/>
    </row>
    <row r="2602" spans="12:74">
      <c r="L2602" s="266"/>
      <c r="M2602" s="266"/>
      <c r="N2602" s="266"/>
      <c r="O2602" s="266"/>
      <c r="P2602" s="266"/>
      <c r="Q2602" s="266"/>
      <c r="BR2602" s="266"/>
      <c r="BS2602" s="266"/>
      <c r="BT2602" s="266"/>
      <c r="BU2602" s="266"/>
      <c r="BV2602" s="266"/>
    </row>
    <row r="2603" spans="12:74">
      <c r="L2603" s="266"/>
      <c r="M2603" s="266"/>
      <c r="N2603" s="266"/>
      <c r="O2603" s="266"/>
      <c r="P2603" s="266"/>
      <c r="Q2603" s="266"/>
      <c r="BR2603" s="266"/>
      <c r="BS2603" s="266"/>
      <c r="BT2603" s="266"/>
      <c r="BU2603" s="266"/>
      <c r="BV2603" s="266"/>
    </row>
    <row r="2604" spans="12:74">
      <c r="L2604" s="266"/>
      <c r="M2604" s="266"/>
      <c r="N2604" s="266"/>
      <c r="O2604" s="266"/>
      <c r="P2604" s="266"/>
      <c r="Q2604" s="266"/>
      <c r="BR2604" s="266"/>
      <c r="BS2604" s="266"/>
      <c r="BT2604" s="266"/>
      <c r="BU2604" s="266"/>
      <c r="BV2604" s="266"/>
    </row>
    <row r="2605" spans="12:74">
      <c r="L2605" s="266"/>
      <c r="M2605" s="266"/>
      <c r="N2605" s="266"/>
      <c r="O2605" s="266"/>
      <c r="P2605" s="266"/>
      <c r="Q2605" s="266"/>
      <c r="BR2605" s="266"/>
      <c r="BS2605" s="266"/>
      <c r="BT2605" s="266"/>
      <c r="BU2605" s="266"/>
      <c r="BV2605" s="266"/>
    </row>
    <row r="2606" spans="12:74">
      <c r="L2606" s="266"/>
      <c r="M2606" s="266"/>
      <c r="N2606" s="266"/>
      <c r="O2606" s="266"/>
      <c r="P2606" s="266"/>
      <c r="Q2606" s="266"/>
      <c r="BR2606" s="266"/>
      <c r="BS2606" s="266"/>
      <c r="BT2606" s="266"/>
      <c r="BU2606" s="266"/>
      <c r="BV2606" s="266"/>
    </row>
    <row r="2607" spans="12:74">
      <c r="L2607" s="266"/>
      <c r="M2607" s="266"/>
      <c r="N2607" s="266"/>
      <c r="O2607" s="266"/>
      <c r="P2607" s="266"/>
      <c r="Q2607" s="266"/>
      <c r="BR2607" s="266"/>
      <c r="BS2607" s="266"/>
      <c r="BT2607" s="266"/>
      <c r="BU2607" s="266"/>
      <c r="BV2607" s="266"/>
    </row>
    <row r="2608" spans="12:74">
      <c r="L2608" s="266"/>
      <c r="M2608" s="266"/>
      <c r="N2608" s="266"/>
      <c r="O2608" s="266"/>
      <c r="P2608" s="266"/>
      <c r="Q2608" s="266"/>
      <c r="BR2608" s="266"/>
      <c r="BS2608" s="266"/>
      <c r="BT2608" s="266"/>
      <c r="BU2608" s="266"/>
      <c r="BV2608" s="266"/>
    </row>
    <row r="2609" spans="12:74">
      <c r="L2609" s="266"/>
      <c r="M2609" s="266"/>
      <c r="N2609" s="266"/>
      <c r="O2609" s="266"/>
      <c r="P2609" s="266"/>
      <c r="Q2609" s="266"/>
      <c r="BR2609" s="266"/>
      <c r="BS2609" s="266"/>
      <c r="BT2609" s="266"/>
      <c r="BU2609" s="266"/>
      <c r="BV2609" s="266"/>
    </row>
    <row r="2610" spans="12:74">
      <c r="L2610" s="266"/>
      <c r="M2610" s="266"/>
      <c r="N2610" s="266"/>
      <c r="O2610" s="266"/>
      <c r="P2610" s="266"/>
      <c r="Q2610" s="266"/>
      <c r="BR2610" s="266"/>
      <c r="BS2610" s="266"/>
      <c r="BT2610" s="266"/>
      <c r="BU2610" s="266"/>
      <c r="BV2610" s="266"/>
    </row>
    <row r="2611" spans="12:74">
      <c r="L2611" s="266"/>
      <c r="M2611" s="266"/>
      <c r="N2611" s="266"/>
      <c r="O2611" s="266"/>
      <c r="P2611" s="266"/>
      <c r="Q2611" s="266"/>
      <c r="BR2611" s="266"/>
      <c r="BS2611" s="266"/>
      <c r="BT2611" s="266"/>
      <c r="BU2611" s="266"/>
      <c r="BV2611" s="266"/>
    </row>
    <row r="2612" spans="12:74">
      <c r="L2612" s="266"/>
      <c r="M2612" s="266"/>
      <c r="N2612" s="266"/>
      <c r="O2612" s="266"/>
      <c r="P2612" s="266"/>
      <c r="Q2612" s="266"/>
      <c r="BR2612" s="266"/>
      <c r="BS2612" s="266"/>
      <c r="BT2612" s="266"/>
      <c r="BU2612" s="266"/>
      <c r="BV2612" s="266"/>
    </row>
    <row r="2613" spans="12:74">
      <c r="L2613" s="266"/>
      <c r="M2613" s="266"/>
      <c r="N2613" s="266"/>
      <c r="O2613" s="266"/>
      <c r="P2613" s="266"/>
      <c r="Q2613" s="266"/>
      <c r="BR2613" s="266"/>
      <c r="BS2613" s="266"/>
      <c r="BT2613" s="266"/>
      <c r="BU2613" s="266"/>
      <c r="BV2613" s="266"/>
    </row>
    <row r="2614" spans="12:74">
      <c r="L2614" s="266"/>
      <c r="M2614" s="266"/>
      <c r="N2614" s="266"/>
      <c r="O2614" s="266"/>
      <c r="P2614" s="266"/>
      <c r="Q2614" s="266"/>
      <c r="BR2614" s="266"/>
      <c r="BS2614" s="266"/>
      <c r="BT2614" s="266"/>
      <c r="BU2614" s="266"/>
      <c r="BV2614" s="266"/>
    </row>
    <row r="2615" spans="12:74">
      <c r="L2615" s="266"/>
      <c r="M2615" s="266"/>
      <c r="N2615" s="266"/>
      <c r="O2615" s="266"/>
      <c r="P2615" s="266"/>
      <c r="Q2615" s="266"/>
      <c r="BR2615" s="266"/>
      <c r="BS2615" s="266"/>
      <c r="BT2615" s="266"/>
      <c r="BU2615" s="266"/>
      <c r="BV2615" s="266"/>
    </row>
    <row r="2616" spans="12:74">
      <c r="L2616" s="266"/>
      <c r="M2616" s="266"/>
      <c r="N2616" s="266"/>
      <c r="O2616" s="266"/>
      <c r="P2616" s="266"/>
      <c r="Q2616" s="266"/>
      <c r="BR2616" s="266"/>
      <c r="BS2616" s="266"/>
      <c r="BT2616" s="266"/>
      <c r="BU2616" s="266"/>
      <c r="BV2616" s="266"/>
    </row>
    <row r="2617" spans="12:74">
      <c r="L2617" s="266"/>
      <c r="M2617" s="266"/>
      <c r="N2617" s="266"/>
      <c r="O2617" s="266"/>
      <c r="P2617" s="266"/>
      <c r="Q2617" s="266"/>
      <c r="BR2617" s="266"/>
      <c r="BS2617" s="266"/>
      <c r="BT2617" s="266"/>
      <c r="BU2617" s="266"/>
      <c r="BV2617" s="266"/>
    </row>
    <row r="2618" spans="12:74">
      <c r="L2618" s="266"/>
      <c r="M2618" s="266"/>
      <c r="N2618" s="266"/>
      <c r="O2618" s="266"/>
      <c r="P2618" s="266"/>
      <c r="Q2618" s="266"/>
      <c r="BR2618" s="266"/>
      <c r="BS2618" s="266"/>
      <c r="BT2618" s="266"/>
      <c r="BU2618" s="266"/>
      <c r="BV2618" s="266"/>
    </row>
    <row r="2619" spans="12:74">
      <c r="L2619" s="266"/>
      <c r="M2619" s="266"/>
      <c r="N2619" s="266"/>
      <c r="O2619" s="266"/>
      <c r="P2619" s="266"/>
      <c r="Q2619" s="266"/>
      <c r="BR2619" s="266"/>
      <c r="BS2619" s="266"/>
      <c r="BT2619" s="266"/>
      <c r="BU2619" s="266"/>
      <c r="BV2619" s="266"/>
    </row>
    <row r="2620" spans="12:74">
      <c r="L2620" s="266"/>
      <c r="M2620" s="266"/>
      <c r="N2620" s="266"/>
      <c r="O2620" s="266"/>
      <c r="P2620" s="266"/>
      <c r="Q2620" s="266"/>
      <c r="BR2620" s="266"/>
      <c r="BS2620" s="266"/>
      <c r="BT2620" s="266"/>
      <c r="BU2620" s="266"/>
      <c r="BV2620" s="266"/>
    </row>
    <row r="2621" spans="12:74">
      <c r="L2621" s="266"/>
      <c r="M2621" s="266"/>
      <c r="N2621" s="266"/>
      <c r="O2621" s="266"/>
      <c r="P2621" s="266"/>
      <c r="Q2621" s="266"/>
      <c r="BR2621" s="266"/>
      <c r="BS2621" s="266"/>
      <c r="BT2621" s="266"/>
      <c r="BU2621" s="266"/>
      <c r="BV2621" s="266"/>
    </row>
    <row r="2622" spans="12:74">
      <c r="L2622" s="266"/>
      <c r="M2622" s="266"/>
      <c r="N2622" s="266"/>
      <c r="O2622" s="266"/>
      <c r="P2622" s="266"/>
      <c r="Q2622" s="266"/>
      <c r="BR2622" s="266"/>
      <c r="BS2622" s="266"/>
      <c r="BT2622" s="266"/>
      <c r="BU2622" s="266"/>
      <c r="BV2622" s="266"/>
    </row>
    <row r="2623" spans="12:74">
      <c r="L2623" s="266"/>
      <c r="M2623" s="266"/>
      <c r="N2623" s="266"/>
      <c r="O2623" s="266"/>
      <c r="P2623" s="266"/>
      <c r="Q2623" s="266"/>
      <c r="BR2623" s="266"/>
      <c r="BS2623" s="266"/>
      <c r="BT2623" s="266"/>
      <c r="BU2623" s="266"/>
      <c r="BV2623" s="266"/>
    </row>
    <row r="2624" spans="12:74">
      <c r="L2624" s="266"/>
      <c r="M2624" s="266"/>
      <c r="N2624" s="266"/>
      <c r="O2624" s="266"/>
      <c r="P2624" s="266"/>
      <c r="Q2624" s="266"/>
      <c r="BR2624" s="266"/>
      <c r="BS2624" s="266"/>
      <c r="BT2624" s="266"/>
      <c r="BU2624" s="266"/>
      <c r="BV2624" s="266"/>
    </row>
    <row r="2625" spans="12:74">
      <c r="L2625" s="266"/>
      <c r="M2625" s="266"/>
      <c r="N2625" s="266"/>
      <c r="O2625" s="266"/>
      <c r="P2625" s="266"/>
      <c r="Q2625" s="266"/>
      <c r="BR2625" s="266"/>
      <c r="BS2625" s="266"/>
      <c r="BT2625" s="266"/>
      <c r="BU2625" s="266"/>
      <c r="BV2625" s="266"/>
    </row>
    <row r="2626" spans="12:74">
      <c r="L2626" s="266"/>
      <c r="M2626" s="266"/>
      <c r="N2626" s="266"/>
      <c r="O2626" s="266"/>
      <c r="P2626" s="266"/>
      <c r="Q2626" s="266"/>
      <c r="BR2626" s="266"/>
      <c r="BS2626" s="266"/>
      <c r="BT2626" s="266"/>
      <c r="BU2626" s="266"/>
      <c r="BV2626" s="266"/>
    </row>
    <row r="2627" spans="12:74">
      <c r="L2627" s="266"/>
      <c r="M2627" s="266"/>
      <c r="N2627" s="266"/>
      <c r="O2627" s="266"/>
      <c r="P2627" s="266"/>
      <c r="Q2627" s="266"/>
      <c r="BR2627" s="266"/>
      <c r="BS2627" s="266"/>
      <c r="BT2627" s="266"/>
      <c r="BU2627" s="266"/>
      <c r="BV2627" s="266"/>
    </row>
    <row r="2628" spans="12:74">
      <c r="L2628" s="266"/>
      <c r="M2628" s="266"/>
      <c r="N2628" s="266"/>
      <c r="O2628" s="266"/>
      <c r="P2628" s="266"/>
      <c r="Q2628" s="266"/>
      <c r="BR2628" s="266"/>
      <c r="BS2628" s="266"/>
      <c r="BT2628" s="266"/>
      <c r="BU2628" s="266"/>
      <c r="BV2628" s="266"/>
    </row>
    <row r="2629" spans="12:74">
      <c r="L2629" s="266"/>
      <c r="M2629" s="266"/>
      <c r="N2629" s="266"/>
      <c r="O2629" s="266"/>
      <c r="P2629" s="266"/>
      <c r="Q2629" s="266"/>
      <c r="BR2629" s="266"/>
      <c r="BS2629" s="266"/>
      <c r="BT2629" s="266"/>
      <c r="BU2629" s="266"/>
      <c r="BV2629" s="266"/>
    </row>
    <row r="2630" spans="12:74">
      <c r="L2630" s="266"/>
      <c r="M2630" s="266"/>
      <c r="N2630" s="266"/>
      <c r="O2630" s="266"/>
      <c r="P2630" s="266"/>
      <c r="Q2630" s="266"/>
      <c r="BR2630" s="266"/>
      <c r="BS2630" s="266"/>
      <c r="BT2630" s="266"/>
      <c r="BU2630" s="266"/>
      <c r="BV2630" s="266"/>
    </row>
    <row r="2631" spans="12:74">
      <c r="L2631" s="266"/>
      <c r="M2631" s="266"/>
      <c r="N2631" s="266"/>
      <c r="O2631" s="266"/>
      <c r="P2631" s="266"/>
      <c r="Q2631" s="266"/>
      <c r="BR2631" s="266"/>
      <c r="BS2631" s="266"/>
      <c r="BT2631" s="266"/>
      <c r="BU2631" s="266"/>
      <c r="BV2631" s="266"/>
    </row>
    <row r="2632" spans="12:74">
      <c r="L2632" s="266"/>
      <c r="M2632" s="266"/>
      <c r="N2632" s="266"/>
      <c r="O2632" s="266"/>
      <c r="P2632" s="266"/>
      <c r="Q2632" s="266"/>
      <c r="BR2632" s="266"/>
      <c r="BS2632" s="266"/>
      <c r="BT2632" s="266"/>
      <c r="BU2632" s="266"/>
      <c r="BV2632" s="266"/>
    </row>
    <row r="2633" spans="12:74">
      <c r="L2633" s="266"/>
      <c r="M2633" s="266"/>
      <c r="N2633" s="266"/>
      <c r="O2633" s="266"/>
      <c r="P2633" s="266"/>
      <c r="Q2633" s="266"/>
      <c r="BR2633" s="266"/>
      <c r="BS2633" s="266"/>
      <c r="BT2633" s="266"/>
      <c r="BU2633" s="266"/>
      <c r="BV2633" s="266"/>
    </row>
    <row r="2634" spans="12:74">
      <c r="L2634" s="266"/>
      <c r="M2634" s="266"/>
      <c r="N2634" s="266"/>
      <c r="O2634" s="266"/>
      <c r="P2634" s="266"/>
      <c r="Q2634" s="266"/>
      <c r="BR2634" s="266"/>
      <c r="BS2634" s="266"/>
      <c r="BT2634" s="266"/>
      <c r="BU2634" s="266"/>
      <c r="BV2634" s="266"/>
    </row>
    <row r="2635" spans="12:74">
      <c r="L2635" s="266"/>
      <c r="M2635" s="266"/>
      <c r="N2635" s="266"/>
      <c r="O2635" s="266"/>
      <c r="P2635" s="266"/>
      <c r="Q2635" s="266"/>
      <c r="BR2635" s="266"/>
      <c r="BS2635" s="266"/>
      <c r="BT2635" s="266"/>
      <c r="BU2635" s="266"/>
      <c r="BV2635" s="266"/>
    </row>
    <row r="2636" spans="12:74">
      <c r="L2636" s="266"/>
      <c r="M2636" s="266"/>
      <c r="N2636" s="266"/>
      <c r="O2636" s="266"/>
      <c r="P2636" s="266"/>
      <c r="Q2636" s="266"/>
      <c r="BR2636" s="266"/>
      <c r="BS2636" s="266"/>
      <c r="BT2636" s="266"/>
      <c r="BU2636" s="266"/>
      <c r="BV2636" s="266"/>
    </row>
    <row r="2637" spans="12:74">
      <c r="L2637" s="266"/>
      <c r="M2637" s="266"/>
      <c r="N2637" s="266"/>
      <c r="O2637" s="266"/>
      <c r="P2637" s="266"/>
      <c r="Q2637" s="266"/>
      <c r="BR2637" s="266"/>
      <c r="BS2637" s="266"/>
      <c r="BT2637" s="266"/>
      <c r="BU2637" s="266"/>
      <c r="BV2637" s="266"/>
    </row>
    <row r="2638" spans="12:74">
      <c r="L2638" s="266"/>
      <c r="M2638" s="266"/>
      <c r="N2638" s="266"/>
      <c r="O2638" s="266"/>
      <c r="P2638" s="266"/>
      <c r="Q2638" s="266"/>
      <c r="BR2638" s="266"/>
      <c r="BS2638" s="266"/>
      <c r="BT2638" s="266"/>
      <c r="BU2638" s="266"/>
      <c r="BV2638" s="266"/>
    </row>
    <row r="2639" spans="12:74">
      <c r="L2639" s="266"/>
      <c r="M2639" s="266"/>
      <c r="N2639" s="266"/>
      <c r="O2639" s="266"/>
      <c r="P2639" s="266"/>
      <c r="Q2639" s="266"/>
      <c r="BR2639" s="266"/>
      <c r="BS2639" s="266"/>
      <c r="BT2639" s="266"/>
      <c r="BU2639" s="266"/>
      <c r="BV2639" s="266"/>
    </row>
    <row r="2640" spans="12:74">
      <c r="L2640" s="266"/>
      <c r="M2640" s="266"/>
      <c r="N2640" s="266"/>
      <c r="O2640" s="266"/>
      <c r="P2640" s="266"/>
      <c r="Q2640" s="266"/>
      <c r="BR2640" s="266"/>
      <c r="BS2640" s="266"/>
      <c r="BT2640" s="266"/>
      <c r="BU2640" s="266"/>
      <c r="BV2640" s="266"/>
    </row>
    <row r="2641" spans="12:74">
      <c r="L2641" s="266"/>
      <c r="M2641" s="266"/>
      <c r="N2641" s="266"/>
      <c r="O2641" s="266"/>
      <c r="P2641" s="266"/>
      <c r="Q2641" s="266"/>
      <c r="BR2641" s="266"/>
      <c r="BS2641" s="266"/>
      <c r="BT2641" s="266"/>
      <c r="BU2641" s="266"/>
      <c r="BV2641" s="266"/>
    </row>
    <row r="2642" spans="12:74">
      <c r="L2642" s="266"/>
      <c r="M2642" s="266"/>
      <c r="N2642" s="266"/>
      <c r="O2642" s="266"/>
      <c r="P2642" s="266"/>
      <c r="Q2642" s="266"/>
      <c r="BR2642" s="266"/>
      <c r="BS2642" s="266"/>
      <c r="BT2642" s="266"/>
      <c r="BU2642" s="266"/>
      <c r="BV2642" s="266"/>
    </row>
    <row r="2643" spans="12:74">
      <c r="L2643" s="266"/>
      <c r="M2643" s="266"/>
      <c r="N2643" s="266"/>
      <c r="O2643" s="266"/>
      <c r="P2643" s="266"/>
      <c r="Q2643" s="266"/>
      <c r="BR2643" s="266"/>
      <c r="BS2643" s="266"/>
      <c r="BT2643" s="266"/>
      <c r="BU2643" s="266"/>
      <c r="BV2643" s="266"/>
    </row>
    <row r="2644" spans="12:74">
      <c r="L2644" s="266"/>
      <c r="M2644" s="266"/>
      <c r="N2644" s="266"/>
      <c r="O2644" s="266"/>
      <c r="P2644" s="266"/>
      <c r="Q2644" s="266"/>
      <c r="BR2644" s="266"/>
      <c r="BS2644" s="266"/>
      <c r="BT2644" s="266"/>
      <c r="BU2644" s="266"/>
      <c r="BV2644" s="266"/>
    </row>
    <row r="2645" spans="12:74">
      <c r="L2645" s="266"/>
      <c r="M2645" s="266"/>
      <c r="N2645" s="266"/>
      <c r="O2645" s="266"/>
      <c r="P2645" s="266"/>
      <c r="Q2645" s="266"/>
      <c r="BR2645" s="266"/>
      <c r="BS2645" s="266"/>
      <c r="BT2645" s="266"/>
      <c r="BU2645" s="266"/>
      <c r="BV2645" s="266"/>
    </row>
    <row r="2646" spans="12:74">
      <c r="L2646" s="266"/>
      <c r="M2646" s="266"/>
      <c r="N2646" s="266"/>
      <c r="O2646" s="266"/>
      <c r="P2646" s="266"/>
      <c r="Q2646" s="266"/>
      <c r="BR2646" s="266"/>
      <c r="BS2646" s="266"/>
      <c r="BT2646" s="266"/>
      <c r="BU2646" s="266"/>
      <c r="BV2646" s="266"/>
    </row>
    <row r="2647" spans="12:74">
      <c r="L2647" s="266"/>
      <c r="M2647" s="266"/>
      <c r="N2647" s="266"/>
      <c r="O2647" s="266"/>
      <c r="P2647" s="266"/>
      <c r="Q2647" s="266"/>
      <c r="BR2647" s="266"/>
      <c r="BS2647" s="266"/>
      <c r="BT2647" s="266"/>
      <c r="BU2647" s="266"/>
      <c r="BV2647" s="266"/>
    </row>
    <row r="2648" spans="12:74">
      <c r="L2648" s="266"/>
      <c r="M2648" s="266"/>
      <c r="N2648" s="266"/>
      <c r="O2648" s="266"/>
      <c r="P2648" s="266"/>
      <c r="Q2648" s="266"/>
      <c r="BR2648" s="266"/>
      <c r="BS2648" s="266"/>
      <c r="BT2648" s="266"/>
      <c r="BU2648" s="266"/>
      <c r="BV2648" s="266"/>
    </row>
    <row r="2649" spans="12:74">
      <c r="L2649" s="266"/>
      <c r="M2649" s="266"/>
      <c r="N2649" s="266"/>
      <c r="O2649" s="266"/>
      <c r="P2649" s="266"/>
      <c r="Q2649" s="266"/>
      <c r="BR2649" s="266"/>
      <c r="BS2649" s="266"/>
      <c r="BT2649" s="266"/>
      <c r="BU2649" s="266"/>
      <c r="BV2649" s="266"/>
    </row>
    <row r="2650" spans="12:74">
      <c r="L2650" s="266"/>
      <c r="M2650" s="266"/>
      <c r="N2650" s="266"/>
      <c r="O2650" s="266"/>
      <c r="P2650" s="266"/>
      <c r="Q2650" s="266"/>
      <c r="BR2650" s="266"/>
      <c r="BS2650" s="266"/>
      <c r="BT2650" s="266"/>
      <c r="BU2650" s="266"/>
      <c r="BV2650" s="266"/>
    </row>
    <row r="2651" spans="12:74">
      <c r="L2651" s="266"/>
      <c r="M2651" s="266"/>
      <c r="N2651" s="266"/>
      <c r="O2651" s="266"/>
      <c r="P2651" s="266"/>
      <c r="Q2651" s="266"/>
      <c r="BR2651" s="266"/>
      <c r="BS2651" s="266"/>
      <c r="BT2651" s="266"/>
      <c r="BU2651" s="266"/>
      <c r="BV2651" s="266"/>
    </row>
    <row r="2652" spans="12:74">
      <c r="L2652" s="266"/>
      <c r="M2652" s="266"/>
      <c r="N2652" s="266"/>
      <c r="O2652" s="266"/>
      <c r="P2652" s="266"/>
      <c r="Q2652" s="266"/>
      <c r="BR2652" s="266"/>
      <c r="BS2652" s="266"/>
      <c r="BT2652" s="266"/>
      <c r="BU2652" s="266"/>
      <c r="BV2652" s="266"/>
    </row>
    <row r="2653" spans="12:74">
      <c r="L2653" s="266"/>
      <c r="M2653" s="266"/>
      <c r="N2653" s="266"/>
      <c r="O2653" s="266"/>
      <c r="P2653" s="266"/>
      <c r="Q2653" s="266"/>
      <c r="BR2653" s="266"/>
      <c r="BS2653" s="266"/>
      <c r="BT2653" s="266"/>
      <c r="BU2653" s="266"/>
      <c r="BV2653" s="266"/>
    </row>
    <row r="2654" spans="12:74">
      <c r="L2654" s="266"/>
      <c r="M2654" s="266"/>
      <c r="N2654" s="266"/>
      <c r="O2654" s="266"/>
      <c r="P2654" s="266"/>
      <c r="Q2654" s="266"/>
      <c r="BR2654" s="266"/>
      <c r="BS2654" s="266"/>
      <c r="BT2654" s="266"/>
      <c r="BU2654" s="266"/>
      <c r="BV2654" s="266"/>
    </row>
    <row r="2655" spans="12:74">
      <c r="L2655" s="266"/>
      <c r="M2655" s="266"/>
      <c r="N2655" s="266"/>
      <c r="O2655" s="266"/>
      <c r="P2655" s="266"/>
      <c r="Q2655" s="266"/>
      <c r="BR2655" s="266"/>
      <c r="BS2655" s="266"/>
      <c r="BT2655" s="266"/>
      <c r="BU2655" s="266"/>
      <c r="BV2655" s="266"/>
    </row>
    <row r="2656" spans="12:74">
      <c r="L2656" s="266"/>
      <c r="M2656" s="266"/>
      <c r="N2656" s="266"/>
      <c r="O2656" s="266"/>
      <c r="P2656" s="266"/>
      <c r="Q2656" s="266"/>
      <c r="BR2656" s="266"/>
      <c r="BS2656" s="266"/>
      <c r="BT2656" s="266"/>
      <c r="BU2656" s="266"/>
      <c r="BV2656" s="266"/>
    </row>
    <row r="2657" spans="12:74">
      <c r="L2657" s="266"/>
      <c r="M2657" s="266"/>
      <c r="N2657" s="266"/>
      <c r="O2657" s="266"/>
      <c r="P2657" s="266"/>
      <c r="Q2657" s="266"/>
      <c r="BR2657" s="266"/>
      <c r="BS2657" s="266"/>
      <c r="BT2657" s="266"/>
      <c r="BU2657" s="266"/>
      <c r="BV2657" s="266"/>
    </row>
    <row r="2658" spans="12:74">
      <c r="L2658" s="266"/>
      <c r="M2658" s="266"/>
      <c r="N2658" s="266"/>
      <c r="O2658" s="266"/>
      <c r="P2658" s="266"/>
      <c r="Q2658" s="266"/>
      <c r="BR2658" s="266"/>
      <c r="BS2658" s="266"/>
      <c r="BT2658" s="266"/>
      <c r="BU2658" s="266"/>
      <c r="BV2658" s="266"/>
    </row>
    <row r="2659" spans="12:74">
      <c r="L2659" s="266"/>
      <c r="M2659" s="266"/>
      <c r="N2659" s="266"/>
      <c r="O2659" s="266"/>
      <c r="P2659" s="266"/>
      <c r="Q2659" s="266"/>
      <c r="BR2659" s="266"/>
      <c r="BS2659" s="266"/>
      <c r="BT2659" s="266"/>
      <c r="BU2659" s="266"/>
      <c r="BV2659" s="266"/>
    </row>
    <row r="2660" spans="12:74">
      <c r="L2660" s="266"/>
      <c r="M2660" s="266"/>
      <c r="N2660" s="266"/>
      <c r="O2660" s="266"/>
      <c r="P2660" s="266"/>
      <c r="Q2660" s="266"/>
      <c r="BR2660" s="266"/>
      <c r="BS2660" s="266"/>
      <c r="BT2660" s="266"/>
      <c r="BU2660" s="266"/>
      <c r="BV2660" s="266"/>
    </row>
    <row r="2661" spans="12:74">
      <c r="L2661" s="266"/>
      <c r="M2661" s="266"/>
      <c r="N2661" s="266"/>
      <c r="O2661" s="266"/>
      <c r="P2661" s="266"/>
      <c r="Q2661" s="266"/>
      <c r="BR2661" s="266"/>
      <c r="BS2661" s="266"/>
      <c r="BT2661" s="266"/>
      <c r="BU2661" s="266"/>
      <c r="BV2661" s="266"/>
    </row>
    <row r="2662" spans="12:74">
      <c r="L2662" s="266"/>
      <c r="M2662" s="266"/>
      <c r="N2662" s="266"/>
      <c r="O2662" s="266"/>
      <c r="P2662" s="266"/>
      <c r="Q2662" s="266"/>
      <c r="BR2662" s="266"/>
      <c r="BS2662" s="266"/>
      <c r="BT2662" s="266"/>
      <c r="BU2662" s="266"/>
      <c r="BV2662" s="266"/>
    </row>
    <row r="2663" spans="12:74">
      <c r="L2663" s="266"/>
      <c r="M2663" s="266"/>
      <c r="N2663" s="266"/>
      <c r="O2663" s="266"/>
      <c r="P2663" s="266"/>
      <c r="Q2663" s="266"/>
      <c r="BR2663" s="266"/>
      <c r="BS2663" s="266"/>
      <c r="BT2663" s="266"/>
      <c r="BU2663" s="266"/>
      <c r="BV2663" s="266"/>
    </row>
    <row r="2664" spans="12:74">
      <c r="L2664" s="266"/>
      <c r="M2664" s="266"/>
      <c r="N2664" s="266"/>
      <c r="O2664" s="266"/>
      <c r="P2664" s="266"/>
      <c r="Q2664" s="266"/>
      <c r="BR2664" s="266"/>
      <c r="BS2664" s="266"/>
      <c r="BT2664" s="266"/>
      <c r="BU2664" s="266"/>
      <c r="BV2664" s="266"/>
    </row>
    <row r="2665" spans="12:74">
      <c r="L2665" s="266"/>
      <c r="M2665" s="266"/>
      <c r="N2665" s="266"/>
      <c r="O2665" s="266"/>
      <c r="P2665" s="266"/>
      <c r="Q2665" s="266"/>
      <c r="BR2665" s="266"/>
      <c r="BS2665" s="266"/>
      <c r="BT2665" s="266"/>
      <c r="BU2665" s="266"/>
      <c r="BV2665" s="266"/>
    </row>
    <row r="2666" spans="12:74">
      <c r="L2666" s="266"/>
      <c r="M2666" s="266"/>
      <c r="N2666" s="266"/>
      <c r="O2666" s="266"/>
      <c r="P2666" s="266"/>
      <c r="Q2666" s="266"/>
      <c r="BR2666" s="266"/>
      <c r="BS2666" s="266"/>
      <c r="BT2666" s="266"/>
      <c r="BU2666" s="266"/>
      <c r="BV2666" s="266"/>
    </row>
    <row r="2667" spans="12:74">
      <c r="L2667" s="266"/>
      <c r="M2667" s="266"/>
      <c r="N2667" s="266"/>
      <c r="O2667" s="266"/>
      <c r="P2667" s="266"/>
      <c r="Q2667" s="266"/>
      <c r="BR2667" s="266"/>
      <c r="BS2667" s="266"/>
      <c r="BT2667" s="266"/>
      <c r="BU2667" s="266"/>
      <c r="BV2667" s="266"/>
    </row>
    <row r="2668" spans="12:74">
      <c r="L2668" s="266"/>
      <c r="M2668" s="266"/>
      <c r="N2668" s="266"/>
      <c r="O2668" s="266"/>
      <c r="P2668" s="266"/>
      <c r="Q2668" s="266"/>
      <c r="BR2668" s="266"/>
      <c r="BS2668" s="266"/>
      <c r="BT2668" s="266"/>
      <c r="BU2668" s="266"/>
      <c r="BV2668" s="266"/>
    </row>
    <row r="2669" spans="12:74">
      <c r="L2669" s="266"/>
      <c r="M2669" s="266"/>
      <c r="N2669" s="266"/>
      <c r="O2669" s="266"/>
      <c r="P2669" s="266"/>
      <c r="Q2669" s="266"/>
      <c r="BR2669" s="266"/>
      <c r="BS2669" s="266"/>
      <c r="BT2669" s="266"/>
      <c r="BU2669" s="266"/>
      <c r="BV2669" s="266"/>
    </row>
    <row r="2670" spans="12:74">
      <c r="L2670" s="266"/>
      <c r="M2670" s="266"/>
      <c r="N2670" s="266"/>
      <c r="O2670" s="266"/>
      <c r="P2670" s="266"/>
      <c r="Q2670" s="266"/>
      <c r="BR2670" s="266"/>
      <c r="BS2670" s="266"/>
      <c r="BT2670" s="266"/>
      <c r="BU2670" s="266"/>
      <c r="BV2670" s="266"/>
    </row>
    <row r="2671" spans="12:74">
      <c r="L2671" s="266"/>
      <c r="M2671" s="266"/>
      <c r="N2671" s="266"/>
      <c r="O2671" s="266"/>
      <c r="P2671" s="266"/>
      <c r="Q2671" s="266"/>
      <c r="BR2671" s="266"/>
      <c r="BS2671" s="266"/>
      <c r="BT2671" s="266"/>
      <c r="BU2671" s="266"/>
      <c r="BV2671" s="266"/>
    </row>
    <row r="2672" spans="12:74">
      <c r="L2672" s="266"/>
      <c r="M2672" s="266"/>
      <c r="N2672" s="266"/>
      <c r="O2672" s="266"/>
      <c r="P2672" s="266"/>
      <c r="Q2672" s="266"/>
      <c r="BR2672" s="266"/>
      <c r="BS2672" s="266"/>
      <c r="BT2672" s="266"/>
      <c r="BU2672" s="266"/>
      <c r="BV2672" s="266"/>
    </row>
    <row r="2673" spans="12:74">
      <c r="L2673" s="266"/>
      <c r="M2673" s="266"/>
      <c r="N2673" s="266"/>
      <c r="O2673" s="266"/>
      <c r="P2673" s="266"/>
      <c r="Q2673" s="266"/>
      <c r="BR2673" s="266"/>
      <c r="BS2673" s="266"/>
      <c r="BT2673" s="266"/>
      <c r="BU2673" s="266"/>
      <c r="BV2673" s="266"/>
    </row>
    <row r="2674" spans="12:74">
      <c r="L2674" s="266"/>
      <c r="M2674" s="266"/>
      <c r="N2674" s="266"/>
      <c r="O2674" s="266"/>
      <c r="P2674" s="266"/>
      <c r="Q2674" s="266"/>
      <c r="BR2674" s="266"/>
      <c r="BS2674" s="266"/>
      <c r="BT2674" s="266"/>
      <c r="BU2674" s="266"/>
      <c r="BV2674" s="266"/>
    </row>
    <row r="2675" spans="12:74">
      <c r="L2675" s="266"/>
      <c r="M2675" s="266"/>
      <c r="N2675" s="266"/>
      <c r="O2675" s="266"/>
      <c r="P2675" s="266"/>
      <c r="Q2675" s="266"/>
      <c r="BR2675" s="266"/>
      <c r="BS2675" s="266"/>
      <c r="BT2675" s="266"/>
      <c r="BU2675" s="266"/>
      <c r="BV2675" s="266"/>
    </row>
    <row r="2676" spans="12:74">
      <c r="L2676" s="266"/>
      <c r="M2676" s="266"/>
      <c r="N2676" s="266"/>
      <c r="O2676" s="266"/>
      <c r="P2676" s="266"/>
      <c r="Q2676" s="266"/>
      <c r="BR2676" s="266"/>
      <c r="BS2676" s="266"/>
      <c r="BT2676" s="266"/>
      <c r="BU2676" s="266"/>
      <c r="BV2676" s="266"/>
    </row>
    <row r="2677" spans="12:74">
      <c r="L2677" s="266"/>
      <c r="M2677" s="266"/>
      <c r="N2677" s="266"/>
      <c r="O2677" s="266"/>
      <c r="P2677" s="266"/>
      <c r="Q2677" s="266"/>
      <c r="BR2677" s="266"/>
      <c r="BS2677" s="266"/>
      <c r="BT2677" s="266"/>
      <c r="BU2677" s="266"/>
      <c r="BV2677" s="266"/>
    </row>
    <row r="2678" spans="12:74">
      <c r="L2678" s="266"/>
      <c r="M2678" s="266"/>
      <c r="N2678" s="266"/>
      <c r="O2678" s="266"/>
      <c r="P2678" s="266"/>
      <c r="Q2678" s="266"/>
      <c r="BR2678" s="266"/>
      <c r="BS2678" s="266"/>
      <c r="BT2678" s="266"/>
      <c r="BU2678" s="266"/>
      <c r="BV2678" s="266"/>
    </row>
    <row r="2679" spans="12:74">
      <c r="L2679" s="266"/>
      <c r="M2679" s="266"/>
      <c r="N2679" s="266"/>
      <c r="O2679" s="266"/>
      <c r="P2679" s="266"/>
      <c r="Q2679" s="266"/>
      <c r="BR2679" s="266"/>
      <c r="BS2679" s="266"/>
      <c r="BT2679" s="266"/>
      <c r="BU2679" s="266"/>
      <c r="BV2679" s="266"/>
    </row>
    <row r="2680" spans="12:74">
      <c r="L2680" s="266"/>
      <c r="M2680" s="266"/>
      <c r="N2680" s="266"/>
      <c r="O2680" s="266"/>
      <c r="P2680" s="266"/>
      <c r="Q2680" s="266"/>
      <c r="BR2680" s="266"/>
      <c r="BS2680" s="266"/>
      <c r="BT2680" s="266"/>
      <c r="BU2680" s="266"/>
      <c r="BV2680" s="266"/>
    </row>
    <row r="2681" spans="12:74">
      <c r="L2681" s="266"/>
      <c r="M2681" s="266"/>
      <c r="N2681" s="266"/>
      <c r="O2681" s="266"/>
      <c r="P2681" s="266"/>
      <c r="Q2681" s="266"/>
      <c r="BR2681" s="266"/>
      <c r="BS2681" s="266"/>
      <c r="BT2681" s="266"/>
      <c r="BU2681" s="266"/>
      <c r="BV2681" s="266"/>
    </row>
    <row r="2682" spans="12:74">
      <c r="L2682" s="266"/>
      <c r="M2682" s="266"/>
      <c r="N2682" s="266"/>
      <c r="O2682" s="266"/>
      <c r="P2682" s="266"/>
      <c r="Q2682" s="266"/>
      <c r="BR2682" s="266"/>
      <c r="BS2682" s="266"/>
      <c r="BT2682" s="266"/>
      <c r="BU2682" s="266"/>
      <c r="BV2682" s="266"/>
    </row>
    <row r="2683" spans="12:74">
      <c r="L2683" s="266"/>
      <c r="M2683" s="266"/>
      <c r="N2683" s="266"/>
      <c r="O2683" s="266"/>
      <c r="P2683" s="266"/>
      <c r="Q2683" s="266"/>
      <c r="BR2683" s="266"/>
      <c r="BS2683" s="266"/>
      <c r="BT2683" s="266"/>
      <c r="BU2683" s="266"/>
      <c r="BV2683" s="266"/>
    </row>
    <row r="2684" spans="12:74">
      <c r="L2684" s="266"/>
      <c r="M2684" s="266"/>
      <c r="N2684" s="266"/>
      <c r="O2684" s="266"/>
      <c r="P2684" s="266"/>
      <c r="Q2684" s="266"/>
      <c r="BR2684" s="266"/>
      <c r="BS2684" s="266"/>
      <c r="BT2684" s="266"/>
      <c r="BU2684" s="266"/>
      <c r="BV2684" s="266"/>
    </row>
    <row r="2685" spans="12:74">
      <c r="L2685" s="266"/>
      <c r="M2685" s="266"/>
      <c r="N2685" s="266"/>
      <c r="O2685" s="266"/>
      <c r="P2685" s="266"/>
      <c r="Q2685" s="266"/>
      <c r="BR2685" s="266"/>
      <c r="BS2685" s="266"/>
      <c r="BT2685" s="266"/>
      <c r="BU2685" s="266"/>
      <c r="BV2685" s="266"/>
    </row>
    <row r="2686" spans="12:74">
      <c r="L2686" s="266"/>
      <c r="M2686" s="266"/>
      <c r="N2686" s="266"/>
      <c r="O2686" s="266"/>
      <c r="P2686" s="266"/>
      <c r="Q2686" s="266"/>
      <c r="BR2686" s="266"/>
      <c r="BS2686" s="266"/>
      <c r="BT2686" s="266"/>
      <c r="BU2686" s="266"/>
      <c r="BV2686" s="266"/>
    </row>
    <row r="2687" spans="12:74">
      <c r="L2687" s="266"/>
      <c r="M2687" s="266"/>
      <c r="N2687" s="266"/>
      <c r="O2687" s="266"/>
      <c r="P2687" s="266"/>
      <c r="Q2687" s="266"/>
      <c r="BR2687" s="266"/>
      <c r="BS2687" s="266"/>
      <c r="BT2687" s="266"/>
      <c r="BU2687" s="266"/>
      <c r="BV2687" s="266"/>
    </row>
    <row r="2688" spans="12:74">
      <c r="L2688" s="266"/>
      <c r="M2688" s="266"/>
      <c r="N2688" s="266"/>
      <c r="O2688" s="266"/>
      <c r="P2688" s="266"/>
      <c r="Q2688" s="266"/>
      <c r="BR2688" s="266"/>
      <c r="BS2688" s="266"/>
      <c r="BT2688" s="266"/>
      <c r="BU2688" s="266"/>
      <c r="BV2688" s="266"/>
    </row>
    <row r="2689" spans="12:74">
      <c r="L2689" s="266"/>
      <c r="M2689" s="266"/>
      <c r="N2689" s="266"/>
      <c r="O2689" s="266"/>
      <c r="P2689" s="266"/>
      <c r="Q2689" s="266"/>
      <c r="BR2689" s="266"/>
      <c r="BS2689" s="266"/>
      <c r="BT2689" s="266"/>
      <c r="BU2689" s="266"/>
      <c r="BV2689" s="266"/>
    </row>
    <row r="2690" spans="12:74">
      <c r="L2690" s="266"/>
      <c r="M2690" s="266"/>
      <c r="N2690" s="266"/>
      <c r="O2690" s="266"/>
      <c r="P2690" s="266"/>
      <c r="Q2690" s="266"/>
      <c r="BR2690" s="266"/>
      <c r="BS2690" s="266"/>
      <c r="BT2690" s="266"/>
      <c r="BU2690" s="266"/>
      <c r="BV2690" s="266"/>
    </row>
    <row r="2691" spans="12:74">
      <c r="L2691" s="266"/>
      <c r="M2691" s="266"/>
      <c r="N2691" s="266"/>
      <c r="O2691" s="266"/>
      <c r="P2691" s="266"/>
      <c r="Q2691" s="266"/>
      <c r="BR2691" s="266"/>
      <c r="BS2691" s="266"/>
      <c r="BT2691" s="266"/>
      <c r="BU2691" s="266"/>
      <c r="BV2691" s="266"/>
    </row>
    <row r="2692" spans="12:74">
      <c r="L2692" s="266"/>
      <c r="M2692" s="266"/>
      <c r="N2692" s="266"/>
      <c r="O2692" s="266"/>
      <c r="P2692" s="266"/>
      <c r="Q2692" s="266"/>
      <c r="BR2692" s="266"/>
      <c r="BS2692" s="266"/>
      <c r="BT2692" s="266"/>
      <c r="BU2692" s="266"/>
      <c r="BV2692" s="266"/>
    </row>
    <row r="2693" spans="12:74">
      <c r="L2693" s="266"/>
      <c r="M2693" s="266"/>
      <c r="N2693" s="266"/>
      <c r="O2693" s="266"/>
      <c r="P2693" s="266"/>
      <c r="Q2693" s="266"/>
      <c r="BR2693" s="266"/>
      <c r="BS2693" s="266"/>
      <c r="BT2693" s="266"/>
      <c r="BU2693" s="266"/>
      <c r="BV2693" s="266"/>
    </row>
    <row r="2694" spans="12:74">
      <c r="L2694" s="266"/>
      <c r="M2694" s="266"/>
      <c r="N2694" s="266"/>
      <c r="O2694" s="266"/>
      <c r="P2694" s="266"/>
      <c r="Q2694" s="266"/>
      <c r="BR2694" s="266"/>
      <c r="BS2694" s="266"/>
      <c r="BT2694" s="266"/>
      <c r="BU2694" s="266"/>
      <c r="BV2694" s="266"/>
    </row>
    <row r="2695" spans="12:74">
      <c r="L2695" s="266"/>
      <c r="M2695" s="266"/>
      <c r="N2695" s="266"/>
      <c r="O2695" s="266"/>
      <c r="P2695" s="266"/>
      <c r="Q2695" s="266"/>
      <c r="BR2695" s="266"/>
      <c r="BS2695" s="266"/>
      <c r="BT2695" s="266"/>
      <c r="BU2695" s="266"/>
      <c r="BV2695" s="266"/>
    </row>
    <row r="2696" spans="12:74">
      <c r="L2696" s="266"/>
      <c r="M2696" s="266"/>
      <c r="N2696" s="266"/>
      <c r="O2696" s="266"/>
      <c r="P2696" s="266"/>
      <c r="Q2696" s="266"/>
      <c r="BR2696" s="266"/>
      <c r="BS2696" s="266"/>
      <c r="BT2696" s="266"/>
      <c r="BU2696" s="266"/>
      <c r="BV2696" s="266"/>
    </row>
    <row r="2697" spans="12:74">
      <c r="L2697" s="266"/>
      <c r="M2697" s="266"/>
      <c r="N2697" s="266"/>
      <c r="O2697" s="266"/>
      <c r="P2697" s="266"/>
      <c r="Q2697" s="266"/>
      <c r="BR2697" s="266"/>
      <c r="BS2697" s="266"/>
      <c r="BT2697" s="266"/>
      <c r="BU2697" s="266"/>
      <c r="BV2697" s="266"/>
    </row>
    <row r="2698" spans="12:74">
      <c r="L2698" s="266"/>
      <c r="M2698" s="266"/>
      <c r="N2698" s="266"/>
      <c r="O2698" s="266"/>
      <c r="P2698" s="266"/>
      <c r="Q2698" s="266"/>
      <c r="BR2698" s="266"/>
      <c r="BS2698" s="266"/>
      <c r="BT2698" s="266"/>
      <c r="BU2698" s="266"/>
      <c r="BV2698" s="266"/>
    </row>
    <row r="2699" spans="12:74">
      <c r="L2699" s="266"/>
      <c r="M2699" s="266"/>
      <c r="N2699" s="266"/>
      <c r="O2699" s="266"/>
      <c r="P2699" s="266"/>
      <c r="Q2699" s="266"/>
      <c r="BR2699" s="266"/>
      <c r="BS2699" s="266"/>
      <c r="BT2699" s="266"/>
      <c r="BU2699" s="266"/>
      <c r="BV2699" s="266"/>
    </row>
    <row r="2700" spans="12:74">
      <c r="L2700" s="266"/>
      <c r="M2700" s="266"/>
      <c r="N2700" s="266"/>
      <c r="O2700" s="266"/>
      <c r="P2700" s="266"/>
      <c r="Q2700" s="266"/>
      <c r="BR2700" s="266"/>
      <c r="BS2700" s="266"/>
      <c r="BT2700" s="266"/>
      <c r="BU2700" s="266"/>
      <c r="BV2700" s="266"/>
    </row>
    <row r="2701" spans="12:74">
      <c r="L2701" s="266"/>
      <c r="M2701" s="266"/>
      <c r="N2701" s="266"/>
      <c r="O2701" s="266"/>
      <c r="P2701" s="266"/>
      <c r="Q2701" s="266"/>
      <c r="BR2701" s="266"/>
      <c r="BS2701" s="266"/>
      <c r="BT2701" s="266"/>
      <c r="BU2701" s="266"/>
      <c r="BV2701" s="266"/>
    </row>
    <row r="2702" spans="12:74">
      <c r="L2702" s="266"/>
      <c r="M2702" s="266"/>
      <c r="N2702" s="266"/>
      <c r="O2702" s="266"/>
      <c r="P2702" s="266"/>
      <c r="Q2702" s="266"/>
      <c r="BR2702" s="266"/>
      <c r="BS2702" s="266"/>
      <c r="BT2702" s="266"/>
      <c r="BU2702" s="266"/>
      <c r="BV2702" s="266"/>
    </row>
    <row r="2703" spans="12:74">
      <c r="L2703" s="266"/>
      <c r="M2703" s="266"/>
      <c r="N2703" s="266"/>
      <c r="O2703" s="266"/>
      <c r="P2703" s="266"/>
      <c r="Q2703" s="266"/>
      <c r="BR2703" s="266"/>
      <c r="BS2703" s="266"/>
      <c r="BT2703" s="266"/>
      <c r="BU2703" s="266"/>
      <c r="BV2703" s="266"/>
    </row>
    <row r="2704" spans="12:74">
      <c r="L2704" s="266"/>
      <c r="M2704" s="266"/>
      <c r="N2704" s="266"/>
      <c r="O2704" s="266"/>
      <c r="P2704" s="266"/>
      <c r="Q2704" s="266"/>
      <c r="BR2704" s="266"/>
      <c r="BS2704" s="266"/>
      <c r="BT2704" s="266"/>
      <c r="BU2704" s="266"/>
      <c r="BV2704" s="266"/>
    </row>
    <row r="2705" spans="12:74">
      <c r="L2705" s="266"/>
      <c r="M2705" s="266"/>
      <c r="N2705" s="266"/>
      <c r="O2705" s="266"/>
      <c r="P2705" s="266"/>
      <c r="Q2705" s="266"/>
      <c r="BR2705" s="266"/>
      <c r="BS2705" s="266"/>
      <c r="BT2705" s="266"/>
      <c r="BU2705" s="266"/>
      <c r="BV2705" s="266"/>
    </row>
    <row r="2706" spans="12:74">
      <c r="L2706" s="266"/>
      <c r="M2706" s="266"/>
      <c r="N2706" s="266"/>
      <c r="O2706" s="266"/>
      <c r="P2706" s="266"/>
      <c r="Q2706" s="266"/>
      <c r="BR2706" s="266"/>
      <c r="BS2706" s="266"/>
      <c r="BT2706" s="266"/>
      <c r="BU2706" s="266"/>
      <c r="BV2706" s="266"/>
    </row>
    <row r="2707" spans="12:74">
      <c r="L2707" s="266"/>
      <c r="M2707" s="266"/>
      <c r="N2707" s="266"/>
      <c r="O2707" s="266"/>
      <c r="P2707" s="266"/>
      <c r="Q2707" s="266"/>
      <c r="BR2707" s="266"/>
      <c r="BS2707" s="266"/>
      <c r="BT2707" s="266"/>
      <c r="BU2707" s="266"/>
      <c r="BV2707" s="266"/>
    </row>
    <row r="2708" spans="12:74">
      <c r="L2708" s="266"/>
      <c r="M2708" s="266"/>
      <c r="N2708" s="266"/>
      <c r="O2708" s="266"/>
      <c r="P2708" s="266"/>
      <c r="Q2708" s="266"/>
      <c r="BR2708" s="266"/>
      <c r="BS2708" s="266"/>
      <c r="BT2708" s="266"/>
      <c r="BU2708" s="266"/>
      <c r="BV2708" s="266"/>
    </row>
    <row r="2709" spans="12:74">
      <c r="L2709" s="266"/>
      <c r="M2709" s="266"/>
      <c r="N2709" s="266"/>
      <c r="O2709" s="266"/>
      <c r="P2709" s="266"/>
      <c r="Q2709" s="266"/>
      <c r="BR2709" s="266"/>
      <c r="BS2709" s="266"/>
      <c r="BT2709" s="266"/>
      <c r="BU2709" s="266"/>
      <c r="BV2709" s="266"/>
    </row>
    <row r="2710" spans="12:74">
      <c r="L2710" s="266"/>
      <c r="M2710" s="266"/>
      <c r="N2710" s="266"/>
      <c r="O2710" s="266"/>
      <c r="P2710" s="266"/>
      <c r="Q2710" s="266"/>
      <c r="BR2710" s="266"/>
      <c r="BS2710" s="266"/>
      <c r="BT2710" s="266"/>
      <c r="BU2710" s="266"/>
      <c r="BV2710" s="266"/>
    </row>
    <row r="2711" spans="12:74">
      <c r="L2711" s="266"/>
      <c r="M2711" s="266"/>
      <c r="N2711" s="266"/>
      <c r="O2711" s="266"/>
      <c r="P2711" s="266"/>
      <c r="Q2711" s="266"/>
      <c r="BR2711" s="266"/>
      <c r="BS2711" s="266"/>
      <c r="BT2711" s="266"/>
      <c r="BU2711" s="266"/>
      <c r="BV2711" s="266"/>
    </row>
    <row r="2712" spans="12:74">
      <c r="L2712" s="266"/>
      <c r="M2712" s="266"/>
      <c r="N2712" s="266"/>
      <c r="O2712" s="266"/>
      <c r="P2712" s="266"/>
      <c r="Q2712" s="266"/>
      <c r="BR2712" s="266"/>
      <c r="BS2712" s="266"/>
      <c r="BT2712" s="266"/>
      <c r="BU2712" s="266"/>
      <c r="BV2712" s="266"/>
    </row>
    <row r="2713" spans="12:74">
      <c r="L2713" s="266"/>
      <c r="M2713" s="266"/>
      <c r="N2713" s="266"/>
      <c r="O2713" s="266"/>
      <c r="P2713" s="266"/>
      <c r="Q2713" s="266"/>
      <c r="BR2713" s="266"/>
      <c r="BS2713" s="266"/>
      <c r="BT2713" s="266"/>
      <c r="BU2713" s="266"/>
      <c r="BV2713" s="266"/>
    </row>
    <row r="2714" spans="12:74">
      <c r="L2714" s="266"/>
      <c r="M2714" s="266"/>
      <c r="N2714" s="266"/>
      <c r="O2714" s="266"/>
      <c r="P2714" s="266"/>
      <c r="Q2714" s="266"/>
      <c r="BR2714" s="266"/>
      <c r="BS2714" s="266"/>
      <c r="BT2714" s="266"/>
      <c r="BU2714" s="266"/>
      <c r="BV2714" s="266"/>
    </row>
    <row r="2715" spans="12:74">
      <c r="L2715" s="266"/>
      <c r="M2715" s="266"/>
      <c r="N2715" s="266"/>
      <c r="O2715" s="266"/>
      <c r="P2715" s="266"/>
      <c r="Q2715" s="266"/>
      <c r="BR2715" s="266"/>
      <c r="BS2715" s="266"/>
      <c r="BT2715" s="266"/>
      <c r="BU2715" s="266"/>
      <c r="BV2715" s="266"/>
    </row>
    <row r="2716" spans="12:74">
      <c r="L2716" s="266"/>
      <c r="M2716" s="266"/>
      <c r="N2716" s="266"/>
      <c r="O2716" s="266"/>
      <c r="P2716" s="266"/>
      <c r="Q2716" s="266"/>
      <c r="BR2716" s="266"/>
      <c r="BS2716" s="266"/>
      <c r="BT2716" s="266"/>
      <c r="BU2716" s="266"/>
      <c r="BV2716" s="266"/>
    </row>
    <row r="2717" spans="12:74">
      <c r="L2717" s="266"/>
      <c r="M2717" s="266"/>
      <c r="N2717" s="266"/>
      <c r="O2717" s="266"/>
      <c r="P2717" s="266"/>
      <c r="Q2717" s="266"/>
      <c r="BR2717" s="266"/>
      <c r="BS2717" s="266"/>
      <c r="BT2717" s="266"/>
      <c r="BU2717" s="266"/>
      <c r="BV2717" s="266"/>
    </row>
    <row r="2718" spans="12:74">
      <c r="L2718" s="266"/>
      <c r="M2718" s="266"/>
      <c r="N2718" s="266"/>
      <c r="O2718" s="266"/>
      <c r="P2718" s="266"/>
      <c r="Q2718" s="266"/>
      <c r="BR2718" s="266"/>
      <c r="BS2718" s="266"/>
      <c r="BT2718" s="266"/>
      <c r="BU2718" s="266"/>
      <c r="BV2718" s="266"/>
    </row>
    <row r="2719" spans="12:74">
      <c r="L2719" s="266"/>
      <c r="M2719" s="266"/>
      <c r="N2719" s="266"/>
      <c r="O2719" s="266"/>
      <c r="P2719" s="266"/>
      <c r="Q2719" s="266"/>
      <c r="BR2719" s="266"/>
      <c r="BS2719" s="266"/>
      <c r="BT2719" s="266"/>
      <c r="BU2719" s="266"/>
      <c r="BV2719" s="266"/>
    </row>
    <row r="2720" spans="12:74">
      <c r="L2720" s="266"/>
      <c r="M2720" s="266"/>
      <c r="N2720" s="266"/>
      <c r="O2720" s="266"/>
      <c r="P2720" s="266"/>
      <c r="Q2720" s="266"/>
      <c r="BR2720" s="266"/>
      <c r="BS2720" s="266"/>
      <c r="BT2720" s="266"/>
      <c r="BU2720" s="266"/>
      <c r="BV2720" s="266"/>
    </row>
    <row r="2721" spans="12:74">
      <c r="L2721" s="266"/>
      <c r="M2721" s="266"/>
      <c r="N2721" s="266"/>
      <c r="O2721" s="266"/>
      <c r="P2721" s="266"/>
      <c r="Q2721" s="266"/>
      <c r="BR2721" s="266"/>
      <c r="BS2721" s="266"/>
      <c r="BT2721" s="266"/>
      <c r="BU2721" s="266"/>
      <c r="BV2721" s="266"/>
    </row>
    <row r="2722" spans="12:74">
      <c r="L2722" s="266"/>
      <c r="M2722" s="266"/>
      <c r="N2722" s="266"/>
      <c r="O2722" s="266"/>
      <c r="P2722" s="266"/>
      <c r="Q2722" s="266"/>
      <c r="BR2722" s="266"/>
      <c r="BS2722" s="266"/>
      <c r="BT2722" s="266"/>
      <c r="BU2722" s="266"/>
      <c r="BV2722" s="266"/>
    </row>
    <row r="2723" spans="12:74">
      <c r="L2723" s="266"/>
      <c r="M2723" s="266"/>
      <c r="N2723" s="266"/>
      <c r="O2723" s="266"/>
      <c r="P2723" s="266"/>
      <c r="Q2723" s="266"/>
      <c r="BR2723" s="266"/>
      <c r="BS2723" s="266"/>
      <c r="BT2723" s="266"/>
      <c r="BU2723" s="266"/>
      <c r="BV2723" s="266"/>
    </row>
    <row r="2724" spans="12:74">
      <c r="L2724" s="266"/>
      <c r="M2724" s="266"/>
      <c r="N2724" s="266"/>
      <c r="O2724" s="266"/>
      <c r="P2724" s="266"/>
      <c r="Q2724" s="266"/>
      <c r="BR2724" s="266"/>
      <c r="BS2724" s="266"/>
      <c r="BT2724" s="266"/>
      <c r="BU2724" s="266"/>
      <c r="BV2724" s="266"/>
    </row>
    <row r="2725" spans="12:74">
      <c r="L2725" s="266"/>
      <c r="M2725" s="266"/>
      <c r="N2725" s="266"/>
      <c r="O2725" s="266"/>
      <c r="P2725" s="266"/>
      <c r="Q2725" s="266"/>
      <c r="BR2725" s="266"/>
      <c r="BS2725" s="266"/>
      <c r="BT2725" s="266"/>
      <c r="BU2725" s="266"/>
      <c r="BV2725" s="266"/>
    </row>
    <row r="2726" spans="12:74">
      <c r="L2726" s="266"/>
      <c r="M2726" s="266"/>
      <c r="N2726" s="266"/>
      <c r="O2726" s="266"/>
      <c r="P2726" s="266"/>
      <c r="Q2726" s="266"/>
      <c r="BR2726" s="266"/>
      <c r="BS2726" s="266"/>
      <c r="BT2726" s="266"/>
      <c r="BU2726" s="266"/>
      <c r="BV2726" s="266"/>
    </row>
    <row r="2727" spans="12:74">
      <c r="L2727" s="266"/>
      <c r="M2727" s="266"/>
      <c r="N2727" s="266"/>
      <c r="O2727" s="266"/>
      <c r="P2727" s="266"/>
      <c r="Q2727" s="266"/>
      <c r="BR2727" s="266"/>
      <c r="BS2727" s="266"/>
      <c r="BT2727" s="266"/>
      <c r="BU2727" s="266"/>
      <c r="BV2727" s="266"/>
    </row>
    <row r="2728" spans="12:74">
      <c r="L2728" s="266"/>
      <c r="M2728" s="266"/>
      <c r="N2728" s="266"/>
      <c r="O2728" s="266"/>
      <c r="P2728" s="266"/>
      <c r="Q2728" s="266"/>
      <c r="BR2728" s="266"/>
      <c r="BS2728" s="266"/>
      <c r="BT2728" s="266"/>
      <c r="BU2728" s="266"/>
      <c r="BV2728" s="266"/>
    </row>
    <row r="2729" spans="12:74">
      <c r="L2729" s="266"/>
      <c r="M2729" s="266"/>
      <c r="N2729" s="266"/>
      <c r="O2729" s="266"/>
      <c r="P2729" s="266"/>
      <c r="Q2729" s="266"/>
      <c r="BR2729" s="266"/>
      <c r="BS2729" s="266"/>
      <c r="BT2729" s="266"/>
      <c r="BU2729" s="266"/>
      <c r="BV2729" s="266"/>
    </row>
    <row r="2730" spans="12:74">
      <c r="L2730" s="266"/>
      <c r="M2730" s="266"/>
      <c r="N2730" s="266"/>
      <c r="O2730" s="266"/>
      <c r="P2730" s="266"/>
      <c r="Q2730" s="266"/>
      <c r="BR2730" s="266"/>
      <c r="BS2730" s="266"/>
      <c r="BT2730" s="266"/>
      <c r="BU2730" s="266"/>
      <c r="BV2730" s="266"/>
    </row>
    <row r="2731" spans="12:74">
      <c r="L2731" s="266"/>
      <c r="M2731" s="266"/>
      <c r="N2731" s="266"/>
      <c r="O2731" s="266"/>
      <c r="P2731" s="266"/>
      <c r="Q2731" s="266"/>
      <c r="BR2731" s="266"/>
      <c r="BS2731" s="266"/>
      <c r="BT2731" s="266"/>
      <c r="BU2731" s="266"/>
      <c r="BV2731" s="266"/>
    </row>
    <row r="2732" spans="12:74">
      <c r="L2732" s="266"/>
      <c r="M2732" s="266"/>
      <c r="N2732" s="266"/>
      <c r="O2732" s="266"/>
      <c r="P2732" s="266"/>
      <c r="Q2732" s="266"/>
      <c r="BR2732" s="266"/>
      <c r="BS2732" s="266"/>
      <c r="BT2732" s="266"/>
      <c r="BU2732" s="266"/>
      <c r="BV2732" s="266"/>
    </row>
    <row r="2733" spans="12:74">
      <c r="L2733" s="266"/>
      <c r="M2733" s="266"/>
      <c r="N2733" s="266"/>
      <c r="O2733" s="266"/>
      <c r="P2733" s="266"/>
      <c r="Q2733" s="266"/>
      <c r="BR2733" s="266"/>
      <c r="BS2733" s="266"/>
      <c r="BT2733" s="266"/>
      <c r="BU2733" s="266"/>
      <c r="BV2733" s="266"/>
    </row>
    <row r="2734" spans="12:74">
      <c r="L2734" s="266"/>
      <c r="M2734" s="266"/>
      <c r="N2734" s="266"/>
      <c r="O2734" s="266"/>
      <c r="P2734" s="266"/>
      <c r="Q2734" s="266"/>
      <c r="BR2734" s="266"/>
      <c r="BS2734" s="266"/>
      <c r="BT2734" s="266"/>
      <c r="BU2734" s="266"/>
      <c r="BV2734" s="266"/>
    </row>
    <row r="2735" spans="12:74">
      <c r="L2735" s="266"/>
      <c r="M2735" s="266"/>
      <c r="N2735" s="266"/>
      <c r="O2735" s="266"/>
      <c r="P2735" s="266"/>
      <c r="Q2735" s="266"/>
      <c r="BR2735" s="266"/>
      <c r="BS2735" s="266"/>
      <c r="BT2735" s="266"/>
      <c r="BU2735" s="266"/>
      <c r="BV2735" s="266"/>
    </row>
    <row r="2736" spans="12:74">
      <c r="L2736" s="266"/>
      <c r="M2736" s="266"/>
      <c r="N2736" s="266"/>
      <c r="O2736" s="266"/>
      <c r="P2736" s="266"/>
      <c r="Q2736" s="266"/>
      <c r="BR2736" s="266"/>
      <c r="BS2736" s="266"/>
      <c r="BT2736" s="266"/>
      <c r="BU2736" s="266"/>
      <c r="BV2736" s="266"/>
    </row>
    <row r="2737" spans="12:74">
      <c r="L2737" s="266"/>
      <c r="M2737" s="266"/>
      <c r="N2737" s="266"/>
      <c r="O2737" s="266"/>
      <c r="P2737" s="266"/>
      <c r="Q2737" s="266"/>
      <c r="BR2737" s="266"/>
      <c r="BS2737" s="266"/>
      <c r="BT2737" s="266"/>
      <c r="BU2737" s="266"/>
      <c r="BV2737" s="266"/>
    </row>
    <row r="2738" spans="12:74">
      <c r="L2738" s="266"/>
      <c r="M2738" s="266"/>
      <c r="N2738" s="266"/>
      <c r="O2738" s="266"/>
      <c r="P2738" s="266"/>
      <c r="Q2738" s="266"/>
      <c r="BR2738" s="266"/>
      <c r="BS2738" s="266"/>
      <c r="BT2738" s="266"/>
      <c r="BU2738" s="266"/>
      <c r="BV2738" s="266"/>
    </row>
    <row r="2739" spans="12:74">
      <c r="L2739" s="266"/>
      <c r="M2739" s="266"/>
      <c r="N2739" s="266"/>
      <c r="O2739" s="266"/>
      <c r="P2739" s="266"/>
      <c r="Q2739" s="266"/>
      <c r="BR2739" s="266"/>
      <c r="BS2739" s="266"/>
      <c r="BT2739" s="266"/>
      <c r="BU2739" s="266"/>
      <c r="BV2739" s="266"/>
    </row>
    <row r="2740" spans="12:74">
      <c r="L2740" s="266"/>
      <c r="M2740" s="266"/>
      <c r="N2740" s="266"/>
      <c r="O2740" s="266"/>
      <c r="P2740" s="266"/>
      <c r="Q2740" s="266"/>
      <c r="BR2740" s="266"/>
      <c r="BS2740" s="266"/>
      <c r="BT2740" s="266"/>
      <c r="BU2740" s="266"/>
      <c r="BV2740" s="266"/>
    </row>
    <row r="2741" spans="12:74">
      <c r="L2741" s="266"/>
      <c r="M2741" s="266"/>
      <c r="N2741" s="266"/>
      <c r="O2741" s="266"/>
      <c r="P2741" s="266"/>
      <c r="Q2741" s="266"/>
      <c r="BR2741" s="266"/>
      <c r="BS2741" s="266"/>
      <c r="BT2741" s="266"/>
      <c r="BU2741" s="266"/>
      <c r="BV2741" s="266"/>
    </row>
    <row r="2742" spans="12:74">
      <c r="L2742" s="266"/>
      <c r="M2742" s="266"/>
      <c r="N2742" s="266"/>
      <c r="O2742" s="266"/>
      <c r="P2742" s="266"/>
      <c r="Q2742" s="266"/>
      <c r="BR2742" s="266"/>
      <c r="BS2742" s="266"/>
      <c r="BT2742" s="266"/>
      <c r="BU2742" s="266"/>
      <c r="BV2742" s="266"/>
    </row>
    <row r="2743" spans="12:74">
      <c r="L2743" s="266"/>
      <c r="M2743" s="266"/>
      <c r="N2743" s="266"/>
      <c r="O2743" s="266"/>
      <c r="P2743" s="266"/>
      <c r="Q2743" s="266"/>
      <c r="BR2743" s="266"/>
      <c r="BS2743" s="266"/>
      <c r="BT2743" s="266"/>
      <c r="BU2743" s="266"/>
      <c r="BV2743" s="266"/>
    </row>
    <row r="2744" spans="12:74">
      <c r="L2744" s="266"/>
      <c r="M2744" s="266"/>
      <c r="N2744" s="266"/>
      <c r="O2744" s="266"/>
      <c r="P2744" s="266"/>
      <c r="Q2744" s="266"/>
      <c r="BR2744" s="266"/>
      <c r="BS2744" s="266"/>
      <c r="BT2744" s="266"/>
      <c r="BU2744" s="266"/>
      <c r="BV2744" s="266"/>
    </row>
    <row r="2745" spans="12:74">
      <c r="L2745" s="266"/>
      <c r="M2745" s="266"/>
      <c r="N2745" s="266"/>
      <c r="O2745" s="266"/>
      <c r="P2745" s="266"/>
      <c r="Q2745" s="266"/>
      <c r="BR2745" s="266"/>
      <c r="BS2745" s="266"/>
      <c r="BT2745" s="266"/>
      <c r="BU2745" s="266"/>
      <c r="BV2745" s="266"/>
    </row>
    <row r="2746" spans="12:74">
      <c r="L2746" s="266"/>
      <c r="M2746" s="266"/>
      <c r="N2746" s="266"/>
      <c r="O2746" s="266"/>
      <c r="P2746" s="266"/>
      <c r="Q2746" s="266"/>
      <c r="BR2746" s="266"/>
      <c r="BS2746" s="266"/>
      <c r="BT2746" s="266"/>
      <c r="BU2746" s="266"/>
      <c r="BV2746" s="266"/>
    </row>
    <row r="2747" spans="12:74">
      <c r="L2747" s="266"/>
      <c r="M2747" s="266"/>
      <c r="N2747" s="266"/>
      <c r="O2747" s="266"/>
      <c r="P2747" s="266"/>
      <c r="Q2747" s="266"/>
      <c r="BR2747" s="266"/>
      <c r="BS2747" s="266"/>
      <c r="BT2747" s="266"/>
      <c r="BU2747" s="266"/>
      <c r="BV2747" s="266"/>
    </row>
    <row r="2748" spans="12:74">
      <c r="L2748" s="266"/>
      <c r="M2748" s="266"/>
      <c r="N2748" s="266"/>
      <c r="O2748" s="266"/>
      <c r="P2748" s="266"/>
      <c r="Q2748" s="266"/>
      <c r="BR2748" s="266"/>
      <c r="BS2748" s="266"/>
      <c r="BT2748" s="266"/>
      <c r="BU2748" s="266"/>
      <c r="BV2748" s="266"/>
    </row>
    <row r="2749" spans="12:74">
      <c r="L2749" s="266"/>
      <c r="M2749" s="266"/>
      <c r="N2749" s="266"/>
      <c r="O2749" s="266"/>
      <c r="P2749" s="266"/>
      <c r="Q2749" s="266"/>
      <c r="BR2749" s="266"/>
      <c r="BS2749" s="266"/>
      <c r="BT2749" s="266"/>
      <c r="BU2749" s="266"/>
      <c r="BV2749" s="266"/>
    </row>
    <row r="2750" spans="12:74">
      <c r="L2750" s="266"/>
      <c r="M2750" s="266"/>
      <c r="N2750" s="266"/>
      <c r="O2750" s="266"/>
      <c r="P2750" s="266"/>
      <c r="Q2750" s="266"/>
      <c r="BR2750" s="266"/>
      <c r="BS2750" s="266"/>
      <c r="BT2750" s="266"/>
      <c r="BU2750" s="266"/>
      <c r="BV2750" s="266"/>
    </row>
    <row r="2751" spans="12:74">
      <c r="L2751" s="266"/>
      <c r="M2751" s="266"/>
      <c r="N2751" s="266"/>
      <c r="O2751" s="266"/>
      <c r="P2751" s="266"/>
      <c r="Q2751" s="266"/>
      <c r="BR2751" s="266"/>
      <c r="BS2751" s="266"/>
      <c r="BT2751" s="266"/>
      <c r="BU2751" s="266"/>
      <c r="BV2751" s="266"/>
    </row>
    <row r="2752" spans="12:74">
      <c r="L2752" s="266"/>
      <c r="M2752" s="266"/>
      <c r="N2752" s="266"/>
      <c r="O2752" s="266"/>
      <c r="P2752" s="266"/>
      <c r="Q2752" s="266"/>
      <c r="BR2752" s="266"/>
      <c r="BS2752" s="266"/>
      <c r="BT2752" s="266"/>
      <c r="BU2752" s="266"/>
      <c r="BV2752" s="266"/>
    </row>
    <row r="2753" spans="12:74">
      <c r="L2753" s="266"/>
      <c r="M2753" s="266"/>
      <c r="N2753" s="266"/>
      <c r="O2753" s="266"/>
      <c r="P2753" s="266"/>
      <c r="Q2753" s="266"/>
      <c r="BR2753" s="266"/>
      <c r="BS2753" s="266"/>
      <c r="BT2753" s="266"/>
      <c r="BU2753" s="266"/>
      <c r="BV2753" s="266"/>
    </row>
    <row r="2754" spans="12:74">
      <c r="L2754" s="266"/>
      <c r="M2754" s="266"/>
      <c r="N2754" s="266"/>
      <c r="O2754" s="266"/>
      <c r="P2754" s="266"/>
      <c r="Q2754" s="266"/>
      <c r="BR2754" s="266"/>
      <c r="BS2754" s="266"/>
      <c r="BT2754" s="266"/>
      <c r="BU2754" s="266"/>
      <c r="BV2754" s="266"/>
    </row>
    <row r="2755" spans="12:74">
      <c r="L2755" s="266"/>
      <c r="M2755" s="266"/>
      <c r="N2755" s="266"/>
      <c r="O2755" s="266"/>
      <c r="P2755" s="266"/>
      <c r="Q2755" s="266"/>
      <c r="BR2755" s="266"/>
      <c r="BS2755" s="266"/>
      <c r="BT2755" s="266"/>
      <c r="BU2755" s="266"/>
      <c r="BV2755" s="266"/>
    </row>
    <row r="2756" spans="12:74">
      <c r="L2756" s="266"/>
      <c r="M2756" s="266"/>
      <c r="N2756" s="266"/>
      <c r="O2756" s="266"/>
      <c r="P2756" s="266"/>
      <c r="Q2756" s="266"/>
      <c r="BR2756" s="266"/>
      <c r="BS2756" s="266"/>
      <c r="BT2756" s="266"/>
      <c r="BU2756" s="266"/>
      <c r="BV2756" s="266"/>
    </row>
    <row r="2757" spans="12:74">
      <c r="L2757" s="266"/>
      <c r="M2757" s="266"/>
      <c r="N2757" s="266"/>
      <c r="O2757" s="266"/>
      <c r="P2757" s="266"/>
      <c r="Q2757" s="266"/>
      <c r="BR2757" s="266"/>
      <c r="BS2757" s="266"/>
      <c r="BT2757" s="266"/>
      <c r="BU2757" s="266"/>
      <c r="BV2757" s="266"/>
    </row>
    <row r="2758" spans="12:74">
      <c r="L2758" s="266"/>
      <c r="M2758" s="266"/>
      <c r="N2758" s="266"/>
      <c r="O2758" s="266"/>
      <c r="P2758" s="266"/>
      <c r="Q2758" s="266"/>
      <c r="BR2758" s="266"/>
      <c r="BS2758" s="266"/>
      <c r="BT2758" s="266"/>
      <c r="BU2758" s="266"/>
      <c r="BV2758" s="266"/>
    </row>
    <row r="2759" spans="12:74">
      <c r="L2759" s="266"/>
      <c r="M2759" s="266"/>
      <c r="N2759" s="266"/>
      <c r="O2759" s="266"/>
      <c r="P2759" s="266"/>
      <c r="Q2759" s="266"/>
      <c r="BR2759" s="266"/>
      <c r="BS2759" s="266"/>
      <c r="BT2759" s="266"/>
      <c r="BU2759" s="266"/>
      <c r="BV2759" s="266"/>
    </row>
    <row r="2760" spans="12:74">
      <c r="L2760" s="266"/>
      <c r="M2760" s="266"/>
      <c r="N2760" s="266"/>
      <c r="O2760" s="266"/>
      <c r="P2760" s="266"/>
      <c r="Q2760" s="266"/>
      <c r="BR2760" s="266"/>
      <c r="BS2760" s="266"/>
      <c r="BT2760" s="266"/>
      <c r="BU2760" s="266"/>
      <c r="BV2760" s="266"/>
    </row>
    <row r="2761" spans="12:74">
      <c r="L2761" s="266"/>
      <c r="M2761" s="266"/>
      <c r="N2761" s="266"/>
      <c r="O2761" s="266"/>
      <c r="P2761" s="266"/>
      <c r="Q2761" s="266"/>
      <c r="BR2761" s="266"/>
      <c r="BS2761" s="266"/>
      <c r="BT2761" s="266"/>
      <c r="BU2761" s="266"/>
      <c r="BV2761" s="266"/>
    </row>
    <row r="2762" spans="12:74">
      <c r="L2762" s="266"/>
      <c r="M2762" s="266"/>
      <c r="N2762" s="266"/>
      <c r="O2762" s="266"/>
      <c r="P2762" s="266"/>
      <c r="Q2762" s="266"/>
      <c r="BR2762" s="266"/>
      <c r="BS2762" s="266"/>
      <c r="BT2762" s="266"/>
      <c r="BU2762" s="266"/>
      <c r="BV2762" s="266"/>
    </row>
    <row r="2763" spans="12:74">
      <c r="L2763" s="266"/>
      <c r="M2763" s="266"/>
      <c r="N2763" s="266"/>
      <c r="O2763" s="266"/>
      <c r="P2763" s="266"/>
      <c r="Q2763" s="266"/>
      <c r="BR2763" s="266"/>
      <c r="BS2763" s="266"/>
      <c r="BT2763" s="266"/>
      <c r="BU2763" s="266"/>
      <c r="BV2763" s="266"/>
    </row>
    <row r="2764" spans="12:74">
      <c r="L2764" s="266"/>
      <c r="M2764" s="266"/>
      <c r="N2764" s="266"/>
      <c r="O2764" s="266"/>
      <c r="P2764" s="266"/>
      <c r="Q2764" s="266"/>
      <c r="BR2764" s="266"/>
      <c r="BS2764" s="266"/>
      <c r="BT2764" s="266"/>
      <c r="BU2764" s="266"/>
      <c r="BV2764" s="266"/>
    </row>
    <row r="2765" spans="12:74">
      <c r="L2765" s="266"/>
      <c r="M2765" s="266"/>
      <c r="N2765" s="266"/>
      <c r="O2765" s="266"/>
      <c r="P2765" s="266"/>
      <c r="Q2765" s="266"/>
      <c r="BR2765" s="266"/>
      <c r="BS2765" s="266"/>
      <c r="BT2765" s="266"/>
      <c r="BU2765" s="266"/>
      <c r="BV2765" s="266"/>
    </row>
    <row r="2766" spans="12:74">
      <c r="L2766" s="266"/>
      <c r="M2766" s="266"/>
      <c r="N2766" s="266"/>
      <c r="O2766" s="266"/>
      <c r="P2766" s="266"/>
      <c r="Q2766" s="266"/>
      <c r="BR2766" s="266"/>
      <c r="BS2766" s="266"/>
      <c r="BT2766" s="266"/>
      <c r="BU2766" s="266"/>
      <c r="BV2766" s="266"/>
    </row>
    <row r="2767" spans="12:74">
      <c r="L2767" s="266"/>
      <c r="M2767" s="266"/>
      <c r="N2767" s="266"/>
      <c r="O2767" s="266"/>
      <c r="P2767" s="266"/>
      <c r="Q2767" s="266"/>
      <c r="BR2767" s="266"/>
      <c r="BS2767" s="266"/>
      <c r="BT2767" s="266"/>
      <c r="BU2767" s="266"/>
      <c r="BV2767" s="266"/>
    </row>
    <row r="2768" spans="12:74">
      <c r="L2768" s="266"/>
      <c r="M2768" s="266"/>
      <c r="N2768" s="266"/>
      <c r="O2768" s="266"/>
      <c r="P2768" s="266"/>
      <c r="Q2768" s="266"/>
      <c r="BR2768" s="266"/>
      <c r="BS2768" s="266"/>
      <c r="BT2768" s="266"/>
      <c r="BU2768" s="266"/>
      <c r="BV2768" s="266"/>
    </row>
    <row r="2769" spans="12:74">
      <c r="L2769" s="266"/>
      <c r="M2769" s="266"/>
      <c r="N2769" s="266"/>
      <c r="O2769" s="266"/>
      <c r="P2769" s="266"/>
      <c r="Q2769" s="266"/>
      <c r="BR2769" s="266"/>
      <c r="BS2769" s="266"/>
      <c r="BT2769" s="266"/>
      <c r="BU2769" s="266"/>
      <c r="BV2769" s="266"/>
    </row>
    <row r="2770" spans="12:74">
      <c r="L2770" s="266"/>
      <c r="M2770" s="266"/>
      <c r="N2770" s="266"/>
      <c r="O2770" s="266"/>
      <c r="P2770" s="266"/>
      <c r="Q2770" s="266"/>
      <c r="BR2770" s="266"/>
      <c r="BS2770" s="266"/>
      <c r="BT2770" s="266"/>
      <c r="BU2770" s="266"/>
      <c r="BV2770" s="266"/>
    </row>
    <row r="2771" spans="12:74">
      <c r="L2771" s="266"/>
      <c r="M2771" s="266"/>
      <c r="N2771" s="266"/>
      <c r="O2771" s="266"/>
      <c r="P2771" s="266"/>
      <c r="Q2771" s="266"/>
      <c r="BR2771" s="266"/>
      <c r="BS2771" s="266"/>
      <c r="BT2771" s="266"/>
      <c r="BU2771" s="266"/>
      <c r="BV2771" s="266"/>
    </row>
    <row r="2772" spans="12:74">
      <c r="L2772" s="266"/>
      <c r="M2772" s="266"/>
      <c r="N2772" s="266"/>
      <c r="O2772" s="266"/>
      <c r="P2772" s="266"/>
      <c r="Q2772" s="266"/>
      <c r="BR2772" s="266"/>
      <c r="BS2772" s="266"/>
      <c r="BT2772" s="266"/>
      <c r="BU2772" s="266"/>
      <c r="BV2772" s="266"/>
    </row>
    <row r="2773" spans="12:74">
      <c r="L2773" s="266"/>
      <c r="M2773" s="266"/>
      <c r="N2773" s="266"/>
      <c r="O2773" s="266"/>
      <c r="P2773" s="266"/>
      <c r="Q2773" s="266"/>
      <c r="BR2773" s="266"/>
      <c r="BS2773" s="266"/>
      <c r="BT2773" s="266"/>
      <c r="BU2773" s="266"/>
      <c r="BV2773" s="266"/>
    </row>
    <row r="2774" spans="12:74">
      <c r="L2774" s="266"/>
      <c r="M2774" s="266"/>
      <c r="N2774" s="266"/>
      <c r="O2774" s="266"/>
      <c r="P2774" s="266"/>
      <c r="Q2774" s="266"/>
      <c r="BR2774" s="266"/>
      <c r="BS2774" s="266"/>
      <c r="BT2774" s="266"/>
      <c r="BU2774" s="266"/>
      <c r="BV2774" s="266"/>
    </row>
    <row r="2775" spans="12:74">
      <c r="L2775" s="266"/>
      <c r="M2775" s="266"/>
      <c r="N2775" s="266"/>
      <c r="O2775" s="266"/>
      <c r="P2775" s="266"/>
      <c r="Q2775" s="266"/>
      <c r="BR2775" s="266"/>
      <c r="BS2775" s="266"/>
      <c r="BT2775" s="266"/>
      <c r="BU2775" s="266"/>
      <c r="BV2775" s="266"/>
    </row>
    <row r="2776" spans="12:74">
      <c r="L2776" s="266"/>
      <c r="M2776" s="266"/>
      <c r="N2776" s="266"/>
      <c r="O2776" s="266"/>
      <c r="P2776" s="266"/>
      <c r="Q2776" s="266"/>
      <c r="BR2776" s="266"/>
      <c r="BS2776" s="266"/>
      <c r="BT2776" s="266"/>
      <c r="BU2776" s="266"/>
      <c r="BV2776" s="266"/>
    </row>
    <row r="2777" spans="12:74">
      <c r="L2777" s="266"/>
      <c r="M2777" s="266"/>
      <c r="N2777" s="266"/>
      <c r="O2777" s="266"/>
      <c r="P2777" s="266"/>
      <c r="Q2777" s="266"/>
      <c r="BR2777" s="266"/>
      <c r="BS2777" s="266"/>
      <c r="BT2777" s="266"/>
      <c r="BU2777" s="266"/>
      <c r="BV2777" s="266"/>
    </row>
    <row r="2778" spans="12:74">
      <c r="L2778" s="266"/>
      <c r="M2778" s="266"/>
      <c r="N2778" s="266"/>
      <c r="O2778" s="266"/>
      <c r="P2778" s="266"/>
      <c r="Q2778" s="266"/>
      <c r="BR2778" s="266"/>
      <c r="BS2778" s="266"/>
      <c r="BT2778" s="266"/>
      <c r="BU2778" s="266"/>
      <c r="BV2778" s="266"/>
    </row>
    <row r="2779" spans="12:74">
      <c r="L2779" s="266"/>
      <c r="M2779" s="266"/>
      <c r="N2779" s="266"/>
      <c r="O2779" s="266"/>
      <c r="P2779" s="266"/>
      <c r="Q2779" s="266"/>
      <c r="BR2779" s="266"/>
      <c r="BS2779" s="266"/>
      <c r="BT2779" s="266"/>
      <c r="BU2779" s="266"/>
      <c r="BV2779" s="266"/>
    </row>
    <row r="2780" spans="12:74">
      <c r="L2780" s="266"/>
      <c r="M2780" s="266"/>
      <c r="N2780" s="266"/>
      <c r="O2780" s="266"/>
      <c r="P2780" s="266"/>
      <c r="Q2780" s="266"/>
      <c r="BR2780" s="266"/>
      <c r="BS2780" s="266"/>
      <c r="BT2780" s="266"/>
      <c r="BU2780" s="266"/>
      <c r="BV2780" s="266"/>
    </row>
    <row r="2781" spans="12:74">
      <c r="L2781" s="266"/>
      <c r="M2781" s="266"/>
      <c r="N2781" s="266"/>
      <c r="O2781" s="266"/>
      <c r="P2781" s="266"/>
      <c r="Q2781" s="266"/>
      <c r="BR2781" s="266"/>
      <c r="BS2781" s="266"/>
      <c r="BT2781" s="266"/>
      <c r="BU2781" s="266"/>
      <c r="BV2781" s="266"/>
    </row>
    <row r="2782" spans="12:74">
      <c r="L2782" s="266"/>
      <c r="M2782" s="266"/>
      <c r="N2782" s="266"/>
      <c r="O2782" s="266"/>
      <c r="P2782" s="266"/>
      <c r="Q2782" s="266"/>
      <c r="BR2782" s="266"/>
      <c r="BS2782" s="266"/>
      <c r="BT2782" s="266"/>
      <c r="BU2782" s="266"/>
      <c r="BV2782" s="266"/>
    </row>
    <row r="2783" spans="12:74">
      <c r="L2783" s="266"/>
      <c r="M2783" s="266"/>
      <c r="N2783" s="266"/>
      <c r="O2783" s="266"/>
      <c r="P2783" s="266"/>
      <c r="Q2783" s="266"/>
      <c r="BR2783" s="266"/>
      <c r="BS2783" s="266"/>
      <c r="BT2783" s="266"/>
      <c r="BU2783" s="266"/>
      <c r="BV2783" s="266"/>
    </row>
    <row r="2784" spans="12:74">
      <c r="L2784" s="266"/>
      <c r="M2784" s="266"/>
      <c r="N2784" s="266"/>
      <c r="O2784" s="266"/>
      <c r="P2784" s="266"/>
      <c r="Q2784" s="266"/>
      <c r="BR2784" s="266"/>
      <c r="BS2784" s="266"/>
      <c r="BT2784" s="266"/>
      <c r="BU2784" s="266"/>
      <c r="BV2784" s="266"/>
    </row>
    <row r="2785" spans="12:74">
      <c r="L2785" s="266"/>
      <c r="M2785" s="266"/>
      <c r="N2785" s="266"/>
      <c r="O2785" s="266"/>
      <c r="P2785" s="266"/>
      <c r="Q2785" s="266"/>
      <c r="BR2785" s="266"/>
      <c r="BS2785" s="266"/>
      <c r="BT2785" s="266"/>
      <c r="BU2785" s="266"/>
      <c r="BV2785" s="266"/>
    </row>
    <row r="2786" spans="12:74">
      <c r="L2786" s="266"/>
      <c r="M2786" s="266"/>
      <c r="N2786" s="266"/>
      <c r="O2786" s="266"/>
      <c r="P2786" s="266"/>
      <c r="Q2786" s="266"/>
      <c r="BR2786" s="266"/>
      <c r="BS2786" s="266"/>
      <c r="BT2786" s="266"/>
      <c r="BU2786" s="266"/>
      <c r="BV2786" s="266"/>
    </row>
    <row r="2787" spans="12:74">
      <c r="L2787" s="266"/>
      <c r="M2787" s="266"/>
      <c r="N2787" s="266"/>
      <c r="O2787" s="266"/>
      <c r="P2787" s="266"/>
      <c r="Q2787" s="266"/>
      <c r="BR2787" s="266"/>
      <c r="BS2787" s="266"/>
      <c r="BT2787" s="266"/>
      <c r="BU2787" s="266"/>
      <c r="BV2787" s="266"/>
    </row>
    <row r="2788" spans="12:74">
      <c r="L2788" s="266"/>
      <c r="M2788" s="266"/>
      <c r="N2788" s="266"/>
      <c r="O2788" s="266"/>
      <c r="P2788" s="266"/>
      <c r="Q2788" s="266"/>
      <c r="BR2788" s="266"/>
      <c r="BS2788" s="266"/>
      <c r="BT2788" s="266"/>
      <c r="BU2788" s="266"/>
      <c r="BV2788" s="266"/>
    </row>
    <row r="2789" spans="12:74">
      <c r="L2789" s="266"/>
      <c r="M2789" s="266"/>
      <c r="N2789" s="266"/>
      <c r="O2789" s="266"/>
      <c r="P2789" s="266"/>
      <c r="Q2789" s="266"/>
      <c r="BR2789" s="266"/>
      <c r="BS2789" s="266"/>
      <c r="BT2789" s="266"/>
      <c r="BU2789" s="266"/>
      <c r="BV2789" s="266"/>
    </row>
    <row r="2790" spans="12:74">
      <c r="L2790" s="266"/>
      <c r="M2790" s="266"/>
      <c r="N2790" s="266"/>
      <c r="O2790" s="266"/>
      <c r="P2790" s="266"/>
      <c r="Q2790" s="266"/>
      <c r="BR2790" s="266"/>
      <c r="BS2790" s="266"/>
      <c r="BT2790" s="266"/>
      <c r="BU2790" s="266"/>
      <c r="BV2790" s="266"/>
    </row>
    <row r="2791" spans="12:74">
      <c r="L2791" s="266"/>
      <c r="M2791" s="266"/>
      <c r="N2791" s="266"/>
      <c r="O2791" s="266"/>
      <c r="P2791" s="266"/>
      <c r="Q2791" s="266"/>
      <c r="BR2791" s="266"/>
      <c r="BS2791" s="266"/>
      <c r="BT2791" s="266"/>
      <c r="BU2791" s="266"/>
      <c r="BV2791" s="266"/>
    </row>
    <row r="2792" spans="12:74">
      <c r="L2792" s="266"/>
      <c r="M2792" s="266"/>
      <c r="N2792" s="266"/>
      <c r="O2792" s="266"/>
      <c r="P2792" s="266"/>
      <c r="Q2792" s="266"/>
      <c r="BR2792" s="266"/>
      <c r="BS2792" s="266"/>
      <c r="BT2792" s="266"/>
      <c r="BU2792" s="266"/>
      <c r="BV2792" s="266"/>
    </row>
    <row r="2793" spans="12:74">
      <c r="L2793" s="266"/>
      <c r="M2793" s="266"/>
      <c r="N2793" s="266"/>
      <c r="O2793" s="266"/>
      <c r="P2793" s="266"/>
      <c r="Q2793" s="266"/>
      <c r="BR2793" s="266"/>
      <c r="BS2793" s="266"/>
      <c r="BT2793" s="266"/>
      <c r="BU2793" s="266"/>
      <c r="BV2793" s="266"/>
    </row>
    <row r="2794" spans="12:74">
      <c r="L2794" s="266"/>
      <c r="M2794" s="266"/>
      <c r="N2794" s="266"/>
      <c r="O2794" s="266"/>
      <c r="P2794" s="266"/>
      <c r="Q2794" s="266"/>
      <c r="BR2794" s="266"/>
      <c r="BS2794" s="266"/>
      <c r="BT2794" s="266"/>
      <c r="BU2794" s="266"/>
      <c r="BV2794" s="266"/>
    </row>
    <row r="2795" spans="12:74">
      <c r="L2795" s="266"/>
      <c r="M2795" s="266"/>
      <c r="N2795" s="266"/>
      <c r="O2795" s="266"/>
      <c r="P2795" s="266"/>
      <c r="Q2795" s="266"/>
      <c r="BR2795" s="266"/>
      <c r="BS2795" s="266"/>
      <c r="BT2795" s="266"/>
      <c r="BU2795" s="266"/>
      <c r="BV2795" s="266"/>
    </row>
    <row r="2796" spans="12:74">
      <c r="L2796" s="266"/>
      <c r="M2796" s="266"/>
      <c r="N2796" s="266"/>
      <c r="O2796" s="266"/>
      <c r="P2796" s="266"/>
      <c r="Q2796" s="266"/>
      <c r="BR2796" s="266"/>
      <c r="BS2796" s="266"/>
      <c r="BT2796" s="266"/>
      <c r="BU2796" s="266"/>
      <c r="BV2796" s="266"/>
    </row>
    <row r="2797" spans="12:74">
      <c r="L2797" s="266"/>
      <c r="M2797" s="266"/>
      <c r="N2797" s="266"/>
      <c r="O2797" s="266"/>
      <c r="P2797" s="266"/>
      <c r="Q2797" s="266"/>
      <c r="BR2797" s="266"/>
      <c r="BS2797" s="266"/>
      <c r="BT2797" s="266"/>
      <c r="BU2797" s="266"/>
      <c r="BV2797" s="266"/>
    </row>
    <row r="2798" spans="12:74">
      <c r="L2798" s="266"/>
      <c r="M2798" s="266"/>
      <c r="N2798" s="266"/>
      <c r="O2798" s="266"/>
      <c r="P2798" s="266"/>
      <c r="Q2798" s="266"/>
      <c r="BR2798" s="266"/>
      <c r="BS2798" s="266"/>
      <c r="BT2798" s="266"/>
      <c r="BU2798" s="266"/>
      <c r="BV2798" s="266"/>
    </row>
    <row r="2799" spans="12:74">
      <c r="L2799" s="266"/>
      <c r="M2799" s="266"/>
      <c r="N2799" s="266"/>
      <c r="O2799" s="266"/>
      <c r="P2799" s="266"/>
      <c r="Q2799" s="266"/>
      <c r="BR2799" s="266"/>
      <c r="BS2799" s="266"/>
      <c r="BT2799" s="266"/>
      <c r="BU2799" s="266"/>
      <c r="BV2799" s="266"/>
    </row>
    <row r="2800" spans="12:74">
      <c r="L2800" s="266"/>
      <c r="M2800" s="266"/>
      <c r="N2800" s="266"/>
      <c r="O2800" s="266"/>
      <c r="P2800" s="266"/>
      <c r="Q2800" s="266"/>
      <c r="BR2800" s="266"/>
      <c r="BS2800" s="266"/>
      <c r="BT2800" s="266"/>
      <c r="BU2800" s="266"/>
      <c r="BV2800" s="266"/>
    </row>
    <row r="2801" spans="12:74">
      <c r="L2801" s="266"/>
      <c r="M2801" s="266"/>
      <c r="N2801" s="266"/>
      <c r="O2801" s="266"/>
      <c r="P2801" s="266"/>
      <c r="Q2801" s="266"/>
      <c r="BR2801" s="266"/>
      <c r="BS2801" s="266"/>
      <c r="BT2801" s="266"/>
      <c r="BU2801" s="266"/>
      <c r="BV2801" s="266"/>
    </row>
    <row r="2802" spans="12:74">
      <c r="L2802" s="266"/>
      <c r="M2802" s="266"/>
      <c r="N2802" s="266"/>
      <c r="O2802" s="266"/>
      <c r="P2802" s="266"/>
      <c r="Q2802" s="266"/>
      <c r="BR2802" s="266"/>
      <c r="BS2802" s="266"/>
      <c r="BT2802" s="266"/>
      <c r="BU2802" s="266"/>
      <c r="BV2802" s="266"/>
    </row>
    <row r="2803" spans="12:74">
      <c r="L2803" s="266"/>
      <c r="M2803" s="266"/>
      <c r="N2803" s="266"/>
      <c r="O2803" s="266"/>
      <c r="P2803" s="266"/>
      <c r="Q2803" s="266"/>
      <c r="BR2803" s="266"/>
      <c r="BS2803" s="266"/>
      <c r="BT2803" s="266"/>
      <c r="BU2803" s="266"/>
      <c r="BV2803" s="266"/>
    </row>
    <row r="2804" spans="12:74">
      <c r="L2804" s="266"/>
      <c r="M2804" s="266"/>
      <c r="N2804" s="266"/>
      <c r="O2804" s="266"/>
      <c r="P2804" s="266"/>
      <c r="Q2804" s="266"/>
      <c r="BR2804" s="266"/>
      <c r="BS2804" s="266"/>
      <c r="BT2804" s="266"/>
      <c r="BU2804" s="266"/>
      <c r="BV2804" s="266"/>
    </row>
    <row r="2805" spans="12:74">
      <c r="L2805" s="266"/>
      <c r="M2805" s="266"/>
      <c r="N2805" s="266"/>
      <c r="O2805" s="266"/>
      <c r="P2805" s="266"/>
      <c r="Q2805" s="266"/>
      <c r="BR2805" s="266"/>
      <c r="BS2805" s="266"/>
      <c r="BT2805" s="266"/>
      <c r="BU2805" s="266"/>
      <c r="BV2805" s="266"/>
    </row>
    <row r="2806" spans="12:74">
      <c r="L2806" s="266"/>
      <c r="M2806" s="266"/>
      <c r="N2806" s="266"/>
      <c r="O2806" s="266"/>
      <c r="P2806" s="266"/>
      <c r="Q2806" s="266"/>
      <c r="BR2806" s="266"/>
      <c r="BS2806" s="266"/>
      <c r="BT2806" s="266"/>
      <c r="BU2806" s="266"/>
      <c r="BV2806" s="266"/>
    </row>
    <row r="2807" spans="12:74">
      <c r="L2807" s="266"/>
      <c r="M2807" s="266"/>
      <c r="N2807" s="266"/>
      <c r="O2807" s="266"/>
      <c r="P2807" s="266"/>
      <c r="Q2807" s="266"/>
      <c r="BR2807" s="266"/>
      <c r="BS2807" s="266"/>
      <c r="BT2807" s="266"/>
      <c r="BU2807" s="266"/>
      <c r="BV2807" s="266"/>
    </row>
    <row r="2808" spans="12:74">
      <c r="L2808" s="266"/>
      <c r="M2808" s="266"/>
      <c r="N2808" s="266"/>
      <c r="O2808" s="266"/>
      <c r="P2808" s="266"/>
      <c r="Q2808" s="266"/>
      <c r="BR2808" s="266"/>
      <c r="BS2808" s="266"/>
      <c r="BT2808" s="266"/>
      <c r="BU2808" s="266"/>
      <c r="BV2808" s="266"/>
    </row>
    <row r="2809" spans="12:74">
      <c r="L2809" s="266"/>
      <c r="M2809" s="266"/>
      <c r="N2809" s="266"/>
      <c r="O2809" s="266"/>
      <c r="P2809" s="266"/>
      <c r="Q2809" s="266"/>
      <c r="BR2809" s="266"/>
      <c r="BS2809" s="266"/>
      <c r="BT2809" s="266"/>
      <c r="BU2809" s="266"/>
      <c r="BV2809" s="266"/>
    </row>
    <row r="2810" spans="12:74">
      <c r="L2810" s="266"/>
      <c r="M2810" s="266"/>
      <c r="N2810" s="266"/>
      <c r="O2810" s="266"/>
      <c r="P2810" s="266"/>
      <c r="Q2810" s="266"/>
      <c r="BR2810" s="266"/>
      <c r="BS2810" s="266"/>
      <c r="BT2810" s="266"/>
      <c r="BU2810" s="266"/>
      <c r="BV2810" s="266"/>
    </row>
    <row r="2811" spans="12:74">
      <c r="L2811" s="266"/>
      <c r="M2811" s="266"/>
      <c r="N2811" s="266"/>
      <c r="O2811" s="266"/>
      <c r="P2811" s="266"/>
      <c r="Q2811" s="266"/>
      <c r="BR2811" s="266"/>
      <c r="BS2811" s="266"/>
      <c r="BT2811" s="266"/>
      <c r="BU2811" s="266"/>
      <c r="BV2811" s="266"/>
    </row>
    <row r="2812" spans="12:74">
      <c r="L2812" s="266"/>
      <c r="M2812" s="266"/>
      <c r="N2812" s="266"/>
      <c r="O2812" s="266"/>
      <c r="P2812" s="266"/>
      <c r="Q2812" s="266"/>
      <c r="BR2812" s="266"/>
      <c r="BS2812" s="266"/>
      <c r="BT2812" s="266"/>
      <c r="BU2812" s="266"/>
      <c r="BV2812" s="266"/>
    </row>
    <row r="2813" spans="12:74">
      <c r="L2813" s="266"/>
      <c r="M2813" s="266"/>
      <c r="N2813" s="266"/>
      <c r="O2813" s="266"/>
      <c r="P2813" s="266"/>
      <c r="Q2813" s="266"/>
      <c r="BR2813" s="266"/>
      <c r="BS2813" s="266"/>
      <c r="BT2813" s="266"/>
      <c r="BU2813" s="266"/>
      <c r="BV2813" s="266"/>
    </row>
    <row r="2814" spans="12:74">
      <c r="L2814" s="266"/>
      <c r="M2814" s="266"/>
      <c r="N2814" s="266"/>
      <c r="O2814" s="266"/>
      <c r="P2814" s="266"/>
      <c r="Q2814" s="266"/>
      <c r="BR2814" s="266"/>
      <c r="BS2814" s="266"/>
      <c r="BT2814" s="266"/>
      <c r="BU2814" s="266"/>
      <c r="BV2814" s="266"/>
    </row>
    <row r="2815" spans="12:74">
      <c r="L2815" s="266"/>
      <c r="M2815" s="266"/>
      <c r="N2815" s="266"/>
      <c r="O2815" s="266"/>
      <c r="P2815" s="266"/>
      <c r="Q2815" s="266"/>
      <c r="BR2815" s="266"/>
      <c r="BS2815" s="266"/>
      <c r="BT2815" s="266"/>
      <c r="BU2815" s="266"/>
      <c r="BV2815" s="266"/>
    </row>
    <row r="2816" spans="12:74">
      <c r="L2816" s="266"/>
      <c r="M2816" s="266"/>
      <c r="N2816" s="266"/>
      <c r="O2816" s="266"/>
      <c r="P2816" s="266"/>
      <c r="Q2816" s="266"/>
      <c r="BR2816" s="266"/>
      <c r="BS2816" s="266"/>
      <c r="BT2816" s="266"/>
      <c r="BU2816" s="266"/>
      <c r="BV2816" s="266"/>
    </row>
    <row r="2817" spans="12:74">
      <c r="L2817" s="266"/>
      <c r="M2817" s="266"/>
      <c r="N2817" s="266"/>
      <c r="O2817" s="266"/>
      <c r="P2817" s="266"/>
      <c r="Q2817" s="266"/>
      <c r="BR2817" s="266"/>
      <c r="BS2817" s="266"/>
      <c r="BT2817" s="266"/>
      <c r="BU2817" s="266"/>
      <c r="BV2817" s="266"/>
    </row>
    <row r="2818" spans="12:74">
      <c r="L2818" s="266"/>
      <c r="M2818" s="266"/>
      <c r="N2818" s="266"/>
      <c r="O2818" s="266"/>
      <c r="P2818" s="266"/>
      <c r="Q2818" s="266"/>
      <c r="BR2818" s="266"/>
      <c r="BS2818" s="266"/>
      <c r="BT2818" s="266"/>
      <c r="BU2818" s="266"/>
      <c r="BV2818" s="266"/>
    </row>
    <row r="2819" spans="12:74">
      <c r="L2819" s="266"/>
      <c r="M2819" s="266"/>
      <c r="N2819" s="266"/>
      <c r="O2819" s="266"/>
      <c r="P2819" s="266"/>
      <c r="Q2819" s="266"/>
      <c r="BR2819" s="266"/>
      <c r="BS2819" s="266"/>
      <c r="BT2819" s="266"/>
      <c r="BU2819" s="266"/>
      <c r="BV2819" s="266"/>
    </row>
    <row r="2820" spans="12:74">
      <c r="L2820" s="266"/>
      <c r="M2820" s="266"/>
      <c r="N2820" s="266"/>
      <c r="O2820" s="266"/>
      <c r="P2820" s="266"/>
      <c r="Q2820" s="266"/>
      <c r="BR2820" s="266"/>
      <c r="BS2820" s="266"/>
      <c r="BT2820" s="266"/>
      <c r="BU2820" s="266"/>
      <c r="BV2820" s="266"/>
    </row>
    <row r="2821" spans="12:74">
      <c r="L2821" s="266"/>
      <c r="M2821" s="266"/>
      <c r="N2821" s="266"/>
      <c r="O2821" s="266"/>
      <c r="P2821" s="266"/>
      <c r="Q2821" s="266"/>
      <c r="BR2821" s="266"/>
      <c r="BS2821" s="266"/>
      <c r="BT2821" s="266"/>
      <c r="BU2821" s="266"/>
      <c r="BV2821" s="266"/>
    </row>
    <row r="2822" spans="12:74">
      <c r="L2822" s="266"/>
      <c r="M2822" s="266"/>
      <c r="N2822" s="266"/>
      <c r="O2822" s="266"/>
      <c r="P2822" s="266"/>
      <c r="Q2822" s="266"/>
      <c r="BR2822" s="266"/>
      <c r="BS2822" s="266"/>
      <c r="BT2822" s="266"/>
      <c r="BU2822" s="266"/>
      <c r="BV2822" s="266"/>
    </row>
    <row r="2823" spans="12:74">
      <c r="L2823" s="266"/>
      <c r="M2823" s="266"/>
      <c r="N2823" s="266"/>
      <c r="O2823" s="266"/>
      <c r="P2823" s="266"/>
      <c r="Q2823" s="266"/>
      <c r="BR2823" s="266"/>
      <c r="BS2823" s="266"/>
      <c r="BT2823" s="266"/>
      <c r="BU2823" s="266"/>
      <c r="BV2823" s="266"/>
    </row>
    <row r="2824" spans="12:74">
      <c r="L2824" s="266"/>
      <c r="M2824" s="266"/>
      <c r="N2824" s="266"/>
      <c r="O2824" s="266"/>
      <c r="P2824" s="266"/>
      <c r="Q2824" s="266"/>
      <c r="BR2824" s="266"/>
      <c r="BS2824" s="266"/>
      <c r="BT2824" s="266"/>
      <c r="BU2824" s="266"/>
      <c r="BV2824" s="266"/>
    </row>
    <row r="2825" spans="12:74">
      <c r="L2825" s="266"/>
      <c r="M2825" s="266"/>
      <c r="N2825" s="266"/>
      <c r="O2825" s="266"/>
      <c r="P2825" s="266"/>
      <c r="Q2825" s="266"/>
      <c r="BR2825" s="266"/>
      <c r="BS2825" s="266"/>
      <c r="BT2825" s="266"/>
      <c r="BU2825" s="266"/>
      <c r="BV2825" s="266"/>
    </row>
    <row r="2826" spans="12:74">
      <c r="L2826" s="266"/>
      <c r="M2826" s="266"/>
      <c r="N2826" s="266"/>
      <c r="O2826" s="266"/>
      <c r="P2826" s="266"/>
      <c r="Q2826" s="266"/>
      <c r="BR2826" s="266"/>
      <c r="BS2826" s="266"/>
      <c r="BT2826" s="266"/>
      <c r="BU2826" s="266"/>
      <c r="BV2826" s="266"/>
    </row>
    <row r="2827" spans="12:74">
      <c r="L2827" s="266"/>
      <c r="M2827" s="266"/>
      <c r="N2827" s="266"/>
      <c r="O2827" s="266"/>
      <c r="P2827" s="266"/>
      <c r="Q2827" s="266"/>
      <c r="BR2827" s="266"/>
      <c r="BS2827" s="266"/>
      <c r="BT2827" s="266"/>
      <c r="BU2827" s="266"/>
      <c r="BV2827" s="266"/>
    </row>
    <row r="2828" spans="12:74">
      <c r="L2828" s="266"/>
      <c r="M2828" s="266"/>
      <c r="N2828" s="266"/>
      <c r="O2828" s="266"/>
      <c r="P2828" s="266"/>
      <c r="Q2828" s="266"/>
      <c r="BR2828" s="266"/>
      <c r="BS2828" s="266"/>
      <c r="BT2828" s="266"/>
      <c r="BU2828" s="266"/>
      <c r="BV2828" s="266"/>
    </row>
    <row r="2829" spans="12:74">
      <c r="L2829" s="266"/>
      <c r="M2829" s="266"/>
      <c r="N2829" s="266"/>
      <c r="O2829" s="266"/>
      <c r="P2829" s="266"/>
      <c r="Q2829" s="266"/>
      <c r="BR2829" s="266"/>
      <c r="BS2829" s="266"/>
      <c r="BT2829" s="266"/>
      <c r="BU2829" s="266"/>
      <c r="BV2829" s="266"/>
    </row>
    <row r="2830" spans="12:74">
      <c r="L2830" s="266"/>
      <c r="M2830" s="266"/>
      <c r="N2830" s="266"/>
      <c r="O2830" s="266"/>
      <c r="P2830" s="266"/>
      <c r="Q2830" s="266"/>
      <c r="BR2830" s="266"/>
      <c r="BS2830" s="266"/>
      <c r="BT2830" s="266"/>
      <c r="BU2830" s="266"/>
      <c r="BV2830" s="266"/>
    </row>
    <row r="2831" spans="12:74">
      <c r="L2831" s="266"/>
      <c r="M2831" s="266"/>
      <c r="N2831" s="266"/>
      <c r="O2831" s="266"/>
      <c r="P2831" s="266"/>
      <c r="Q2831" s="266"/>
      <c r="BR2831" s="266"/>
      <c r="BS2831" s="266"/>
      <c r="BT2831" s="266"/>
      <c r="BU2831" s="266"/>
      <c r="BV2831" s="266"/>
    </row>
    <row r="2832" spans="12:74">
      <c r="L2832" s="266"/>
      <c r="M2832" s="266"/>
      <c r="N2832" s="266"/>
      <c r="O2832" s="266"/>
      <c r="P2832" s="266"/>
      <c r="Q2832" s="266"/>
      <c r="BR2832" s="266"/>
      <c r="BS2832" s="266"/>
      <c r="BT2832" s="266"/>
      <c r="BU2832" s="266"/>
      <c r="BV2832" s="266"/>
    </row>
    <row r="2833" spans="12:74">
      <c r="L2833" s="266"/>
      <c r="M2833" s="266"/>
      <c r="N2833" s="266"/>
      <c r="O2833" s="266"/>
      <c r="P2833" s="266"/>
      <c r="Q2833" s="266"/>
      <c r="BR2833" s="266"/>
      <c r="BS2833" s="266"/>
      <c r="BT2833" s="266"/>
      <c r="BU2833" s="266"/>
      <c r="BV2833" s="266"/>
    </row>
    <row r="2834" spans="12:74">
      <c r="L2834" s="266"/>
      <c r="M2834" s="266"/>
      <c r="N2834" s="266"/>
      <c r="O2834" s="266"/>
      <c r="P2834" s="266"/>
      <c r="Q2834" s="266"/>
      <c r="BR2834" s="266"/>
      <c r="BS2834" s="266"/>
      <c r="BT2834" s="266"/>
      <c r="BU2834" s="266"/>
      <c r="BV2834" s="266"/>
    </row>
    <row r="2835" spans="12:74">
      <c r="L2835" s="266"/>
      <c r="M2835" s="266"/>
      <c r="N2835" s="266"/>
      <c r="O2835" s="266"/>
      <c r="P2835" s="266"/>
      <c r="Q2835" s="266"/>
      <c r="BR2835" s="266"/>
      <c r="BS2835" s="266"/>
      <c r="BT2835" s="266"/>
      <c r="BU2835" s="266"/>
      <c r="BV2835" s="266"/>
    </row>
    <row r="2836" spans="12:74">
      <c r="L2836" s="266"/>
      <c r="M2836" s="266"/>
      <c r="N2836" s="266"/>
      <c r="O2836" s="266"/>
      <c r="P2836" s="266"/>
      <c r="Q2836" s="266"/>
      <c r="BR2836" s="266"/>
      <c r="BS2836" s="266"/>
      <c r="BT2836" s="266"/>
      <c r="BU2836" s="266"/>
      <c r="BV2836" s="266"/>
    </row>
    <row r="2837" spans="12:74">
      <c r="L2837" s="266"/>
      <c r="M2837" s="266"/>
      <c r="N2837" s="266"/>
      <c r="O2837" s="266"/>
      <c r="P2837" s="266"/>
      <c r="Q2837" s="266"/>
      <c r="BR2837" s="266"/>
      <c r="BS2837" s="266"/>
      <c r="BT2837" s="266"/>
      <c r="BU2837" s="266"/>
      <c r="BV2837" s="266"/>
    </row>
    <row r="2838" spans="12:74">
      <c r="L2838" s="266"/>
      <c r="M2838" s="266"/>
      <c r="N2838" s="266"/>
      <c r="O2838" s="266"/>
      <c r="P2838" s="266"/>
      <c r="Q2838" s="266"/>
      <c r="BR2838" s="266"/>
      <c r="BS2838" s="266"/>
      <c r="BT2838" s="266"/>
      <c r="BU2838" s="266"/>
      <c r="BV2838" s="266"/>
    </row>
    <row r="2839" spans="12:74">
      <c r="L2839" s="266"/>
      <c r="M2839" s="266"/>
      <c r="N2839" s="266"/>
      <c r="O2839" s="266"/>
      <c r="P2839" s="266"/>
      <c r="Q2839" s="266"/>
      <c r="BR2839" s="266"/>
      <c r="BS2839" s="266"/>
      <c r="BT2839" s="266"/>
      <c r="BU2839" s="266"/>
      <c r="BV2839" s="266"/>
    </row>
    <row r="2840" spans="12:74">
      <c r="L2840" s="266"/>
      <c r="M2840" s="266"/>
      <c r="N2840" s="266"/>
      <c r="O2840" s="266"/>
      <c r="P2840" s="266"/>
      <c r="Q2840" s="266"/>
      <c r="BR2840" s="266"/>
      <c r="BS2840" s="266"/>
      <c r="BT2840" s="266"/>
      <c r="BU2840" s="266"/>
      <c r="BV2840" s="266"/>
    </row>
    <row r="2841" spans="12:74">
      <c r="L2841" s="266"/>
      <c r="M2841" s="266"/>
      <c r="N2841" s="266"/>
      <c r="O2841" s="266"/>
      <c r="P2841" s="266"/>
      <c r="Q2841" s="266"/>
      <c r="BR2841" s="266"/>
      <c r="BS2841" s="266"/>
      <c r="BT2841" s="266"/>
      <c r="BU2841" s="266"/>
      <c r="BV2841" s="266"/>
    </row>
    <row r="2842" spans="12:74">
      <c r="L2842" s="266"/>
      <c r="M2842" s="266"/>
      <c r="N2842" s="266"/>
      <c r="O2842" s="266"/>
      <c r="P2842" s="266"/>
      <c r="Q2842" s="266"/>
      <c r="BR2842" s="266"/>
      <c r="BS2842" s="266"/>
      <c r="BT2842" s="266"/>
      <c r="BU2842" s="266"/>
      <c r="BV2842" s="266"/>
    </row>
    <row r="2843" spans="12:74">
      <c r="L2843" s="266"/>
      <c r="M2843" s="266"/>
      <c r="N2843" s="266"/>
      <c r="O2843" s="266"/>
      <c r="P2843" s="266"/>
      <c r="Q2843" s="266"/>
      <c r="BR2843" s="266"/>
      <c r="BS2843" s="266"/>
      <c r="BT2843" s="266"/>
      <c r="BU2843" s="266"/>
      <c r="BV2843" s="266"/>
    </row>
    <row r="2844" spans="12:74">
      <c r="L2844" s="266"/>
      <c r="M2844" s="266"/>
      <c r="N2844" s="266"/>
      <c r="O2844" s="266"/>
      <c r="P2844" s="266"/>
      <c r="Q2844" s="266"/>
      <c r="BR2844" s="266"/>
      <c r="BS2844" s="266"/>
      <c r="BT2844" s="266"/>
      <c r="BU2844" s="266"/>
      <c r="BV2844" s="266"/>
    </row>
    <row r="2845" spans="12:74">
      <c r="L2845" s="266"/>
      <c r="M2845" s="266"/>
      <c r="N2845" s="266"/>
      <c r="O2845" s="266"/>
      <c r="P2845" s="266"/>
      <c r="Q2845" s="266"/>
      <c r="BR2845" s="266"/>
      <c r="BS2845" s="266"/>
      <c r="BT2845" s="266"/>
      <c r="BU2845" s="266"/>
      <c r="BV2845" s="266"/>
    </row>
    <row r="2846" spans="12:74">
      <c r="L2846" s="266"/>
      <c r="M2846" s="266"/>
      <c r="N2846" s="266"/>
      <c r="O2846" s="266"/>
      <c r="P2846" s="266"/>
      <c r="Q2846" s="266"/>
      <c r="BR2846" s="266"/>
      <c r="BS2846" s="266"/>
      <c r="BT2846" s="266"/>
      <c r="BU2846" s="266"/>
      <c r="BV2846" s="266"/>
    </row>
    <row r="2847" spans="12:74">
      <c r="L2847" s="266"/>
      <c r="M2847" s="266"/>
      <c r="N2847" s="266"/>
      <c r="O2847" s="266"/>
      <c r="P2847" s="266"/>
      <c r="Q2847" s="266"/>
      <c r="BR2847" s="266"/>
      <c r="BS2847" s="266"/>
      <c r="BT2847" s="266"/>
      <c r="BU2847" s="266"/>
      <c r="BV2847" s="266"/>
    </row>
    <row r="2848" spans="12:74">
      <c r="L2848" s="266"/>
      <c r="M2848" s="266"/>
      <c r="N2848" s="266"/>
      <c r="O2848" s="266"/>
      <c r="P2848" s="266"/>
      <c r="Q2848" s="266"/>
      <c r="BR2848" s="266"/>
      <c r="BS2848" s="266"/>
      <c r="BT2848" s="266"/>
      <c r="BU2848" s="266"/>
      <c r="BV2848" s="266"/>
    </row>
    <row r="2849" spans="12:74">
      <c r="L2849" s="266"/>
      <c r="M2849" s="266"/>
      <c r="N2849" s="266"/>
      <c r="O2849" s="266"/>
      <c r="P2849" s="266"/>
      <c r="Q2849" s="266"/>
      <c r="BR2849" s="266"/>
      <c r="BS2849" s="266"/>
      <c r="BT2849" s="266"/>
      <c r="BU2849" s="266"/>
      <c r="BV2849" s="266"/>
    </row>
    <row r="2850" spans="12:74">
      <c r="L2850" s="266"/>
      <c r="M2850" s="266"/>
      <c r="N2850" s="266"/>
      <c r="O2850" s="266"/>
      <c r="P2850" s="266"/>
      <c r="Q2850" s="266"/>
      <c r="BR2850" s="266"/>
      <c r="BS2850" s="266"/>
      <c r="BT2850" s="266"/>
      <c r="BU2850" s="266"/>
      <c r="BV2850" s="266"/>
    </row>
    <row r="2851" spans="12:74">
      <c r="L2851" s="266"/>
      <c r="M2851" s="266"/>
      <c r="N2851" s="266"/>
      <c r="O2851" s="266"/>
      <c r="P2851" s="266"/>
      <c r="Q2851" s="266"/>
      <c r="BR2851" s="266"/>
      <c r="BS2851" s="266"/>
      <c r="BT2851" s="266"/>
      <c r="BU2851" s="266"/>
      <c r="BV2851" s="266"/>
    </row>
    <row r="2852" spans="12:74">
      <c r="L2852" s="266"/>
      <c r="M2852" s="266"/>
      <c r="N2852" s="266"/>
      <c r="O2852" s="266"/>
      <c r="P2852" s="266"/>
      <c r="Q2852" s="266"/>
      <c r="BR2852" s="266"/>
      <c r="BS2852" s="266"/>
      <c r="BT2852" s="266"/>
      <c r="BU2852" s="266"/>
      <c r="BV2852" s="266"/>
    </row>
    <row r="2853" spans="12:74">
      <c r="L2853" s="266"/>
      <c r="M2853" s="266"/>
      <c r="N2853" s="266"/>
      <c r="O2853" s="266"/>
      <c r="P2853" s="266"/>
      <c r="Q2853" s="266"/>
      <c r="BR2853" s="266"/>
      <c r="BS2853" s="266"/>
      <c r="BT2853" s="266"/>
      <c r="BU2853" s="266"/>
      <c r="BV2853" s="266"/>
    </row>
    <row r="2854" spans="12:74">
      <c r="L2854" s="266"/>
      <c r="M2854" s="266"/>
      <c r="N2854" s="266"/>
      <c r="O2854" s="266"/>
      <c r="P2854" s="266"/>
      <c r="Q2854" s="266"/>
      <c r="BR2854" s="266"/>
      <c r="BS2854" s="266"/>
      <c r="BT2854" s="266"/>
      <c r="BU2854" s="266"/>
      <c r="BV2854" s="266"/>
    </row>
    <row r="2855" spans="12:74">
      <c r="L2855" s="266"/>
      <c r="M2855" s="266"/>
      <c r="N2855" s="266"/>
      <c r="O2855" s="266"/>
      <c r="P2855" s="266"/>
      <c r="Q2855" s="266"/>
      <c r="BR2855" s="266"/>
      <c r="BS2855" s="266"/>
      <c r="BT2855" s="266"/>
      <c r="BU2855" s="266"/>
      <c r="BV2855" s="266"/>
    </row>
    <row r="2856" spans="12:74">
      <c r="L2856" s="266"/>
      <c r="M2856" s="266"/>
      <c r="N2856" s="266"/>
      <c r="O2856" s="266"/>
      <c r="P2856" s="266"/>
      <c r="Q2856" s="266"/>
      <c r="BR2856" s="266"/>
      <c r="BS2856" s="266"/>
      <c r="BT2856" s="266"/>
      <c r="BU2856" s="266"/>
      <c r="BV2856" s="266"/>
    </row>
    <row r="2857" spans="12:74">
      <c r="L2857" s="266"/>
      <c r="M2857" s="266"/>
      <c r="N2857" s="266"/>
      <c r="O2857" s="266"/>
      <c r="P2857" s="266"/>
      <c r="Q2857" s="266"/>
      <c r="BR2857" s="266"/>
      <c r="BS2857" s="266"/>
      <c r="BT2857" s="266"/>
      <c r="BU2857" s="266"/>
      <c r="BV2857" s="266"/>
    </row>
    <row r="2858" spans="12:74">
      <c r="L2858" s="266"/>
      <c r="M2858" s="266"/>
      <c r="N2858" s="266"/>
      <c r="O2858" s="266"/>
      <c r="P2858" s="266"/>
      <c r="Q2858" s="266"/>
      <c r="BR2858" s="266"/>
      <c r="BS2858" s="266"/>
      <c r="BT2858" s="266"/>
      <c r="BU2858" s="266"/>
      <c r="BV2858" s="266"/>
    </row>
    <row r="2859" spans="12:74">
      <c r="L2859" s="266"/>
      <c r="M2859" s="266"/>
      <c r="N2859" s="266"/>
      <c r="O2859" s="266"/>
      <c r="P2859" s="266"/>
      <c r="Q2859" s="266"/>
      <c r="BR2859" s="266"/>
      <c r="BS2859" s="266"/>
      <c r="BT2859" s="266"/>
      <c r="BU2859" s="266"/>
      <c r="BV2859" s="266"/>
    </row>
    <row r="2860" spans="12:74">
      <c r="L2860" s="266"/>
      <c r="M2860" s="266"/>
      <c r="N2860" s="266"/>
      <c r="O2860" s="266"/>
      <c r="P2860" s="266"/>
      <c r="Q2860" s="266"/>
      <c r="BR2860" s="266"/>
      <c r="BS2860" s="266"/>
      <c r="BT2860" s="266"/>
      <c r="BU2860" s="266"/>
      <c r="BV2860" s="266"/>
    </row>
    <row r="2861" spans="12:74">
      <c r="L2861" s="266"/>
      <c r="M2861" s="266"/>
      <c r="N2861" s="266"/>
      <c r="O2861" s="266"/>
      <c r="P2861" s="266"/>
      <c r="Q2861" s="266"/>
      <c r="BR2861" s="266"/>
      <c r="BS2861" s="266"/>
      <c r="BT2861" s="266"/>
      <c r="BU2861" s="266"/>
      <c r="BV2861" s="266"/>
    </row>
    <row r="2862" spans="12:74">
      <c r="L2862" s="266"/>
      <c r="M2862" s="266"/>
      <c r="N2862" s="266"/>
      <c r="O2862" s="266"/>
      <c r="P2862" s="266"/>
      <c r="Q2862" s="266"/>
      <c r="BR2862" s="266"/>
      <c r="BS2862" s="266"/>
      <c r="BT2862" s="266"/>
      <c r="BU2862" s="266"/>
      <c r="BV2862" s="266"/>
    </row>
    <row r="2863" spans="12:74">
      <c r="L2863" s="266"/>
      <c r="M2863" s="266"/>
      <c r="N2863" s="266"/>
      <c r="O2863" s="266"/>
      <c r="P2863" s="266"/>
      <c r="Q2863" s="266"/>
      <c r="BR2863" s="266"/>
      <c r="BS2863" s="266"/>
      <c r="BT2863" s="266"/>
      <c r="BU2863" s="266"/>
      <c r="BV2863" s="266"/>
    </row>
    <row r="2864" spans="12:74">
      <c r="L2864" s="266"/>
      <c r="M2864" s="266"/>
      <c r="N2864" s="266"/>
      <c r="O2864" s="266"/>
      <c r="P2864" s="266"/>
      <c r="Q2864" s="266"/>
      <c r="BR2864" s="266"/>
      <c r="BS2864" s="266"/>
      <c r="BT2864" s="266"/>
      <c r="BU2864" s="266"/>
      <c r="BV2864" s="266"/>
    </row>
    <row r="2865" spans="12:74">
      <c r="L2865" s="266"/>
      <c r="M2865" s="266"/>
      <c r="N2865" s="266"/>
      <c r="O2865" s="266"/>
      <c r="P2865" s="266"/>
      <c r="Q2865" s="266"/>
      <c r="BR2865" s="266"/>
      <c r="BS2865" s="266"/>
      <c r="BT2865" s="266"/>
      <c r="BU2865" s="266"/>
      <c r="BV2865" s="266"/>
    </row>
    <row r="2866" spans="12:74">
      <c r="L2866" s="266"/>
      <c r="M2866" s="266"/>
      <c r="N2866" s="266"/>
      <c r="O2866" s="266"/>
      <c r="P2866" s="266"/>
      <c r="Q2866" s="266"/>
      <c r="BR2866" s="266"/>
      <c r="BS2866" s="266"/>
      <c r="BT2866" s="266"/>
      <c r="BU2866" s="266"/>
      <c r="BV2866" s="266"/>
    </row>
    <row r="2867" spans="12:74">
      <c r="L2867" s="266"/>
      <c r="M2867" s="266"/>
      <c r="N2867" s="266"/>
      <c r="O2867" s="266"/>
      <c r="P2867" s="266"/>
      <c r="Q2867" s="266"/>
      <c r="BR2867" s="266"/>
      <c r="BS2867" s="266"/>
      <c r="BT2867" s="266"/>
      <c r="BU2867" s="266"/>
      <c r="BV2867" s="266"/>
    </row>
    <row r="2868" spans="12:74">
      <c r="L2868" s="266"/>
      <c r="M2868" s="266"/>
      <c r="N2868" s="266"/>
      <c r="O2868" s="266"/>
      <c r="P2868" s="266"/>
      <c r="Q2868" s="266"/>
      <c r="BR2868" s="266"/>
      <c r="BS2868" s="266"/>
      <c r="BT2868" s="266"/>
      <c r="BU2868" s="266"/>
      <c r="BV2868" s="266"/>
    </row>
    <row r="2869" spans="12:74">
      <c r="L2869" s="266"/>
      <c r="M2869" s="266"/>
      <c r="N2869" s="266"/>
      <c r="O2869" s="266"/>
      <c r="P2869" s="266"/>
      <c r="Q2869" s="266"/>
      <c r="BR2869" s="266"/>
      <c r="BS2869" s="266"/>
      <c r="BT2869" s="266"/>
      <c r="BU2869" s="266"/>
      <c r="BV2869" s="266"/>
    </row>
    <row r="2870" spans="12:74">
      <c r="L2870" s="266"/>
      <c r="M2870" s="266"/>
      <c r="N2870" s="266"/>
      <c r="O2870" s="266"/>
      <c r="P2870" s="266"/>
      <c r="Q2870" s="266"/>
      <c r="BR2870" s="266"/>
      <c r="BS2870" s="266"/>
      <c r="BT2870" s="266"/>
      <c r="BU2870" s="266"/>
      <c r="BV2870" s="266"/>
    </row>
    <row r="2871" spans="12:74">
      <c r="L2871" s="266"/>
      <c r="M2871" s="266"/>
      <c r="N2871" s="266"/>
      <c r="O2871" s="266"/>
      <c r="P2871" s="266"/>
      <c r="Q2871" s="266"/>
      <c r="BR2871" s="266"/>
      <c r="BS2871" s="266"/>
      <c r="BT2871" s="266"/>
      <c r="BU2871" s="266"/>
      <c r="BV2871" s="266"/>
    </row>
    <row r="2872" spans="12:74">
      <c r="L2872" s="266"/>
      <c r="M2872" s="266"/>
      <c r="N2872" s="266"/>
      <c r="O2872" s="266"/>
      <c r="P2872" s="266"/>
      <c r="Q2872" s="266"/>
      <c r="BR2872" s="266"/>
      <c r="BS2872" s="266"/>
      <c r="BT2872" s="266"/>
      <c r="BU2872" s="266"/>
      <c r="BV2872" s="266"/>
    </row>
    <row r="2873" spans="12:74">
      <c r="L2873" s="266"/>
      <c r="M2873" s="266"/>
      <c r="N2873" s="266"/>
      <c r="O2873" s="266"/>
      <c r="P2873" s="266"/>
      <c r="Q2873" s="266"/>
      <c r="BR2873" s="266"/>
      <c r="BS2873" s="266"/>
      <c r="BT2873" s="266"/>
      <c r="BU2873" s="266"/>
      <c r="BV2873" s="266"/>
    </row>
    <row r="2874" spans="12:74">
      <c r="L2874" s="266"/>
      <c r="M2874" s="266"/>
      <c r="N2874" s="266"/>
      <c r="O2874" s="266"/>
      <c r="P2874" s="266"/>
      <c r="Q2874" s="266"/>
      <c r="BR2874" s="266"/>
      <c r="BS2874" s="266"/>
      <c r="BT2874" s="266"/>
      <c r="BU2874" s="266"/>
      <c r="BV2874" s="266"/>
    </row>
    <row r="2875" spans="12:74">
      <c r="L2875" s="266"/>
      <c r="M2875" s="266"/>
      <c r="N2875" s="266"/>
      <c r="O2875" s="266"/>
      <c r="P2875" s="266"/>
      <c r="Q2875" s="266"/>
      <c r="BR2875" s="266"/>
      <c r="BS2875" s="266"/>
      <c r="BT2875" s="266"/>
      <c r="BU2875" s="266"/>
      <c r="BV2875" s="266"/>
    </row>
    <row r="2876" spans="12:74">
      <c r="L2876" s="266"/>
      <c r="M2876" s="266"/>
      <c r="N2876" s="266"/>
      <c r="O2876" s="266"/>
      <c r="P2876" s="266"/>
      <c r="Q2876" s="266"/>
      <c r="BR2876" s="266"/>
      <c r="BS2876" s="266"/>
      <c r="BT2876" s="266"/>
      <c r="BU2876" s="266"/>
      <c r="BV2876" s="266"/>
    </row>
    <row r="2877" spans="12:74">
      <c r="L2877" s="266"/>
      <c r="M2877" s="266"/>
      <c r="N2877" s="266"/>
      <c r="O2877" s="266"/>
      <c r="P2877" s="266"/>
      <c r="Q2877" s="266"/>
      <c r="BR2877" s="266"/>
      <c r="BS2877" s="266"/>
      <c r="BT2877" s="266"/>
      <c r="BU2877" s="266"/>
      <c r="BV2877" s="266"/>
    </row>
    <row r="2878" spans="12:74">
      <c r="L2878" s="266"/>
      <c r="M2878" s="266"/>
      <c r="N2878" s="266"/>
      <c r="O2878" s="266"/>
      <c r="P2878" s="266"/>
      <c r="Q2878" s="266"/>
      <c r="BR2878" s="266"/>
      <c r="BS2878" s="266"/>
      <c r="BT2878" s="266"/>
      <c r="BU2878" s="266"/>
      <c r="BV2878" s="266"/>
    </row>
    <row r="2879" spans="12:74">
      <c r="L2879" s="266"/>
      <c r="M2879" s="266"/>
      <c r="N2879" s="266"/>
      <c r="O2879" s="266"/>
      <c r="P2879" s="266"/>
      <c r="Q2879" s="266"/>
      <c r="BR2879" s="266"/>
      <c r="BS2879" s="266"/>
      <c r="BT2879" s="266"/>
      <c r="BU2879" s="266"/>
      <c r="BV2879" s="266"/>
    </row>
    <row r="2880" spans="12:74">
      <c r="L2880" s="266"/>
      <c r="M2880" s="266"/>
      <c r="N2880" s="266"/>
      <c r="O2880" s="266"/>
      <c r="P2880" s="266"/>
      <c r="Q2880" s="266"/>
      <c r="BR2880" s="266"/>
      <c r="BS2880" s="266"/>
      <c r="BT2880" s="266"/>
      <c r="BU2880" s="266"/>
      <c r="BV2880" s="266"/>
    </row>
    <row r="2881" spans="12:74">
      <c r="L2881" s="266"/>
      <c r="M2881" s="266"/>
      <c r="N2881" s="266"/>
      <c r="O2881" s="266"/>
      <c r="P2881" s="266"/>
      <c r="Q2881" s="266"/>
      <c r="BR2881" s="266"/>
      <c r="BS2881" s="266"/>
      <c r="BT2881" s="266"/>
      <c r="BU2881" s="266"/>
      <c r="BV2881" s="266"/>
    </row>
    <row r="2882" spans="12:74">
      <c r="L2882" s="266"/>
      <c r="M2882" s="266"/>
      <c r="N2882" s="266"/>
      <c r="O2882" s="266"/>
      <c r="P2882" s="266"/>
      <c r="Q2882" s="266"/>
      <c r="BR2882" s="266"/>
      <c r="BS2882" s="266"/>
      <c r="BT2882" s="266"/>
      <c r="BU2882" s="266"/>
      <c r="BV2882" s="266"/>
    </row>
    <row r="2883" spans="12:74">
      <c r="L2883" s="266"/>
      <c r="M2883" s="266"/>
      <c r="N2883" s="266"/>
      <c r="O2883" s="266"/>
      <c r="P2883" s="266"/>
      <c r="Q2883" s="266"/>
      <c r="BR2883" s="266"/>
      <c r="BS2883" s="266"/>
      <c r="BT2883" s="266"/>
      <c r="BU2883" s="266"/>
      <c r="BV2883" s="266"/>
    </row>
    <row r="2884" spans="12:74">
      <c r="L2884" s="266"/>
      <c r="M2884" s="266"/>
      <c r="N2884" s="266"/>
      <c r="O2884" s="266"/>
      <c r="P2884" s="266"/>
      <c r="Q2884" s="266"/>
      <c r="BR2884" s="266"/>
      <c r="BS2884" s="266"/>
      <c r="BT2884" s="266"/>
      <c r="BU2884" s="266"/>
      <c r="BV2884" s="266"/>
    </row>
    <row r="2885" spans="12:74">
      <c r="L2885" s="266"/>
      <c r="M2885" s="266"/>
      <c r="N2885" s="266"/>
      <c r="O2885" s="266"/>
      <c r="P2885" s="266"/>
      <c r="Q2885" s="266"/>
      <c r="BR2885" s="266"/>
      <c r="BS2885" s="266"/>
      <c r="BT2885" s="266"/>
      <c r="BU2885" s="266"/>
      <c r="BV2885" s="266"/>
    </row>
    <row r="2886" spans="12:74">
      <c r="L2886" s="266"/>
      <c r="M2886" s="266"/>
      <c r="N2886" s="266"/>
      <c r="O2886" s="266"/>
      <c r="P2886" s="266"/>
      <c r="Q2886" s="266"/>
      <c r="BR2886" s="266"/>
      <c r="BS2886" s="266"/>
      <c r="BT2886" s="266"/>
      <c r="BU2886" s="266"/>
      <c r="BV2886" s="266"/>
    </row>
    <row r="2887" spans="12:74">
      <c r="L2887" s="266"/>
      <c r="M2887" s="266"/>
      <c r="N2887" s="266"/>
      <c r="O2887" s="266"/>
      <c r="P2887" s="266"/>
      <c r="Q2887" s="266"/>
      <c r="BR2887" s="266"/>
      <c r="BS2887" s="266"/>
      <c r="BT2887" s="266"/>
      <c r="BU2887" s="266"/>
      <c r="BV2887" s="266"/>
    </row>
    <row r="2888" spans="12:74">
      <c r="L2888" s="266"/>
      <c r="M2888" s="266"/>
      <c r="N2888" s="266"/>
      <c r="O2888" s="266"/>
      <c r="P2888" s="266"/>
      <c r="Q2888" s="266"/>
      <c r="BR2888" s="266"/>
      <c r="BS2888" s="266"/>
      <c r="BT2888" s="266"/>
      <c r="BU2888" s="266"/>
      <c r="BV2888" s="266"/>
    </row>
    <row r="2889" spans="12:74">
      <c r="L2889" s="266"/>
      <c r="M2889" s="266"/>
      <c r="N2889" s="266"/>
      <c r="O2889" s="266"/>
      <c r="P2889" s="266"/>
      <c r="Q2889" s="266"/>
      <c r="BR2889" s="266"/>
      <c r="BS2889" s="266"/>
      <c r="BT2889" s="266"/>
      <c r="BU2889" s="266"/>
      <c r="BV2889" s="266"/>
    </row>
    <row r="2890" spans="12:74">
      <c r="L2890" s="266"/>
      <c r="M2890" s="266"/>
      <c r="N2890" s="266"/>
      <c r="O2890" s="266"/>
      <c r="P2890" s="266"/>
      <c r="Q2890" s="266"/>
      <c r="BR2890" s="266"/>
      <c r="BS2890" s="266"/>
      <c r="BT2890" s="266"/>
      <c r="BU2890" s="266"/>
      <c r="BV2890" s="266"/>
    </row>
    <row r="2891" spans="12:74">
      <c r="L2891" s="266"/>
      <c r="M2891" s="266"/>
      <c r="N2891" s="266"/>
      <c r="O2891" s="266"/>
      <c r="P2891" s="266"/>
      <c r="Q2891" s="266"/>
      <c r="BR2891" s="266"/>
      <c r="BS2891" s="266"/>
      <c r="BT2891" s="266"/>
      <c r="BU2891" s="266"/>
      <c r="BV2891" s="266"/>
    </row>
    <row r="2892" spans="12:74">
      <c r="L2892" s="266"/>
      <c r="M2892" s="266"/>
      <c r="N2892" s="266"/>
      <c r="O2892" s="266"/>
      <c r="P2892" s="266"/>
      <c r="Q2892" s="266"/>
      <c r="BR2892" s="266"/>
      <c r="BS2892" s="266"/>
      <c r="BT2892" s="266"/>
      <c r="BU2892" s="266"/>
      <c r="BV2892" s="266"/>
    </row>
    <row r="2893" spans="12:74">
      <c r="L2893" s="266"/>
      <c r="M2893" s="266"/>
      <c r="N2893" s="266"/>
      <c r="O2893" s="266"/>
      <c r="P2893" s="266"/>
      <c r="Q2893" s="266"/>
      <c r="BR2893" s="266"/>
      <c r="BS2893" s="266"/>
      <c r="BT2893" s="266"/>
      <c r="BU2893" s="266"/>
      <c r="BV2893" s="266"/>
    </row>
    <row r="2894" spans="12:74">
      <c r="L2894" s="266"/>
      <c r="M2894" s="266"/>
      <c r="N2894" s="266"/>
      <c r="O2894" s="266"/>
      <c r="P2894" s="266"/>
      <c r="Q2894" s="266"/>
      <c r="BR2894" s="266"/>
      <c r="BS2894" s="266"/>
      <c r="BT2894" s="266"/>
      <c r="BU2894" s="266"/>
      <c r="BV2894" s="266"/>
    </row>
    <row r="2895" spans="12:74">
      <c r="L2895" s="266"/>
      <c r="M2895" s="266"/>
      <c r="N2895" s="266"/>
      <c r="O2895" s="266"/>
      <c r="P2895" s="266"/>
      <c r="Q2895" s="266"/>
      <c r="BR2895" s="266"/>
      <c r="BS2895" s="266"/>
      <c r="BT2895" s="266"/>
      <c r="BU2895" s="266"/>
      <c r="BV2895" s="266"/>
    </row>
    <row r="2896" spans="12:74">
      <c r="L2896" s="266"/>
      <c r="M2896" s="266"/>
      <c r="N2896" s="266"/>
      <c r="O2896" s="266"/>
      <c r="P2896" s="266"/>
      <c r="Q2896" s="266"/>
      <c r="BR2896" s="266"/>
      <c r="BS2896" s="266"/>
      <c r="BT2896" s="266"/>
      <c r="BU2896" s="266"/>
      <c r="BV2896" s="266"/>
    </row>
    <row r="2897" spans="12:74">
      <c r="L2897" s="266"/>
      <c r="M2897" s="266"/>
      <c r="N2897" s="266"/>
      <c r="O2897" s="266"/>
      <c r="P2897" s="266"/>
      <c r="Q2897" s="266"/>
      <c r="BR2897" s="266"/>
      <c r="BS2897" s="266"/>
      <c r="BT2897" s="266"/>
      <c r="BU2897" s="266"/>
      <c r="BV2897" s="266"/>
    </row>
    <row r="2898" spans="12:74">
      <c r="L2898" s="266"/>
      <c r="M2898" s="266"/>
      <c r="N2898" s="266"/>
      <c r="O2898" s="266"/>
      <c r="P2898" s="266"/>
      <c r="Q2898" s="266"/>
      <c r="BR2898" s="266"/>
      <c r="BS2898" s="266"/>
      <c r="BT2898" s="266"/>
      <c r="BU2898" s="266"/>
      <c r="BV2898" s="266"/>
    </row>
    <row r="2899" spans="12:74">
      <c r="L2899" s="266"/>
      <c r="M2899" s="266"/>
      <c r="N2899" s="266"/>
      <c r="O2899" s="266"/>
      <c r="P2899" s="266"/>
      <c r="Q2899" s="266"/>
      <c r="BR2899" s="266"/>
      <c r="BS2899" s="266"/>
      <c r="BT2899" s="266"/>
      <c r="BU2899" s="266"/>
      <c r="BV2899" s="266"/>
    </row>
    <row r="2900" spans="12:74">
      <c r="L2900" s="266"/>
      <c r="M2900" s="266"/>
      <c r="N2900" s="266"/>
      <c r="O2900" s="266"/>
      <c r="P2900" s="266"/>
      <c r="Q2900" s="266"/>
      <c r="BR2900" s="266"/>
      <c r="BS2900" s="266"/>
      <c r="BT2900" s="266"/>
      <c r="BU2900" s="266"/>
      <c r="BV2900" s="266"/>
    </row>
    <row r="2901" spans="12:74">
      <c r="L2901" s="266"/>
      <c r="M2901" s="266"/>
      <c r="N2901" s="266"/>
      <c r="O2901" s="266"/>
      <c r="P2901" s="266"/>
      <c r="Q2901" s="266"/>
      <c r="BR2901" s="266"/>
      <c r="BS2901" s="266"/>
      <c r="BT2901" s="266"/>
      <c r="BU2901" s="266"/>
      <c r="BV2901" s="266"/>
    </row>
    <row r="2902" spans="12:74">
      <c r="L2902" s="266"/>
      <c r="M2902" s="266"/>
      <c r="N2902" s="266"/>
      <c r="O2902" s="266"/>
      <c r="P2902" s="266"/>
      <c r="Q2902" s="266"/>
      <c r="BR2902" s="266"/>
      <c r="BS2902" s="266"/>
      <c r="BT2902" s="266"/>
      <c r="BU2902" s="266"/>
      <c r="BV2902" s="266"/>
    </row>
    <row r="2903" spans="12:74">
      <c r="L2903" s="266"/>
      <c r="M2903" s="266"/>
      <c r="N2903" s="266"/>
      <c r="O2903" s="266"/>
      <c r="P2903" s="266"/>
      <c r="Q2903" s="266"/>
      <c r="BR2903" s="266"/>
      <c r="BS2903" s="266"/>
      <c r="BT2903" s="266"/>
      <c r="BU2903" s="266"/>
      <c r="BV2903" s="266"/>
    </row>
    <row r="2904" spans="12:74">
      <c r="L2904" s="266"/>
      <c r="M2904" s="266"/>
      <c r="N2904" s="266"/>
      <c r="O2904" s="266"/>
      <c r="P2904" s="266"/>
      <c r="Q2904" s="266"/>
      <c r="BR2904" s="266"/>
      <c r="BS2904" s="266"/>
      <c r="BT2904" s="266"/>
      <c r="BU2904" s="266"/>
      <c r="BV2904" s="266"/>
    </row>
    <row r="2905" spans="12:74">
      <c r="L2905" s="266"/>
      <c r="M2905" s="266"/>
      <c r="N2905" s="266"/>
      <c r="O2905" s="266"/>
      <c r="P2905" s="266"/>
      <c r="Q2905" s="266"/>
      <c r="BR2905" s="266"/>
      <c r="BS2905" s="266"/>
      <c r="BT2905" s="266"/>
      <c r="BU2905" s="266"/>
      <c r="BV2905" s="266"/>
    </row>
    <row r="2906" spans="12:74">
      <c r="L2906" s="266"/>
      <c r="M2906" s="266"/>
      <c r="N2906" s="266"/>
      <c r="O2906" s="266"/>
      <c r="P2906" s="266"/>
      <c r="Q2906" s="266"/>
      <c r="BR2906" s="266"/>
      <c r="BS2906" s="266"/>
      <c r="BT2906" s="266"/>
      <c r="BU2906" s="266"/>
      <c r="BV2906" s="266"/>
    </row>
    <row r="2907" spans="12:74">
      <c r="L2907" s="266"/>
      <c r="M2907" s="266"/>
      <c r="N2907" s="266"/>
      <c r="O2907" s="266"/>
      <c r="P2907" s="266"/>
      <c r="Q2907" s="266"/>
      <c r="BR2907" s="266"/>
      <c r="BS2907" s="266"/>
      <c r="BT2907" s="266"/>
      <c r="BU2907" s="266"/>
      <c r="BV2907" s="266"/>
    </row>
    <row r="2908" spans="12:74">
      <c r="L2908" s="266"/>
      <c r="M2908" s="266"/>
      <c r="N2908" s="266"/>
      <c r="O2908" s="266"/>
      <c r="P2908" s="266"/>
      <c r="Q2908" s="266"/>
      <c r="BR2908" s="266"/>
      <c r="BS2908" s="266"/>
      <c r="BT2908" s="266"/>
      <c r="BU2908" s="266"/>
      <c r="BV2908" s="266"/>
    </row>
    <row r="2909" spans="12:74">
      <c r="L2909" s="266"/>
      <c r="M2909" s="266"/>
      <c r="N2909" s="266"/>
      <c r="O2909" s="266"/>
      <c r="P2909" s="266"/>
      <c r="Q2909" s="266"/>
      <c r="BR2909" s="266"/>
      <c r="BS2909" s="266"/>
      <c r="BT2909" s="266"/>
      <c r="BU2909" s="266"/>
      <c r="BV2909" s="266"/>
    </row>
    <row r="2910" spans="12:74">
      <c r="L2910" s="266"/>
      <c r="M2910" s="266"/>
      <c r="N2910" s="266"/>
      <c r="O2910" s="266"/>
      <c r="P2910" s="266"/>
      <c r="Q2910" s="266"/>
      <c r="BR2910" s="266"/>
      <c r="BS2910" s="266"/>
      <c r="BT2910" s="266"/>
      <c r="BU2910" s="266"/>
      <c r="BV2910" s="266"/>
    </row>
    <row r="2911" spans="12:74">
      <c r="L2911" s="266"/>
      <c r="M2911" s="266"/>
      <c r="N2911" s="266"/>
      <c r="O2911" s="266"/>
      <c r="P2911" s="266"/>
      <c r="Q2911" s="266"/>
      <c r="BR2911" s="266"/>
      <c r="BS2911" s="266"/>
      <c r="BT2911" s="266"/>
      <c r="BU2911" s="266"/>
      <c r="BV2911" s="266"/>
    </row>
    <row r="2912" spans="12:74">
      <c r="L2912" s="266"/>
      <c r="M2912" s="266"/>
      <c r="N2912" s="266"/>
      <c r="O2912" s="266"/>
      <c r="P2912" s="266"/>
      <c r="Q2912" s="266"/>
      <c r="BR2912" s="266"/>
      <c r="BS2912" s="266"/>
      <c r="BT2912" s="266"/>
      <c r="BU2912" s="266"/>
      <c r="BV2912" s="266"/>
    </row>
    <row r="2913" spans="12:74">
      <c r="L2913" s="266"/>
      <c r="M2913" s="266"/>
      <c r="N2913" s="266"/>
      <c r="O2913" s="266"/>
      <c r="P2913" s="266"/>
      <c r="Q2913" s="266"/>
      <c r="BR2913" s="266"/>
      <c r="BS2913" s="266"/>
      <c r="BT2913" s="266"/>
      <c r="BU2913" s="266"/>
      <c r="BV2913" s="266"/>
    </row>
    <row r="2914" spans="12:74">
      <c r="L2914" s="266"/>
      <c r="M2914" s="266"/>
      <c r="N2914" s="266"/>
      <c r="O2914" s="266"/>
      <c r="P2914" s="266"/>
      <c r="Q2914" s="266"/>
      <c r="BR2914" s="266"/>
      <c r="BS2914" s="266"/>
      <c r="BT2914" s="266"/>
      <c r="BU2914" s="266"/>
      <c r="BV2914" s="266"/>
    </row>
    <row r="2915" spans="12:74">
      <c r="L2915" s="266"/>
      <c r="M2915" s="266"/>
      <c r="N2915" s="266"/>
      <c r="O2915" s="266"/>
      <c r="P2915" s="266"/>
      <c r="Q2915" s="266"/>
      <c r="BR2915" s="266"/>
      <c r="BS2915" s="266"/>
      <c r="BT2915" s="266"/>
      <c r="BU2915" s="266"/>
      <c r="BV2915" s="266"/>
    </row>
    <row r="2916" spans="12:74">
      <c r="L2916" s="266"/>
      <c r="M2916" s="266"/>
      <c r="N2916" s="266"/>
      <c r="O2916" s="266"/>
      <c r="P2916" s="266"/>
      <c r="Q2916" s="266"/>
      <c r="BR2916" s="266"/>
      <c r="BS2916" s="266"/>
      <c r="BT2916" s="266"/>
      <c r="BU2916" s="266"/>
      <c r="BV2916" s="266"/>
    </row>
    <row r="2917" spans="12:74">
      <c r="L2917" s="266"/>
      <c r="M2917" s="266"/>
      <c r="N2917" s="266"/>
      <c r="O2917" s="266"/>
      <c r="P2917" s="266"/>
      <c r="Q2917" s="266"/>
      <c r="BR2917" s="266"/>
      <c r="BS2917" s="266"/>
      <c r="BT2917" s="266"/>
      <c r="BU2917" s="266"/>
      <c r="BV2917" s="266"/>
    </row>
    <row r="2918" spans="12:74">
      <c r="L2918" s="266"/>
      <c r="M2918" s="266"/>
      <c r="N2918" s="266"/>
      <c r="O2918" s="266"/>
      <c r="P2918" s="266"/>
      <c r="Q2918" s="266"/>
      <c r="BR2918" s="266"/>
      <c r="BS2918" s="266"/>
      <c r="BT2918" s="266"/>
      <c r="BU2918" s="266"/>
      <c r="BV2918" s="266"/>
    </row>
    <row r="2919" spans="12:74">
      <c r="L2919" s="266"/>
      <c r="M2919" s="266"/>
      <c r="N2919" s="266"/>
      <c r="O2919" s="266"/>
      <c r="P2919" s="266"/>
      <c r="Q2919" s="266"/>
      <c r="BR2919" s="266"/>
      <c r="BS2919" s="266"/>
      <c r="BT2919" s="266"/>
      <c r="BU2919" s="266"/>
      <c r="BV2919" s="266"/>
    </row>
    <row r="2920" spans="12:74">
      <c r="L2920" s="266"/>
      <c r="M2920" s="266"/>
      <c r="N2920" s="266"/>
      <c r="O2920" s="266"/>
      <c r="P2920" s="266"/>
      <c r="Q2920" s="266"/>
      <c r="BR2920" s="266"/>
      <c r="BS2920" s="266"/>
      <c r="BT2920" s="266"/>
      <c r="BU2920" s="266"/>
      <c r="BV2920" s="266"/>
    </row>
    <row r="2921" spans="12:74">
      <c r="L2921" s="266"/>
      <c r="M2921" s="266"/>
      <c r="N2921" s="266"/>
      <c r="O2921" s="266"/>
      <c r="P2921" s="266"/>
      <c r="Q2921" s="266"/>
      <c r="BR2921" s="266"/>
      <c r="BS2921" s="266"/>
      <c r="BT2921" s="266"/>
      <c r="BU2921" s="266"/>
      <c r="BV2921" s="266"/>
    </row>
    <row r="2922" spans="12:74">
      <c r="L2922" s="266"/>
      <c r="M2922" s="266"/>
      <c r="N2922" s="266"/>
      <c r="O2922" s="266"/>
      <c r="P2922" s="266"/>
      <c r="Q2922" s="266"/>
      <c r="BR2922" s="266"/>
      <c r="BS2922" s="266"/>
      <c r="BT2922" s="266"/>
      <c r="BU2922" s="266"/>
      <c r="BV2922" s="266"/>
    </row>
    <row r="2923" spans="12:74">
      <c r="L2923" s="266"/>
      <c r="M2923" s="266"/>
      <c r="N2923" s="266"/>
      <c r="O2923" s="266"/>
      <c r="P2923" s="266"/>
      <c r="Q2923" s="266"/>
      <c r="BR2923" s="266"/>
      <c r="BS2923" s="266"/>
      <c r="BT2923" s="266"/>
      <c r="BU2923" s="266"/>
      <c r="BV2923" s="266"/>
    </row>
    <row r="2924" spans="12:74">
      <c r="L2924" s="266"/>
      <c r="M2924" s="266"/>
      <c r="N2924" s="266"/>
      <c r="O2924" s="266"/>
      <c r="P2924" s="266"/>
      <c r="Q2924" s="266"/>
      <c r="BR2924" s="266"/>
      <c r="BS2924" s="266"/>
      <c r="BT2924" s="266"/>
      <c r="BU2924" s="266"/>
      <c r="BV2924" s="266"/>
    </row>
    <row r="2925" spans="12:74">
      <c r="L2925" s="266"/>
      <c r="M2925" s="266"/>
      <c r="N2925" s="266"/>
      <c r="O2925" s="266"/>
      <c r="P2925" s="266"/>
      <c r="Q2925" s="266"/>
      <c r="BR2925" s="266"/>
      <c r="BS2925" s="266"/>
      <c r="BT2925" s="266"/>
      <c r="BU2925" s="266"/>
      <c r="BV2925" s="266"/>
    </row>
    <row r="2926" spans="12:74">
      <c r="L2926" s="266"/>
      <c r="M2926" s="266"/>
      <c r="N2926" s="266"/>
      <c r="O2926" s="266"/>
      <c r="P2926" s="266"/>
      <c r="Q2926" s="266"/>
      <c r="BR2926" s="266"/>
      <c r="BS2926" s="266"/>
      <c r="BT2926" s="266"/>
      <c r="BU2926" s="266"/>
      <c r="BV2926" s="266"/>
    </row>
    <row r="2927" spans="12:74">
      <c r="L2927" s="266"/>
      <c r="M2927" s="266"/>
      <c r="N2927" s="266"/>
      <c r="O2927" s="266"/>
      <c r="P2927" s="266"/>
      <c r="Q2927" s="266"/>
      <c r="BR2927" s="266"/>
      <c r="BS2927" s="266"/>
      <c r="BT2927" s="266"/>
      <c r="BU2927" s="266"/>
      <c r="BV2927" s="266"/>
    </row>
    <row r="2928" spans="12:74">
      <c r="L2928" s="266"/>
      <c r="M2928" s="266"/>
      <c r="N2928" s="266"/>
      <c r="O2928" s="266"/>
      <c r="P2928" s="266"/>
      <c r="Q2928" s="266"/>
      <c r="BR2928" s="266"/>
      <c r="BS2928" s="266"/>
      <c r="BT2928" s="266"/>
      <c r="BU2928" s="266"/>
      <c r="BV2928" s="266"/>
    </row>
    <row r="2929" spans="12:74">
      <c r="L2929" s="266"/>
      <c r="M2929" s="266"/>
      <c r="N2929" s="266"/>
      <c r="O2929" s="266"/>
      <c r="P2929" s="266"/>
      <c r="Q2929" s="266"/>
      <c r="BR2929" s="266"/>
      <c r="BS2929" s="266"/>
      <c r="BT2929" s="266"/>
      <c r="BU2929" s="266"/>
      <c r="BV2929" s="266"/>
    </row>
    <row r="2930" spans="12:74">
      <c r="L2930" s="266"/>
      <c r="M2930" s="266"/>
      <c r="N2930" s="266"/>
      <c r="O2930" s="266"/>
      <c r="P2930" s="266"/>
      <c r="Q2930" s="266"/>
      <c r="BR2930" s="266"/>
      <c r="BS2930" s="266"/>
      <c r="BT2930" s="266"/>
      <c r="BU2930" s="266"/>
      <c r="BV2930" s="266"/>
    </row>
    <row r="2931" spans="12:74">
      <c r="L2931" s="266"/>
      <c r="M2931" s="266"/>
      <c r="N2931" s="266"/>
      <c r="O2931" s="266"/>
      <c r="P2931" s="266"/>
      <c r="Q2931" s="266"/>
      <c r="BR2931" s="266"/>
      <c r="BS2931" s="266"/>
      <c r="BT2931" s="266"/>
      <c r="BU2931" s="266"/>
      <c r="BV2931" s="266"/>
    </row>
    <row r="2932" spans="12:74">
      <c r="L2932" s="266"/>
      <c r="M2932" s="266"/>
      <c r="N2932" s="266"/>
      <c r="O2932" s="266"/>
      <c r="P2932" s="266"/>
      <c r="Q2932" s="266"/>
      <c r="BR2932" s="266"/>
      <c r="BS2932" s="266"/>
      <c r="BT2932" s="266"/>
      <c r="BU2932" s="266"/>
      <c r="BV2932" s="266"/>
    </row>
    <row r="2933" spans="12:74">
      <c r="L2933" s="266"/>
      <c r="M2933" s="266"/>
      <c r="N2933" s="266"/>
      <c r="O2933" s="266"/>
      <c r="P2933" s="266"/>
      <c r="Q2933" s="266"/>
      <c r="BR2933" s="266"/>
      <c r="BS2933" s="266"/>
      <c r="BT2933" s="266"/>
      <c r="BU2933" s="266"/>
      <c r="BV2933" s="266"/>
    </row>
    <row r="2934" spans="12:74">
      <c r="L2934" s="266"/>
      <c r="M2934" s="266"/>
      <c r="N2934" s="266"/>
      <c r="O2934" s="266"/>
      <c r="P2934" s="266"/>
      <c r="Q2934" s="266"/>
      <c r="BR2934" s="266"/>
      <c r="BS2934" s="266"/>
      <c r="BT2934" s="266"/>
      <c r="BU2934" s="266"/>
      <c r="BV2934" s="266"/>
    </row>
    <row r="2935" spans="12:74">
      <c r="L2935" s="266"/>
      <c r="M2935" s="266"/>
      <c r="N2935" s="266"/>
      <c r="O2935" s="266"/>
      <c r="P2935" s="266"/>
      <c r="Q2935" s="266"/>
      <c r="BR2935" s="266"/>
      <c r="BS2935" s="266"/>
      <c r="BT2935" s="266"/>
      <c r="BU2935" s="266"/>
      <c r="BV2935" s="266"/>
    </row>
    <row r="2936" spans="12:74">
      <c r="L2936" s="266"/>
      <c r="M2936" s="266"/>
      <c r="N2936" s="266"/>
      <c r="O2936" s="266"/>
      <c r="P2936" s="266"/>
      <c r="Q2936" s="266"/>
      <c r="BR2936" s="266"/>
      <c r="BS2936" s="266"/>
      <c r="BT2936" s="266"/>
      <c r="BU2936" s="266"/>
      <c r="BV2936" s="266"/>
    </row>
    <row r="2937" spans="12:74">
      <c r="L2937" s="266"/>
      <c r="M2937" s="266"/>
      <c r="N2937" s="266"/>
      <c r="O2937" s="266"/>
      <c r="P2937" s="266"/>
      <c r="Q2937" s="266"/>
      <c r="BR2937" s="266"/>
      <c r="BS2937" s="266"/>
      <c r="BT2937" s="266"/>
      <c r="BU2937" s="266"/>
      <c r="BV2937" s="266"/>
    </row>
    <row r="2938" spans="12:74">
      <c r="L2938" s="266"/>
      <c r="M2938" s="266"/>
      <c r="N2938" s="266"/>
      <c r="O2938" s="266"/>
      <c r="P2938" s="266"/>
      <c r="Q2938" s="266"/>
      <c r="BR2938" s="266"/>
      <c r="BS2938" s="266"/>
      <c r="BT2938" s="266"/>
      <c r="BU2938" s="266"/>
      <c r="BV2938" s="266"/>
    </row>
    <row r="2939" spans="12:74">
      <c r="L2939" s="266"/>
      <c r="M2939" s="266"/>
      <c r="N2939" s="266"/>
      <c r="O2939" s="266"/>
      <c r="P2939" s="266"/>
      <c r="Q2939" s="266"/>
      <c r="BR2939" s="266"/>
      <c r="BS2939" s="266"/>
      <c r="BT2939" s="266"/>
      <c r="BU2939" s="266"/>
      <c r="BV2939" s="266"/>
    </row>
    <row r="2940" spans="12:74">
      <c r="L2940" s="266"/>
      <c r="M2940" s="266"/>
      <c r="N2940" s="266"/>
      <c r="O2940" s="266"/>
      <c r="P2940" s="266"/>
      <c r="Q2940" s="266"/>
      <c r="BR2940" s="266"/>
      <c r="BS2940" s="266"/>
      <c r="BT2940" s="266"/>
      <c r="BU2940" s="266"/>
      <c r="BV2940" s="266"/>
    </row>
    <row r="2941" spans="12:74">
      <c r="L2941" s="266"/>
      <c r="M2941" s="266"/>
      <c r="N2941" s="266"/>
      <c r="O2941" s="266"/>
      <c r="P2941" s="266"/>
      <c r="Q2941" s="266"/>
      <c r="BR2941" s="266"/>
      <c r="BS2941" s="266"/>
      <c r="BT2941" s="266"/>
      <c r="BU2941" s="266"/>
      <c r="BV2941" s="266"/>
    </row>
    <row r="2942" spans="12:74">
      <c r="L2942" s="266"/>
      <c r="M2942" s="266"/>
      <c r="N2942" s="266"/>
      <c r="O2942" s="266"/>
      <c r="P2942" s="266"/>
      <c r="Q2942" s="266"/>
      <c r="BR2942" s="266"/>
      <c r="BS2942" s="266"/>
      <c r="BT2942" s="266"/>
      <c r="BU2942" s="266"/>
      <c r="BV2942" s="266"/>
    </row>
    <row r="2943" spans="12:74">
      <c r="L2943" s="266"/>
      <c r="M2943" s="266"/>
      <c r="N2943" s="266"/>
      <c r="O2943" s="266"/>
      <c r="P2943" s="266"/>
      <c r="Q2943" s="266"/>
      <c r="BR2943" s="266"/>
      <c r="BS2943" s="266"/>
      <c r="BT2943" s="266"/>
      <c r="BU2943" s="266"/>
      <c r="BV2943" s="266"/>
    </row>
    <row r="2944" spans="12:74">
      <c r="L2944" s="266"/>
      <c r="M2944" s="266"/>
      <c r="N2944" s="266"/>
      <c r="O2944" s="266"/>
      <c r="P2944" s="266"/>
      <c r="Q2944" s="266"/>
      <c r="BR2944" s="266"/>
      <c r="BS2944" s="266"/>
      <c r="BT2944" s="266"/>
      <c r="BU2944" s="266"/>
      <c r="BV2944" s="266"/>
    </row>
    <row r="2945" spans="12:74">
      <c r="L2945" s="266"/>
      <c r="M2945" s="266"/>
      <c r="N2945" s="266"/>
      <c r="O2945" s="266"/>
      <c r="P2945" s="266"/>
      <c r="Q2945" s="266"/>
      <c r="BR2945" s="266"/>
      <c r="BS2945" s="266"/>
      <c r="BT2945" s="266"/>
      <c r="BU2945" s="266"/>
      <c r="BV2945" s="266"/>
    </row>
    <row r="2946" spans="12:74">
      <c r="L2946" s="266"/>
      <c r="M2946" s="266"/>
      <c r="N2946" s="266"/>
      <c r="O2946" s="266"/>
      <c r="P2946" s="266"/>
      <c r="Q2946" s="266"/>
      <c r="BR2946" s="266"/>
      <c r="BS2946" s="266"/>
      <c r="BT2946" s="266"/>
      <c r="BU2946" s="266"/>
      <c r="BV2946" s="266"/>
    </row>
    <row r="2947" spans="12:74">
      <c r="L2947" s="266"/>
      <c r="M2947" s="266"/>
      <c r="N2947" s="266"/>
      <c r="O2947" s="266"/>
      <c r="P2947" s="266"/>
      <c r="Q2947" s="266"/>
      <c r="BR2947" s="266"/>
      <c r="BS2947" s="266"/>
      <c r="BT2947" s="266"/>
      <c r="BU2947" s="266"/>
      <c r="BV2947" s="266"/>
    </row>
    <row r="2948" spans="12:74">
      <c r="L2948" s="266"/>
      <c r="M2948" s="266"/>
      <c r="N2948" s="266"/>
      <c r="O2948" s="266"/>
      <c r="P2948" s="266"/>
      <c r="Q2948" s="266"/>
      <c r="BR2948" s="266"/>
      <c r="BS2948" s="266"/>
      <c r="BT2948" s="266"/>
      <c r="BU2948" s="266"/>
      <c r="BV2948" s="266"/>
    </row>
    <row r="2949" spans="12:74">
      <c r="L2949" s="266"/>
      <c r="M2949" s="266"/>
      <c r="N2949" s="266"/>
      <c r="O2949" s="266"/>
      <c r="P2949" s="266"/>
      <c r="Q2949" s="266"/>
      <c r="BR2949" s="266"/>
      <c r="BS2949" s="266"/>
      <c r="BT2949" s="266"/>
      <c r="BU2949" s="266"/>
      <c r="BV2949" s="266"/>
    </row>
    <row r="2950" spans="12:74">
      <c r="L2950" s="266"/>
      <c r="M2950" s="266"/>
      <c r="N2950" s="266"/>
      <c r="O2950" s="266"/>
      <c r="P2950" s="266"/>
      <c r="Q2950" s="266"/>
      <c r="BR2950" s="266"/>
      <c r="BS2950" s="266"/>
      <c r="BT2950" s="266"/>
      <c r="BU2950" s="266"/>
      <c r="BV2950" s="266"/>
    </row>
    <row r="2951" spans="12:74">
      <c r="L2951" s="266"/>
      <c r="M2951" s="266"/>
      <c r="N2951" s="266"/>
      <c r="O2951" s="266"/>
      <c r="P2951" s="266"/>
      <c r="Q2951" s="266"/>
      <c r="BR2951" s="266"/>
      <c r="BS2951" s="266"/>
      <c r="BT2951" s="266"/>
      <c r="BU2951" s="266"/>
      <c r="BV2951" s="266"/>
    </row>
    <row r="2952" spans="12:74">
      <c r="L2952" s="266"/>
      <c r="M2952" s="266"/>
      <c r="N2952" s="266"/>
      <c r="O2952" s="266"/>
      <c r="P2952" s="266"/>
      <c r="Q2952" s="266"/>
      <c r="BR2952" s="266"/>
      <c r="BS2952" s="266"/>
      <c r="BT2952" s="266"/>
      <c r="BU2952" s="266"/>
      <c r="BV2952" s="266"/>
    </row>
    <row r="2953" spans="12:74">
      <c r="L2953" s="266"/>
      <c r="M2953" s="266"/>
      <c r="N2953" s="266"/>
      <c r="O2953" s="266"/>
      <c r="P2953" s="266"/>
      <c r="Q2953" s="266"/>
      <c r="BR2953" s="266"/>
      <c r="BS2953" s="266"/>
      <c r="BT2953" s="266"/>
      <c r="BU2953" s="266"/>
      <c r="BV2953" s="266"/>
    </row>
    <row r="2954" spans="12:74">
      <c r="L2954" s="266"/>
      <c r="M2954" s="266"/>
      <c r="N2954" s="266"/>
      <c r="O2954" s="266"/>
      <c r="P2954" s="266"/>
      <c r="Q2954" s="266"/>
      <c r="BR2954" s="266"/>
      <c r="BS2954" s="266"/>
      <c r="BT2954" s="266"/>
      <c r="BU2954" s="266"/>
      <c r="BV2954" s="266"/>
    </row>
    <row r="2955" spans="12:74">
      <c r="L2955" s="266"/>
      <c r="M2955" s="266"/>
      <c r="N2955" s="266"/>
      <c r="O2955" s="266"/>
      <c r="P2955" s="266"/>
      <c r="Q2955" s="266"/>
      <c r="BR2955" s="266"/>
      <c r="BS2955" s="266"/>
      <c r="BT2955" s="266"/>
      <c r="BU2955" s="266"/>
      <c r="BV2955" s="266"/>
    </row>
    <row r="2956" spans="12:74">
      <c r="L2956" s="266"/>
      <c r="M2956" s="266"/>
      <c r="N2956" s="266"/>
      <c r="O2956" s="266"/>
      <c r="P2956" s="266"/>
      <c r="Q2956" s="266"/>
      <c r="BR2956" s="266"/>
      <c r="BS2956" s="266"/>
      <c r="BT2956" s="266"/>
      <c r="BU2956" s="266"/>
      <c r="BV2956" s="266"/>
    </row>
    <row r="2957" spans="12:74">
      <c r="L2957" s="266"/>
      <c r="M2957" s="266"/>
      <c r="N2957" s="266"/>
      <c r="O2957" s="266"/>
      <c r="P2957" s="266"/>
      <c r="Q2957" s="266"/>
      <c r="BR2957" s="266"/>
      <c r="BS2957" s="266"/>
      <c r="BT2957" s="266"/>
      <c r="BU2957" s="266"/>
      <c r="BV2957" s="266"/>
    </row>
    <row r="2958" spans="12:74">
      <c r="L2958" s="266"/>
      <c r="M2958" s="266"/>
      <c r="N2958" s="266"/>
      <c r="O2958" s="266"/>
      <c r="P2958" s="266"/>
      <c r="Q2958" s="266"/>
      <c r="BR2958" s="266"/>
      <c r="BS2958" s="266"/>
      <c r="BT2958" s="266"/>
      <c r="BU2958" s="266"/>
      <c r="BV2958" s="266"/>
    </row>
    <row r="2959" spans="12:74">
      <c r="L2959" s="266"/>
      <c r="M2959" s="266"/>
      <c r="N2959" s="266"/>
      <c r="O2959" s="266"/>
      <c r="P2959" s="266"/>
      <c r="Q2959" s="266"/>
      <c r="BR2959" s="266"/>
      <c r="BS2959" s="266"/>
      <c r="BT2959" s="266"/>
      <c r="BU2959" s="266"/>
      <c r="BV2959" s="266"/>
    </row>
    <row r="2960" spans="12:74">
      <c r="L2960" s="266"/>
      <c r="M2960" s="266"/>
      <c r="N2960" s="266"/>
      <c r="O2960" s="266"/>
      <c r="P2960" s="266"/>
      <c r="Q2960" s="266"/>
      <c r="BR2960" s="266"/>
      <c r="BS2960" s="266"/>
      <c r="BT2960" s="266"/>
      <c r="BU2960" s="266"/>
      <c r="BV2960" s="266"/>
    </row>
    <row r="2961" spans="12:74">
      <c r="L2961" s="266"/>
      <c r="M2961" s="266"/>
      <c r="N2961" s="266"/>
      <c r="O2961" s="266"/>
      <c r="P2961" s="266"/>
      <c r="Q2961" s="266"/>
      <c r="BR2961" s="266"/>
      <c r="BS2961" s="266"/>
      <c r="BT2961" s="266"/>
      <c r="BU2961" s="266"/>
      <c r="BV2961" s="266"/>
    </row>
    <row r="2962" spans="12:74">
      <c r="L2962" s="266"/>
      <c r="M2962" s="266"/>
      <c r="N2962" s="266"/>
      <c r="O2962" s="266"/>
      <c r="P2962" s="266"/>
      <c r="Q2962" s="266"/>
      <c r="BR2962" s="266"/>
      <c r="BS2962" s="266"/>
      <c r="BT2962" s="266"/>
      <c r="BU2962" s="266"/>
      <c r="BV2962" s="266"/>
    </row>
    <row r="2963" spans="12:74">
      <c r="L2963" s="266"/>
      <c r="M2963" s="266"/>
      <c r="N2963" s="266"/>
      <c r="O2963" s="266"/>
      <c r="P2963" s="266"/>
      <c r="Q2963" s="266"/>
      <c r="BR2963" s="266"/>
      <c r="BS2963" s="266"/>
      <c r="BT2963" s="266"/>
      <c r="BU2963" s="266"/>
      <c r="BV2963" s="266"/>
    </row>
    <row r="2964" spans="12:74">
      <c r="L2964" s="266"/>
      <c r="M2964" s="266"/>
      <c r="N2964" s="266"/>
      <c r="O2964" s="266"/>
      <c r="P2964" s="266"/>
      <c r="Q2964" s="266"/>
      <c r="BR2964" s="266"/>
      <c r="BS2964" s="266"/>
      <c r="BT2964" s="266"/>
      <c r="BU2964" s="266"/>
      <c r="BV2964" s="266"/>
    </row>
    <row r="2965" spans="12:74">
      <c r="L2965" s="266"/>
      <c r="M2965" s="266"/>
      <c r="N2965" s="266"/>
      <c r="O2965" s="266"/>
      <c r="P2965" s="266"/>
      <c r="Q2965" s="266"/>
      <c r="BR2965" s="266"/>
      <c r="BS2965" s="266"/>
      <c r="BT2965" s="266"/>
      <c r="BU2965" s="266"/>
      <c r="BV2965" s="266"/>
    </row>
    <row r="2966" spans="12:74">
      <c r="L2966" s="266"/>
      <c r="M2966" s="266"/>
      <c r="N2966" s="266"/>
      <c r="O2966" s="266"/>
      <c r="P2966" s="266"/>
      <c r="Q2966" s="266"/>
      <c r="BR2966" s="266"/>
      <c r="BS2966" s="266"/>
      <c r="BT2966" s="266"/>
      <c r="BU2966" s="266"/>
      <c r="BV2966" s="266"/>
    </row>
    <row r="2967" spans="12:74">
      <c r="L2967" s="266"/>
      <c r="M2967" s="266"/>
      <c r="N2967" s="266"/>
      <c r="O2967" s="266"/>
      <c r="P2967" s="266"/>
      <c r="Q2967" s="266"/>
      <c r="BR2967" s="266"/>
      <c r="BS2967" s="266"/>
      <c r="BT2967" s="266"/>
      <c r="BU2967" s="266"/>
      <c r="BV2967" s="266"/>
    </row>
    <row r="2968" spans="12:74">
      <c r="L2968" s="266"/>
      <c r="M2968" s="266"/>
      <c r="N2968" s="266"/>
      <c r="O2968" s="266"/>
      <c r="P2968" s="266"/>
      <c r="Q2968" s="266"/>
      <c r="BR2968" s="266"/>
      <c r="BS2968" s="266"/>
      <c r="BT2968" s="266"/>
      <c r="BU2968" s="266"/>
      <c r="BV2968" s="266"/>
    </row>
    <row r="2969" spans="12:74">
      <c r="L2969" s="266"/>
      <c r="M2969" s="266"/>
      <c r="N2969" s="266"/>
      <c r="O2969" s="266"/>
      <c r="P2969" s="266"/>
      <c r="Q2969" s="266"/>
      <c r="BR2969" s="266"/>
      <c r="BS2969" s="266"/>
      <c r="BT2969" s="266"/>
      <c r="BU2969" s="266"/>
      <c r="BV2969" s="266"/>
    </row>
    <row r="2970" spans="12:74">
      <c r="L2970" s="266"/>
      <c r="M2970" s="266"/>
      <c r="N2970" s="266"/>
      <c r="O2970" s="266"/>
      <c r="P2970" s="266"/>
      <c r="Q2970" s="266"/>
      <c r="BR2970" s="266"/>
      <c r="BS2970" s="266"/>
      <c r="BT2970" s="266"/>
      <c r="BU2970" s="266"/>
      <c r="BV2970" s="266"/>
    </row>
    <row r="2971" spans="12:74">
      <c r="L2971" s="266"/>
      <c r="M2971" s="266"/>
      <c r="N2971" s="266"/>
      <c r="O2971" s="266"/>
      <c r="P2971" s="266"/>
      <c r="Q2971" s="266"/>
      <c r="BR2971" s="266"/>
      <c r="BS2971" s="266"/>
      <c r="BT2971" s="266"/>
      <c r="BU2971" s="266"/>
      <c r="BV2971" s="266"/>
    </row>
    <row r="2972" spans="12:74">
      <c r="L2972" s="266"/>
      <c r="M2972" s="266"/>
      <c r="N2972" s="266"/>
      <c r="O2972" s="266"/>
      <c r="P2972" s="266"/>
      <c r="Q2972" s="266"/>
      <c r="BR2972" s="266"/>
      <c r="BS2972" s="266"/>
      <c r="BT2972" s="266"/>
      <c r="BU2972" s="266"/>
      <c r="BV2972" s="266"/>
    </row>
    <row r="2973" spans="12:74">
      <c r="L2973" s="266"/>
      <c r="M2973" s="266"/>
      <c r="N2973" s="266"/>
      <c r="O2973" s="266"/>
      <c r="P2973" s="266"/>
      <c r="Q2973" s="266"/>
      <c r="BR2973" s="266"/>
      <c r="BS2973" s="266"/>
      <c r="BT2973" s="266"/>
      <c r="BU2973" s="266"/>
      <c r="BV2973" s="266"/>
    </row>
    <row r="2974" spans="12:74">
      <c r="L2974" s="266"/>
      <c r="M2974" s="266"/>
      <c r="N2974" s="266"/>
      <c r="O2974" s="266"/>
      <c r="P2974" s="266"/>
      <c r="Q2974" s="266"/>
      <c r="BR2974" s="266"/>
      <c r="BS2974" s="266"/>
      <c r="BT2974" s="266"/>
      <c r="BU2974" s="266"/>
      <c r="BV2974" s="266"/>
    </row>
    <row r="2975" spans="12:74">
      <c r="L2975" s="266"/>
      <c r="M2975" s="266"/>
      <c r="N2975" s="266"/>
      <c r="O2975" s="266"/>
      <c r="P2975" s="266"/>
      <c r="Q2975" s="266"/>
      <c r="BR2975" s="266"/>
      <c r="BS2975" s="266"/>
      <c r="BT2975" s="266"/>
      <c r="BU2975" s="266"/>
      <c r="BV2975" s="266"/>
    </row>
    <row r="2976" spans="12:74">
      <c r="L2976" s="266"/>
      <c r="M2976" s="266"/>
      <c r="N2976" s="266"/>
      <c r="O2976" s="266"/>
      <c r="P2976" s="266"/>
      <c r="Q2976" s="266"/>
      <c r="BR2976" s="266"/>
      <c r="BS2976" s="266"/>
      <c r="BT2976" s="266"/>
      <c r="BU2976" s="266"/>
      <c r="BV2976" s="266"/>
    </row>
    <row r="2977" spans="12:74">
      <c r="L2977" s="266"/>
      <c r="M2977" s="266"/>
      <c r="N2977" s="266"/>
      <c r="O2977" s="266"/>
      <c r="P2977" s="266"/>
      <c r="Q2977" s="266"/>
      <c r="BR2977" s="266"/>
      <c r="BS2977" s="266"/>
      <c r="BT2977" s="266"/>
      <c r="BU2977" s="266"/>
      <c r="BV2977" s="266"/>
    </row>
    <row r="2978" spans="12:74">
      <c r="L2978" s="266"/>
      <c r="M2978" s="266"/>
      <c r="N2978" s="266"/>
      <c r="O2978" s="266"/>
      <c r="P2978" s="266"/>
      <c r="Q2978" s="266"/>
      <c r="BR2978" s="266"/>
      <c r="BS2978" s="266"/>
      <c r="BT2978" s="266"/>
      <c r="BU2978" s="266"/>
      <c r="BV2978" s="266"/>
    </row>
    <row r="2979" spans="12:74">
      <c r="L2979" s="266"/>
      <c r="M2979" s="266"/>
      <c r="N2979" s="266"/>
      <c r="O2979" s="266"/>
      <c r="P2979" s="266"/>
      <c r="Q2979" s="266"/>
      <c r="BR2979" s="266"/>
      <c r="BS2979" s="266"/>
      <c r="BT2979" s="266"/>
      <c r="BU2979" s="266"/>
      <c r="BV2979" s="266"/>
    </row>
    <row r="2980" spans="12:74">
      <c r="L2980" s="266"/>
      <c r="M2980" s="266"/>
      <c r="N2980" s="266"/>
      <c r="O2980" s="266"/>
      <c r="P2980" s="266"/>
      <c r="Q2980" s="266"/>
      <c r="BR2980" s="266"/>
      <c r="BS2980" s="266"/>
      <c r="BT2980" s="266"/>
      <c r="BU2980" s="266"/>
      <c r="BV2980" s="266"/>
    </row>
    <row r="2981" spans="12:74">
      <c r="L2981" s="266"/>
      <c r="M2981" s="266"/>
      <c r="N2981" s="266"/>
      <c r="O2981" s="266"/>
      <c r="P2981" s="266"/>
      <c r="Q2981" s="266"/>
      <c r="BR2981" s="266"/>
      <c r="BS2981" s="266"/>
      <c r="BT2981" s="266"/>
      <c r="BU2981" s="266"/>
      <c r="BV2981" s="266"/>
    </row>
    <row r="2982" spans="12:74">
      <c r="L2982" s="266"/>
      <c r="M2982" s="266"/>
      <c r="N2982" s="266"/>
      <c r="O2982" s="266"/>
      <c r="P2982" s="266"/>
      <c r="Q2982" s="266"/>
      <c r="BR2982" s="266"/>
      <c r="BS2982" s="266"/>
      <c r="BT2982" s="266"/>
      <c r="BU2982" s="266"/>
      <c r="BV2982" s="266"/>
    </row>
    <row r="2983" spans="12:74">
      <c r="L2983" s="266"/>
      <c r="M2983" s="266"/>
      <c r="N2983" s="266"/>
      <c r="O2983" s="266"/>
      <c r="P2983" s="266"/>
      <c r="Q2983" s="266"/>
      <c r="BR2983" s="266"/>
      <c r="BS2983" s="266"/>
      <c r="BT2983" s="266"/>
      <c r="BU2983" s="266"/>
      <c r="BV2983" s="266"/>
    </row>
    <row r="2984" spans="12:74">
      <c r="L2984" s="266"/>
      <c r="M2984" s="266"/>
      <c r="N2984" s="266"/>
      <c r="O2984" s="266"/>
      <c r="P2984" s="266"/>
      <c r="Q2984" s="266"/>
      <c r="BR2984" s="266"/>
      <c r="BS2984" s="266"/>
      <c r="BT2984" s="266"/>
      <c r="BU2984" s="266"/>
      <c r="BV2984" s="266"/>
    </row>
    <row r="2985" spans="12:74">
      <c r="L2985" s="266"/>
      <c r="M2985" s="266"/>
      <c r="N2985" s="266"/>
      <c r="O2985" s="266"/>
      <c r="P2985" s="266"/>
      <c r="Q2985" s="266"/>
      <c r="BR2985" s="266"/>
      <c r="BS2985" s="266"/>
      <c r="BT2985" s="266"/>
      <c r="BU2985" s="266"/>
      <c r="BV2985" s="266"/>
    </row>
    <row r="2986" spans="12:74">
      <c r="L2986" s="266"/>
      <c r="M2986" s="266"/>
      <c r="N2986" s="266"/>
      <c r="O2986" s="266"/>
      <c r="P2986" s="266"/>
      <c r="Q2986" s="266"/>
      <c r="BR2986" s="266"/>
      <c r="BS2986" s="266"/>
      <c r="BT2986" s="266"/>
      <c r="BU2986" s="266"/>
      <c r="BV2986" s="266"/>
    </row>
    <row r="2987" spans="12:74">
      <c r="L2987" s="266"/>
      <c r="M2987" s="266"/>
      <c r="N2987" s="266"/>
      <c r="O2987" s="266"/>
      <c r="P2987" s="266"/>
      <c r="Q2987" s="266"/>
      <c r="BR2987" s="266"/>
      <c r="BS2987" s="266"/>
      <c r="BT2987" s="266"/>
      <c r="BU2987" s="266"/>
      <c r="BV2987" s="266"/>
    </row>
    <row r="2988" spans="12:74">
      <c r="L2988" s="266"/>
      <c r="M2988" s="266"/>
      <c r="N2988" s="266"/>
      <c r="O2988" s="266"/>
      <c r="P2988" s="266"/>
      <c r="Q2988" s="266"/>
      <c r="BR2988" s="266"/>
      <c r="BS2988" s="266"/>
      <c r="BT2988" s="266"/>
      <c r="BU2988" s="266"/>
      <c r="BV2988" s="266"/>
    </row>
    <row r="2989" spans="12:74">
      <c r="L2989" s="266"/>
      <c r="M2989" s="266"/>
      <c r="N2989" s="266"/>
      <c r="O2989" s="266"/>
      <c r="P2989" s="266"/>
      <c r="Q2989" s="266"/>
      <c r="BR2989" s="266"/>
      <c r="BS2989" s="266"/>
      <c r="BT2989" s="266"/>
      <c r="BU2989" s="266"/>
      <c r="BV2989" s="266"/>
    </row>
    <row r="2990" spans="12:74">
      <c r="L2990" s="266"/>
      <c r="M2990" s="266"/>
      <c r="N2990" s="266"/>
      <c r="O2990" s="266"/>
      <c r="P2990" s="266"/>
      <c r="Q2990" s="266"/>
      <c r="BR2990" s="266"/>
      <c r="BS2990" s="266"/>
      <c r="BT2990" s="266"/>
      <c r="BU2990" s="266"/>
      <c r="BV2990" s="266"/>
    </row>
    <row r="2991" spans="12:74">
      <c r="L2991" s="266"/>
      <c r="M2991" s="266"/>
      <c r="N2991" s="266"/>
      <c r="O2991" s="266"/>
      <c r="P2991" s="266"/>
      <c r="Q2991" s="266"/>
      <c r="BR2991" s="266"/>
      <c r="BS2991" s="266"/>
      <c r="BT2991" s="266"/>
      <c r="BU2991" s="266"/>
      <c r="BV2991" s="266"/>
    </row>
    <row r="2992" spans="12:74">
      <c r="L2992" s="266"/>
      <c r="M2992" s="266"/>
      <c r="N2992" s="266"/>
      <c r="O2992" s="266"/>
      <c r="P2992" s="266"/>
      <c r="Q2992" s="266"/>
      <c r="BR2992" s="266"/>
      <c r="BS2992" s="266"/>
      <c r="BT2992" s="266"/>
      <c r="BU2992" s="266"/>
      <c r="BV2992" s="266"/>
    </row>
    <row r="2993" spans="12:74">
      <c r="L2993" s="266"/>
      <c r="M2993" s="266"/>
      <c r="N2993" s="266"/>
      <c r="O2993" s="266"/>
      <c r="P2993" s="266"/>
      <c r="Q2993" s="266"/>
      <c r="BR2993" s="266"/>
      <c r="BS2993" s="266"/>
      <c r="BT2993" s="266"/>
      <c r="BU2993" s="266"/>
      <c r="BV2993" s="266"/>
    </row>
    <row r="2994" spans="12:74">
      <c r="L2994" s="266"/>
      <c r="M2994" s="266"/>
      <c r="N2994" s="266"/>
      <c r="O2994" s="266"/>
      <c r="P2994" s="266"/>
      <c r="Q2994" s="266"/>
      <c r="BR2994" s="266"/>
      <c r="BS2994" s="266"/>
      <c r="BT2994" s="266"/>
      <c r="BU2994" s="266"/>
      <c r="BV2994" s="266"/>
    </row>
    <row r="2995" spans="12:74">
      <c r="L2995" s="266"/>
      <c r="M2995" s="266"/>
      <c r="N2995" s="266"/>
      <c r="O2995" s="266"/>
      <c r="P2995" s="266"/>
      <c r="Q2995" s="266"/>
      <c r="BR2995" s="266"/>
      <c r="BS2995" s="266"/>
      <c r="BT2995" s="266"/>
      <c r="BU2995" s="266"/>
      <c r="BV2995" s="266"/>
    </row>
    <row r="2996" spans="12:74">
      <c r="L2996" s="266"/>
      <c r="M2996" s="266"/>
      <c r="N2996" s="266"/>
      <c r="O2996" s="266"/>
      <c r="P2996" s="266"/>
      <c r="Q2996" s="266"/>
      <c r="BR2996" s="266"/>
      <c r="BS2996" s="266"/>
      <c r="BT2996" s="266"/>
      <c r="BU2996" s="266"/>
      <c r="BV2996" s="266"/>
    </row>
    <row r="2997" spans="12:74">
      <c r="L2997" s="266"/>
      <c r="M2997" s="266"/>
      <c r="N2997" s="266"/>
      <c r="O2997" s="266"/>
      <c r="P2997" s="266"/>
      <c r="Q2997" s="266"/>
      <c r="BR2997" s="266"/>
      <c r="BS2997" s="266"/>
      <c r="BT2997" s="266"/>
      <c r="BU2997" s="266"/>
      <c r="BV2997" s="266"/>
    </row>
    <row r="2998" spans="12:74">
      <c r="L2998" s="266"/>
      <c r="M2998" s="266"/>
      <c r="N2998" s="266"/>
      <c r="O2998" s="266"/>
      <c r="P2998" s="266"/>
      <c r="Q2998" s="266"/>
      <c r="BR2998" s="266"/>
      <c r="BS2998" s="266"/>
      <c r="BT2998" s="266"/>
      <c r="BU2998" s="266"/>
      <c r="BV2998" s="266"/>
    </row>
    <row r="2999" spans="12:74">
      <c r="L2999" s="266"/>
      <c r="M2999" s="266"/>
      <c r="N2999" s="266"/>
      <c r="O2999" s="266"/>
      <c r="P2999" s="266"/>
      <c r="Q2999" s="266"/>
      <c r="BR2999" s="266"/>
      <c r="BS2999" s="266"/>
      <c r="BT2999" s="266"/>
      <c r="BU2999" s="266"/>
      <c r="BV2999" s="266"/>
    </row>
    <row r="3000" spans="12:74">
      <c r="L3000" s="266"/>
      <c r="M3000" s="266"/>
      <c r="N3000" s="266"/>
      <c r="O3000" s="266"/>
      <c r="P3000" s="266"/>
      <c r="Q3000" s="266"/>
      <c r="BR3000" s="266"/>
      <c r="BS3000" s="266"/>
      <c r="BT3000" s="266"/>
      <c r="BU3000" s="266"/>
      <c r="BV3000" s="266"/>
    </row>
    <row r="3001" spans="12:74">
      <c r="L3001" s="266"/>
      <c r="M3001" s="266"/>
      <c r="N3001" s="266"/>
      <c r="O3001" s="266"/>
      <c r="P3001" s="266"/>
      <c r="Q3001" s="266"/>
      <c r="BR3001" s="266"/>
      <c r="BS3001" s="266"/>
      <c r="BT3001" s="266"/>
      <c r="BU3001" s="266"/>
      <c r="BV3001" s="266"/>
    </row>
    <row r="3002" spans="12:74">
      <c r="L3002" s="266"/>
      <c r="M3002" s="266"/>
      <c r="N3002" s="266"/>
      <c r="O3002" s="266"/>
      <c r="P3002" s="266"/>
      <c r="Q3002" s="266"/>
      <c r="BR3002" s="266"/>
      <c r="BS3002" s="266"/>
      <c r="BT3002" s="266"/>
      <c r="BU3002" s="266"/>
      <c r="BV3002" s="266"/>
    </row>
    <row r="3003" spans="12:74">
      <c r="L3003" s="266"/>
      <c r="M3003" s="266"/>
      <c r="N3003" s="266"/>
      <c r="O3003" s="266"/>
      <c r="P3003" s="266"/>
      <c r="Q3003" s="266"/>
      <c r="BR3003" s="266"/>
      <c r="BS3003" s="266"/>
      <c r="BT3003" s="266"/>
      <c r="BU3003" s="266"/>
      <c r="BV3003" s="266"/>
    </row>
    <row r="3004" spans="12:74">
      <c r="L3004" s="266"/>
      <c r="M3004" s="266"/>
      <c r="N3004" s="266"/>
      <c r="O3004" s="266"/>
      <c r="P3004" s="266"/>
      <c r="Q3004" s="266"/>
      <c r="BR3004" s="266"/>
      <c r="BS3004" s="266"/>
      <c r="BT3004" s="266"/>
      <c r="BU3004" s="266"/>
      <c r="BV3004" s="266"/>
    </row>
    <row r="3005" spans="12:74">
      <c r="L3005" s="266"/>
      <c r="M3005" s="266"/>
      <c r="N3005" s="266"/>
      <c r="O3005" s="266"/>
      <c r="P3005" s="266"/>
      <c r="Q3005" s="266"/>
      <c r="BR3005" s="266"/>
      <c r="BS3005" s="266"/>
      <c r="BT3005" s="266"/>
      <c r="BU3005" s="266"/>
      <c r="BV3005" s="266"/>
    </row>
    <row r="3006" spans="12:74">
      <c r="L3006" s="266"/>
      <c r="M3006" s="266"/>
      <c r="N3006" s="266"/>
      <c r="O3006" s="266"/>
      <c r="P3006" s="266"/>
      <c r="Q3006" s="266"/>
      <c r="BR3006" s="266"/>
      <c r="BS3006" s="266"/>
      <c r="BT3006" s="266"/>
      <c r="BU3006" s="266"/>
      <c r="BV3006" s="266"/>
    </row>
    <row r="3007" spans="12:74">
      <c r="L3007" s="266"/>
      <c r="M3007" s="266"/>
      <c r="N3007" s="266"/>
      <c r="O3007" s="266"/>
      <c r="P3007" s="266"/>
      <c r="Q3007" s="266"/>
      <c r="BR3007" s="266"/>
      <c r="BS3007" s="266"/>
      <c r="BT3007" s="266"/>
      <c r="BU3007" s="266"/>
      <c r="BV3007" s="266"/>
    </row>
    <row r="3008" spans="12:74">
      <c r="L3008" s="266"/>
      <c r="M3008" s="266"/>
      <c r="N3008" s="266"/>
      <c r="O3008" s="266"/>
      <c r="P3008" s="266"/>
      <c r="Q3008" s="266"/>
      <c r="BR3008" s="266"/>
      <c r="BS3008" s="266"/>
      <c r="BT3008" s="266"/>
      <c r="BU3008" s="266"/>
      <c r="BV3008" s="266"/>
    </row>
    <row r="3009" spans="12:74">
      <c r="L3009" s="266"/>
      <c r="M3009" s="266"/>
      <c r="N3009" s="266"/>
      <c r="O3009" s="266"/>
      <c r="P3009" s="266"/>
      <c r="Q3009" s="266"/>
      <c r="BR3009" s="266"/>
      <c r="BS3009" s="266"/>
      <c r="BT3009" s="266"/>
      <c r="BU3009" s="266"/>
      <c r="BV3009" s="266"/>
    </row>
    <row r="3010" spans="12:74">
      <c r="L3010" s="266"/>
      <c r="M3010" s="266"/>
      <c r="N3010" s="266"/>
      <c r="O3010" s="266"/>
      <c r="P3010" s="266"/>
      <c r="Q3010" s="266"/>
      <c r="BR3010" s="266"/>
      <c r="BS3010" s="266"/>
      <c r="BT3010" s="266"/>
      <c r="BU3010" s="266"/>
      <c r="BV3010" s="266"/>
    </row>
    <row r="3011" spans="12:74">
      <c r="L3011" s="266"/>
      <c r="M3011" s="266"/>
      <c r="N3011" s="266"/>
      <c r="O3011" s="266"/>
      <c r="P3011" s="266"/>
      <c r="Q3011" s="266"/>
      <c r="BR3011" s="266"/>
      <c r="BS3011" s="266"/>
      <c r="BT3011" s="266"/>
      <c r="BU3011" s="266"/>
      <c r="BV3011" s="266"/>
    </row>
    <row r="3012" spans="12:74">
      <c r="L3012" s="266"/>
      <c r="M3012" s="266"/>
      <c r="N3012" s="266"/>
      <c r="O3012" s="266"/>
      <c r="P3012" s="266"/>
      <c r="Q3012" s="266"/>
      <c r="BR3012" s="266"/>
      <c r="BS3012" s="266"/>
      <c r="BT3012" s="266"/>
      <c r="BU3012" s="266"/>
      <c r="BV3012" s="266"/>
    </row>
    <row r="3013" spans="12:74">
      <c r="L3013" s="266"/>
      <c r="M3013" s="266"/>
      <c r="N3013" s="266"/>
      <c r="O3013" s="266"/>
      <c r="P3013" s="266"/>
      <c r="Q3013" s="266"/>
      <c r="BR3013" s="266"/>
      <c r="BS3013" s="266"/>
      <c r="BT3013" s="266"/>
      <c r="BU3013" s="266"/>
      <c r="BV3013" s="266"/>
    </row>
    <row r="3014" spans="12:74">
      <c r="L3014" s="266"/>
      <c r="M3014" s="266"/>
      <c r="N3014" s="266"/>
      <c r="O3014" s="266"/>
      <c r="P3014" s="266"/>
      <c r="Q3014" s="266"/>
      <c r="BR3014" s="266"/>
      <c r="BS3014" s="266"/>
      <c r="BT3014" s="266"/>
      <c r="BU3014" s="266"/>
      <c r="BV3014" s="266"/>
    </row>
    <row r="3015" spans="12:74">
      <c r="L3015" s="266"/>
      <c r="M3015" s="266"/>
      <c r="N3015" s="266"/>
      <c r="O3015" s="266"/>
      <c r="P3015" s="266"/>
      <c r="Q3015" s="266"/>
      <c r="BR3015" s="266"/>
      <c r="BS3015" s="266"/>
      <c r="BT3015" s="266"/>
      <c r="BU3015" s="266"/>
      <c r="BV3015" s="266"/>
    </row>
    <row r="3016" spans="12:74">
      <c r="L3016" s="266"/>
      <c r="M3016" s="266"/>
      <c r="N3016" s="266"/>
      <c r="O3016" s="266"/>
      <c r="P3016" s="266"/>
      <c r="Q3016" s="266"/>
      <c r="BR3016" s="266"/>
      <c r="BS3016" s="266"/>
      <c r="BT3016" s="266"/>
      <c r="BU3016" s="266"/>
      <c r="BV3016" s="266"/>
    </row>
    <row r="3017" spans="12:74">
      <c r="L3017" s="266"/>
      <c r="M3017" s="266"/>
      <c r="N3017" s="266"/>
      <c r="O3017" s="266"/>
      <c r="P3017" s="266"/>
      <c r="Q3017" s="266"/>
      <c r="BR3017" s="266"/>
      <c r="BS3017" s="266"/>
      <c r="BT3017" s="266"/>
      <c r="BU3017" s="266"/>
      <c r="BV3017" s="266"/>
    </row>
    <row r="3018" spans="12:74">
      <c r="L3018" s="266"/>
      <c r="M3018" s="266"/>
      <c r="N3018" s="266"/>
      <c r="O3018" s="266"/>
      <c r="P3018" s="266"/>
      <c r="Q3018" s="266"/>
      <c r="BR3018" s="266"/>
      <c r="BS3018" s="266"/>
      <c r="BT3018" s="266"/>
      <c r="BU3018" s="266"/>
      <c r="BV3018" s="266"/>
    </row>
    <row r="3019" spans="12:74">
      <c r="L3019" s="266"/>
      <c r="M3019" s="266"/>
      <c r="N3019" s="266"/>
      <c r="O3019" s="266"/>
      <c r="P3019" s="266"/>
      <c r="Q3019" s="266"/>
      <c r="BR3019" s="266"/>
      <c r="BS3019" s="266"/>
      <c r="BT3019" s="266"/>
      <c r="BU3019" s="266"/>
      <c r="BV3019" s="266"/>
    </row>
    <row r="3020" spans="12:74">
      <c r="L3020" s="266"/>
      <c r="M3020" s="266"/>
      <c r="N3020" s="266"/>
      <c r="O3020" s="266"/>
      <c r="P3020" s="266"/>
      <c r="Q3020" s="266"/>
      <c r="BR3020" s="266"/>
      <c r="BS3020" s="266"/>
      <c r="BT3020" s="266"/>
      <c r="BU3020" s="266"/>
      <c r="BV3020" s="266"/>
    </row>
    <row r="3021" spans="12:74">
      <c r="L3021" s="266"/>
      <c r="M3021" s="266"/>
      <c r="N3021" s="266"/>
      <c r="O3021" s="266"/>
      <c r="P3021" s="266"/>
      <c r="Q3021" s="266"/>
      <c r="BR3021" s="266"/>
      <c r="BS3021" s="266"/>
      <c r="BT3021" s="266"/>
      <c r="BU3021" s="266"/>
      <c r="BV3021" s="266"/>
    </row>
    <row r="3022" spans="12:74">
      <c r="L3022" s="266"/>
      <c r="M3022" s="266"/>
      <c r="N3022" s="266"/>
      <c r="O3022" s="266"/>
      <c r="P3022" s="266"/>
      <c r="Q3022" s="266"/>
      <c r="BR3022" s="266"/>
      <c r="BS3022" s="266"/>
      <c r="BT3022" s="266"/>
      <c r="BU3022" s="266"/>
      <c r="BV3022" s="266"/>
    </row>
    <row r="3023" spans="12:74">
      <c r="L3023" s="266"/>
      <c r="M3023" s="266"/>
      <c r="N3023" s="266"/>
      <c r="O3023" s="266"/>
      <c r="P3023" s="266"/>
      <c r="Q3023" s="266"/>
      <c r="BR3023" s="266"/>
      <c r="BS3023" s="266"/>
      <c r="BT3023" s="266"/>
      <c r="BU3023" s="266"/>
      <c r="BV3023" s="266"/>
    </row>
    <row r="3024" spans="12:74">
      <c r="L3024" s="266"/>
      <c r="M3024" s="266"/>
      <c r="N3024" s="266"/>
      <c r="O3024" s="266"/>
      <c r="P3024" s="266"/>
      <c r="Q3024" s="266"/>
      <c r="BR3024" s="266"/>
      <c r="BS3024" s="266"/>
      <c r="BT3024" s="266"/>
      <c r="BU3024" s="266"/>
      <c r="BV3024" s="266"/>
    </row>
    <row r="3025" spans="12:74">
      <c r="L3025" s="266"/>
      <c r="M3025" s="266"/>
      <c r="N3025" s="266"/>
      <c r="O3025" s="266"/>
      <c r="P3025" s="266"/>
      <c r="Q3025" s="266"/>
      <c r="BR3025" s="266"/>
      <c r="BS3025" s="266"/>
      <c r="BT3025" s="266"/>
      <c r="BU3025" s="266"/>
      <c r="BV3025" s="266"/>
    </row>
    <row r="3026" spans="12:74">
      <c r="L3026" s="266"/>
      <c r="M3026" s="266"/>
      <c r="N3026" s="266"/>
      <c r="O3026" s="266"/>
      <c r="P3026" s="266"/>
      <c r="Q3026" s="266"/>
      <c r="BR3026" s="266"/>
      <c r="BS3026" s="266"/>
      <c r="BT3026" s="266"/>
      <c r="BU3026" s="266"/>
      <c r="BV3026" s="266"/>
    </row>
    <row r="3027" spans="12:74">
      <c r="L3027" s="266"/>
      <c r="M3027" s="266"/>
      <c r="N3027" s="266"/>
      <c r="O3027" s="266"/>
      <c r="P3027" s="266"/>
      <c r="Q3027" s="266"/>
      <c r="BR3027" s="266"/>
      <c r="BS3027" s="266"/>
      <c r="BT3027" s="266"/>
      <c r="BU3027" s="266"/>
      <c r="BV3027" s="266"/>
    </row>
    <row r="3028" spans="12:74">
      <c r="L3028" s="266"/>
      <c r="M3028" s="266"/>
      <c r="N3028" s="266"/>
      <c r="O3028" s="266"/>
      <c r="P3028" s="266"/>
      <c r="Q3028" s="266"/>
      <c r="BR3028" s="266"/>
      <c r="BS3028" s="266"/>
      <c r="BT3028" s="266"/>
      <c r="BU3028" s="266"/>
      <c r="BV3028" s="266"/>
    </row>
    <row r="3029" spans="12:74">
      <c r="L3029" s="266"/>
      <c r="M3029" s="266"/>
      <c r="N3029" s="266"/>
      <c r="O3029" s="266"/>
      <c r="P3029" s="266"/>
      <c r="Q3029" s="266"/>
      <c r="BR3029" s="266"/>
      <c r="BS3029" s="266"/>
      <c r="BT3029" s="266"/>
      <c r="BU3029" s="266"/>
      <c r="BV3029" s="266"/>
    </row>
    <row r="3030" spans="12:74">
      <c r="L3030" s="266"/>
      <c r="M3030" s="266"/>
      <c r="N3030" s="266"/>
      <c r="O3030" s="266"/>
      <c r="P3030" s="266"/>
      <c r="Q3030" s="266"/>
      <c r="BR3030" s="266"/>
      <c r="BS3030" s="266"/>
      <c r="BT3030" s="266"/>
      <c r="BU3030" s="266"/>
      <c r="BV3030" s="266"/>
    </row>
    <row r="3031" spans="12:74">
      <c r="L3031" s="266"/>
      <c r="M3031" s="266"/>
      <c r="N3031" s="266"/>
      <c r="O3031" s="266"/>
      <c r="P3031" s="266"/>
      <c r="Q3031" s="266"/>
      <c r="BR3031" s="266"/>
      <c r="BS3031" s="266"/>
      <c r="BT3031" s="266"/>
      <c r="BU3031" s="266"/>
      <c r="BV3031" s="266"/>
    </row>
    <row r="3032" spans="12:74">
      <c r="L3032" s="266"/>
      <c r="M3032" s="266"/>
      <c r="N3032" s="266"/>
      <c r="O3032" s="266"/>
      <c r="P3032" s="266"/>
      <c r="Q3032" s="266"/>
      <c r="BR3032" s="266"/>
      <c r="BS3032" s="266"/>
      <c r="BT3032" s="266"/>
      <c r="BU3032" s="266"/>
      <c r="BV3032" s="266"/>
    </row>
    <row r="3033" spans="12:74">
      <c r="L3033" s="266"/>
      <c r="M3033" s="266"/>
      <c r="N3033" s="266"/>
      <c r="O3033" s="266"/>
      <c r="P3033" s="266"/>
      <c r="Q3033" s="266"/>
      <c r="BR3033" s="266"/>
      <c r="BS3033" s="266"/>
      <c r="BT3033" s="266"/>
      <c r="BU3033" s="266"/>
      <c r="BV3033" s="266"/>
    </row>
    <row r="3034" spans="12:74">
      <c r="L3034" s="266"/>
      <c r="M3034" s="266"/>
      <c r="N3034" s="266"/>
      <c r="O3034" s="266"/>
      <c r="P3034" s="266"/>
      <c r="Q3034" s="266"/>
      <c r="BR3034" s="266"/>
      <c r="BS3034" s="266"/>
      <c r="BT3034" s="266"/>
      <c r="BU3034" s="266"/>
      <c r="BV3034" s="266"/>
    </row>
    <row r="3035" spans="12:74">
      <c r="L3035" s="266"/>
      <c r="M3035" s="266"/>
      <c r="N3035" s="266"/>
      <c r="O3035" s="266"/>
      <c r="P3035" s="266"/>
      <c r="Q3035" s="266"/>
      <c r="BR3035" s="266"/>
      <c r="BS3035" s="266"/>
      <c r="BT3035" s="266"/>
      <c r="BU3035" s="266"/>
      <c r="BV3035" s="266"/>
    </row>
    <row r="3036" spans="12:74">
      <c r="L3036" s="266"/>
      <c r="M3036" s="266"/>
      <c r="N3036" s="266"/>
      <c r="O3036" s="266"/>
      <c r="P3036" s="266"/>
      <c r="Q3036" s="266"/>
      <c r="BR3036" s="266"/>
      <c r="BS3036" s="266"/>
      <c r="BT3036" s="266"/>
      <c r="BU3036" s="266"/>
      <c r="BV3036" s="266"/>
    </row>
    <row r="3037" spans="12:74">
      <c r="L3037" s="266"/>
      <c r="M3037" s="266"/>
      <c r="N3037" s="266"/>
      <c r="O3037" s="266"/>
      <c r="P3037" s="266"/>
      <c r="Q3037" s="266"/>
      <c r="BR3037" s="266"/>
      <c r="BS3037" s="266"/>
      <c r="BT3037" s="266"/>
      <c r="BU3037" s="266"/>
      <c r="BV3037" s="266"/>
    </row>
    <row r="3038" spans="12:74">
      <c r="L3038" s="266"/>
      <c r="M3038" s="266"/>
      <c r="N3038" s="266"/>
      <c r="O3038" s="266"/>
      <c r="P3038" s="266"/>
      <c r="Q3038" s="266"/>
      <c r="BR3038" s="266"/>
      <c r="BS3038" s="266"/>
      <c r="BT3038" s="266"/>
      <c r="BU3038" s="266"/>
      <c r="BV3038" s="266"/>
    </row>
    <row r="3039" spans="12:74">
      <c r="L3039" s="266"/>
      <c r="M3039" s="266"/>
      <c r="N3039" s="266"/>
      <c r="O3039" s="266"/>
      <c r="P3039" s="266"/>
      <c r="Q3039" s="266"/>
      <c r="BR3039" s="266"/>
      <c r="BS3039" s="266"/>
      <c r="BT3039" s="266"/>
      <c r="BU3039" s="266"/>
      <c r="BV3039" s="266"/>
    </row>
    <row r="3040" spans="12:74">
      <c r="L3040" s="266"/>
      <c r="M3040" s="266"/>
      <c r="N3040" s="266"/>
      <c r="O3040" s="266"/>
      <c r="P3040" s="266"/>
      <c r="Q3040" s="266"/>
      <c r="BR3040" s="266"/>
      <c r="BS3040" s="266"/>
      <c r="BT3040" s="266"/>
      <c r="BU3040" s="266"/>
      <c r="BV3040" s="266"/>
    </row>
    <row r="3041" spans="12:74">
      <c r="L3041" s="266"/>
      <c r="M3041" s="266"/>
      <c r="N3041" s="266"/>
      <c r="O3041" s="266"/>
      <c r="P3041" s="266"/>
      <c r="Q3041" s="266"/>
      <c r="BR3041" s="266"/>
      <c r="BS3041" s="266"/>
      <c r="BT3041" s="266"/>
      <c r="BU3041" s="266"/>
      <c r="BV3041" s="266"/>
    </row>
    <row r="3042" spans="12:74">
      <c r="L3042" s="266"/>
      <c r="M3042" s="266"/>
      <c r="N3042" s="266"/>
      <c r="O3042" s="266"/>
      <c r="P3042" s="266"/>
      <c r="Q3042" s="266"/>
      <c r="BR3042" s="266"/>
      <c r="BS3042" s="266"/>
      <c r="BT3042" s="266"/>
      <c r="BU3042" s="266"/>
      <c r="BV3042" s="266"/>
    </row>
    <row r="3043" spans="12:74">
      <c r="L3043" s="266"/>
      <c r="M3043" s="266"/>
      <c r="N3043" s="266"/>
      <c r="O3043" s="266"/>
      <c r="P3043" s="266"/>
      <c r="Q3043" s="266"/>
      <c r="BR3043" s="266"/>
      <c r="BS3043" s="266"/>
      <c r="BT3043" s="266"/>
      <c r="BU3043" s="266"/>
      <c r="BV3043" s="266"/>
    </row>
    <row r="3044" spans="12:74">
      <c r="L3044" s="266"/>
      <c r="M3044" s="266"/>
      <c r="N3044" s="266"/>
      <c r="O3044" s="266"/>
      <c r="P3044" s="266"/>
      <c r="Q3044" s="266"/>
      <c r="BR3044" s="266"/>
      <c r="BS3044" s="266"/>
      <c r="BT3044" s="266"/>
      <c r="BU3044" s="266"/>
      <c r="BV3044" s="266"/>
    </row>
    <row r="3045" spans="12:74">
      <c r="L3045" s="266"/>
      <c r="M3045" s="266"/>
      <c r="N3045" s="266"/>
      <c r="O3045" s="266"/>
      <c r="P3045" s="266"/>
      <c r="Q3045" s="266"/>
      <c r="BR3045" s="266"/>
      <c r="BS3045" s="266"/>
      <c r="BT3045" s="266"/>
      <c r="BU3045" s="266"/>
      <c r="BV3045" s="266"/>
    </row>
    <row r="3046" spans="12:74">
      <c r="L3046" s="266"/>
      <c r="M3046" s="266"/>
      <c r="N3046" s="266"/>
      <c r="O3046" s="266"/>
      <c r="P3046" s="266"/>
      <c r="Q3046" s="266"/>
      <c r="BR3046" s="266"/>
      <c r="BS3046" s="266"/>
      <c r="BT3046" s="266"/>
      <c r="BU3046" s="266"/>
      <c r="BV3046" s="266"/>
    </row>
    <row r="3047" spans="12:74">
      <c r="L3047" s="266"/>
      <c r="M3047" s="266"/>
      <c r="N3047" s="266"/>
      <c r="O3047" s="266"/>
      <c r="P3047" s="266"/>
      <c r="Q3047" s="266"/>
      <c r="BR3047" s="266"/>
      <c r="BS3047" s="266"/>
      <c r="BT3047" s="266"/>
      <c r="BU3047" s="266"/>
      <c r="BV3047" s="266"/>
    </row>
    <row r="3048" spans="12:74">
      <c r="L3048" s="266"/>
      <c r="M3048" s="266"/>
      <c r="N3048" s="266"/>
      <c r="O3048" s="266"/>
      <c r="P3048" s="266"/>
      <c r="Q3048" s="266"/>
      <c r="BR3048" s="266"/>
      <c r="BS3048" s="266"/>
      <c r="BT3048" s="266"/>
      <c r="BU3048" s="266"/>
      <c r="BV3048" s="266"/>
    </row>
    <row r="3049" spans="12:74">
      <c r="L3049" s="266"/>
      <c r="M3049" s="266"/>
      <c r="N3049" s="266"/>
      <c r="O3049" s="266"/>
      <c r="P3049" s="266"/>
      <c r="Q3049" s="266"/>
      <c r="BR3049" s="266"/>
      <c r="BS3049" s="266"/>
      <c r="BT3049" s="266"/>
      <c r="BU3049" s="266"/>
      <c r="BV3049" s="266"/>
    </row>
    <row r="3050" spans="12:74">
      <c r="L3050" s="266"/>
      <c r="M3050" s="266"/>
      <c r="N3050" s="266"/>
      <c r="O3050" s="266"/>
      <c r="P3050" s="266"/>
      <c r="Q3050" s="266"/>
      <c r="BR3050" s="266"/>
      <c r="BS3050" s="266"/>
      <c r="BT3050" s="266"/>
      <c r="BU3050" s="266"/>
      <c r="BV3050" s="266"/>
    </row>
    <row r="3051" spans="12:74">
      <c r="L3051" s="266"/>
      <c r="M3051" s="266"/>
      <c r="N3051" s="266"/>
      <c r="O3051" s="266"/>
      <c r="P3051" s="266"/>
      <c r="Q3051" s="266"/>
      <c r="BR3051" s="266"/>
      <c r="BS3051" s="266"/>
      <c r="BT3051" s="266"/>
      <c r="BU3051" s="266"/>
      <c r="BV3051" s="266"/>
    </row>
    <row r="3052" spans="12:74">
      <c r="L3052" s="266"/>
      <c r="M3052" s="266"/>
      <c r="N3052" s="266"/>
      <c r="O3052" s="266"/>
      <c r="P3052" s="266"/>
      <c r="Q3052" s="266"/>
      <c r="BR3052" s="266"/>
      <c r="BS3052" s="266"/>
      <c r="BT3052" s="266"/>
      <c r="BU3052" s="266"/>
      <c r="BV3052" s="266"/>
    </row>
    <row r="3053" spans="12:74">
      <c r="L3053" s="266"/>
      <c r="M3053" s="266"/>
      <c r="N3053" s="266"/>
      <c r="O3053" s="266"/>
      <c r="P3053" s="266"/>
      <c r="Q3053" s="266"/>
      <c r="BR3053" s="266"/>
      <c r="BS3053" s="266"/>
      <c r="BT3053" s="266"/>
      <c r="BU3053" s="266"/>
      <c r="BV3053" s="266"/>
    </row>
    <row r="3054" spans="12:74">
      <c r="L3054" s="266"/>
      <c r="M3054" s="266"/>
      <c r="N3054" s="266"/>
      <c r="O3054" s="266"/>
      <c r="P3054" s="266"/>
      <c r="Q3054" s="266"/>
      <c r="BR3054" s="266"/>
      <c r="BS3054" s="266"/>
      <c r="BT3054" s="266"/>
      <c r="BU3054" s="266"/>
      <c r="BV3054" s="266"/>
    </row>
    <row r="3055" spans="12:74">
      <c r="L3055" s="266"/>
      <c r="M3055" s="266"/>
      <c r="N3055" s="266"/>
      <c r="O3055" s="266"/>
      <c r="P3055" s="266"/>
      <c r="Q3055" s="266"/>
      <c r="BR3055" s="266"/>
      <c r="BS3055" s="266"/>
      <c r="BT3055" s="266"/>
      <c r="BU3055" s="266"/>
      <c r="BV3055" s="266"/>
    </row>
    <row r="3056" spans="12:74">
      <c r="L3056" s="266"/>
      <c r="M3056" s="266"/>
      <c r="N3056" s="266"/>
      <c r="O3056" s="266"/>
      <c r="P3056" s="266"/>
      <c r="Q3056" s="266"/>
      <c r="BR3056" s="266"/>
      <c r="BS3056" s="266"/>
      <c r="BT3056" s="266"/>
      <c r="BU3056" s="266"/>
      <c r="BV3056" s="266"/>
    </row>
    <row r="3057" spans="12:74">
      <c r="L3057" s="266"/>
      <c r="M3057" s="266"/>
      <c r="N3057" s="266"/>
      <c r="O3057" s="266"/>
      <c r="P3057" s="266"/>
      <c r="Q3057" s="266"/>
      <c r="BR3057" s="266"/>
      <c r="BS3057" s="266"/>
      <c r="BT3057" s="266"/>
      <c r="BU3057" s="266"/>
      <c r="BV3057" s="266"/>
    </row>
    <row r="3058" spans="12:74">
      <c r="L3058" s="266"/>
      <c r="M3058" s="266"/>
      <c r="N3058" s="266"/>
      <c r="O3058" s="266"/>
      <c r="P3058" s="266"/>
      <c r="Q3058" s="266"/>
      <c r="BR3058" s="266"/>
      <c r="BS3058" s="266"/>
      <c r="BT3058" s="266"/>
      <c r="BU3058" s="266"/>
      <c r="BV3058" s="266"/>
    </row>
    <row r="3059" spans="12:74">
      <c r="L3059" s="266"/>
      <c r="M3059" s="266"/>
      <c r="N3059" s="266"/>
      <c r="O3059" s="266"/>
      <c r="P3059" s="266"/>
      <c r="Q3059" s="266"/>
      <c r="BR3059" s="266"/>
      <c r="BS3059" s="266"/>
      <c r="BT3059" s="266"/>
      <c r="BU3059" s="266"/>
      <c r="BV3059" s="266"/>
    </row>
    <row r="3060" spans="12:74">
      <c r="L3060" s="266"/>
      <c r="M3060" s="266"/>
      <c r="N3060" s="266"/>
      <c r="O3060" s="266"/>
      <c r="P3060" s="266"/>
      <c r="Q3060" s="266"/>
      <c r="BR3060" s="266"/>
      <c r="BS3060" s="266"/>
      <c r="BT3060" s="266"/>
      <c r="BU3060" s="266"/>
      <c r="BV3060" s="266"/>
    </row>
    <row r="3061" spans="12:74">
      <c r="L3061" s="266"/>
      <c r="M3061" s="266"/>
      <c r="N3061" s="266"/>
      <c r="O3061" s="266"/>
      <c r="P3061" s="266"/>
      <c r="Q3061" s="266"/>
      <c r="BR3061" s="266"/>
      <c r="BS3061" s="266"/>
      <c r="BT3061" s="266"/>
      <c r="BU3061" s="266"/>
      <c r="BV3061" s="266"/>
    </row>
    <row r="3062" spans="12:74">
      <c r="L3062" s="266"/>
      <c r="M3062" s="266"/>
      <c r="N3062" s="266"/>
      <c r="O3062" s="266"/>
      <c r="P3062" s="266"/>
      <c r="Q3062" s="266"/>
      <c r="BR3062" s="266"/>
      <c r="BS3062" s="266"/>
      <c r="BT3062" s="266"/>
      <c r="BU3062" s="266"/>
      <c r="BV3062" s="266"/>
    </row>
    <row r="3063" spans="12:74">
      <c r="L3063" s="266"/>
      <c r="M3063" s="266"/>
      <c r="N3063" s="266"/>
      <c r="O3063" s="266"/>
      <c r="P3063" s="266"/>
      <c r="Q3063" s="266"/>
      <c r="BR3063" s="266"/>
      <c r="BS3063" s="266"/>
      <c r="BT3063" s="266"/>
      <c r="BU3063" s="266"/>
      <c r="BV3063" s="266"/>
    </row>
    <row r="3064" spans="12:74">
      <c r="L3064" s="266"/>
      <c r="M3064" s="266"/>
      <c r="N3064" s="266"/>
      <c r="O3064" s="266"/>
      <c r="P3064" s="266"/>
      <c r="Q3064" s="266"/>
      <c r="BR3064" s="266"/>
      <c r="BS3064" s="266"/>
      <c r="BT3064" s="266"/>
      <c r="BU3064" s="266"/>
      <c r="BV3064" s="266"/>
    </row>
    <row r="3065" spans="12:74">
      <c r="L3065" s="266"/>
      <c r="M3065" s="266"/>
      <c r="N3065" s="266"/>
      <c r="O3065" s="266"/>
      <c r="P3065" s="266"/>
      <c r="Q3065" s="266"/>
      <c r="BR3065" s="266"/>
      <c r="BS3065" s="266"/>
      <c r="BT3065" s="266"/>
      <c r="BU3065" s="266"/>
      <c r="BV3065" s="266"/>
    </row>
    <row r="3066" spans="12:74">
      <c r="L3066" s="266"/>
      <c r="M3066" s="266"/>
      <c r="N3066" s="266"/>
      <c r="O3066" s="266"/>
      <c r="P3066" s="266"/>
      <c r="Q3066" s="266"/>
      <c r="BR3066" s="266"/>
      <c r="BS3066" s="266"/>
      <c r="BT3066" s="266"/>
      <c r="BU3066" s="266"/>
      <c r="BV3066" s="266"/>
    </row>
    <row r="3067" spans="12:74">
      <c r="L3067" s="266"/>
      <c r="M3067" s="266"/>
      <c r="N3067" s="266"/>
      <c r="O3067" s="266"/>
      <c r="P3067" s="266"/>
      <c r="Q3067" s="266"/>
      <c r="BR3067" s="266"/>
      <c r="BS3067" s="266"/>
      <c r="BT3067" s="266"/>
      <c r="BU3067" s="266"/>
      <c r="BV3067" s="266"/>
    </row>
    <row r="3068" spans="12:74">
      <c r="L3068" s="266"/>
      <c r="M3068" s="266"/>
      <c r="N3068" s="266"/>
      <c r="O3068" s="266"/>
      <c r="P3068" s="266"/>
      <c r="Q3068" s="266"/>
      <c r="BR3068" s="266"/>
      <c r="BS3068" s="266"/>
      <c r="BT3068" s="266"/>
      <c r="BU3068" s="266"/>
      <c r="BV3068" s="266"/>
    </row>
    <row r="3069" spans="12:74">
      <c r="L3069" s="266"/>
      <c r="M3069" s="266"/>
      <c r="N3069" s="266"/>
      <c r="O3069" s="266"/>
      <c r="P3069" s="266"/>
      <c r="Q3069" s="266"/>
      <c r="BR3069" s="266"/>
      <c r="BS3069" s="266"/>
      <c r="BT3069" s="266"/>
      <c r="BU3069" s="266"/>
      <c r="BV3069" s="266"/>
    </row>
    <row r="3070" spans="12:74">
      <c r="L3070" s="266"/>
      <c r="M3070" s="266"/>
      <c r="N3070" s="266"/>
      <c r="O3070" s="266"/>
      <c r="P3070" s="266"/>
      <c r="Q3070" s="266"/>
      <c r="BR3070" s="266"/>
      <c r="BS3070" s="266"/>
      <c r="BT3070" s="266"/>
      <c r="BU3070" s="266"/>
      <c r="BV3070" s="266"/>
    </row>
    <row r="3071" spans="12:74">
      <c r="L3071" s="266"/>
      <c r="M3071" s="266"/>
      <c r="N3071" s="266"/>
      <c r="O3071" s="266"/>
      <c r="P3071" s="266"/>
      <c r="Q3071" s="266"/>
      <c r="BR3071" s="266"/>
      <c r="BS3071" s="266"/>
      <c r="BT3071" s="266"/>
      <c r="BU3071" s="266"/>
      <c r="BV3071" s="266"/>
    </row>
    <row r="3072" spans="12:74">
      <c r="L3072" s="266"/>
      <c r="M3072" s="266"/>
      <c r="N3072" s="266"/>
      <c r="O3072" s="266"/>
      <c r="P3072" s="266"/>
      <c r="Q3072" s="266"/>
      <c r="BR3072" s="266"/>
      <c r="BS3072" s="266"/>
      <c r="BT3072" s="266"/>
      <c r="BU3072" s="266"/>
      <c r="BV3072" s="266"/>
    </row>
    <row r="3073" spans="12:74">
      <c r="L3073" s="266"/>
      <c r="M3073" s="266"/>
      <c r="N3073" s="266"/>
      <c r="O3073" s="266"/>
      <c r="P3073" s="266"/>
      <c r="Q3073" s="266"/>
      <c r="BR3073" s="266"/>
      <c r="BS3073" s="266"/>
      <c r="BT3073" s="266"/>
      <c r="BU3073" s="266"/>
      <c r="BV3073" s="266"/>
    </row>
    <row r="3074" spans="12:74">
      <c r="L3074" s="266"/>
      <c r="M3074" s="266"/>
      <c r="N3074" s="266"/>
      <c r="O3074" s="266"/>
      <c r="P3074" s="266"/>
      <c r="Q3074" s="266"/>
      <c r="BR3074" s="266"/>
      <c r="BS3074" s="266"/>
      <c r="BT3074" s="266"/>
      <c r="BU3074" s="266"/>
      <c r="BV3074" s="266"/>
    </row>
    <row r="3075" spans="12:74">
      <c r="L3075" s="266"/>
      <c r="M3075" s="266"/>
      <c r="N3075" s="266"/>
      <c r="O3075" s="266"/>
      <c r="P3075" s="266"/>
      <c r="Q3075" s="266"/>
      <c r="BR3075" s="266"/>
      <c r="BS3075" s="266"/>
      <c r="BT3075" s="266"/>
      <c r="BU3075" s="266"/>
      <c r="BV3075" s="266"/>
    </row>
    <row r="3076" spans="12:74">
      <c r="L3076" s="266"/>
      <c r="M3076" s="266"/>
      <c r="N3076" s="266"/>
      <c r="O3076" s="266"/>
      <c r="P3076" s="266"/>
      <c r="Q3076" s="266"/>
      <c r="BR3076" s="266"/>
      <c r="BS3076" s="266"/>
      <c r="BT3076" s="266"/>
      <c r="BU3076" s="266"/>
      <c r="BV3076" s="266"/>
    </row>
    <row r="3077" spans="12:74">
      <c r="L3077" s="266"/>
      <c r="M3077" s="266"/>
      <c r="N3077" s="266"/>
      <c r="O3077" s="266"/>
      <c r="P3077" s="266"/>
      <c r="Q3077" s="266"/>
      <c r="BR3077" s="266"/>
      <c r="BS3077" s="266"/>
      <c r="BT3077" s="266"/>
      <c r="BU3077" s="266"/>
      <c r="BV3077" s="266"/>
    </row>
    <row r="3078" spans="12:74">
      <c r="L3078" s="266"/>
      <c r="M3078" s="266"/>
      <c r="N3078" s="266"/>
      <c r="O3078" s="266"/>
      <c r="P3078" s="266"/>
      <c r="Q3078" s="266"/>
      <c r="BR3078" s="266"/>
      <c r="BS3078" s="266"/>
      <c r="BT3078" s="266"/>
      <c r="BU3078" s="266"/>
      <c r="BV3078" s="266"/>
    </row>
    <row r="3079" spans="12:74">
      <c r="L3079" s="266"/>
      <c r="M3079" s="266"/>
      <c r="N3079" s="266"/>
      <c r="O3079" s="266"/>
      <c r="P3079" s="266"/>
      <c r="Q3079" s="266"/>
      <c r="BR3079" s="266"/>
      <c r="BS3079" s="266"/>
      <c r="BT3079" s="266"/>
      <c r="BU3079" s="266"/>
      <c r="BV3079" s="266"/>
    </row>
    <row r="3080" spans="12:74">
      <c r="L3080" s="266"/>
      <c r="M3080" s="266"/>
      <c r="N3080" s="266"/>
      <c r="O3080" s="266"/>
      <c r="P3080" s="266"/>
      <c r="Q3080" s="266"/>
      <c r="BR3080" s="266"/>
      <c r="BS3080" s="266"/>
      <c r="BT3080" s="266"/>
      <c r="BU3080" s="266"/>
      <c r="BV3080" s="266"/>
    </row>
    <row r="3081" spans="12:74">
      <c r="L3081" s="266"/>
      <c r="M3081" s="266"/>
      <c r="N3081" s="266"/>
      <c r="O3081" s="266"/>
      <c r="P3081" s="266"/>
      <c r="Q3081" s="266"/>
      <c r="BR3081" s="266"/>
      <c r="BS3081" s="266"/>
      <c r="BT3081" s="266"/>
      <c r="BU3081" s="266"/>
      <c r="BV3081" s="266"/>
    </row>
    <row r="3082" spans="12:74">
      <c r="L3082" s="266"/>
      <c r="M3082" s="266"/>
      <c r="N3082" s="266"/>
      <c r="O3082" s="266"/>
      <c r="P3082" s="266"/>
      <c r="Q3082" s="266"/>
      <c r="BR3082" s="266"/>
      <c r="BS3082" s="266"/>
      <c r="BT3082" s="266"/>
      <c r="BU3082" s="266"/>
      <c r="BV3082" s="266"/>
    </row>
    <row r="3083" spans="12:74">
      <c r="L3083" s="266"/>
      <c r="M3083" s="266"/>
      <c r="N3083" s="266"/>
      <c r="O3083" s="266"/>
      <c r="P3083" s="266"/>
      <c r="Q3083" s="266"/>
      <c r="BR3083" s="266"/>
      <c r="BS3083" s="266"/>
      <c r="BT3083" s="266"/>
      <c r="BU3083" s="266"/>
      <c r="BV3083" s="266"/>
    </row>
    <row r="3084" spans="12:74">
      <c r="L3084" s="266"/>
      <c r="M3084" s="266"/>
      <c r="N3084" s="266"/>
      <c r="O3084" s="266"/>
      <c r="P3084" s="266"/>
      <c r="Q3084" s="266"/>
      <c r="BR3084" s="266"/>
      <c r="BS3084" s="266"/>
      <c r="BT3084" s="266"/>
      <c r="BU3084" s="266"/>
      <c r="BV3084" s="266"/>
    </row>
    <row r="3085" spans="12:74">
      <c r="L3085" s="266"/>
      <c r="M3085" s="266"/>
      <c r="N3085" s="266"/>
      <c r="O3085" s="266"/>
      <c r="P3085" s="266"/>
      <c r="Q3085" s="266"/>
      <c r="BR3085" s="266"/>
      <c r="BS3085" s="266"/>
      <c r="BT3085" s="266"/>
      <c r="BU3085" s="266"/>
      <c r="BV3085" s="266"/>
    </row>
    <row r="3086" spans="12:74">
      <c r="L3086" s="266"/>
      <c r="M3086" s="266"/>
      <c r="N3086" s="266"/>
      <c r="O3086" s="266"/>
      <c r="P3086" s="266"/>
      <c r="Q3086" s="266"/>
      <c r="BR3086" s="266"/>
      <c r="BS3086" s="266"/>
      <c r="BT3086" s="266"/>
      <c r="BU3086" s="266"/>
      <c r="BV3086" s="266"/>
    </row>
    <row r="3087" spans="12:74">
      <c r="L3087" s="266"/>
      <c r="M3087" s="266"/>
      <c r="N3087" s="266"/>
      <c r="O3087" s="266"/>
      <c r="P3087" s="266"/>
      <c r="Q3087" s="266"/>
      <c r="BR3087" s="266"/>
      <c r="BS3087" s="266"/>
      <c r="BT3087" s="266"/>
      <c r="BU3087" s="266"/>
      <c r="BV3087" s="266"/>
    </row>
    <row r="3088" spans="12:74">
      <c r="L3088" s="266"/>
      <c r="M3088" s="266"/>
      <c r="N3088" s="266"/>
      <c r="O3088" s="266"/>
      <c r="P3088" s="266"/>
      <c r="Q3088" s="266"/>
      <c r="BR3088" s="266"/>
      <c r="BS3088" s="266"/>
      <c r="BT3088" s="266"/>
      <c r="BU3088" s="266"/>
      <c r="BV3088" s="266"/>
    </row>
    <row r="3089" spans="12:74">
      <c r="L3089" s="266"/>
      <c r="M3089" s="266"/>
      <c r="N3089" s="266"/>
      <c r="O3089" s="266"/>
      <c r="P3089" s="266"/>
      <c r="Q3089" s="266"/>
      <c r="BR3089" s="266"/>
      <c r="BS3089" s="266"/>
      <c r="BT3089" s="266"/>
      <c r="BU3089" s="266"/>
      <c r="BV3089" s="266"/>
    </row>
    <row r="3090" spans="12:74">
      <c r="L3090" s="266"/>
      <c r="M3090" s="266"/>
      <c r="N3090" s="266"/>
      <c r="O3090" s="266"/>
      <c r="P3090" s="266"/>
      <c r="Q3090" s="266"/>
      <c r="BR3090" s="266"/>
      <c r="BS3090" s="266"/>
      <c r="BT3090" s="266"/>
      <c r="BU3090" s="266"/>
      <c r="BV3090" s="266"/>
    </row>
    <row r="3091" spans="12:74">
      <c r="L3091" s="266"/>
      <c r="M3091" s="266"/>
      <c r="N3091" s="266"/>
      <c r="O3091" s="266"/>
      <c r="P3091" s="266"/>
      <c r="Q3091" s="266"/>
      <c r="BR3091" s="266"/>
      <c r="BS3091" s="266"/>
      <c r="BT3091" s="266"/>
      <c r="BU3091" s="266"/>
      <c r="BV3091" s="266"/>
    </row>
    <row r="3092" spans="12:74">
      <c r="L3092" s="266"/>
      <c r="M3092" s="266"/>
      <c r="N3092" s="266"/>
      <c r="O3092" s="266"/>
      <c r="P3092" s="266"/>
      <c r="Q3092" s="266"/>
      <c r="BR3092" s="266"/>
      <c r="BS3092" s="266"/>
      <c r="BT3092" s="266"/>
      <c r="BU3092" s="266"/>
      <c r="BV3092" s="266"/>
    </row>
    <row r="3093" spans="12:74">
      <c r="L3093" s="266"/>
      <c r="M3093" s="266"/>
      <c r="N3093" s="266"/>
      <c r="O3093" s="266"/>
      <c r="P3093" s="266"/>
      <c r="Q3093" s="266"/>
      <c r="BR3093" s="266"/>
      <c r="BS3093" s="266"/>
      <c r="BT3093" s="266"/>
      <c r="BU3093" s="266"/>
      <c r="BV3093" s="266"/>
    </row>
    <row r="3094" spans="12:74">
      <c r="L3094" s="266"/>
      <c r="M3094" s="266"/>
      <c r="N3094" s="266"/>
      <c r="O3094" s="266"/>
      <c r="P3094" s="266"/>
      <c r="Q3094" s="266"/>
      <c r="BR3094" s="266"/>
      <c r="BS3094" s="266"/>
      <c r="BT3094" s="266"/>
      <c r="BU3094" s="266"/>
      <c r="BV3094" s="266"/>
    </row>
    <row r="3095" spans="12:74">
      <c r="L3095" s="266"/>
      <c r="M3095" s="266"/>
      <c r="N3095" s="266"/>
      <c r="O3095" s="266"/>
      <c r="P3095" s="266"/>
      <c r="Q3095" s="266"/>
      <c r="BR3095" s="266"/>
      <c r="BS3095" s="266"/>
      <c r="BT3095" s="266"/>
      <c r="BU3095" s="266"/>
      <c r="BV3095" s="266"/>
    </row>
    <row r="3096" spans="12:74">
      <c r="L3096" s="266"/>
      <c r="M3096" s="266"/>
      <c r="N3096" s="266"/>
      <c r="O3096" s="266"/>
      <c r="P3096" s="266"/>
      <c r="Q3096" s="266"/>
      <c r="BR3096" s="266"/>
      <c r="BS3096" s="266"/>
      <c r="BT3096" s="266"/>
      <c r="BU3096" s="266"/>
      <c r="BV3096" s="266"/>
    </row>
    <row r="3097" spans="12:74">
      <c r="L3097" s="266"/>
      <c r="M3097" s="266"/>
      <c r="N3097" s="266"/>
      <c r="O3097" s="266"/>
      <c r="P3097" s="266"/>
      <c r="Q3097" s="266"/>
      <c r="BR3097" s="266"/>
      <c r="BS3097" s="266"/>
      <c r="BT3097" s="266"/>
      <c r="BU3097" s="266"/>
      <c r="BV3097" s="266"/>
    </row>
    <row r="3098" spans="12:74">
      <c r="L3098" s="266"/>
      <c r="M3098" s="266"/>
      <c r="N3098" s="266"/>
      <c r="O3098" s="266"/>
      <c r="P3098" s="266"/>
      <c r="Q3098" s="266"/>
      <c r="BR3098" s="266"/>
      <c r="BS3098" s="266"/>
      <c r="BT3098" s="266"/>
      <c r="BU3098" s="266"/>
      <c r="BV3098" s="266"/>
    </row>
    <row r="3099" spans="12:74">
      <c r="L3099" s="266"/>
      <c r="M3099" s="266"/>
      <c r="N3099" s="266"/>
      <c r="O3099" s="266"/>
      <c r="P3099" s="266"/>
      <c r="Q3099" s="266"/>
      <c r="BR3099" s="266"/>
      <c r="BS3099" s="266"/>
      <c r="BT3099" s="266"/>
      <c r="BU3099" s="266"/>
      <c r="BV3099" s="266"/>
    </row>
    <row r="3100" spans="12:74">
      <c r="L3100" s="266"/>
      <c r="M3100" s="266"/>
      <c r="N3100" s="266"/>
      <c r="O3100" s="266"/>
      <c r="P3100" s="266"/>
      <c r="Q3100" s="266"/>
      <c r="BR3100" s="266"/>
      <c r="BS3100" s="266"/>
      <c r="BT3100" s="266"/>
      <c r="BU3100" s="266"/>
      <c r="BV3100" s="266"/>
    </row>
    <row r="3101" spans="12:74">
      <c r="L3101" s="266"/>
      <c r="M3101" s="266"/>
      <c r="N3101" s="266"/>
      <c r="O3101" s="266"/>
      <c r="P3101" s="266"/>
      <c r="Q3101" s="266"/>
      <c r="BR3101" s="266"/>
      <c r="BS3101" s="266"/>
      <c r="BT3101" s="266"/>
      <c r="BU3101" s="266"/>
      <c r="BV3101" s="266"/>
    </row>
    <row r="3102" spans="12:74">
      <c r="L3102" s="266"/>
      <c r="M3102" s="266"/>
      <c r="N3102" s="266"/>
      <c r="O3102" s="266"/>
      <c r="P3102" s="266"/>
      <c r="Q3102" s="266"/>
      <c r="BR3102" s="266"/>
      <c r="BS3102" s="266"/>
      <c r="BT3102" s="266"/>
      <c r="BU3102" s="266"/>
      <c r="BV3102" s="266"/>
    </row>
    <row r="3103" spans="12:74">
      <c r="L3103" s="266"/>
      <c r="M3103" s="266"/>
      <c r="N3103" s="266"/>
      <c r="O3103" s="266"/>
      <c r="P3103" s="266"/>
      <c r="Q3103" s="266"/>
      <c r="BR3103" s="266"/>
      <c r="BS3103" s="266"/>
      <c r="BT3103" s="266"/>
      <c r="BU3103" s="266"/>
      <c r="BV3103" s="266"/>
    </row>
    <row r="3104" spans="12:74">
      <c r="L3104" s="266"/>
      <c r="M3104" s="266"/>
      <c r="N3104" s="266"/>
      <c r="O3104" s="266"/>
      <c r="P3104" s="266"/>
      <c r="Q3104" s="266"/>
      <c r="BR3104" s="266"/>
      <c r="BS3104" s="266"/>
      <c r="BT3104" s="266"/>
      <c r="BU3104" s="266"/>
      <c r="BV3104" s="266"/>
    </row>
    <row r="3105" spans="12:74">
      <c r="L3105" s="266"/>
      <c r="M3105" s="266"/>
      <c r="N3105" s="266"/>
      <c r="O3105" s="266"/>
      <c r="P3105" s="266"/>
      <c r="Q3105" s="266"/>
      <c r="BR3105" s="266"/>
      <c r="BS3105" s="266"/>
      <c r="BT3105" s="266"/>
      <c r="BU3105" s="266"/>
      <c r="BV3105" s="266"/>
    </row>
    <row r="3106" spans="12:74">
      <c r="L3106" s="266"/>
      <c r="M3106" s="266"/>
      <c r="N3106" s="266"/>
      <c r="O3106" s="266"/>
      <c r="P3106" s="266"/>
      <c r="Q3106" s="266"/>
      <c r="BR3106" s="266"/>
      <c r="BS3106" s="266"/>
      <c r="BT3106" s="266"/>
      <c r="BU3106" s="266"/>
      <c r="BV3106" s="266"/>
    </row>
    <row r="3107" spans="12:74">
      <c r="L3107" s="266"/>
      <c r="M3107" s="266"/>
      <c r="N3107" s="266"/>
      <c r="O3107" s="266"/>
      <c r="P3107" s="266"/>
      <c r="Q3107" s="266"/>
      <c r="BR3107" s="266"/>
      <c r="BS3107" s="266"/>
      <c r="BT3107" s="266"/>
      <c r="BU3107" s="266"/>
      <c r="BV3107" s="266"/>
    </row>
    <row r="3108" spans="12:74">
      <c r="L3108" s="266"/>
      <c r="M3108" s="266"/>
      <c r="N3108" s="266"/>
      <c r="O3108" s="266"/>
      <c r="P3108" s="266"/>
      <c r="Q3108" s="266"/>
      <c r="BR3108" s="266"/>
      <c r="BS3108" s="266"/>
      <c r="BT3108" s="266"/>
      <c r="BU3108" s="266"/>
      <c r="BV3108" s="266"/>
    </row>
    <row r="3109" spans="12:74">
      <c r="L3109" s="266"/>
      <c r="M3109" s="266"/>
      <c r="N3109" s="266"/>
      <c r="O3109" s="266"/>
      <c r="P3109" s="266"/>
      <c r="Q3109" s="266"/>
      <c r="BR3109" s="266"/>
      <c r="BS3109" s="266"/>
      <c r="BT3109" s="266"/>
      <c r="BU3109" s="266"/>
      <c r="BV3109" s="266"/>
    </row>
    <row r="3110" spans="12:74">
      <c r="L3110" s="266"/>
      <c r="M3110" s="266"/>
      <c r="N3110" s="266"/>
      <c r="O3110" s="266"/>
      <c r="P3110" s="266"/>
      <c r="Q3110" s="266"/>
      <c r="BR3110" s="266"/>
      <c r="BS3110" s="266"/>
      <c r="BT3110" s="266"/>
      <c r="BU3110" s="266"/>
      <c r="BV3110" s="266"/>
    </row>
    <row r="3111" spans="12:74">
      <c r="L3111" s="266"/>
      <c r="M3111" s="266"/>
      <c r="N3111" s="266"/>
      <c r="O3111" s="266"/>
      <c r="P3111" s="266"/>
      <c r="Q3111" s="266"/>
      <c r="BR3111" s="266"/>
      <c r="BS3111" s="266"/>
      <c r="BT3111" s="266"/>
      <c r="BU3111" s="266"/>
      <c r="BV3111" s="266"/>
    </row>
    <row r="3112" spans="12:74">
      <c r="L3112" s="266"/>
      <c r="M3112" s="266"/>
      <c r="N3112" s="266"/>
      <c r="O3112" s="266"/>
      <c r="P3112" s="266"/>
      <c r="Q3112" s="266"/>
      <c r="BR3112" s="266"/>
      <c r="BS3112" s="266"/>
      <c r="BT3112" s="266"/>
      <c r="BU3112" s="266"/>
      <c r="BV3112" s="266"/>
    </row>
    <row r="3113" spans="12:74">
      <c r="L3113" s="266"/>
      <c r="M3113" s="266"/>
      <c r="N3113" s="266"/>
      <c r="O3113" s="266"/>
      <c r="P3113" s="266"/>
      <c r="Q3113" s="266"/>
      <c r="BR3113" s="266"/>
      <c r="BS3113" s="266"/>
      <c r="BT3113" s="266"/>
      <c r="BU3113" s="266"/>
      <c r="BV3113" s="266"/>
    </row>
    <row r="3114" spans="12:74">
      <c r="L3114" s="266"/>
      <c r="M3114" s="266"/>
      <c r="N3114" s="266"/>
      <c r="O3114" s="266"/>
      <c r="P3114" s="266"/>
      <c r="Q3114" s="266"/>
      <c r="BR3114" s="266"/>
      <c r="BS3114" s="266"/>
      <c r="BT3114" s="266"/>
      <c r="BU3114" s="266"/>
      <c r="BV3114" s="266"/>
    </row>
    <row r="3115" spans="12:74">
      <c r="L3115" s="266"/>
      <c r="M3115" s="266"/>
      <c r="N3115" s="266"/>
      <c r="O3115" s="266"/>
      <c r="P3115" s="266"/>
      <c r="Q3115" s="266"/>
      <c r="BR3115" s="266"/>
      <c r="BS3115" s="266"/>
      <c r="BT3115" s="266"/>
      <c r="BU3115" s="266"/>
      <c r="BV3115" s="266"/>
    </row>
    <row r="3116" spans="12:74">
      <c r="L3116" s="266"/>
      <c r="M3116" s="266"/>
      <c r="N3116" s="266"/>
      <c r="O3116" s="266"/>
      <c r="P3116" s="266"/>
      <c r="Q3116" s="266"/>
      <c r="BR3116" s="266"/>
      <c r="BS3116" s="266"/>
      <c r="BT3116" s="266"/>
      <c r="BU3116" s="266"/>
      <c r="BV3116" s="266"/>
    </row>
    <row r="3117" spans="12:74">
      <c r="L3117" s="266"/>
      <c r="M3117" s="266"/>
      <c r="N3117" s="266"/>
      <c r="O3117" s="266"/>
      <c r="P3117" s="266"/>
      <c r="Q3117" s="266"/>
      <c r="BR3117" s="266"/>
      <c r="BS3117" s="266"/>
      <c r="BT3117" s="266"/>
      <c r="BU3117" s="266"/>
      <c r="BV3117" s="266"/>
    </row>
    <row r="3118" spans="12:74">
      <c r="L3118" s="266"/>
      <c r="M3118" s="266"/>
      <c r="N3118" s="266"/>
      <c r="O3118" s="266"/>
      <c r="P3118" s="266"/>
      <c r="Q3118" s="266"/>
      <c r="BR3118" s="266"/>
      <c r="BS3118" s="266"/>
      <c r="BT3118" s="266"/>
      <c r="BU3118" s="266"/>
      <c r="BV3118" s="266"/>
    </row>
    <row r="3119" spans="12:74">
      <c r="L3119" s="266"/>
      <c r="M3119" s="266"/>
      <c r="N3119" s="266"/>
      <c r="O3119" s="266"/>
      <c r="P3119" s="266"/>
      <c r="Q3119" s="266"/>
      <c r="BR3119" s="266"/>
      <c r="BS3119" s="266"/>
      <c r="BT3119" s="266"/>
      <c r="BU3119" s="266"/>
      <c r="BV3119" s="266"/>
    </row>
    <row r="3120" spans="12:74">
      <c r="L3120" s="266"/>
      <c r="M3120" s="266"/>
      <c r="N3120" s="266"/>
      <c r="O3120" s="266"/>
      <c r="P3120" s="266"/>
      <c r="Q3120" s="266"/>
      <c r="BR3120" s="266"/>
      <c r="BS3120" s="266"/>
      <c r="BT3120" s="266"/>
      <c r="BU3120" s="266"/>
      <c r="BV3120" s="266"/>
    </row>
    <row r="3121" spans="12:74">
      <c r="L3121" s="266"/>
      <c r="M3121" s="266"/>
      <c r="N3121" s="266"/>
      <c r="O3121" s="266"/>
      <c r="P3121" s="266"/>
      <c r="Q3121" s="266"/>
      <c r="BR3121" s="266"/>
      <c r="BS3121" s="266"/>
      <c r="BT3121" s="266"/>
      <c r="BU3121" s="266"/>
      <c r="BV3121" s="266"/>
    </row>
    <row r="3122" spans="12:74">
      <c r="L3122" s="266"/>
      <c r="M3122" s="266"/>
      <c r="N3122" s="266"/>
      <c r="O3122" s="266"/>
      <c r="P3122" s="266"/>
      <c r="Q3122" s="266"/>
      <c r="BR3122" s="266"/>
      <c r="BS3122" s="266"/>
      <c r="BT3122" s="266"/>
      <c r="BU3122" s="266"/>
      <c r="BV3122" s="266"/>
    </row>
    <row r="3123" spans="12:74">
      <c r="L3123" s="266"/>
      <c r="M3123" s="266"/>
      <c r="N3123" s="266"/>
      <c r="O3123" s="266"/>
      <c r="P3123" s="266"/>
      <c r="Q3123" s="266"/>
      <c r="BR3123" s="266"/>
      <c r="BS3123" s="266"/>
      <c r="BT3123" s="266"/>
      <c r="BU3123" s="266"/>
      <c r="BV3123" s="266"/>
    </row>
    <row r="3124" spans="12:74">
      <c r="L3124" s="266"/>
      <c r="M3124" s="266"/>
      <c r="N3124" s="266"/>
      <c r="O3124" s="266"/>
      <c r="P3124" s="266"/>
      <c r="Q3124" s="266"/>
      <c r="BR3124" s="266"/>
      <c r="BS3124" s="266"/>
      <c r="BT3124" s="266"/>
      <c r="BU3124" s="266"/>
      <c r="BV3124" s="266"/>
    </row>
    <row r="3125" spans="12:74">
      <c r="L3125" s="266"/>
      <c r="M3125" s="266"/>
      <c r="N3125" s="266"/>
      <c r="O3125" s="266"/>
      <c r="P3125" s="266"/>
      <c r="Q3125" s="266"/>
      <c r="BR3125" s="266"/>
      <c r="BS3125" s="266"/>
      <c r="BT3125" s="266"/>
      <c r="BU3125" s="266"/>
      <c r="BV3125" s="266"/>
    </row>
    <row r="3126" spans="12:74">
      <c r="L3126" s="266"/>
      <c r="M3126" s="266"/>
      <c r="N3126" s="266"/>
      <c r="O3126" s="266"/>
      <c r="P3126" s="266"/>
      <c r="Q3126" s="266"/>
      <c r="BR3126" s="266"/>
      <c r="BS3126" s="266"/>
      <c r="BT3126" s="266"/>
      <c r="BU3126" s="266"/>
      <c r="BV3126" s="266"/>
    </row>
    <row r="3127" spans="12:74">
      <c r="L3127" s="266"/>
      <c r="M3127" s="266"/>
      <c r="N3127" s="266"/>
      <c r="O3127" s="266"/>
      <c r="P3127" s="266"/>
      <c r="Q3127" s="266"/>
      <c r="BR3127" s="266"/>
      <c r="BS3127" s="266"/>
      <c r="BT3127" s="266"/>
      <c r="BU3127" s="266"/>
      <c r="BV3127" s="266"/>
    </row>
    <row r="3128" spans="12:74">
      <c r="L3128" s="266"/>
      <c r="M3128" s="266"/>
      <c r="N3128" s="266"/>
      <c r="O3128" s="266"/>
      <c r="P3128" s="266"/>
      <c r="Q3128" s="266"/>
      <c r="BR3128" s="266"/>
      <c r="BS3128" s="266"/>
      <c r="BT3128" s="266"/>
      <c r="BU3128" s="266"/>
      <c r="BV3128" s="266"/>
    </row>
    <row r="3129" spans="12:74">
      <c r="L3129" s="266"/>
      <c r="M3129" s="266"/>
      <c r="N3129" s="266"/>
      <c r="O3129" s="266"/>
      <c r="P3129" s="266"/>
      <c r="Q3129" s="266"/>
      <c r="BR3129" s="266"/>
      <c r="BS3129" s="266"/>
      <c r="BT3129" s="266"/>
      <c r="BU3129" s="266"/>
      <c r="BV3129" s="266"/>
    </row>
    <row r="3130" spans="12:74">
      <c r="L3130" s="266"/>
      <c r="M3130" s="266"/>
      <c r="N3130" s="266"/>
      <c r="O3130" s="266"/>
      <c r="P3130" s="266"/>
      <c r="Q3130" s="266"/>
      <c r="BR3130" s="266"/>
      <c r="BS3130" s="266"/>
      <c r="BT3130" s="266"/>
      <c r="BU3130" s="266"/>
      <c r="BV3130" s="266"/>
    </row>
    <row r="3131" spans="12:74">
      <c r="L3131" s="266"/>
      <c r="M3131" s="266"/>
      <c r="N3131" s="266"/>
      <c r="O3131" s="266"/>
      <c r="P3131" s="266"/>
      <c r="Q3131" s="266"/>
      <c r="BR3131" s="266"/>
      <c r="BS3131" s="266"/>
      <c r="BT3131" s="266"/>
      <c r="BU3131" s="266"/>
      <c r="BV3131" s="266"/>
    </row>
    <row r="3132" spans="12:74">
      <c r="L3132" s="266"/>
      <c r="M3132" s="266"/>
      <c r="N3132" s="266"/>
      <c r="O3132" s="266"/>
      <c r="P3132" s="266"/>
      <c r="Q3132" s="266"/>
      <c r="BR3132" s="266"/>
      <c r="BS3132" s="266"/>
      <c r="BT3132" s="266"/>
      <c r="BU3132" s="266"/>
      <c r="BV3132" s="266"/>
    </row>
    <row r="3133" spans="12:74">
      <c r="L3133" s="266"/>
      <c r="M3133" s="266"/>
      <c r="N3133" s="266"/>
      <c r="O3133" s="266"/>
      <c r="P3133" s="266"/>
      <c r="Q3133" s="266"/>
      <c r="BR3133" s="266"/>
      <c r="BS3133" s="266"/>
      <c r="BT3133" s="266"/>
      <c r="BU3133" s="266"/>
      <c r="BV3133" s="266"/>
    </row>
    <row r="3134" spans="12:74">
      <c r="L3134" s="266"/>
      <c r="M3134" s="266"/>
      <c r="N3134" s="266"/>
      <c r="O3134" s="266"/>
      <c r="P3134" s="266"/>
      <c r="Q3134" s="266"/>
      <c r="BR3134" s="266"/>
      <c r="BS3134" s="266"/>
      <c r="BT3134" s="266"/>
      <c r="BU3134" s="266"/>
      <c r="BV3134" s="266"/>
    </row>
    <row r="3135" spans="12:74">
      <c r="L3135" s="266"/>
      <c r="M3135" s="266"/>
      <c r="N3135" s="266"/>
      <c r="O3135" s="266"/>
      <c r="P3135" s="266"/>
      <c r="Q3135" s="266"/>
      <c r="BR3135" s="266"/>
      <c r="BS3135" s="266"/>
      <c r="BT3135" s="266"/>
      <c r="BU3135" s="266"/>
      <c r="BV3135" s="266"/>
    </row>
    <row r="3136" spans="12:74">
      <c r="L3136" s="266"/>
      <c r="M3136" s="266"/>
      <c r="N3136" s="266"/>
      <c r="O3136" s="266"/>
      <c r="P3136" s="266"/>
      <c r="Q3136" s="266"/>
      <c r="BR3136" s="266"/>
      <c r="BS3136" s="266"/>
      <c r="BT3136" s="266"/>
      <c r="BU3136" s="266"/>
      <c r="BV3136" s="266"/>
    </row>
    <row r="3137" spans="12:74">
      <c r="L3137" s="266"/>
      <c r="M3137" s="266"/>
      <c r="N3137" s="266"/>
      <c r="O3137" s="266"/>
      <c r="P3137" s="266"/>
      <c r="Q3137" s="266"/>
      <c r="BR3137" s="266"/>
      <c r="BS3137" s="266"/>
      <c r="BT3137" s="266"/>
      <c r="BU3137" s="266"/>
      <c r="BV3137" s="266"/>
    </row>
    <row r="3138" spans="12:74">
      <c r="L3138" s="266"/>
      <c r="M3138" s="266"/>
      <c r="N3138" s="266"/>
      <c r="O3138" s="266"/>
      <c r="P3138" s="266"/>
      <c r="Q3138" s="266"/>
      <c r="BR3138" s="266"/>
      <c r="BS3138" s="266"/>
      <c r="BT3138" s="266"/>
      <c r="BU3138" s="266"/>
      <c r="BV3138" s="266"/>
    </row>
    <row r="3139" spans="12:74">
      <c r="L3139" s="266"/>
      <c r="M3139" s="266"/>
      <c r="N3139" s="266"/>
      <c r="O3139" s="266"/>
      <c r="P3139" s="266"/>
      <c r="Q3139" s="266"/>
      <c r="BR3139" s="266"/>
      <c r="BS3139" s="266"/>
      <c r="BT3139" s="266"/>
      <c r="BU3139" s="266"/>
      <c r="BV3139" s="266"/>
    </row>
    <row r="3140" spans="12:74">
      <c r="L3140" s="266"/>
      <c r="M3140" s="266"/>
      <c r="N3140" s="266"/>
      <c r="O3140" s="266"/>
      <c r="P3140" s="266"/>
      <c r="Q3140" s="266"/>
      <c r="BR3140" s="266"/>
      <c r="BS3140" s="266"/>
      <c r="BT3140" s="266"/>
      <c r="BU3140" s="266"/>
      <c r="BV3140" s="266"/>
    </row>
    <row r="3141" spans="12:74">
      <c r="L3141" s="266"/>
      <c r="M3141" s="266"/>
      <c r="N3141" s="266"/>
      <c r="O3141" s="266"/>
      <c r="P3141" s="266"/>
      <c r="Q3141" s="266"/>
      <c r="BR3141" s="266"/>
      <c r="BS3141" s="266"/>
      <c r="BT3141" s="266"/>
      <c r="BU3141" s="266"/>
      <c r="BV3141" s="266"/>
    </row>
    <row r="3142" spans="12:74">
      <c r="L3142" s="266"/>
      <c r="M3142" s="266"/>
      <c r="N3142" s="266"/>
      <c r="O3142" s="266"/>
      <c r="P3142" s="266"/>
      <c r="Q3142" s="266"/>
      <c r="BR3142" s="266"/>
      <c r="BS3142" s="266"/>
      <c r="BT3142" s="266"/>
      <c r="BU3142" s="266"/>
      <c r="BV3142" s="266"/>
    </row>
    <row r="3143" spans="12:74">
      <c r="L3143" s="266"/>
      <c r="M3143" s="266"/>
      <c r="N3143" s="266"/>
      <c r="O3143" s="266"/>
      <c r="P3143" s="266"/>
      <c r="Q3143" s="266"/>
      <c r="BR3143" s="266"/>
      <c r="BS3143" s="266"/>
      <c r="BT3143" s="266"/>
      <c r="BU3143" s="266"/>
      <c r="BV3143" s="266"/>
    </row>
    <row r="3144" spans="12:74">
      <c r="L3144" s="266"/>
      <c r="M3144" s="266"/>
      <c r="N3144" s="266"/>
      <c r="O3144" s="266"/>
      <c r="P3144" s="266"/>
      <c r="Q3144" s="266"/>
      <c r="BR3144" s="266"/>
      <c r="BS3144" s="266"/>
      <c r="BT3144" s="266"/>
      <c r="BU3144" s="266"/>
      <c r="BV3144" s="266"/>
    </row>
    <row r="3145" spans="12:74">
      <c r="L3145" s="266"/>
      <c r="M3145" s="266"/>
      <c r="N3145" s="266"/>
      <c r="O3145" s="266"/>
      <c r="P3145" s="266"/>
      <c r="Q3145" s="266"/>
      <c r="BR3145" s="266"/>
      <c r="BS3145" s="266"/>
      <c r="BT3145" s="266"/>
      <c r="BU3145" s="266"/>
      <c r="BV3145" s="266"/>
    </row>
    <row r="3146" spans="12:74">
      <c r="L3146" s="266"/>
      <c r="M3146" s="266"/>
      <c r="N3146" s="266"/>
      <c r="O3146" s="266"/>
      <c r="P3146" s="266"/>
      <c r="Q3146" s="266"/>
      <c r="BR3146" s="266"/>
      <c r="BS3146" s="266"/>
      <c r="BT3146" s="266"/>
      <c r="BU3146" s="266"/>
      <c r="BV3146" s="266"/>
    </row>
    <row r="3147" spans="12:74">
      <c r="L3147" s="266"/>
      <c r="M3147" s="266"/>
      <c r="N3147" s="266"/>
      <c r="O3147" s="266"/>
      <c r="P3147" s="266"/>
      <c r="Q3147" s="266"/>
      <c r="BR3147" s="266"/>
      <c r="BS3147" s="266"/>
      <c r="BT3147" s="266"/>
      <c r="BU3147" s="266"/>
      <c r="BV3147" s="266"/>
    </row>
    <row r="3148" spans="12:74">
      <c r="L3148" s="266"/>
      <c r="M3148" s="266"/>
      <c r="N3148" s="266"/>
      <c r="O3148" s="266"/>
      <c r="P3148" s="266"/>
      <c r="Q3148" s="266"/>
      <c r="BR3148" s="266"/>
      <c r="BS3148" s="266"/>
      <c r="BT3148" s="266"/>
      <c r="BU3148" s="266"/>
      <c r="BV3148" s="266"/>
    </row>
    <row r="3149" spans="12:74">
      <c r="L3149" s="266"/>
      <c r="M3149" s="266"/>
      <c r="N3149" s="266"/>
      <c r="O3149" s="266"/>
      <c r="P3149" s="266"/>
      <c r="Q3149" s="266"/>
      <c r="BR3149" s="266"/>
      <c r="BS3149" s="266"/>
      <c r="BT3149" s="266"/>
      <c r="BU3149" s="266"/>
      <c r="BV3149" s="266"/>
    </row>
    <row r="3150" spans="12:74">
      <c r="L3150" s="266"/>
      <c r="M3150" s="266"/>
      <c r="N3150" s="266"/>
      <c r="O3150" s="266"/>
      <c r="P3150" s="266"/>
      <c r="Q3150" s="266"/>
      <c r="BR3150" s="266"/>
      <c r="BS3150" s="266"/>
      <c r="BT3150" s="266"/>
      <c r="BU3150" s="266"/>
      <c r="BV3150" s="266"/>
    </row>
    <row r="3151" spans="12:74">
      <c r="L3151" s="266"/>
      <c r="M3151" s="266"/>
      <c r="N3151" s="266"/>
      <c r="O3151" s="266"/>
      <c r="P3151" s="266"/>
      <c r="Q3151" s="266"/>
      <c r="BR3151" s="266"/>
      <c r="BS3151" s="266"/>
      <c r="BT3151" s="266"/>
      <c r="BU3151" s="266"/>
      <c r="BV3151" s="266"/>
    </row>
    <row r="3152" spans="12:74">
      <c r="L3152" s="266"/>
      <c r="M3152" s="266"/>
      <c r="N3152" s="266"/>
      <c r="O3152" s="266"/>
      <c r="P3152" s="266"/>
      <c r="Q3152" s="266"/>
      <c r="BR3152" s="266"/>
      <c r="BS3152" s="266"/>
      <c r="BT3152" s="266"/>
      <c r="BU3152" s="266"/>
      <c r="BV3152" s="266"/>
    </row>
    <row r="3153" spans="12:74">
      <c r="L3153" s="266"/>
      <c r="M3153" s="266"/>
      <c r="N3153" s="266"/>
      <c r="O3153" s="266"/>
      <c r="P3153" s="266"/>
      <c r="Q3153" s="266"/>
      <c r="BR3153" s="266"/>
      <c r="BS3153" s="266"/>
      <c r="BT3153" s="266"/>
      <c r="BU3153" s="266"/>
      <c r="BV3153" s="266"/>
    </row>
    <row r="3154" spans="12:74">
      <c r="L3154" s="266"/>
      <c r="M3154" s="266"/>
      <c r="N3154" s="266"/>
      <c r="O3154" s="266"/>
      <c r="P3154" s="266"/>
      <c r="Q3154" s="266"/>
      <c r="BR3154" s="266"/>
      <c r="BS3154" s="266"/>
      <c r="BT3154" s="266"/>
      <c r="BU3154" s="266"/>
      <c r="BV3154" s="266"/>
    </row>
    <row r="3155" spans="12:74">
      <c r="L3155" s="266"/>
      <c r="M3155" s="266"/>
      <c r="N3155" s="266"/>
      <c r="O3155" s="266"/>
      <c r="P3155" s="266"/>
      <c r="Q3155" s="266"/>
      <c r="BR3155" s="266"/>
      <c r="BS3155" s="266"/>
      <c r="BT3155" s="266"/>
      <c r="BU3155" s="266"/>
      <c r="BV3155" s="266"/>
    </row>
    <row r="3156" spans="12:74">
      <c r="L3156" s="266"/>
      <c r="M3156" s="266"/>
      <c r="N3156" s="266"/>
      <c r="O3156" s="266"/>
      <c r="P3156" s="266"/>
      <c r="Q3156" s="266"/>
      <c r="BR3156" s="266"/>
      <c r="BS3156" s="266"/>
      <c r="BT3156" s="266"/>
      <c r="BU3156" s="266"/>
      <c r="BV3156" s="266"/>
    </row>
    <row r="3157" spans="12:74">
      <c r="L3157" s="266"/>
      <c r="M3157" s="266"/>
      <c r="N3157" s="266"/>
      <c r="O3157" s="266"/>
      <c r="P3157" s="266"/>
      <c r="Q3157" s="266"/>
      <c r="BR3157" s="266"/>
      <c r="BS3157" s="266"/>
      <c r="BT3157" s="266"/>
      <c r="BU3157" s="266"/>
      <c r="BV3157" s="266"/>
    </row>
    <row r="3158" spans="12:74">
      <c r="L3158" s="266"/>
      <c r="M3158" s="266"/>
      <c r="N3158" s="266"/>
      <c r="O3158" s="266"/>
      <c r="P3158" s="266"/>
      <c r="Q3158" s="266"/>
      <c r="BR3158" s="266"/>
      <c r="BS3158" s="266"/>
      <c r="BT3158" s="266"/>
      <c r="BU3158" s="266"/>
      <c r="BV3158" s="266"/>
    </row>
    <row r="3159" spans="12:74">
      <c r="L3159" s="266"/>
      <c r="M3159" s="266"/>
      <c r="N3159" s="266"/>
      <c r="O3159" s="266"/>
      <c r="P3159" s="266"/>
      <c r="Q3159" s="266"/>
      <c r="BR3159" s="266"/>
      <c r="BS3159" s="266"/>
      <c r="BT3159" s="266"/>
      <c r="BU3159" s="266"/>
      <c r="BV3159" s="266"/>
    </row>
    <row r="3160" spans="12:74">
      <c r="L3160" s="266"/>
      <c r="M3160" s="266"/>
      <c r="N3160" s="266"/>
      <c r="O3160" s="266"/>
      <c r="P3160" s="266"/>
      <c r="Q3160" s="266"/>
      <c r="BR3160" s="266"/>
      <c r="BS3160" s="266"/>
      <c r="BT3160" s="266"/>
      <c r="BU3160" s="266"/>
      <c r="BV3160" s="266"/>
    </row>
    <row r="3161" spans="12:74">
      <c r="L3161" s="266"/>
      <c r="M3161" s="266"/>
      <c r="N3161" s="266"/>
      <c r="O3161" s="266"/>
      <c r="P3161" s="266"/>
      <c r="Q3161" s="266"/>
      <c r="BR3161" s="266"/>
      <c r="BS3161" s="266"/>
      <c r="BT3161" s="266"/>
      <c r="BU3161" s="266"/>
      <c r="BV3161" s="266"/>
    </row>
    <row r="3162" spans="12:74">
      <c r="L3162" s="266"/>
      <c r="M3162" s="266"/>
      <c r="N3162" s="266"/>
      <c r="O3162" s="266"/>
      <c r="P3162" s="266"/>
      <c r="Q3162" s="266"/>
      <c r="BR3162" s="266"/>
      <c r="BS3162" s="266"/>
      <c r="BT3162" s="266"/>
      <c r="BU3162" s="266"/>
      <c r="BV3162" s="266"/>
    </row>
    <row r="3163" spans="12:74">
      <c r="L3163" s="266"/>
      <c r="M3163" s="266"/>
      <c r="N3163" s="266"/>
      <c r="O3163" s="266"/>
      <c r="P3163" s="266"/>
      <c r="Q3163" s="266"/>
      <c r="BR3163" s="266"/>
      <c r="BS3163" s="266"/>
      <c r="BT3163" s="266"/>
      <c r="BU3163" s="266"/>
      <c r="BV3163" s="266"/>
    </row>
    <row r="3164" spans="12:74">
      <c r="L3164" s="266"/>
      <c r="M3164" s="266"/>
      <c r="N3164" s="266"/>
      <c r="O3164" s="266"/>
      <c r="P3164" s="266"/>
      <c r="Q3164" s="266"/>
      <c r="BR3164" s="266"/>
      <c r="BS3164" s="266"/>
      <c r="BT3164" s="266"/>
      <c r="BU3164" s="266"/>
      <c r="BV3164" s="266"/>
    </row>
    <row r="3165" spans="12:74">
      <c r="L3165" s="266"/>
      <c r="M3165" s="266"/>
      <c r="N3165" s="266"/>
      <c r="O3165" s="266"/>
      <c r="P3165" s="266"/>
      <c r="Q3165" s="266"/>
      <c r="BR3165" s="266"/>
      <c r="BS3165" s="266"/>
      <c r="BT3165" s="266"/>
      <c r="BU3165" s="266"/>
      <c r="BV3165" s="266"/>
    </row>
    <row r="3166" spans="12:74">
      <c r="L3166" s="266"/>
      <c r="M3166" s="266"/>
      <c r="N3166" s="266"/>
      <c r="O3166" s="266"/>
      <c r="P3166" s="266"/>
      <c r="Q3166" s="266"/>
      <c r="BR3166" s="266"/>
      <c r="BS3166" s="266"/>
      <c r="BT3166" s="266"/>
      <c r="BU3166" s="266"/>
      <c r="BV3166" s="266"/>
    </row>
    <row r="3167" spans="12:74">
      <c r="L3167" s="266"/>
      <c r="M3167" s="266"/>
      <c r="N3167" s="266"/>
      <c r="O3167" s="266"/>
      <c r="P3167" s="266"/>
      <c r="Q3167" s="266"/>
      <c r="BR3167" s="266"/>
      <c r="BS3167" s="266"/>
      <c r="BT3167" s="266"/>
      <c r="BU3167" s="266"/>
      <c r="BV3167" s="266"/>
    </row>
    <row r="3168" spans="12:74">
      <c r="L3168" s="266"/>
      <c r="M3168" s="266"/>
      <c r="N3168" s="266"/>
      <c r="O3168" s="266"/>
      <c r="P3168" s="266"/>
      <c r="Q3168" s="266"/>
      <c r="BR3168" s="266"/>
      <c r="BS3168" s="266"/>
      <c r="BT3168" s="266"/>
      <c r="BU3168" s="266"/>
      <c r="BV3168" s="266"/>
    </row>
    <row r="3169" spans="12:74">
      <c r="L3169" s="266"/>
      <c r="M3169" s="266"/>
      <c r="N3169" s="266"/>
      <c r="O3169" s="266"/>
      <c r="P3169" s="266"/>
      <c r="Q3169" s="266"/>
      <c r="BR3169" s="266"/>
      <c r="BS3169" s="266"/>
      <c r="BT3169" s="266"/>
      <c r="BU3169" s="266"/>
      <c r="BV3169" s="266"/>
    </row>
    <row r="3170" spans="12:74">
      <c r="L3170" s="266"/>
      <c r="M3170" s="266"/>
      <c r="N3170" s="266"/>
      <c r="O3170" s="266"/>
      <c r="P3170" s="266"/>
      <c r="Q3170" s="266"/>
      <c r="BR3170" s="266"/>
      <c r="BS3170" s="266"/>
      <c r="BT3170" s="266"/>
      <c r="BU3170" s="266"/>
      <c r="BV3170" s="266"/>
    </row>
    <row r="3171" spans="12:74">
      <c r="L3171" s="266"/>
      <c r="M3171" s="266"/>
      <c r="N3171" s="266"/>
      <c r="O3171" s="266"/>
      <c r="P3171" s="266"/>
      <c r="Q3171" s="266"/>
      <c r="BR3171" s="266"/>
      <c r="BS3171" s="266"/>
      <c r="BT3171" s="266"/>
      <c r="BU3171" s="266"/>
      <c r="BV3171" s="266"/>
    </row>
    <row r="3172" spans="12:74">
      <c r="L3172" s="266"/>
      <c r="M3172" s="266"/>
      <c r="N3172" s="266"/>
      <c r="O3172" s="266"/>
      <c r="P3172" s="266"/>
      <c r="Q3172" s="266"/>
      <c r="BR3172" s="266"/>
      <c r="BS3172" s="266"/>
      <c r="BT3172" s="266"/>
      <c r="BU3172" s="266"/>
      <c r="BV3172" s="266"/>
    </row>
    <row r="3173" spans="12:74">
      <c r="L3173" s="266"/>
      <c r="M3173" s="266"/>
      <c r="N3173" s="266"/>
      <c r="O3173" s="266"/>
      <c r="P3173" s="266"/>
      <c r="Q3173" s="266"/>
      <c r="BR3173" s="266"/>
      <c r="BS3173" s="266"/>
      <c r="BT3173" s="266"/>
      <c r="BU3173" s="266"/>
      <c r="BV3173" s="266"/>
    </row>
    <row r="3174" spans="12:74">
      <c r="L3174" s="266"/>
      <c r="M3174" s="266"/>
      <c r="N3174" s="266"/>
      <c r="O3174" s="266"/>
      <c r="P3174" s="266"/>
      <c r="Q3174" s="266"/>
      <c r="BR3174" s="266"/>
      <c r="BS3174" s="266"/>
      <c r="BT3174" s="266"/>
      <c r="BU3174" s="266"/>
      <c r="BV3174" s="266"/>
    </row>
    <row r="3175" spans="12:74">
      <c r="L3175" s="266"/>
      <c r="M3175" s="266"/>
      <c r="N3175" s="266"/>
      <c r="O3175" s="266"/>
      <c r="P3175" s="266"/>
      <c r="Q3175" s="266"/>
      <c r="BR3175" s="266"/>
      <c r="BS3175" s="266"/>
      <c r="BT3175" s="266"/>
      <c r="BU3175" s="266"/>
      <c r="BV3175" s="266"/>
    </row>
    <row r="3176" spans="12:74">
      <c r="L3176" s="266"/>
      <c r="M3176" s="266"/>
      <c r="N3176" s="266"/>
      <c r="O3176" s="266"/>
      <c r="P3176" s="266"/>
      <c r="Q3176" s="266"/>
      <c r="BR3176" s="266"/>
      <c r="BS3176" s="266"/>
      <c r="BT3176" s="266"/>
      <c r="BU3176" s="266"/>
      <c r="BV3176" s="266"/>
    </row>
    <row r="3177" spans="12:74">
      <c r="L3177" s="266"/>
      <c r="M3177" s="266"/>
      <c r="N3177" s="266"/>
      <c r="O3177" s="266"/>
      <c r="P3177" s="266"/>
      <c r="Q3177" s="266"/>
      <c r="BR3177" s="266"/>
      <c r="BS3177" s="266"/>
      <c r="BT3177" s="266"/>
      <c r="BU3177" s="266"/>
      <c r="BV3177" s="266"/>
    </row>
    <row r="3178" spans="12:74">
      <c r="L3178" s="266"/>
      <c r="M3178" s="266"/>
      <c r="N3178" s="266"/>
      <c r="O3178" s="266"/>
      <c r="P3178" s="266"/>
      <c r="Q3178" s="266"/>
      <c r="BR3178" s="266"/>
      <c r="BS3178" s="266"/>
      <c r="BT3178" s="266"/>
      <c r="BU3178" s="266"/>
      <c r="BV3178" s="266"/>
    </row>
    <row r="3179" spans="12:74">
      <c r="L3179" s="266"/>
      <c r="M3179" s="266"/>
      <c r="N3179" s="266"/>
      <c r="O3179" s="266"/>
      <c r="P3179" s="266"/>
      <c r="Q3179" s="266"/>
      <c r="BR3179" s="266"/>
      <c r="BS3179" s="266"/>
      <c r="BT3179" s="266"/>
      <c r="BU3179" s="266"/>
      <c r="BV3179" s="266"/>
    </row>
    <row r="3180" spans="12:74">
      <c r="L3180" s="266"/>
      <c r="M3180" s="266"/>
      <c r="N3180" s="266"/>
      <c r="O3180" s="266"/>
      <c r="P3180" s="266"/>
      <c r="Q3180" s="266"/>
      <c r="BR3180" s="266"/>
      <c r="BS3180" s="266"/>
      <c r="BT3180" s="266"/>
      <c r="BU3180" s="266"/>
      <c r="BV3180" s="266"/>
    </row>
    <row r="3181" spans="12:74">
      <c r="L3181" s="266"/>
      <c r="M3181" s="266"/>
      <c r="N3181" s="266"/>
      <c r="O3181" s="266"/>
      <c r="P3181" s="266"/>
      <c r="Q3181" s="266"/>
      <c r="BR3181" s="266"/>
      <c r="BS3181" s="266"/>
      <c r="BT3181" s="266"/>
      <c r="BU3181" s="266"/>
      <c r="BV3181" s="266"/>
    </row>
    <row r="3182" spans="12:74">
      <c r="L3182" s="266"/>
      <c r="M3182" s="266"/>
      <c r="N3182" s="266"/>
      <c r="O3182" s="266"/>
      <c r="P3182" s="266"/>
      <c r="Q3182" s="266"/>
      <c r="BR3182" s="266"/>
      <c r="BS3182" s="266"/>
      <c r="BT3182" s="266"/>
      <c r="BU3182" s="266"/>
      <c r="BV3182" s="266"/>
    </row>
    <row r="3183" spans="12:74">
      <c r="L3183" s="266"/>
      <c r="M3183" s="266"/>
      <c r="N3183" s="266"/>
      <c r="O3183" s="266"/>
      <c r="P3183" s="266"/>
      <c r="Q3183" s="266"/>
      <c r="BR3183" s="266"/>
      <c r="BS3183" s="266"/>
      <c r="BT3183" s="266"/>
      <c r="BU3183" s="266"/>
      <c r="BV3183" s="266"/>
    </row>
    <row r="3184" spans="12:74">
      <c r="L3184" s="266"/>
      <c r="M3184" s="266"/>
      <c r="N3184" s="266"/>
      <c r="O3184" s="266"/>
      <c r="P3184" s="266"/>
      <c r="Q3184" s="266"/>
      <c r="BR3184" s="266"/>
      <c r="BS3184" s="266"/>
      <c r="BT3184" s="266"/>
      <c r="BU3184" s="266"/>
      <c r="BV3184" s="266"/>
    </row>
    <row r="3185" spans="12:74">
      <c r="L3185" s="266"/>
      <c r="M3185" s="266"/>
      <c r="N3185" s="266"/>
      <c r="O3185" s="266"/>
      <c r="P3185" s="266"/>
      <c r="Q3185" s="266"/>
      <c r="BR3185" s="266"/>
      <c r="BS3185" s="266"/>
      <c r="BT3185" s="266"/>
      <c r="BU3185" s="266"/>
      <c r="BV3185" s="266"/>
    </row>
    <row r="3186" spans="12:74">
      <c r="L3186" s="266"/>
      <c r="M3186" s="266"/>
      <c r="N3186" s="266"/>
      <c r="O3186" s="266"/>
      <c r="P3186" s="266"/>
      <c r="Q3186" s="266"/>
      <c r="BR3186" s="266"/>
      <c r="BS3186" s="266"/>
      <c r="BT3186" s="266"/>
      <c r="BU3186" s="266"/>
      <c r="BV3186" s="266"/>
    </row>
    <row r="3187" spans="12:74">
      <c r="L3187" s="266"/>
      <c r="M3187" s="266"/>
      <c r="N3187" s="266"/>
      <c r="O3187" s="266"/>
      <c r="P3187" s="266"/>
      <c r="Q3187" s="266"/>
      <c r="BR3187" s="266"/>
      <c r="BS3187" s="266"/>
      <c r="BT3187" s="266"/>
      <c r="BU3187" s="266"/>
      <c r="BV3187" s="266"/>
    </row>
    <row r="3188" spans="12:74">
      <c r="L3188" s="266"/>
      <c r="M3188" s="266"/>
      <c r="N3188" s="266"/>
      <c r="O3188" s="266"/>
      <c r="P3188" s="266"/>
      <c r="Q3188" s="266"/>
      <c r="BR3188" s="266"/>
      <c r="BS3188" s="266"/>
      <c r="BT3188" s="266"/>
      <c r="BU3188" s="266"/>
      <c r="BV3188" s="266"/>
    </row>
    <row r="3189" spans="12:74">
      <c r="L3189" s="266"/>
      <c r="M3189" s="266"/>
      <c r="N3189" s="266"/>
      <c r="O3189" s="266"/>
      <c r="P3189" s="266"/>
      <c r="Q3189" s="266"/>
      <c r="BR3189" s="266"/>
      <c r="BS3189" s="266"/>
      <c r="BT3189" s="266"/>
      <c r="BU3189" s="266"/>
      <c r="BV3189" s="266"/>
    </row>
    <row r="3190" spans="12:74">
      <c r="L3190" s="266"/>
      <c r="M3190" s="266"/>
      <c r="N3190" s="266"/>
      <c r="O3190" s="266"/>
      <c r="P3190" s="266"/>
      <c r="Q3190" s="266"/>
      <c r="BR3190" s="266"/>
      <c r="BS3190" s="266"/>
      <c r="BT3190" s="266"/>
      <c r="BU3190" s="266"/>
      <c r="BV3190" s="266"/>
    </row>
    <row r="3191" spans="12:74">
      <c r="L3191" s="266"/>
      <c r="M3191" s="266"/>
      <c r="N3191" s="266"/>
      <c r="O3191" s="266"/>
      <c r="P3191" s="266"/>
      <c r="Q3191" s="266"/>
      <c r="BR3191" s="266"/>
      <c r="BS3191" s="266"/>
      <c r="BT3191" s="266"/>
      <c r="BU3191" s="266"/>
      <c r="BV3191" s="266"/>
    </row>
    <row r="3192" spans="12:74">
      <c r="L3192" s="266"/>
      <c r="M3192" s="266"/>
      <c r="N3192" s="266"/>
      <c r="O3192" s="266"/>
      <c r="P3192" s="266"/>
      <c r="Q3192" s="266"/>
      <c r="BR3192" s="266"/>
      <c r="BS3192" s="266"/>
      <c r="BT3192" s="266"/>
      <c r="BU3192" s="266"/>
      <c r="BV3192" s="266"/>
    </row>
    <row r="3193" spans="12:74">
      <c r="L3193" s="266"/>
      <c r="M3193" s="266"/>
      <c r="N3193" s="266"/>
      <c r="O3193" s="266"/>
      <c r="P3193" s="266"/>
      <c r="Q3193" s="266"/>
      <c r="BR3193" s="266"/>
      <c r="BS3193" s="266"/>
      <c r="BT3193" s="266"/>
      <c r="BU3193" s="266"/>
      <c r="BV3193" s="266"/>
    </row>
    <row r="3194" spans="12:74">
      <c r="L3194" s="266"/>
      <c r="M3194" s="266"/>
      <c r="N3194" s="266"/>
      <c r="O3194" s="266"/>
      <c r="P3194" s="266"/>
      <c r="Q3194" s="266"/>
      <c r="BR3194" s="266"/>
      <c r="BS3194" s="266"/>
      <c r="BT3194" s="266"/>
      <c r="BU3194" s="266"/>
      <c r="BV3194" s="266"/>
    </row>
    <row r="3195" spans="12:74">
      <c r="L3195" s="266"/>
      <c r="M3195" s="266"/>
      <c r="N3195" s="266"/>
      <c r="O3195" s="266"/>
      <c r="P3195" s="266"/>
      <c r="Q3195" s="266"/>
      <c r="BR3195" s="266"/>
      <c r="BS3195" s="266"/>
      <c r="BT3195" s="266"/>
      <c r="BU3195" s="266"/>
      <c r="BV3195" s="266"/>
    </row>
    <row r="3196" spans="12:74">
      <c r="L3196" s="266"/>
      <c r="M3196" s="266"/>
      <c r="N3196" s="266"/>
      <c r="O3196" s="266"/>
      <c r="P3196" s="266"/>
      <c r="Q3196" s="266"/>
      <c r="BR3196" s="266"/>
      <c r="BS3196" s="266"/>
      <c r="BT3196" s="266"/>
      <c r="BU3196" s="266"/>
      <c r="BV3196" s="266"/>
    </row>
    <row r="3197" spans="12:74">
      <c r="L3197" s="266"/>
      <c r="M3197" s="266"/>
      <c r="N3197" s="266"/>
      <c r="O3197" s="266"/>
      <c r="P3197" s="266"/>
      <c r="Q3197" s="266"/>
      <c r="BR3197" s="266"/>
      <c r="BS3197" s="266"/>
      <c r="BT3197" s="266"/>
      <c r="BU3197" s="266"/>
      <c r="BV3197" s="266"/>
    </row>
    <row r="3198" spans="12:74">
      <c r="L3198" s="266"/>
      <c r="M3198" s="266"/>
      <c r="N3198" s="266"/>
      <c r="O3198" s="266"/>
      <c r="P3198" s="266"/>
      <c r="Q3198" s="266"/>
      <c r="BR3198" s="266"/>
      <c r="BS3198" s="266"/>
      <c r="BT3198" s="266"/>
      <c r="BU3198" s="266"/>
      <c r="BV3198" s="266"/>
    </row>
    <row r="3199" spans="12:74">
      <c r="L3199" s="266"/>
      <c r="M3199" s="266"/>
      <c r="N3199" s="266"/>
      <c r="O3199" s="266"/>
      <c r="P3199" s="266"/>
      <c r="Q3199" s="266"/>
      <c r="BR3199" s="266"/>
      <c r="BS3199" s="266"/>
      <c r="BT3199" s="266"/>
      <c r="BU3199" s="266"/>
      <c r="BV3199" s="266"/>
    </row>
    <row r="3200" spans="12:74">
      <c r="L3200" s="266"/>
      <c r="M3200" s="266"/>
      <c r="N3200" s="266"/>
      <c r="O3200" s="266"/>
      <c r="P3200" s="266"/>
      <c r="Q3200" s="266"/>
      <c r="BR3200" s="266"/>
      <c r="BS3200" s="266"/>
      <c r="BT3200" s="266"/>
      <c r="BU3200" s="266"/>
      <c r="BV3200" s="266"/>
    </row>
    <row r="3201" spans="12:74">
      <c r="L3201" s="266"/>
      <c r="M3201" s="266"/>
      <c r="N3201" s="266"/>
      <c r="O3201" s="266"/>
      <c r="P3201" s="266"/>
      <c r="Q3201" s="266"/>
      <c r="BR3201" s="266"/>
      <c r="BS3201" s="266"/>
      <c r="BT3201" s="266"/>
      <c r="BU3201" s="266"/>
      <c r="BV3201" s="266"/>
    </row>
    <row r="3202" spans="12:74">
      <c r="L3202" s="266"/>
      <c r="M3202" s="266"/>
      <c r="N3202" s="266"/>
      <c r="O3202" s="266"/>
      <c r="P3202" s="266"/>
      <c r="Q3202" s="266"/>
      <c r="BR3202" s="266"/>
      <c r="BS3202" s="266"/>
      <c r="BT3202" s="266"/>
      <c r="BU3202" s="266"/>
      <c r="BV3202" s="266"/>
    </row>
    <row r="3203" spans="12:74">
      <c r="L3203" s="266"/>
      <c r="M3203" s="266"/>
      <c r="N3203" s="266"/>
      <c r="O3203" s="266"/>
      <c r="P3203" s="266"/>
      <c r="Q3203" s="266"/>
      <c r="BR3203" s="266"/>
      <c r="BS3203" s="266"/>
      <c r="BT3203" s="266"/>
      <c r="BU3203" s="266"/>
      <c r="BV3203" s="266"/>
    </row>
    <row r="3204" spans="12:74">
      <c r="L3204" s="266"/>
      <c r="M3204" s="266"/>
      <c r="N3204" s="266"/>
      <c r="O3204" s="266"/>
      <c r="P3204" s="266"/>
      <c r="Q3204" s="266"/>
      <c r="BR3204" s="266"/>
      <c r="BS3204" s="266"/>
      <c r="BT3204" s="266"/>
      <c r="BU3204" s="266"/>
      <c r="BV3204" s="266"/>
    </row>
    <row r="3205" spans="12:74">
      <c r="L3205" s="266"/>
      <c r="M3205" s="266"/>
      <c r="N3205" s="266"/>
      <c r="O3205" s="266"/>
      <c r="P3205" s="266"/>
      <c r="Q3205" s="266"/>
      <c r="BR3205" s="266"/>
      <c r="BS3205" s="266"/>
      <c r="BT3205" s="266"/>
      <c r="BU3205" s="266"/>
      <c r="BV3205" s="266"/>
    </row>
    <row r="3206" spans="12:74">
      <c r="L3206" s="266"/>
      <c r="M3206" s="266"/>
      <c r="N3206" s="266"/>
      <c r="O3206" s="266"/>
      <c r="P3206" s="266"/>
      <c r="Q3206" s="266"/>
      <c r="BR3206" s="266"/>
      <c r="BS3206" s="266"/>
      <c r="BT3206" s="266"/>
      <c r="BU3206" s="266"/>
      <c r="BV3206" s="266"/>
    </row>
    <row r="3207" spans="12:74">
      <c r="L3207" s="266"/>
      <c r="M3207" s="266"/>
      <c r="N3207" s="266"/>
      <c r="O3207" s="266"/>
      <c r="P3207" s="266"/>
      <c r="Q3207" s="266"/>
      <c r="BR3207" s="266"/>
      <c r="BS3207" s="266"/>
      <c r="BT3207" s="266"/>
      <c r="BU3207" s="266"/>
      <c r="BV3207" s="266"/>
    </row>
    <row r="3208" spans="12:74">
      <c r="L3208" s="266"/>
      <c r="M3208" s="266"/>
      <c r="N3208" s="266"/>
      <c r="O3208" s="266"/>
      <c r="P3208" s="266"/>
      <c r="Q3208" s="266"/>
      <c r="BR3208" s="266"/>
      <c r="BS3208" s="266"/>
      <c r="BT3208" s="266"/>
      <c r="BU3208" s="266"/>
      <c r="BV3208" s="266"/>
    </row>
    <row r="3209" spans="12:74">
      <c r="L3209" s="266"/>
      <c r="M3209" s="266"/>
      <c r="N3209" s="266"/>
      <c r="O3209" s="266"/>
      <c r="P3209" s="266"/>
      <c r="Q3209" s="266"/>
      <c r="BR3209" s="266"/>
      <c r="BS3209" s="266"/>
      <c r="BT3209" s="266"/>
      <c r="BU3209" s="266"/>
      <c r="BV3209" s="266"/>
    </row>
    <row r="3210" spans="12:74">
      <c r="L3210" s="266"/>
      <c r="M3210" s="266"/>
      <c r="N3210" s="266"/>
      <c r="O3210" s="266"/>
      <c r="P3210" s="266"/>
      <c r="Q3210" s="266"/>
      <c r="BR3210" s="266"/>
      <c r="BS3210" s="266"/>
      <c r="BT3210" s="266"/>
      <c r="BU3210" s="266"/>
      <c r="BV3210" s="266"/>
    </row>
    <row r="3211" spans="12:74">
      <c r="L3211" s="266"/>
      <c r="M3211" s="266"/>
      <c r="N3211" s="266"/>
      <c r="O3211" s="266"/>
      <c r="P3211" s="266"/>
      <c r="Q3211" s="266"/>
      <c r="BR3211" s="266"/>
      <c r="BS3211" s="266"/>
      <c r="BT3211" s="266"/>
      <c r="BU3211" s="266"/>
      <c r="BV3211" s="266"/>
    </row>
    <row r="3212" spans="12:74">
      <c r="L3212" s="266"/>
      <c r="M3212" s="266"/>
      <c r="N3212" s="266"/>
      <c r="O3212" s="266"/>
      <c r="P3212" s="266"/>
      <c r="Q3212" s="266"/>
      <c r="BR3212" s="266"/>
      <c r="BS3212" s="266"/>
      <c r="BT3212" s="266"/>
      <c r="BU3212" s="266"/>
      <c r="BV3212" s="266"/>
    </row>
    <row r="3213" spans="12:74">
      <c r="L3213" s="266"/>
      <c r="M3213" s="266"/>
      <c r="N3213" s="266"/>
      <c r="O3213" s="266"/>
      <c r="P3213" s="266"/>
      <c r="Q3213" s="266"/>
      <c r="BR3213" s="266"/>
      <c r="BS3213" s="266"/>
      <c r="BT3213" s="266"/>
      <c r="BU3213" s="266"/>
      <c r="BV3213" s="266"/>
    </row>
    <row r="3214" spans="12:74">
      <c r="L3214" s="266"/>
      <c r="M3214" s="266"/>
      <c r="N3214" s="266"/>
      <c r="O3214" s="266"/>
      <c r="P3214" s="266"/>
      <c r="Q3214" s="266"/>
      <c r="BR3214" s="266"/>
      <c r="BS3214" s="266"/>
      <c r="BT3214" s="266"/>
      <c r="BU3214" s="266"/>
      <c r="BV3214" s="266"/>
    </row>
    <row r="3215" spans="12:74">
      <c r="L3215" s="266"/>
      <c r="M3215" s="266"/>
      <c r="N3215" s="266"/>
      <c r="O3215" s="266"/>
      <c r="P3215" s="266"/>
      <c r="Q3215" s="266"/>
      <c r="BR3215" s="266"/>
      <c r="BS3215" s="266"/>
      <c r="BT3215" s="266"/>
      <c r="BU3215" s="266"/>
      <c r="BV3215" s="266"/>
    </row>
    <row r="3216" spans="12:74">
      <c r="L3216" s="266"/>
      <c r="M3216" s="266"/>
      <c r="N3216" s="266"/>
      <c r="O3216" s="266"/>
      <c r="P3216" s="266"/>
      <c r="Q3216" s="266"/>
      <c r="BR3216" s="266"/>
      <c r="BS3216" s="266"/>
      <c r="BT3216" s="266"/>
      <c r="BU3216" s="266"/>
      <c r="BV3216" s="266"/>
    </row>
    <row r="3217" spans="12:74">
      <c r="L3217" s="266"/>
      <c r="M3217" s="266"/>
      <c r="N3217" s="266"/>
      <c r="O3217" s="266"/>
      <c r="P3217" s="266"/>
      <c r="Q3217" s="266"/>
      <c r="BR3217" s="266"/>
      <c r="BS3217" s="266"/>
      <c r="BT3217" s="266"/>
      <c r="BU3217" s="266"/>
      <c r="BV3217" s="266"/>
    </row>
    <row r="3218" spans="12:74">
      <c r="L3218" s="266"/>
      <c r="M3218" s="266"/>
      <c r="N3218" s="266"/>
      <c r="O3218" s="266"/>
      <c r="P3218" s="266"/>
      <c r="Q3218" s="266"/>
      <c r="BR3218" s="266"/>
      <c r="BS3218" s="266"/>
      <c r="BT3218" s="266"/>
      <c r="BU3218" s="266"/>
      <c r="BV3218" s="266"/>
    </row>
    <row r="3219" spans="12:74">
      <c r="L3219" s="266"/>
      <c r="M3219" s="266"/>
      <c r="N3219" s="266"/>
      <c r="O3219" s="266"/>
      <c r="P3219" s="266"/>
      <c r="Q3219" s="266"/>
      <c r="BR3219" s="266"/>
      <c r="BS3219" s="266"/>
      <c r="BT3219" s="266"/>
      <c r="BU3219" s="266"/>
      <c r="BV3219" s="266"/>
    </row>
    <row r="3220" spans="12:74">
      <c r="L3220" s="266"/>
      <c r="M3220" s="266"/>
      <c r="N3220" s="266"/>
      <c r="O3220" s="266"/>
      <c r="P3220" s="266"/>
      <c r="Q3220" s="266"/>
      <c r="BR3220" s="266"/>
      <c r="BS3220" s="266"/>
      <c r="BT3220" s="266"/>
      <c r="BU3220" s="266"/>
      <c r="BV3220" s="266"/>
    </row>
    <row r="3221" spans="12:74">
      <c r="L3221" s="266"/>
      <c r="M3221" s="266"/>
      <c r="N3221" s="266"/>
      <c r="O3221" s="266"/>
      <c r="P3221" s="266"/>
      <c r="Q3221" s="266"/>
      <c r="BR3221" s="266"/>
      <c r="BS3221" s="266"/>
      <c r="BT3221" s="266"/>
      <c r="BU3221" s="266"/>
      <c r="BV3221" s="266"/>
    </row>
    <row r="3222" spans="12:74">
      <c r="L3222" s="266"/>
      <c r="M3222" s="266"/>
      <c r="N3222" s="266"/>
      <c r="O3222" s="266"/>
      <c r="P3222" s="266"/>
      <c r="Q3222" s="266"/>
      <c r="BR3222" s="266"/>
      <c r="BS3222" s="266"/>
      <c r="BT3222" s="266"/>
      <c r="BU3222" s="266"/>
      <c r="BV3222" s="266"/>
    </row>
    <row r="3223" spans="12:74">
      <c r="L3223" s="266"/>
      <c r="M3223" s="266"/>
      <c r="N3223" s="266"/>
      <c r="O3223" s="266"/>
      <c r="P3223" s="266"/>
      <c r="Q3223" s="266"/>
      <c r="BR3223" s="266"/>
      <c r="BS3223" s="266"/>
      <c r="BT3223" s="266"/>
      <c r="BU3223" s="266"/>
      <c r="BV3223" s="266"/>
    </row>
    <row r="3224" spans="12:74">
      <c r="L3224" s="266"/>
      <c r="M3224" s="266"/>
      <c r="N3224" s="266"/>
      <c r="O3224" s="266"/>
      <c r="P3224" s="266"/>
      <c r="Q3224" s="266"/>
      <c r="BR3224" s="266"/>
      <c r="BS3224" s="266"/>
      <c r="BT3224" s="266"/>
      <c r="BU3224" s="266"/>
      <c r="BV3224" s="266"/>
    </row>
    <row r="3225" spans="12:74">
      <c r="L3225" s="266"/>
      <c r="M3225" s="266"/>
      <c r="N3225" s="266"/>
      <c r="O3225" s="266"/>
      <c r="P3225" s="266"/>
      <c r="Q3225" s="266"/>
      <c r="BR3225" s="266"/>
      <c r="BS3225" s="266"/>
      <c r="BT3225" s="266"/>
      <c r="BU3225" s="266"/>
      <c r="BV3225" s="266"/>
    </row>
    <row r="3226" spans="12:74">
      <c r="L3226" s="266"/>
      <c r="M3226" s="266"/>
      <c r="N3226" s="266"/>
      <c r="O3226" s="266"/>
      <c r="P3226" s="266"/>
      <c r="Q3226" s="266"/>
      <c r="BR3226" s="266"/>
      <c r="BS3226" s="266"/>
      <c r="BT3226" s="266"/>
      <c r="BU3226" s="266"/>
      <c r="BV3226" s="266"/>
    </row>
    <row r="3227" spans="12:74">
      <c r="L3227" s="266"/>
      <c r="M3227" s="266"/>
      <c r="N3227" s="266"/>
      <c r="O3227" s="266"/>
      <c r="P3227" s="266"/>
      <c r="Q3227" s="266"/>
      <c r="BR3227" s="266"/>
      <c r="BS3227" s="266"/>
      <c r="BT3227" s="266"/>
      <c r="BU3227" s="266"/>
      <c r="BV3227" s="266"/>
    </row>
    <row r="3228" spans="12:74">
      <c r="L3228" s="266"/>
      <c r="M3228" s="266"/>
      <c r="N3228" s="266"/>
      <c r="O3228" s="266"/>
      <c r="P3228" s="266"/>
      <c r="Q3228" s="266"/>
      <c r="BR3228" s="266"/>
      <c r="BS3228" s="266"/>
      <c r="BT3228" s="266"/>
      <c r="BU3228" s="266"/>
      <c r="BV3228" s="266"/>
    </row>
    <row r="3229" spans="12:74">
      <c r="L3229" s="266"/>
      <c r="M3229" s="266"/>
      <c r="N3229" s="266"/>
      <c r="O3229" s="266"/>
      <c r="P3229" s="266"/>
      <c r="Q3229" s="266"/>
      <c r="BR3229" s="266"/>
      <c r="BS3229" s="266"/>
      <c r="BT3229" s="266"/>
      <c r="BU3229" s="266"/>
      <c r="BV3229" s="266"/>
    </row>
    <row r="3230" spans="12:74">
      <c r="L3230" s="266"/>
      <c r="M3230" s="266"/>
      <c r="N3230" s="266"/>
      <c r="O3230" s="266"/>
      <c r="P3230" s="266"/>
      <c r="Q3230" s="266"/>
      <c r="BR3230" s="266"/>
      <c r="BS3230" s="266"/>
      <c r="BT3230" s="266"/>
      <c r="BU3230" s="266"/>
      <c r="BV3230" s="266"/>
    </row>
    <row r="3231" spans="12:74">
      <c r="L3231" s="266"/>
      <c r="M3231" s="266"/>
      <c r="N3231" s="266"/>
      <c r="O3231" s="266"/>
      <c r="P3231" s="266"/>
      <c r="Q3231" s="266"/>
      <c r="BR3231" s="266"/>
      <c r="BS3231" s="266"/>
      <c r="BT3231" s="266"/>
      <c r="BU3231" s="266"/>
      <c r="BV3231" s="266"/>
    </row>
    <row r="3232" spans="12:74">
      <c r="L3232" s="266"/>
      <c r="M3232" s="266"/>
      <c r="N3232" s="266"/>
      <c r="O3232" s="266"/>
      <c r="P3232" s="266"/>
      <c r="Q3232" s="266"/>
      <c r="BR3232" s="266"/>
      <c r="BS3232" s="266"/>
      <c r="BT3232" s="266"/>
      <c r="BU3232" s="266"/>
      <c r="BV3232" s="266"/>
    </row>
    <row r="3233" spans="12:74">
      <c r="L3233" s="266"/>
      <c r="M3233" s="266"/>
      <c r="N3233" s="266"/>
      <c r="O3233" s="266"/>
      <c r="P3233" s="266"/>
      <c r="Q3233" s="266"/>
      <c r="BR3233" s="266"/>
      <c r="BS3233" s="266"/>
      <c r="BT3233" s="266"/>
      <c r="BU3233" s="266"/>
      <c r="BV3233" s="266"/>
    </row>
    <row r="3234" spans="12:74">
      <c r="L3234" s="266"/>
      <c r="M3234" s="266"/>
      <c r="N3234" s="266"/>
      <c r="O3234" s="266"/>
      <c r="P3234" s="266"/>
      <c r="Q3234" s="266"/>
      <c r="BR3234" s="266"/>
      <c r="BS3234" s="266"/>
      <c r="BT3234" s="266"/>
      <c r="BU3234" s="266"/>
      <c r="BV3234" s="266"/>
    </row>
    <row r="3235" spans="12:74">
      <c r="L3235" s="266"/>
      <c r="M3235" s="266"/>
      <c r="N3235" s="266"/>
      <c r="O3235" s="266"/>
      <c r="P3235" s="266"/>
      <c r="Q3235" s="266"/>
      <c r="BR3235" s="266"/>
      <c r="BS3235" s="266"/>
      <c r="BT3235" s="266"/>
      <c r="BU3235" s="266"/>
      <c r="BV3235" s="266"/>
    </row>
    <row r="3236" spans="12:74">
      <c r="L3236" s="266"/>
      <c r="M3236" s="266"/>
      <c r="N3236" s="266"/>
      <c r="O3236" s="266"/>
      <c r="P3236" s="266"/>
      <c r="Q3236" s="266"/>
      <c r="BR3236" s="266"/>
      <c r="BS3236" s="266"/>
      <c r="BT3236" s="266"/>
      <c r="BU3236" s="266"/>
      <c r="BV3236" s="266"/>
    </row>
    <row r="3237" spans="12:74">
      <c r="L3237" s="266"/>
      <c r="M3237" s="266"/>
      <c r="N3237" s="266"/>
      <c r="O3237" s="266"/>
      <c r="P3237" s="266"/>
      <c r="Q3237" s="266"/>
      <c r="BR3237" s="266"/>
      <c r="BS3237" s="266"/>
      <c r="BT3237" s="266"/>
      <c r="BU3237" s="266"/>
      <c r="BV3237" s="266"/>
    </row>
    <row r="3238" spans="12:74">
      <c r="L3238" s="266"/>
      <c r="M3238" s="266"/>
      <c r="N3238" s="266"/>
      <c r="O3238" s="266"/>
      <c r="P3238" s="266"/>
      <c r="Q3238" s="266"/>
      <c r="BR3238" s="266"/>
      <c r="BS3238" s="266"/>
      <c r="BT3238" s="266"/>
      <c r="BU3238" s="266"/>
      <c r="BV3238" s="266"/>
    </row>
    <row r="3239" spans="12:74">
      <c r="L3239" s="266"/>
      <c r="M3239" s="266"/>
      <c r="N3239" s="266"/>
      <c r="O3239" s="266"/>
      <c r="P3239" s="266"/>
      <c r="Q3239" s="266"/>
      <c r="BR3239" s="266"/>
      <c r="BS3239" s="266"/>
      <c r="BT3239" s="266"/>
      <c r="BU3239" s="266"/>
      <c r="BV3239" s="266"/>
    </row>
    <row r="3240" spans="12:74">
      <c r="L3240" s="266"/>
      <c r="M3240" s="266"/>
      <c r="N3240" s="266"/>
      <c r="O3240" s="266"/>
      <c r="P3240" s="266"/>
      <c r="Q3240" s="266"/>
      <c r="BR3240" s="266"/>
      <c r="BS3240" s="266"/>
      <c r="BT3240" s="266"/>
      <c r="BU3240" s="266"/>
      <c r="BV3240" s="266"/>
    </row>
    <row r="3241" spans="12:74">
      <c r="L3241" s="266"/>
      <c r="M3241" s="266"/>
      <c r="N3241" s="266"/>
      <c r="O3241" s="266"/>
      <c r="P3241" s="266"/>
      <c r="Q3241" s="266"/>
      <c r="BR3241" s="266"/>
      <c r="BS3241" s="266"/>
      <c r="BT3241" s="266"/>
      <c r="BU3241" s="266"/>
      <c r="BV3241" s="266"/>
    </row>
    <row r="3242" spans="12:74">
      <c r="L3242" s="266"/>
      <c r="M3242" s="266"/>
      <c r="N3242" s="266"/>
      <c r="O3242" s="266"/>
      <c r="P3242" s="266"/>
      <c r="Q3242" s="266"/>
      <c r="BR3242" s="266"/>
      <c r="BS3242" s="266"/>
      <c r="BT3242" s="266"/>
      <c r="BU3242" s="266"/>
      <c r="BV3242" s="266"/>
    </row>
    <row r="3243" spans="12:74">
      <c r="L3243" s="266"/>
      <c r="M3243" s="266"/>
      <c r="N3243" s="266"/>
      <c r="O3243" s="266"/>
      <c r="P3243" s="266"/>
      <c r="Q3243" s="266"/>
      <c r="BR3243" s="266"/>
      <c r="BS3243" s="266"/>
      <c r="BT3243" s="266"/>
      <c r="BU3243" s="266"/>
      <c r="BV3243" s="266"/>
    </row>
    <row r="3244" spans="12:74">
      <c r="L3244" s="266"/>
      <c r="M3244" s="266"/>
      <c r="N3244" s="266"/>
      <c r="O3244" s="266"/>
      <c r="P3244" s="266"/>
      <c r="Q3244" s="266"/>
      <c r="BR3244" s="266"/>
      <c r="BS3244" s="266"/>
      <c r="BT3244" s="266"/>
      <c r="BU3244" s="266"/>
      <c r="BV3244" s="266"/>
    </row>
    <row r="3245" spans="12:74">
      <c r="L3245" s="266"/>
      <c r="M3245" s="266"/>
      <c r="N3245" s="266"/>
      <c r="O3245" s="266"/>
      <c r="P3245" s="266"/>
      <c r="Q3245" s="266"/>
      <c r="BR3245" s="266"/>
      <c r="BS3245" s="266"/>
      <c r="BT3245" s="266"/>
      <c r="BU3245" s="266"/>
      <c r="BV3245" s="266"/>
    </row>
    <row r="3246" spans="12:74">
      <c r="L3246" s="266"/>
      <c r="M3246" s="266"/>
      <c r="N3246" s="266"/>
      <c r="O3246" s="266"/>
      <c r="P3246" s="266"/>
      <c r="Q3246" s="266"/>
      <c r="BR3246" s="266"/>
      <c r="BS3246" s="266"/>
      <c r="BT3246" s="266"/>
      <c r="BU3246" s="266"/>
      <c r="BV3246" s="266"/>
    </row>
    <row r="3247" spans="12:74">
      <c r="L3247" s="266"/>
      <c r="M3247" s="266"/>
      <c r="N3247" s="266"/>
      <c r="O3247" s="266"/>
      <c r="P3247" s="266"/>
      <c r="Q3247" s="266"/>
      <c r="BR3247" s="266"/>
      <c r="BS3247" s="266"/>
      <c r="BT3247" s="266"/>
      <c r="BU3247" s="266"/>
      <c r="BV3247" s="266"/>
    </row>
    <row r="3248" spans="12:74">
      <c r="L3248" s="266"/>
      <c r="M3248" s="266"/>
      <c r="N3248" s="266"/>
      <c r="O3248" s="266"/>
      <c r="P3248" s="266"/>
      <c r="Q3248" s="266"/>
      <c r="BR3248" s="266"/>
      <c r="BS3248" s="266"/>
      <c r="BT3248" s="266"/>
      <c r="BU3248" s="266"/>
      <c r="BV3248" s="266"/>
    </row>
    <row r="3249" spans="12:74">
      <c r="L3249" s="266"/>
      <c r="M3249" s="266"/>
      <c r="N3249" s="266"/>
      <c r="O3249" s="266"/>
      <c r="P3249" s="266"/>
      <c r="Q3249" s="266"/>
      <c r="BR3249" s="266"/>
      <c r="BS3249" s="266"/>
      <c r="BT3249" s="266"/>
      <c r="BU3249" s="266"/>
      <c r="BV3249" s="266"/>
    </row>
    <row r="3250" spans="12:74">
      <c r="L3250" s="266"/>
      <c r="M3250" s="266"/>
      <c r="N3250" s="266"/>
      <c r="O3250" s="266"/>
      <c r="P3250" s="266"/>
      <c r="Q3250" s="266"/>
      <c r="BR3250" s="266"/>
      <c r="BS3250" s="266"/>
      <c r="BT3250" s="266"/>
      <c r="BU3250" s="266"/>
      <c r="BV3250" s="266"/>
    </row>
    <row r="3251" spans="12:74">
      <c r="L3251" s="266"/>
      <c r="M3251" s="266"/>
      <c r="N3251" s="266"/>
      <c r="O3251" s="266"/>
      <c r="P3251" s="266"/>
      <c r="Q3251" s="266"/>
      <c r="BR3251" s="266"/>
      <c r="BS3251" s="266"/>
      <c r="BT3251" s="266"/>
      <c r="BU3251" s="266"/>
      <c r="BV3251" s="266"/>
    </row>
    <row r="3252" spans="12:74">
      <c r="L3252" s="266"/>
      <c r="M3252" s="266"/>
      <c r="N3252" s="266"/>
      <c r="O3252" s="266"/>
      <c r="P3252" s="266"/>
      <c r="Q3252" s="266"/>
      <c r="BR3252" s="266"/>
      <c r="BS3252" s="266"/>
      <c r="BT3252" s="266"/>
      <c r="BU3252" s="266"/>
      <c r="BV3252" s="266"/>
    </row>
    <row r="3253" spans="12:74">
      <c r="L3253" s="266"/>
      <c r="M3253" s="266"/>
      <c r="N3253" s="266"/>
      <c r="O3253" s="266"/>
      <c r="P3253" s="266"/>
      <c r="Q3253" s="266"/>
      <c r="BR3253" s="266"/>
      <c r="BS3253" s="266"/>
      <c r="BT3253" s="266"/>
      <c r="BU3253" s="266"/>
      <c r="BV3253" s="266"/>
    </row>
    <row r="3254" spans="12:74">
      <c r="L3254" s="266"/>
      <c r="M3254" s="266"/>
      <c r="N3254" s="266"/>
      <c r="O3254" s="266"/>
      <c r="P3254" s="266"/>
      <c r="Q3254" s="266"/>
      <c r="BR3254" s="266"/>
      <c r="BS3254" s="266"/>
      <c r="BT3254" s="266"/>
      <c r="BU3254" s="266"/>
      <c r="BV3254" s="266"/>
    </row>
    <row r="3255" spans="12:74">
      <c r="L3255" s="266"/>
      <c r="M3255" s="266"/>
      <c r="N3255" s="266"/>
      <c r="O3255" s="266"/>
      <c r="P3255" s="266"/>
      <c r="Q3255" s="266"/>
      <c r="BR3255" s="266"/>
      <c r="BS3255" s="266"/>
      <c r="BT3255" s="266"/>
      <c r="BU3255" s="266"/>
      <c r="BV3255" s="266"/>
    </row>
    <row r="3256" spans="12:74">
      <c r="L3256" s="266"/>
      <c r="M3256" s="266"/>
      <c r="N3256" s="266"/>
      <c r="O3256" s="266"/>
      <c r="P3256" s="266"/>
      <c r="Q3256" s="266"/>
      <c r="BR3256" s="266"/>
      <c r="BS3256" s="266"/>
      <c r="BT3256" s="266"/>
      <c r="BU3256" s="266"/>
      <c r="BV3256" s="266"/>
    </row>
    <row r="3257" spans="12:74">
      <c r="L3257" s="266"/>
      <c r="M3257" s="266"/>
      <c r="N3257" s="266"/>
      <c r="O3257" s="266"/>
      <c r="P3257" s="266"/>
      <c r="Q3257" s="266"/>
      <c r="BR3257" s="266"/>
      <c r="BS3257" s="266"/>
      <c r="BT3257" s="266"/>
      <c r="BU3257" s="266"/>
      <c r="BV3257" s="266"/>
    </row>
    <row r="3258" spans="12:74">
      <c r="L3258" s="266"/>
      <c r="M3258" s="266"/>
      <c r="N3258" s="266"/>
      <c r="O3258" s="266"/>
      <c r="P3258" s="266"/>
      <c r="Q3258" s="266"/>
      <c r="BR3258" s="266"/>
      <c r="BS3258" s="266"/>
      <c r="BT3258" s="266"/>
      <c r="BU3258" s="266"/>
      <c r="BV3258" s="266"/>
    </row>
    <row r="3259" spans="12:74">
      <c r="L3259" s="266"/>
      <c r="M3259" s="266"/>
      <c r="N3259" s="266"/>
      <c r="O3259" s="266"/>
      <c r="P3259" s="266"/>
      <c r="Q3259" s="266"/>
      <c r="BR3259" s="266"/>
      <c r="BS3259" s="266"/>
      <c r="BT3259" s="266"/>
      <c r="BU3259" s="266"/>
      <c r="BV3259" s="266"/>
    </row>
    <row r="3260" spans="12:74">
      <c r="L3260" s="266"/>
      <c r="M3260" s="266"/>
      <c r="N3260" s="266"/>
      <c r="O3260" s="266"/>
      <c r="P3260" s="266"/>
      <c r="Q3260" s="266"/>
      <c r="BR3260" s="266"/>
      <c r="BS3260" s="266"/>
      <c r="BT3260" s="266"/>
      <c r="BU3260" s="266"/>
      <c r="BV3260" s="266"/>
    </row>
    <row r="3261" spans="12:74">
      <c r="L3261" s="266"/>
      <c r="M3261" s="266"/>
      <c r="N3261" s="266"/>
      <c r="O3261" s="266"/>
      <c r="P3261" s="266"/>
      <c r="Q3261" s="266"/>
      <c r="BR3261" s="266"/>
      <c r="BS3261" s="266"/>
      <c r="BT3261" s="266"/>
      <c r="BU3261" s="266"/>
      <c r="BV3261" s="266"/>
    </row>
    <row r="3262" spans="12:74">
      <c r="L3262" s="266"/>
      <c r="M3262" s="266"/>
      <c r="N3262" s="266"/>
      <c r="O3262" s="266"/>
      <c r="P3262" s="266"/>
      <c r="Q3262" s="266"/>
      <c r="BR3262" s="266"/>
      <c r="BS3262" s="266"/>
      <c r="BT3262" s="266"/>
      <c r="BU3262" s="266"/>
      <c r="BV3262" s="266"/>
    </row>
    <row r="3263" spans="12:74">
      <c r="L3263" s="266"/>
      <c r="M3263" s="266"/>
      <c r="N3263" s="266"/>
      <c r="O3263" s="266"/>
      <c r="P3263" s="266"/>
      <c r="Q3263" s="266"/>
      <c r="BR3263" s="266"/>
      <c r="BS3263" s="266"/>
      <c r="BT3263" s="266"/>
      <c r="BU3263" s="266"/>
      <c r="BV3263" s="266"/>
    </row>
    <row r="3264" spans="12:74">
      <c r="L3264" s="266"/>
      <c r="M3264" s="266"/>
      <c r="N3264" s="266"/>
      <c r="O3264" s="266"/>
      <c r="P3264" s="266"/>
      <c r="Q3264" s="266"/>
      <c r="BR3264" s="266"/>
      <c r="BS3264" s="266"/>
      <c r="BT3264" s="266"/>
      <c r="BU3264" s="266"/>
      <c r="BV3264" s="266"/>
    </row>
    <row r="3265" spans="12:74">
      <c r="L3265" s="266"/>
      <c r="M3265" s="266"/>
      <c r="N3265" s="266"/>
      <c r="O3265" s="266"/>
      <c r="P3265" s="266"/>
      <c r="Q3265" s="266"/>
      <c r="BR3265" s="266"/>
      <c r="BS3265" s="266"/>
      <c r="BT3265" s="266"/>
      <c r="BU3265" s="266"/>
      <c r="BV3265" s="266"/>
    </row>
    <row r="3266" spans="12:74">
      <c r="L3266" s="266"/>
      <c r="M3266" s="266"/>
      <c r="N3266" s="266"/>
      <c r="O3266" s="266"/>
      <c r="P3266" s="266"/>
      <c r="Q3266" s="266"/>
      <c r="BR3266" s="266"/>
      <c r="BS3266" s="266"/>
      <c r="BT3266" s="266"/>
      <c r="BU3266" s="266"/>
      <c r="BV3266" s="266"/>
    </row>
    <row r="3267" spans="12:74">
      <c r="L3267" s="266"/>
      <c r="M3267" s="266"/>
      <c r="N3267" s="266"/>
      <c r="O3267" s="266"/>
      <c r="P3267" s="266"/>
      <c r="Q3267" s="266"/>
      <c r="BR3267" s="266"/>
      <c r="BS3267" s="266"/>
      <c r="BT3267" s="266"/>
      <c r="BU3267" s="266"/>
      <c r="BV3267" s="266"/>
    </row>
    <row r="3268" spans="12:74">
      <c r="L3268" s="266"/>
      <c r="M3268" s="266"/>
      <c r="N3268" s="266"/>
      <c r="O3268" s="266"/>
      <c r="P3268" s="266"/>
      <c r="Q3268" s="266"/>
      <c r="BR3268" s="266"/>
      <c r="BS3268" s="266"/>
      <c r="BT3268" s="266"/>
      <c r="BU3268" s="266"/>
      <c r="BV3268" s="266"/>
    </row>
    <row r="3269" spans="12:74">
      <c r="L3269" s="266"/>
      <c r="M3269" s="266"/>
      <c r="N3269" s="266"/>
      <c r="O3269" s="266"/>
      <c r="P3269" s="266"/>
      <c r="Q3269" s="266"/>
      <c r="BR3269" s="266"/>
      <c r="BS3269" s="266"/>
      <c r="BT3269" s="266"/>
      <c r="BU3269" s="266"/>
      <c r="BV3269" s="266"/>
    </row>
    <row r="3270" spans="12:74">
      <c r="L3270" s="266"/>
      <c r="M3270" s="266"/>
      <c r="N3270" s="266"/>
      <c r="O3270" s="266"/>
      <c r="P3270" s="266"/>
      <c r="Q3270" s="266"/>
      <c r="BR3270" s="266"/>
      <c r="BS3270" s="266"/>
      <c r="BT3270" s="266"/>
      <c r="BU3270" s="266"/>
      <c r="BV3270" s="266"/>
    </row>
    <row r="3271" spans="12:74">
      <c r="L3271" s="266"/>
      <c r="M3271" s="266"/>
      <c r="N3271" s="266"/>
      <c r="O3271" s="266"/>
      <c r="P3271" s="266"/>
      <c r="Q3271" s="266"/>
      <c r="BR3271" s="266"/>
      <c r="BS3271" s="266"/>
      <c r="BT3271" s="266"/>
      <c r="BU3271" s="266"/>
      <c r="BV3271" s="266"/>
    </row>
    <row r="3272" spans="12:74">
      <c r="L3272" s="266"/>
      <c r="M3272" s="266"/>
      <c r="N3272" s="266"/>
      <c r="O3272" s="266"/>
      <c r="P3272" s="266"/>
      <c r="Q3272" s="266"/>
      <c r="BR3272" s="266"/>
      <c r="BS3272" s="266"/>
      <c r="BT3272" s="266"/>
      <c r="BU3272" s="266"/>
      <c r="BV3272" s="266"/>
    </row>
    <row r="3273" spans="12:74">
      <c r="L3273" s="266"/>
      <c r="M3273" s="266"/>
      <c r="N3273" s="266"/>
      <c r="O3273" s="266"/>
      <c r="P3273" s="266"/>
      <c r="Q3273" s="266"/>
      <c r="BR3273" s="266"/>
      <c r="BS3273" s="266"/>
      <c r="BT3273" s="266"/>
      <c r="BU3273" s="266"/>
      <c r="BV3273" s="266"/>
    </row>
    <row r="3274" spans="12:74">
      <c r="L3274" s="266"/>
      <c r="M3274" s="266"/>
      <c r="N3274" s="266"/>
      <c r="O3274" s="266"/>
      <c r="P3274" s="266"/>
      <c r="Q3274" s="266"/>
      <c r="BR3274" s="266"/>
      <c r="BS3274" s="266"/>
      <c r="BT3274" s="266"/>
      <c r="BU3274" s="266"/>
      <c r="BV3274" s="266"/>
    </row>
    <row r="3275" spans="12:74">
      <c r="L3275" s="266"/>
      <c r="M3275" s="266"/>
      <c r="N3275" s="266"/>
      <c r="O3275" s="266"/>
      <c r="P3275" s="266"/>
      <c r="Q3275" s="266"/>
      <c r="BR3275" s="266"/>
      <c r="BS3275" s="266"/>
      <c r="BT3275" s="266"/>
      <c r="BU3275" s="266"/>
      <c r="BV3275" s="266"/>
    </row>
    <row r="3276" spans="12:74">
      <c r="L3276" s="266"/>
      <c r="M3276" s="266"/>
      <c r="N3276" s="266"/>
      <c r="O3276" s="266"/>
      <c r="P3276" s="266"/>
      <c r="Q3276" s="266"/>
      <c r="BR3276" s="266"/>
      <c r="BS3276" s="266"/>
      <c r="BT3276" s="266"/>
      <c r="BU3276" s="266"/>
      <c r="BV3276" s="266"/>
    </row>
    <row r="3277" spans="12:74">
      <c r="L3277" s="266"/>
      <c r="M3277" s="266"/>
      <c r="N3277" s="266"/>
      <c r="O3277" s="266"/>
      <c r="P3277" s="266"/>
      <c r="Q3277" s="266"/>
      <c r="BR3277" s="266"/>
      <c r="BS3277" s="266"/>
      <c r="BT3277" s="266"/>
      <c r="BU3277" s="266"/>
      <c r="BV3277" s="266"/>
    </row>
    <row r="3278" spans="12:74">
      <c r="L3278" s="266"/>
      <c r="M3278" s="266"/>
      <c r="N3278" s="266"/>
      <c r="O3278" s="266"/>
      <c r="P3278" s="266"/>
      <c r="Q3278" s="266"/>
      <c r="BR3278" s="266"/>
      <c r="BS3278" s="266"/>
      <c r="BT3278" s="266"/>
      <c r="BU3278" s="266"/>
      <c r="BV3278" s="266"/>
    </row>
    <row r="3279" spans="12:74">
      <c r="L3279" s="266"/>
      <c r="M3279" s="266"/>
      <c r="N3279" s="266"/>
      <c r="O3279" s="266"/>
      <c r="P3279" s="266"/>
      <c r="Q3279" s="266"/>
      <c r="BR3279" s="266"/>
      <c r="BS3279" s="266"/>
      <c r="BT3279" s="266"/>
      <c r="BU3279" s="266"/>
      <c r="BV3279" s="266"/>
    </row>
    <row r="3280" spans="12:74">
      <c r="L3280" s="266"/>
      <c r="M3280" s="266"/>
      <c r="N3280" s="266"/>
      <c r="O3280" s="266"/>
      <c r="P3280" s="266"/>
      <c r="Q3280" s="266"/>
      <c r="BR3280" s="266"/>
      <c r="BS3280" s="266"/>
      <c r="BT3280" s="266"/>
      <c r="BU3280" s="266"/>
      <c r="BV3280" s="266"/>
    </row>
    <row r="3281" spans="12:74">
      <c r="L3281" s="266"/>
      <c r="M3281" s="266"/>
      <c r="N3281" s="266"/>
      <c r="O3281" s="266"/>
      <c r="P3281" s="266"/>
      <c r="Q3281" s="266"/>
      <c r="BR3281" s="266"/>
      <c r="BS3281" s="266"/>
      <c r="BT3281" s="266"/>
      <c r="BU3281" s="266"/>
      <c r="BV3281" s="266"/>
    </row>
    <row r="3282" spans="12:74">
      <c r="L3282" s="266"/>
      <c r="M3282" s="266"/>
      <c r="N3282" s="266"/>
      <c r="O3282" s="266"/>
      <c r="P3282" s="266"/>
      <c r="Q3282" s="266"/>
      <c r="BR3282" s="266"/>
      <c r="BS3282" s="266"/>
      <c r="BT3282" s="266"/>
      <c r="BU3282" s="266"/>
      <c r="BV3282" s="266"/>
    </row>
    <row r="3283" spans="12:74">
      <c r="L3283" s="266"/>
      <c r="M3283" s="266"/>
      <c r="N3283" s="266"/>
      <c r="O3283" s="266"/>
      <c r="P3283" s="266"/>
      <c r="Q3283" s="266"/>
      <c r="BR3283" s="266"/>
      <c r="BS3283" s="266"/>
      <c r="BT3283" s="266"/>
      <c r="BU3283" s="266"/>
      <c r="BV3283" s="266"/>
    </row>
    <row r="3284" spans="12:74">
      <c r="L3284" s="266"/>
      <c r="M3284" s="266"/>
      <c r="N3284" s="266"/>
      <c r="O3284" s="266"/>
      <c r="P3284" s="266"/>
      <c r="Q3284" s="266"/>
      <c r="BR3284" s="266"/>
      <c r="BS3284" s="266"/>
      <c r="BT3284" s="266"/>
      <c r="BU3284" s="266"/>
      <c r="BV3284" s="266"/>
    </row>
    <row r="3285" spans="12:74">
      <c r="L3285" s="266"/>
      <c r="M3285" s="266"/>
      <c r="N3285" s="266"/>
      <c r="O3285" s="266"/>
      <c r="P3285" s="266"/>
      <c r="Q3285" s="266"/>
      <c r="BR3285" s="266"/>
      <c r="BS3285" s="266"/>
      <c r="BT3285" s="266"/>
      <c r="BU3285" s="266"/>
      <c r="BV3285" s="266"/>
    </row>
    <row r="3286" spans="12:74">
      <c r="L3286" s="266"/>
      <c r="M3286" s="266"/>
      <c r="N3286" s="266"/>
      <c r="O3286" s="266"/>
      <c r="P3286" s="266"/>
      <c r="Q3286" s="266"/>
      <c r="BR3286" s="266"/>
      <c r="BS3286" s="266"/>
      <c r="BT3286" s="266"/>
      <c r="BU3286" s="266"/>
      <c r="BV3286" s="266"/>
    </row>
    <row r="3287" spans="12:74">
      <c r="L3287" s="266"/>
      <c r="M3287" s="266"/>
      <c r="N3287" s="266"/>
      <c r="O3287" s="266"/>
      <c r="P3287" s="266"/>
      <c r="Q3287" s="266"/>
      <c r="BR3287" s="266"/>
      <c r="BS3287" s="266"/>
      <c r="BT3287" s="266"/>
      <c r="BU3287" s="266"/>
      <c r="BV3287" s="266"/>
    </row>
    <row r="3288" spans="12:74">
      <c r="L3288" s="266"/>
      <c r="M3288" s="266"/>
      <c r="N3288" s="266"/>
      <c r="O3288" s="266"/>
      <c r="P3288" s="266"/>
      <c r="Q3288" s="266"/>
      <c r="BR3288" s="266"/>
      <c r="BS3288" s="266"/>
      <c r="BT3288" s="266"/>
      <c r="BU3288" s="266"/>
      <c r="BV3288" s="266"/>
    </row>
    <row r="3289" spans="12:74">
      <c r="L3289" s="266"/>
      <c r="M3289" s="266"/>
      <c r="N3289" s="266"/>
      <c r="O3289" s="266"/>
      <c r="P3289" s="266"/>
      <c r="Q3289" s="266"/>
      <c r="BR3289" s="266"/>
      <c r="BS3289" s="266"/>
      <c r="BT3289" s="266"/>
      <c r="BU3289" s="266"/>
      <c r="BV3289" s="266"/>
    </row>
    <row r="3290" spans="12:74">
      <c r="L3290" s="266"/>
      <c r="M3290" s="266"/>
      <c r="N3290" s="266"/>
      <c r="O3290" s="266"/>
      <c r="P3290" s="266"/>
      <c r="Q3290" s="266"/>
      <c r="BR3290" s="266"/>
      <c r="BS3290" s="266"/>
      <c r="BT3290" s="266"/>
      <c r="BU3290" s="266"/>
      <c r="BV3290" s="266"/>
    </row>
    <row r="3291" spans="12:74">
      <c r="L3291" s="266"/>
      <c r="M3291" s="266"/>
      <c r="N3291" s="266"/>
      <c r="O3291" s="266"/>
      <c r="P3291" s="266"/>
      <c r="Q3291" s="266"/>
      <c r="BR3291" s="266"/>
      <c r="BS3291" s="266"/>
      <c r="BT3291" s="266"/>
      <c r="BU3291" s="266"/>
      <c r="BV3291" s="266"/>
    </row>
    <row r="3292" spans="12:74">
      <c r="L3292" s="266"/>
      <c r="M3292" s="266"/>
      <c r="N3292" s="266"/>
      <c r="O3292" s="266"/>
      <c r="P3292" s="266"/>
      <c r="Q3292" s="266"/>
      <c r="BR3292" s="266"/>
      <c r="BS3292" s="266"/>
      <c r="BT3292" s="266"/>
      <c r="BU3292" s="266"/>
      <c r="BV3292" s="266"/>
    </row>
    <row r="3293" spans="12:74">
      <c r="L3293" s="266"/>
      <c r="M3293" s="266"/>
      <c r="N3293" s="266"/>
      <c r="O3293" s="266"/>
      <c r="P3293" s="266"/>
      <c r="Q3293" s="266"/>
      <c r="BR3293" s="266"/>
      <c r="BS3293" s="266"/>
      <c r="BT3293" s="266"/>
      <c r="BU3293" s="266"/>
      <c r="BV3293" s="266"/>
    </row>
    <row r="3294" spans="12:74">
      <c r="L3294" s="266"/>
      <c r="M3294" s="266"/>
      <c r="N3294" s="266"/>
      <c r="O3294" s="266"/>
      <c r="P3294" s="266"/>
      <c r="Q3294" s="266"/>
      <c r="BR3294" s="266"/>
      <c r="BS3294" s="266"/>
      <c r="BT3294" s="266"/>
      <c r="BU3294" s="266"/>
      <c r="BV3294" s="266"/>
    </row>
    <row r="3295" spans="12:74">
      <c r="L3295" s="266"/>
      <c r="M3295" s="266"/>
      <c r="N3295" s="266"/>
      <c r="O3295" s="266"/>
      <c r="P3295" s="266"/>
      <c r="Q3295" s="266"/>
      <c r="BR3295" s="266"/>
      <c r="BS3295" s="266"/>
      <c r="BT3295" s="266"/>
      <c r="BU3295" s="266"/>
      <c r="BV3295" s="266"/>
    </row>
    <row r="3296" spans="12:74">
      <c r="L3296" s="266"/>
      <c r="M3296" s="266"/>
      <c r="N3296" s="266"/>
      <c r="O3296" s="266"/>
      <c r="P3296" s="266"/>
      <c r="Q3296" s="266"/>
      <c r="BR3296" s="266"/>
      <c r="BS3296" s="266"/>
      <c r="BT3296" s="266"/>
      <c r="BU3296" s="266"/>
      <c r="BV3296" s="266"/>
    </row>
    <row r="3297" spans="12:74">
      <c r="L3297" s="266"/>
      <c r="M3297" s="266"/>
      <c r="N3297" s="266"/>
      <c r="O3297" s="266"/>
      <c r="P3297" s="266"/>
      <c r="Q3297" s="266"/>
      <c r="BR3297" s="266"/>
      <c r="BS3297" s="266"/>
      <c r="BT3297" s="266"/>
      <c r="BU3297" s="266"/>
      <c r="BV3297" s="266"/>
    </row>
    <row r="3298" spans="12:74">
      <c r="L3298" s="266"/>
      <c r="M3298" s="266"/>
      <c r="N3298" s="266"/>
      <c r="O3298" s="266"/>
      <c r="P3298" s="266"/>
      <c r="Q3298" s="266"/>
      <c r="BR3298" s="266"/>
      <c r="BS3298" s="266"/>
      <c r="BT3298" s="266"/>
      <c r="BU3298" s="266"/>
      <c r="BV3298" s="266"/>
    </row>
    <row r="3299" spans="12:74">
      <c r="L3299" s="266"/>
      <c r="M3299" s="266"/>
      <c r="N3299" s="266"/>
      <c r="O3299" s="266"/>
      <c r="P3299" s="266"/>
      <c r="Q3299" s="266"/>
      <c r="BR3299" s="266"/>
      <c r="BS3299" s="266"/>
      <c r="BT3299" s="266"/>
      <c r="BU3299" s="266"/>
      <c r="BV3299" s="266"/>
    </row>
    <row r="3300" spans="12:74">
      <c r="L3300" s="266"/>
      <c r="M3300" s="266"/>
      <c r="N3300" s="266"/>
      <c r="O3300" s="266"/>
      <c r="P3300" s="266"/>
      <c r="Q3300" s="266"/>
      <c r="BR3300" s="266"/>
      <c r="BS3300" s="266"/>
      <c r="BT3300" s="266"/>
      <c r="BU3300" s="266"/>
      <c r="BV3300" s="266"/>
    </row>
    <row r="3301" spans="12:74">
      <c r="L3301" s="266"/>
      <c r="M3301" s="266"/>
      <c r="N3301" s="266"/>
      <c r="O3301" s="266"/>
      <c r="P3301" s="266"/>
      <c r="Q3301" s="266"/>
      <c r="BR3301" s="266"/>
      <c r="BS3301" s="266"/>
      <c r="BT3301" s="266"/>
      <c r="BU3301" s="266"/>
      <c r="BV3301" s="266"/>
    </row>
    <row r="3302" spans="12:74">
      <c r="L3302" s="266"/>
      <c r="M3302" s="266"/>
      <c r="N3302" s="266"/>
      <c r="O3302" s="266"/>
      <c r="P3302" s="266"/>
      <c r="Q3302" s="266"/>
      <c r="BR3302" s="266"/>
      <c r="BS3302" s="266"/>
      <c r="BT3302" s="266"/>
      <c r="BU3302" s="266"/>
      <c r="BV3302" s="266"/>
    </row>
    <row r="3303" spans="12:74">
      <c r="L3303" s="266"/>
      <c r="M3303" s="266"/>
      <c r="N3303" s="266"/>
      <c r="O3303" s="266"/>
      <c r="P3303" s="266"/>
      <c r="Q3303" s="266"/>
      <c r="BR3303" s="266"/>
      <c r="BS3303" s="266"/>
      <c r="BT3303" s="266"/>
      <c r="BU3303" s="266"/>
      <c r="BV3303" s="266"/>
    </row>
    <row r="3304" spans="12:74">
      <c r="L3304" s="266"/>
      <c r="M3304" s="266"/>
      <c r="N3304" s="266"/>
      <c r="O3304" s="266"/>
      <c r="P3304" s="266"/>
      <c r="Q3304" s="266"/>
      <c r="BR3304" s="266"/>
      <c r="BS3304" s="266"/>
      <c r="BT3304" s="266"/>
      <c r="BU3304" s="266"/>
      <c r="BV3304" s="266"/>
    </row>
    <row r="3305" spans="12:74">
      <c r="L3305" s="266"/>
      <c r="M3305" s="266"/>
      <c r="N3305" s="266"/>
      <c r="O3305" s="266"/>
      <c r="P3305" s="266"/>
      <c r="Q3305" s="266"/>
      <c r="BR3305" s="266"/>
      <c r="BS3305" s="266"/>
      <c r="BT3305" s="266"/>
      <c r="BU3305" s="266"/>
      <c r="BV3305" s="266"/>
    </row>
    <row r="3306" spans="12:74">
      <c r="L3306" s="266"/>
      <c r="M3306" s="266"/>
      <c r="N3306" s="266"/>
      <c r="O3306" s="266"/>
      <c r="P3306" s="266"/>
      <c r="Q3306" s="266"/>
      <c r="BR3306" s="266"/>
      <c r="BS3306" s="266"/>
      <c r="BT3306" s="266"/>
      <c r="BU3306" s="266"/>
      <c r="BV3306" s="266"/>
    </row>
    <row r="3307" spans="12:74">
      <c r="L3307" s="266"/>
      <c r="M3307" s="266"/>
      <c r="N3307" s="266"/>
      <c r="O3307" s="266"/>
      <c r="P3307" s="266"/>
      <c r="Q3307" s="266"/>
      <c r="BR3307" s="266"/>
      <c r="BS3307" s="266"/>
      <c r="BT3307" s="266"/>
      <c r="BU3307" s="266"/>
      <c r="BV3307" s="266"/>
    </row>
    <row r="3308" spans="12:74">
      <c r="L3308" s="266"/>
      <c r="M3308" s="266"/>
      <c r="N3308" s="266"/>
      <c r="O3308" s="266"/>
      <c r="P3308" s="266"/>
      <c r="Q3308" s="266"/>
      <c r="BR3308" s="266"/>
      <c r="BS3308" s="266"/>
      <c r="BT3308" s="266"/>
      <c r="BU3308" s="266"/>
      <c r="BV3308" s="266"/>
    </row>
    <row r="3309" spans="12:74">
      <c r="L3309" s="266"/>
      <c r="M3309" s="266"/>
      <c r="N3309" s="266"/>
      <c r="O3309" s="266"/>
      <c r="P3309" s="266"/>
      <c r="Q3309" s="266"/>
      <c r="BR3309" s="266"/>
      <c r="BS3309" s="266"/>
      <c r="BT3309" s="266"/>
      <c r="BU3309" s="266"/>
      <c r="BV3309" s="266"/>
    </row>
    <row r="3310" spans="12:74">
      <c r="L3310" s="266"/>
      <c r="M3310" s="266"/>
      <c r="N3310" s="266"/>
      <c r="O3310" s="266"/>
      <c r="P3310" s="266"/>
      <c r="Q3310" s="266"/>
      <c r="BR3310" s="266"/>
      <c r="BS3310" s="266"/>
      <c r="BT3310" s="266"/>
      <c r="BU3310" s="266"/>
      <c r="BV3310" s="266"/>
    </row>
    <row r="3311" spans="12:74">
      <c r="L3311" s="266"/>
      <c r="M3311" s="266"/>
      <c r="N3311" s="266"/>
      <c r="O3311" s="266"/>
      <c r="P3311" s="266"/>
      <c r="Q3311" s="266"/>
      <c r="BR3311" s="266"/>
      <c r="BS3311" s="266"/>
      <c r="BT3311" s="266"/>
      <c r="BU3311" s="266"/>
      <c r="BV3311" s="266"/>
    </row>
    <row r="3312" spans="12:74">
      <c r="L3312" s="266"/>
      <c r="M3312" s="266"/>
      <c r="N3312" s="266"/>
      <c r="O3312" s="266"/>
      <c r="P3312" s="266"/>
      <c r="Q3312" s="266"/>
      <c r="BR3312" s="266"/>
      <c r="BS3312" s="266"/>
      <c r="BT3312" s="266"/>
      <c r="BU3312" s="266"/>
      <c r="BV3312" s="266"/>
    </row>
    <row r="3313" spans="12:74">
      <c r="L3313" s="266"/>
      <c r="M3313" s="266"/>
      <c r="N3313" s="266"/>
      <c r="O3313" s="266"/>
      <c r="P3313" s="266"/>
      <c r="Q3313" s="266"/>
      <c r="BR3313" s="266"/>
      <c r="BS3313" s="266"/>
      <c r="BT3313" s="266"/>
      <c r="BU3313" s="266"/>
      <c r="BV3313" s="266"/>
    </row>
    <row r="3314" spans="12:74">
      <c r="L3314" s="266"/>
      <c r="M3314" s="266"/>
      <c r="N3314" s="266"/>
      <c r="O3314" s="266"/>
      <c r="P3314" s="266"/>
      <c r="Q3314" s="266"/>
      <c r="BR3314" s="266"/>
      <c r="BS3314" s="266"/>
      <c r="BT3314" s="266"/>
      <c r="BU3314" s="266"/>
      <c r="BV3314" s="266"/>
    </row>
    <row r="3315" spans="12:74">
      <c r="L3315" s="266"/>
      <c r="M3315" s="266"/>
      <c r="N3315" s="266"/>
      <c r="O3315" s="266"/>
      <c r="P3315" s="266"/>
      <c r="Q3315" s="266"/>
      <c r="BR3315" s="266"/>
      <c r="BS3315" s="266"/>
      <c r="BT3315" s="266"/>
      <c r="BU3315" s="266"/>
      <c r="BV3315" s="266"/>
    </row>
    <row r="3316" spans="12:74">
      <c r="L3316" s="266"/>
      <c r="M3316" s="266"/>
      <c r="N3316" s="266"/>
      <c r="O3316" s="266"/>
      <c r="P3316" s="266"/>
      <c r="Q3316" s="266"/>
      <c r="BR3316" s="266"/>
      <c r="BS3316" s="266"/>
      <c r="BT3316" s="266"/>
      <c r="BU3316" s="266"/>
      <c r="BV3316" s="266"/>
    </row>
    <row r="3317" spans="12:74">
      <c r="L3317" s="266"/>
      <c r="M3317" s="266"/>
      <c r="N3317" s="266"/>
      <c r="O3317" s="266"/>
      <c r="P3317" s="266"/>
      <c r="Q3317" s="266"/>
      <c r="BR3317" s="266"/>
      <c r="BS3317" s="266"/>
      <c r="BT3317" s="266"/>
      <c r="BU3317" s="266"/>
      <c r="BV3317" s="266"/>
    </row>
    <row r="3318" spans="12:74">
      <c r="L3318" s="266"/>
      <c r="M3318" s="266"/>
      <c r="N3318" s="266"/>
      <c r="O3318" s="266"/>
      <c r="P3318" s="266"/>
      <c r="Q3318" s="266"/>
      <c r="BR3318" s="266"/>
      <c r="BS3318" s="266"/>
      <c r="BT3318" s="266"/>
      <c r="BU3318" s="266"/>
      <c r="BV3318" s="266"/>
    </row>
    <row r="3319" spans="12:74">
      <c r="L3319" s="266"/>
      <c r="M3319" s="266"/>
      <c r="N3319" s="266"/>
      <c r="O3319" s="266"/>
      <c r="P3319" s="266"/>
      <c r="Q3319" s="266"/>
      <c r="BR3319" s="266"/>
      <c r="BS3319" s="266"/>
      <c r="BT3319" s="266"/>
      <c r="BU3319" s="266"/>
      <c r="BV3319" s="266"/>
    </row>
    <row r="3320" spans="12:74">
      <c r="L3320" s="266"/>
      <c r="M3320" s="266"/>
      <c r="N3320" s="266"/>
      <c r="O3320" s="266"/>
      <c r="P3320" s="266"/>
      <c r="Q3320" s="266"/>
      <c r="BR3320" s="266"/>
      <c r="BS3320" s="266"/>
      <c r="BT3320" s="266"/>
      <c r="BU3320" s="266"/>
      <c r="BV3320" s="266"/>
    </row>
    <row r="3321" spans="12:74">
      <c r="L3321" s="266"/>
      <c r="M3321" s="266"/>
      <c r="N3321" s="266"/>
      <c r="O3321" s="266"/>
      <c r="P3321" s="266"/>
      <c r="Q3321" s="266"/>
      <c r="BR3321" s="266"/>
      <c r="BS3321" s="266"/>
      <c r="BT3321" s="266"/>
      <c r="BU3321" s="266"/>
      <c r="BV3321" s="266"/>
    </row>
    <row r="3322" spans="12:74">
      <c r="L3322" s="266"/>
      <c r="M3322" s="266"/>
      <c r="N3322" s="266"/>
      <c r="O3322" s="266"/>
      <c r="P3322" s="266"/>
      <c r="Q3322" s="266"/>
      <c r="BR3322" s="266"/>
      <c r="BS3322" s="266"/>
      <c r="BT3322" s="266"/>
      <c r="BU3322" s="266"/>
      <c r="BV3322" s="266"/>
    </row>
    <row r="3323" spans="12:74">
      <c r="L3323" s="266"/>
      <c r="M3323" s="266"/>
      <c r="N3323" s="266"/>
      <c r="O3323" s="266"/>
      <c r="P3323" s="266"/>
      <c r="Q3323" s="266"/>
      <c r="BR3323" s="266"/>
      <c r="BS3323" s="266"/>
      <c r="BT3323" s="266"/>
      <c r="BU3323" s="266"/>
      <c r="BV3323" s="266"/>
    </row>
    <row r="3324" spans="12:74">
      <c r="L3324" s="266"/>
      <c r="M3324" s="266"/>
      <c r="N3324" s="266"/>
      <c r="O3324" s="266"/>
      <c r="P3324" s="266"/>
      <c r="Q3324" s="266"/>
      <c r="BR3324" s="266"/>
      <c r="BS3324" s="266"/>
      <c r="BT3324" s="266"/>
      <c r="BU3324" s="266"/>
      <c r="BV3324" s="266"/>
    </row>
    <row r="3325" spans="12:74">
      <c r="L3325" s="266"/>
      <c r="M3325" s="266"/>
      <c r="N3325" s="266"/>
      <c r="O3325" s="266"/>
      <c r="P3325" s="266"/>
      <c r="Q3325" s="266"/>
      <c r="BR3325" s="266"/>
      <c r="BS3325" s="266"/>
      <c r="BT3325" s="266"/>
      <c r="BU3325" s="266"/>
      <c r="BV3325" s="266"/>
    </row>
    <row r="3326" spans="12:74">
      <c r="L3326" s="266"/>
      <c r="M3326" s="266"/>
      <c r="N3326" s="266"/>
      <c r="O3326" s="266"/>
      <c r="P3326" s="266"/>
      <c r="Q3326" s="266"/>
      <c r="BR3326" s="266"/>
      <c r="BS3326" s="266"/>
      <c r="BT3326" s="266"/>
      <c r="BU3326" s="266"/>
      <c r="BV3326" s="266"/>
    </row>
    <row r="3327" spans="12:74">
      <c r="L3327" s="266"/>
      <c r="M3327" s="266"/>
      <c r="N3327" s="266"/>
      <c r="O3327" s="266"/>
      <c r="P3327" s="266"/>
      <c r="Q3327" s="266"/>
      <c r="BR3327" s="266"/>
      <c r="BS3327" s="266"/>
      <c r="BT3327" s="266"/>
      <c r="BU3327" s="266"/>
      <c r="BV3327" s="266"/>
    </row>
    <row r="3328" spans="12:74">
      <c r="L3328" s="266"/>
      <c r="M3328" s="266"/>
      <c r="N3328" s="266"/>
      <c r="O3328" s="266"/>
      <c r="P3328" s="266"/>
      <c r="Q3328" s="266"/>
      <c r="BR3328" s="266"/>
      <c r="BS3328" s="266"/>
      <c r="BT3328" s="266"/>
      <c r="BU3328" s="266"/>
      <c r="BV3328" s="266"/>
    </row>
    <row r="3329" spans="12:74">
      <c r="L3329" s="266"/>
      <c r="M3329" s="266"/>
      <c r="N3329" s="266"/>
      <c r="O3329" s="266"/>
      <c r="P3329" s="266"/>
      <c r="Q3329" s="266"/>
      <c r="BR3329" s="266"/>
      <c r="BS3329" s="266"/>
      <c r="BT3329" s="266"/>
      <c r="BU3329" s="266"/>
      <c r="BV3329" s="266"/>
    </row>
    <row r="3330" spans="12:74">
      <c r="L3330" s="266"/>
      <c r="M3330" s="266"/>
      <c r="N3330" s="266"/>
      <c r="O3330" s="266"/>
      <c r="P3330" s="266"/>
      <c r="Q3330" s="266"/>
      <c r="BR3330" s="266"/>
      <c r="BS3330" s="266"/>
      <c r="BT3330" s="266"/>
      <c r="BU3330" s="266"/>
      <c r="BV3330" s="266"/>
    </row>
    <row r="3331" spans="12:74">
      <c r="L3331" s="266"/>
      <c r="M3331" s="266"/>
      <c r="N3331" s="266"/>
      <c r="O3331" s="266"/>
      <c r="P3331" s="266"/>
      <c r="Q3331" s="266"/>
      <c r="BR3331" s="266"/>
      <c r="BS3331" s="266"/>
      <c r="BT3331" s="266"/>
      <c r="BU3331" s="266"/>
      <c r="BV3331" s="266"/>
    </row>
    <row r="3332" spans="12:74">
      <c r="L3332" s="266"/>
      <c r="M3332" s="266"/>
      <c r="N3332" s="266"/>
      <c r="O3332" s="266"/>
      <c r="P3332" s="266"/>
      <c r="Q3332" s="266"/>
      <c r="BR3332" s="266"/>
      <c r="BS3332" s="266"/>
      <c r="BT3332" s="266"/>
      <c r="BU3332" s="266"/>
      <c r="BV3332" s="266"/>
    </row>
    <row r="3333" spans="12:74">
      <c r="L3333" s="266"/>
      <c r="M3333" s="266"/>
      <c r="N3333" s="266"/>
      <c r="O3333" s="266"/>
      <c r="P3333" s="266"/>
      <c r="Q3333" s="266"/>
      <c r="BR3333" s="266"/>
      <c r="BS3333" s="266"/>
      <c r="BT3333" s="266"/>
      <c r="BU3333" s="266"/>
      <c r="BV3333" s="266"/>
    </row>
    <row r="3334" spans="12:74">
      <c r="L3334" s="266"/>
      <c r="M3334" s="266"/>
      <c r="N3334" s="266"/>
      <c r="O3334" s="266"/>
      <c r="P3334" s="266"/>
      <c r="Q3334" s="266"/>
      <c r="BR3334" s="266"/>
      <c r="BS3334" s="266"/>
      <c r="BT3334" s="266"/>
      <c r="BU3334" s="266"/>
      <c r="BV3334" s="266"/>
    </row>
    <row r="3335" spans="12:74">
      <c r="L3335" s="266"/>
      <c r="M3335" s="266"/>
      <c r="N3335" s="266"/>
      <c r="O3335" s="266"/>
      <c r="P3335" s="266"/>
      <c r="Q3335" s="266"/>
      <c r="BR3335" s="266"/>
      <c r="BS3335" s="266"/>
      <c r="BT3335" s="266"/>
      <c r="BU3335" s="266"/>
      <c r="BV3335" s="266"/>
    </row>
    <row r="3336" spans="12:74">
      <c r="L3336" s="266"/>
      <c r="M3336" s="266"/>
      <c r="N3336" s="266"/>
      <c r="O3336" s="266"/>
      <c r="P3336" s="266"/>
      <c r="Q3336" s="266"/>
      <c r="BR3336" s="266"/>
      <c r="BS3336" s="266"/>
      <c r="BT3336" s="266"/>
      <c r="BU3336" s="266"/>
      <c r="BV3336" s="266"/>
    </row>
    <row r="3337" spans="12:74">
      <c r="L3337" s="266"/>
      <c r="M3337" s="266"/>
      <c r="N3337" s="266"/>
      <c r="O3337" s="266"/>
      <c r="P3337" s="266"/>
      <c r="Q3337" s="266"/>
      <c r="BR3337" s="266"/>
      <c r="BS3337" s="266"/>
      <c r="BT3337" s="266"/>
      <c r="BU3337" s="266"/>
      <c r="BV3337" s="266"/>
    </row>
    <row r="3338" spans="12:74">
      <c r="L3338" s="266"/>
      <c r="M3338" s="266"/>
      <c r="N3338" s="266"/>
      <c r="O3338" s="266"/>
      <c r="P3338" s="266"/>
      <c r="Q3338" s="266"/>
      <c r="BR3338" s="266"/>
      <c r="BS3338" s="266"/>
      <c r="BT3338" s="266"/>
      <c r="BU3338" s="266"/>
      <c r="BV3338" s="266"/>
    </row>
    <row r="3339" spans="12:74">
      <c r="L3339" s="266"/>
      <c r="M3339" s="266"/>
      <c r="N3339" s="266"/>
      <c r="O3339" s="266"/>
      <c r="P3339" s="266"/>
      <c r="Q3339" s="266"/>
      <c r="BR3339" s="266"/>
      <c r="BS3339" s="266"/>
      <c r="BT3339" s="266"/>
      <c r="BU3339" s="266"/>
      <c r="BV3339" s="266"/>
    </row>
    <row r="3340" spans="12:74">
      <c r="L3340" s="266"/>
      <c r="M3340" s="266"/>
      <c r="N3340" s="266"/>
      <c r="O3340" s="266"/>
      <c r="P3340" s="266"/>
      <c r="Q3340" s="266"/>
      <c r="BR3340" s="266"/>
      <c r="BS3340" s="266"/>
      <c r="BT3340" s="266"/>
      <c r="BU3340" s="266"/>
      <c r="BV3340" s="266"/>
    </row>
    <row r="3341" spans="12:74">
      <c r="L3341" s="266"/>
      <c r="M3341" s="266"/>
      <c r="N3341" s="266"/>
      <c r="O3341" s="266"/>
      <c r="P3341" s="266"/>
      <c r="Q3341" s="266"/>
      <c r="BR3341" s="266"/>
      <c r="BS3341" s="266"/>
      <c r="BT3341" s="266"/>
      <c r="BU3341" s="266"/>
      <c r="BV3341" s="266"/>
    </row>
    <row r="3342" spans="12:74">
      <c r="L3342" s="266"/>
      <c r="M3342" s="266"/>
      <c r="N3342" s="266"/>
      <c r="O3342" s="266"/>
      <c r="P3342" s="266"/>
      <c r="Q3342" s="266"/>
      <c r="BR3342" s="266"/>
      <c r="BS3342" s="266"/>
      <c r="BT3342" s="266"/>
      <c r="BU3342" s="266"/>
      <c r="BV3342" s="266"/>
    </row>
    <row r="3343" spans="12:74">
      <c r="L3343" s="266"/>
      <c r="M3343" s="266"/>
      <c r="N3343" s="266"/>
      <c r="O3343" s="266"/>
      <c r="P3343" s="266"/>
      <c r="Q3343" s="266"/>
      <c r="BR3343" s="266"/>
      <c r="BS3343" s="266"/>
      <c r="BT3343" s="266"/>
      <c r="BU3343" s="266"/>
      <c r="BV3343" s="266"/>
    </row>
    <row r="3344" spans="12:74">
      <c r="L3344" s="266"/>
      <c r="M3344" s="266"/>
      <c r="N3344" s="266"/>
      <c r="O3344" s="266"/>
      <c r="P3344" s="266"/>
      <c r="Q3344" s="266"/>
      <c r="BR3344" s="266"/>
      <c r="BS3344" s="266"/>
      <c r="BT3344" s="266"/>
      <c r="BU3344" s="266"/>
      <c r="BV3344" s="266"/>
    </row>
    <row r="3345" spans="12:74">
      <c r="L3345" s="266"/>
      <c r="M3345" s="266"/>
      <c r="N3345" s="266"/>
      <c r="O3345" s="266"/>
      <c r="P3345" s="266"/>
      <c r="Q3345" s="266"/>
      <c r="BR3345" s="266"/>
      <c r="BS3345" s="266"/>
      <c r="BT3345" s="266"/>
      <c r="BU3345" s="266"/>
      <c r="BV3345" s="266"/>
    </row>
    <row r="3346" spans="12:74">
      <c r="L3346" s="266"/>
      <c r="M3346" s="266"/>
      <c r="N3346" s="266"/>
      <c r="O3346" s="266"/>
      <c r="P3346" s="266"/>
      <c r="Q3346" s="266"/>
      <c r="BR3346" s="266"/>
      <c r="BS3346" s="266"/>
      <c r="BT3346" s="266"/>
      <c r="BU3346" s="266"/>
      <c r="BV3346" s="266"/>
    </row>
    <row r="3347" spans="12:74">
      <c r="L3347" s="266"/>
      <c r="M3347" s="266"/>
      <c r="N3347" s="266"/>
      <c r="O3347" s="266"/>
      <c r="P3347" s="266"/>
      <c r="Q3347" s="266"/>
      <c r="BR3347" s="266"/>
      <c r="BS3347" s="266"/>
      <c r="BT3347" s="266"/>
      <c r="BU3347" s="266"/>
      <c r="BV3347" s="266"/>
    </row>
    <row r="3348" spans="12:74">
      <c r="L3348" s="266"/>
      <c r="M3348" s="266"/>
      <c r="N3348" s="266"/>
      <c r="O3348" s="266"/>
      <c r="P3348" s="266"/>
      <c r="Q3348" s="266"/>
      <c r="BR3348" s="266"/>
      <c r="BS3348" s="266"/>
      <c r="BT3348" s="266"/>
      <c r="BU3348" s="266"/>
      <c r="BV3348" s="266"/>
    </row>
    <row r="3349" spans="12:74">
      <c r="L3349" s="266"/>
      <c r="M3349" s="266"/>
      <c r="N3349" s="266"/>
      <c r="O3349" s="266"/>
      <c r="P3349" s="266"/>
      <c r="Q3349" s="266"/>
      <c r="BR3349" s="266"/>
      <c r="BS3349" s="266"/>
      <c r="BT3349" s="266"/>
      <c r="BU3349" s="266"/>
      <c r="BV3349" s="266"/>
    </row>
    <row r="3350" spans="12:74">
      <c r="L3350" s="266"/>
      <c r="M3350" s="266"/>
      <c r="N3350" s="266"/>
      <c r="O3350" s="266"/>
      <c r="P3350" s="266"/>
      <c r="Q3350" s="266"/>
      <c r="BR3350" s="266"/>
      <c r="BS3350" s="266"/>
      <c r="BT3350" s="266"/>
      <c r="BU3350" s="266"/>
      <c r="BV3350" s="266"/>
    </row>
    <row r="3351" spans="12:74">
      <c r="L3351" s="266"/>
      <c r="M3351" s="266"/>
      <c r="N3351" s="266"/>
      <c r="O3351" s="266"/>
      <c r="P3351" s="266"/>
      <c r="Q3351" s="266"/>
      <c r="BR3351" s="266"/>
      <c r="BS3351" s="266"/>
      <c r="BT3351" s="266"/>
      <c r="BU3351" s="266"/>
      <c r="BV3351" s="266"/>
    </row>
    <row r="3352" spans="12:74">
      <c r="L3352" s="266"/>
      <c r="M3352" s="266"/>
      <c r="N3352" s="266"/>
      <c r="O3352" s="266"/>
      <c r="P3352" s="266"/>
      <c r="Q3352" s="266"/>
      <c r="BR3352" s="266"/>
      <c r="BS3352" s="266"/>
      <c r="BT3352" s="266"/>
      <c r="BU3352" s="266"/>
      <c r="BV3352" s="266"/>
    </row>
    <row r="3353" spans="12:74">
      <c r="L3353" s="266"/>
      <c r="M3353" s="266"/>
      <c r="N3353" s="266"/>
      <c r="O3353" s="266"/>
      <c r="P3353" s="266"/>
      <c r="Q3353" s="266"/>
      <c r="BR3353" s="266"/>
      <c r="BS3353" s="266"/>
      <c r="BT3353" s="266"/>
      <c r="BU3353" s="266"/>
      <c r="BV3353" s="266"/>
    </row>
    <row r="3354" spans="12:74">
      <c r="L3354" s="266"/>
      <c r="M3354" s="266"/>
      <c r="N3354" s="266"/>
      <c r="O3354" s="266"/>
      <c r="P3354" s="266"/>
      <c r="Q3354" s="266"/>
      <c r="BR3354" s="266"/>
      <c r="BS3354" s="266"/>
      <c r="BT3354" s="266"/>
      <c r="BU3354" s="266"/>
      <c r="BV3354" s="266"/>
    </row>
    <row r="3355" spans="12:74">
      <c r="L3355" s="266"/>
      <c r="M3355" s="266"/>
      <c r="N3355" s="266"/>
      <c r="O3355" s="266"/>
      <c r="P3355" s="266"/>
      <c r="Q3355" s="266"/>
      <c r="BR3355" s="266"/>
      <c r="BS3355" s="266"/>
      <c r="BT3355" s="266"/>
      <c r="BU3355" s="266"/>
      <c r="BV3355" s="266"/>
    </row>
    <row r="3356" spans="12:74">
      <c r="L3356" s="266"/>
      <c r="M3356" s="266"/>
      <c r="N3356" s="266"/>
      <c r="O3356" s="266"/>
      <c r="P3356" s="266"/>
      <c r="Q3356" s="266"/>
      <c r="BR3356" s="266"/>
      <c r="BS3356" s="266"/>
      <c r="BT3356" s="266"/>
      <c r="BU3356" s="266"/>
      <c r="BV3356" s="266"/>
    </row>
    <row r="3357" spans="12:74">
      <c r="L3357" s="266"/>
      <c r="M3357" s="266"/>
      <c r="N3357" s="266"/>
      <c r="O3357" s="266"/>
      <c r="P3357" s="266"/>
      <c r="Q3357" s="266"/>
      <c r="BR3357" s="266"/>
      <c r="BS3357" s="266"/>
      <c r="BT3357" s="266"/>
      <c r="BU3357" s="266"/>
      <c r="BV3357" s="266"/>
    </row>
    <row r="3358" spans="12:74">
      <c r="L3358" s="266"/>
      <c r="M3358" s="266"/>
      <c r="N3358" s="266"/>
      <c r="O3358" s="266"/>
      <c r="P3358" s="266"/>
      <c r="Q3358" s="266"/>
      <c r="BR3358" s="266"/>
      <c r="BS3358" s="266"/>
      <c r="BT3358" s="266"/>
      <c r="BU3358" s="266"/>
      <c r="BV3358" s="266"/>
    </row>
    <row r="3359" spans="12:74">
      <c r="L3359" s="266"/>
      <c r="M3359" s="266"/>
      <c r="N3359" s="266"/>
      <c r="O3359" s="266"/>
      <c r="P3359" s="266"/>
      <c r="Q3359" s="266"/>
      <c r="BR3359" s="266"/>
      <c r="BS3359" s="266"/>
      <c r="BT3359" s="266"/>
      <c r="BU3359" s="266"/>
      <c r="BV3359" s="266"/>
    </row>
    <row r="3360" spans="12:74">
      <c r="L3360" s="266"/>
      <c r="M3360" s="266"/>
      <c r="N3360" s="266"/>
      <c r="O3360" s="266"/>
      <c r="P3360" s="266"/>
      <c r="Q3360" s="266"/>
      <c r="BR3360" s="266"/>
      <c r="BS3360" s="266"/>
      <c r="BT3360" s="266"/>
      <c r="BU3360" s="266"/>
      <c r="BV3360" s="266"/>
    </row>
    <row r="3361" spans="12:74">
      <c r="L3361" s="266"/>
      <c r="M3361" s="266"/>
      <c r="N3361" s="266"/>
      <c r="O3361" s="266"/>
      <c r="P3361" s="266"/>
      <c r="Q3361" s="266"/>
      <c r="BR3361" s="266"/>
      <c r="BS3361" s="266"/>
      <c r="BT3361" s="266"/>
      <c r="BU3361" s="266"/>
      <c r="BV3361" s="266"/>
    </row>
    <row r="3362" spans="12:74">
      <c r="L3362" s="266"/>
      <c r="M3362" s="266"/>
      <c r="N3362" s="266"/>
      <c r="O3362" s="266"/>
      <c r="P3362" s="266"/>
      <c r="Q3362" s="266"/>
      <c r="BR3362" s="266"/>
      <c r="BS3362" s="266"/>
      <c r="BT3362" s="266"/>
      <c r="BU3362" s="266"/>
      <c r="BV3362" s="266"/>
    </row>
    <row r="3363" spans="12:74">
      <c r="L3363" s="266"/>
      <c r="M3363" s="266"/>
      <c r="N3363" s="266"/>
      <c r="O3363" s="266"/>
      <c r="P3363" s="266"/>
      <c r="Q3363" s="266"/>
      <c r="BR3363" s="266"/>
      <c r="BS3363" s="266"/>
      <c r="BT3363" s="266"/>
      <c r="BU3363" s="266"/>
      <c r="BV3363" s="266"/>
    </row>
    <row r="3364" spans="12:74">
      <c r="L3364" s="266"/>
      <c r="M3364" s="266"/>
      <c r="N3364" s="266"/>
      <c r="O3364" s="266"/>
      <c r="P3364" s="266"/>
      <c r="Q3364" s="266"/>
      <c r="BR3364" s="266"/>
      <c r="BS3364" s="266"/>
      <c r="BT3364" s="266"/>
      <c r="BU3364" s="266"/>
      <c r="BV3364" s="266"/>
    </row>
    <row r="3365" spans="12:74">
      <c r="L3365" s="266"/>
      <c r="M3365" s="266"/>
      <c r="N3365" s="266"/>
      <c r="O3365" s="266"/>
      <c r="P3365" s="266"/>
      <c r="Q3365" s="266"/>
      <c r="BR3365" s="266"/>
      <c r="BS3365" s="266"/>
      <c r="BT3365" s="266"/>
      <c r="BU3365" s="266"/>
      <c r="BV3365" s="266"/>
    </row>
    <row r="3366" spans="12:74">
      <c r="L3366" s="266"/>
      <c r="M3366" s="266"/>
      <c r="N3366" s="266"/>
      <c r="O3366" s="266"/>
      <c r="P3366" s="266"/>
      <c r="Q3366" s="266"/>
      <c r="BR3366" s="266"/>
      <c r="BS3366" s="266"/>
      <c r="BT3366" s="266"/>
      <c r="BU3366" s="266"/>
      <c r="BV3366" s="266"/>
    </row>
    <row r="3367" spans="12:74">
      <c r="L3367" s="266"/>
      <c r="M3367" s="266"/>
      <c r="N3367" s="266"/>
      <c r="O3367" s="266"/>
      <c r="P3367" s="266"/>
      <c r="Q3367" s="266"/>
      <c r="BR3367" s="266"/>
      <c r="BS3367" s="266"/>
      <c r="BT3367" s="266"/>
      <c r="BU3367" s="266"/>
      <c r="BV3367" s="266"/>
    </row>
    <row r="3368" spans="12:74">
      <c r="L3368" s="266"/>
      <c r="M3368" s="266"/>
      <c r="N3368" s="266"/>
      <c r="O3368" s="266"/>
      <c r="P3368" s="266"/>
      <c r="Q3368" s="266"/>
      <c r="BR3368" s="266"/>
      <c r="BS3368" s="266"/>
      <c r="BT3368" s="266"/>
      <c r="BU3368" s="266"/>
      <c r="BV3368" s="266"/>
    </row>
    <row r="3369" spans="12:74">
      <c r="L3369" s="266"/>
      <c r="M3369" s="266"/>
      <c r="N3369" s="266"/>
      <c r="O3369" s="266"/>
      <c r="P3369" s="266"/>
      <c r="Q3369" s="266"/>
      <c r="BR3369" s="266"/>
      <c r="BS3369" s="266"/>
      <c r="BT3369" s="266"/>
      <c r="BU3369" s="266"/>
      <c r="BV3369" s="266"/>
    </row>
    <row r="3370" spans="12:74">
      <c r="L3370" s="266"/>
      <c r="M3370" s="266"/>
      <c r="N3370" s="266"/>
      <c r="O3370" s="266"/>
      <c r="P3370" s="266"/>
      <c r="Q3370" s="266"/>
      <c r="BR3370" s="266"/>
      <c r="BS3370" s="266"/>
      <c r="BT3370" s="266"/>
      <c r="BU3370" s="266"/>
      <c r="BV3370" s="266"/>
    </row>
    <row r="3371" spans="12:74">
      <c r="L3371" s="266"/>
      <c r="M3371" s="266"/>
      <c r="N3371" s="266"/>
      <c r="O3371" s="266"/>
      <c r="P3371" s="266"/>
      <c r="Q3371" s="266"/>
      <c r="BR3371" s="266"/>
      <c r="BS3371" s="266"/>
      <c r="BT3371" s="266"/>
      <c r="BU3371" s="266"/>
      <c r="BV3371" s="266"/>
    </row>
    <row r="3372" spans="12:74">
      <c r="L3372" s="266"/>
      <c r="M3372" s="266"/>
      <c r="N3372" s="266"/>
      <c r="O3372" s="266"/>
      <c r="P3372" s="266"/>
      <c r="Q3372" s="266"/>
      <c r="BR3372" s="266"/>
      <c r="BS3372" s="266"/>
      <c r="BT3372" s="266"/>
      <c r="BU3372" s="266"/>
      <c r="BV3372" s="266"/>
    </row>
    <row r="3373" spans="12:74">
      <c r="L3373" s="266"/>
      <c r="M3373" s="266"/>
      <c r="N3373" s="266"/>
      <c r="O3373" s="266"/>
      <c r="P3373" s="266"/>
      <c r="Q3373" s="266"/>
      <c r="BR3373" s="266"/>
      <c r="BS3373" s="266"/>
      <c r="BT3373" s="266"/>
      <c r="BU3373" s="266"/>
      <c r="BV3373" s="266"/>
    </row>
    <row r="3374" spans="12:74">
      <c r="L3374" s="266"/>
      <c r="M3374" s="266"/>
      <c r="N3374" s="266"/>
      <c r="O3374" s="266"/>
      <c r="P3374" s="266"/>
      <c r="Q3374" s="266"/>
      <c r="BR3374" s="266"/>
      <c r="BS3374" s="266"/>
      <c r="BT3374" s="266"/>
      <c r="BU3374" s="266"/>
      <c r="BV3374" s="266"/>
    </row>
    <row r="3375" spans="12:74">
      <c r="L3375" s="266"/>
      <c r="M3375" s="266"/>
      <c r="N3375" s="266"/>
      <c r="O3375" s="266"/>
      <c r="P3375" s="266"/>
      <c r="Q3375" s="266"/>
      <c r="BR3375" s="266"/>
      <c r="BS3375" s="266"/>
      <c r="BT3375" s="266"/>
      <c r="BU3375" s="266"/>
      <c r="BV3375" s="266"/>
    </row>
    <row r="3376" spans="12:74">
      <c r="L3376" s="266"/>
      <c r="M3376" s="266"/>
      <c r="N3376" s="266"/>
      <c r="O3376" s="266"/>
      <c r="P3376" s="266"/>
      <c r="Q3376" s="266"/>
      <c r="BR3376" s="266"/>
      <c r="BS3376" s="266"/>
      <c r="BT3376" s="266"/>
      <c r="BU3376" s="266"/>
      <c r="BV3376" s="266"/>
    </row>
    <row r="3377" spans="12:74">
      <c r="L3377" s="266"/>
      <c r="M3377" s="266"/>
      <c r="N3377" s="266"/>
      <c r="O3377" s="266"/>
      <c r="P3377" s="266"/>
      <c r="Q3377" s="266"/>
      <c r="BR3377" s="266"/>
      <c r="BS3377" s="266"/>
      <c r="BT3377" s="266"/>
      <c r="BU3377" s="266"/>
      <c r="BV3377" s="266"/>
    </row>
    <row r="3378" spans="12:74">
      <c r="L3378" s="266"/>
      <c r="M3378" s="266"/>
      <c r="N3378" s="266"/>
      <c r="O3378" s="266"/>
      <c r="P3378" s="266"/>
      <c r="Q3378" s="266"/>
      <c r="BR3378" s="266"/>
      <c r="BS3378" s="266"/>
      <c r="BT3378" s="266"/>
      <c r="BU3378" s="266"/>
      <c r="BV3378" s="266"/>
    </row>
    <row r="3379" spans="12:74">
      <c r="L3379" s="266"/>
      <c r="M3379" s="266"/>
      <c r="N3379" s="266"/>
      <c r="O3379" s="266"/>
      <c r="P3379" s="266"/>
      <c r="Q3379" s="266"/>
      <c r="BR3379" s="266"/>
      <c r="BS3379" s="266"/>
      <c r="BT3379" s="266"/>
      <c r="BU3379" s="266"/>
      <c r="BV3379" s="266"/>
    </row>
    <row r="3380" spans="12:74">
      <c r="L3380" s="266"/>
      <c r="M3380" s="266"/>
      <c r="N3380" s="266"/>
      <c r="O3380" s="266"/>
      <c r="P3380" s="266"/>
      <c r="Q3380" s="266"/>
      <c r="BR3380" s="266"/>
      <c r="BS3380" s="266"/>
      <c r="BT3380" s="266"/>
      <c r="BU3380" s="266"/>
      <c r="BV3380" s="266"/>
    </row>
    <row r="3381" spans="12:74">
      <c r="L3381" s="266"/>
      <c r="M3381" s="266"/>
      <c r="N3381" s="266"/>
      <c r="O3381" s="266"/>
      <c r="P3381" s="266"/>
      <c r="Q3381" s="266"/>
      <c r="BR3381" s="266"/>
      <c r="BS3381" s="266"/>
      <c r="BT3381" s="266"/>
      <c r="BU3381" s="266"/>
      <c r="BV3381" s="266"/>
    </row>
    <row r="3382" spans="12:74">
      <c r="L3382" s="266"/>
      <c r="M3382" s="266"/>
      <c r="N3382" s="266"/>
      <c r="O3382" s="266"/>
      <c r="P3382" s="266"/>
      <c r="Q3382" s="266"/>
      <c r="BR3382" s="266"/>
      <c r="BS3382" s="266"/>
      <c r="BT3382" s="266"/>
      <c r="BU3382" s="266"/>
      <c r="BV3382" s="266"/>
    </row>
    <row r="3383" spans="12:74">
      <c r="L3383" s="266"/>
      <c r="M3383" s="266"/>
      <c r="N3383" s="266"/>
      <c r="O3383" s="266"/>
      <c r="P3383" s="266"/>
      <c r="Q3383" s="266"/>
      <c r="BR3383" s="266"/>
      <c r="BS3383" s="266"/>
      <c r="BT3383" s="266"/>
      <c r="BU3383" s="266"/>
      <c r="BV3383" s="266"/>
    </row>
    <row r="3384" spans="12:74">
      <c r="L3384" s="266"/>
      <c r="M3384" s="266"/>
      <c r="N3384" s="266"/>
      <c r="O3384" s="266"/>
      <c r="P3384" s="266"/>
      <c r="Q3384" s="266"/>
      <c r="BR3384" s="266"/>
      <c r="BS3384" s="266"/>
      <c r="BT3384" s="266"/>
      <c r="BU3384" s="266"/>
      <c r="BV3384" s="266"/>
    </row>
    <row r="3385" spans="12:74">
      <c r="L3385" s="266"/>
      <c r="M3385" s="266"/>
      <c r="N3385" s="266"/>
      <c r="O3385" s="266"/>
      <c r="P3385" s="266"/>
      <c r="Q3385" s="266"/>
      <c r="BR3385" s="266"/>
      <c r="BS3385" s="266"/>
      <c r="BT3385" s="266"/>
      <c r="BU3385" s="266"/>
      <c r="BV3385" s="266"/>
    </row>
    <row r="3386" spans="12:74">
      <c r="L3386" s="266"/>
      <c r="M3386" s="266"/>
      <c r="N3386" s="266"/>
      <c r="O3386" s="266"/>
      <c r="P3386" s="266"/>
      <c r="Q3386" s="266"/>
      <c r="BR3386" s="266"/>
      <c r="BS3386" s="266"/>
      <c r="BT3386" s="266"/>
      <c r="BU3386" s="266"/>
      <c r="BV3386" s="266"/>
    </row>
    <row r="3387" spans="12:74">
      <c r="L3387" s="266"/>
      <c r="M3387" s="266"/>
      <c r="N3387" s="266"/>
      <c r="O3387" s="266"/>
      <c r="P3387" s="266"/>
      <c r="Q3387" s="266"/>
      <c r="BR3387" s="266"/>
      <c r="BS3387" s="266"/>
      <c r="BT3387" s="266"/>
      <c r="BU3387" s="266"/>
      <c r="BV3387" s="266"/>
    </row>
    <row r="3388" spans="12:74">
      <c r="L3388" s="266"/>
      <c r="M3388" s="266"/>
      <c r="N3388" s="266"/>
      <c r="O3388" s="266"/>
      <c r="P3388" s="266"/>
      <c r="Q3388" s="266"/>
      <c r="BR3388" s="266"/>
      <c r="BS3388" s="266"/>
      <c r="BT3388" s="266"/>
      <c r="BU3388" s="266"/>
      <c r="BV3388" s="266"/>
    </row>
    <row r="3389" spans="12:74">
      <c r="L3389" s="266"/>
      <c r="M3389" s="266"/>
      <c r="N3389" s="266"/>
      <c r="O3389" s="266"/>
      <c r="P3389" s="266"/>
      <c r="Q3389" s="266"/>
      <c r="BR3389" s="266"/>
      <c r="BS3389" s="266"/>
      <c r="BT3389" s="266"/>
      <c r="BU3389" s="266"/>
      <c r="BV3389" s="266"/>
    </row>
    <row r="3390" spans="12:74">
      <c r="L3390" s="266"/>
      <c r="M3390" s="266"/>
      <c r="N3390" s="266"/>
      <c r="O3390" s="266"/>
      <c r="P3390" s="266"/>
      <c r="Q3390" s="266"/>
      <c r="BR3390" s="266"/>
      <c r="BS3390" s="266"/>
      <c r="BT3390" s="266"/>
      <c r="BU3390" s="266"/>
      <c r="BV3390" s="266"/>
    </row>
    <row r="3391" spans="12:74">
      <c r="L3391" s="266"/>
      <c r="M3391" s="266"/>
      <c r="N3391" s="266"/>
      <c r="O3391" s="266"/>
      <c r="P3391" s="266"/>
      <c r="Q3391" s="266"/>
      <c r="BR3391" s="266"/>
      <c r="BS3391" s="266"/>
      <c r="BT3391" s="266"/>
      <c r="BU3391" s="266"/>
      <c r="BV3391" s="266"/>
    </row>
    <row r="3392" spans="12:74">
      <c r="L3392" s="266"/>
      <c r="M3392" s="266"/>
      <c r="N3392" s="266"/>
      <c r="O3392" s="266"/>
      <c r="P3392" s="266"/>
      <c r="Q3392" s="266"/>
      <c r="BR3392" s="266"/>
      <c r="BS3392" s="266"/>
      <c r="BT3392" s="266"/>
      <c r="BU3392" s="266"/>
      <c r="BV3392" s="266"/>
    </row>
    <row r="3393" spans="12:74">
      <c r="L3393" s="266"/>
      <c r="M3393" s="266"/>
      <c r="N3393" s="266"/>
      <c r="O3393" s="266"/>
      <c r="P3393" s="266"/>
      <c r="Q3393" s="266"/>
      <c r="BR3393" s="266"/>
      <c r="BS3393" s="266"/>
      <c r="BT3393" s="266"/>
      <c r="BU3393" s="266"/>
      <c r="BV3393" s="266"/>
    </row>
    <row r="3394" spans="12:74">
      <c r="L3394" s="266"/>
      <c r="M3394" s="266"/>
      <c r="N3394" s="266"/>
      <c r="O3394" s="266"/>
      <c r="P3394" s="266"/>
      <c r="Q3394" s="266"/>
      <c r="BR3394" s="266"/>
      <c r="BS3394" s="266"/>
      <c r="BT3394" s="266"/>
      <c r="BU3394" s="266"/>
      <c r="BV3394" s="266"/>
    </row>
    <row r="3395" spans="12:74">
      <c r="L3395" s="266"/>
      <c r="M3395" s="266"/>
      <c r="N3395" s="266"/>
      <c r="O3395" s="266"/>
      <c r="P3395" s="266"/>
      <c r="Q3395" s="266"/>
      <c r="BR3395" s="266"/>
      <c r="BS3395" s="266"/>
      <c r="BT3395" s="266"/>
      <c r="BU3395" s="266"/>
      <c r="BV3395" s="266"/>
    </row>
    <row r="3396" spans="12:74">
      <c r="L3396" s="266"/>
      <c r="M3396" s="266"/>
      <c r="N3396" s="266"/>
      <c r="O3396" s="266"/>
      <c r="P3396" s="266"/>
      <c r="Q3396" s="266"/>
      <c r="BR3396" s="266"/>
      <c r="BS3396" s="266"/>
      <c r="BT3396" s="266"/>
      <c r="BU3396" s="266"/>
      <c r="BV3396" s="266"/>
    </row>
    <row r="3397" spans="12:74">
      <c r="L3397" s="266"/>
      <c r="M3397" s="266"/>
      <c r="N3397" s="266"/>
      <c r="O3397" s="266"/>
      <c r="P3397" s="266"/>
      <c r="Q3397" s="266"/>
      <c r="BR3397" s="266"/>
      <c r="BS3397" s="266"/>
      <c r="BT3397" s="266"/>
      <c r="BU3397" s="266"/>
      <c r="BV3397" s="266"/>
    </row>
    <row r="3398" spans="12:74">
      <c r="L3398" s="266"/>
      <c r="M3398" s="266"/>
      <c r="N3398" s="266"/>
      <c r="O3398" s="266"/>
      <c r="P3398" s="266"/>
      <c r="Q3398" s="266"/>
      <c r="BR3398" s="266"/>
      <c r="BS3398" s="266"/>
      <c r="BT3398" s="266"/>
      <c r="BU3398" s="266"/>
      <c r="BV3398" s="266"/>
    </row>
    <row r="3399" spans="12:74">
      <c r="L3399" s="266"/>
      <c r="M3399" s="266"/>
      <c r="N3399" s="266"/>
      <c r="O3399" s="266"/>
      <c r="P3399" s="266"/>
      <c r="Q3399" s="266"/>
      <c r="BR3399" s="266"/>
      <c r="BS3399" s="266"/>
      <c r="BT3399" s="266"/>
      <c r="BU3399" s="266"/>
      <c r="BV3399" s="266"/>
    </row>
    <row r="3400" spans="12:74">
      <c r="L3400" s="266"/>
      <c r="M3400" s="266"/>
      <c r="N3400" s="266"/>
      <c r="O3400" s="266"/>
      <c r="P3400" s="266"/>
      <c r="Q3400" s="266"/>
      <c r="BR3400" s="266"/>
      <c r="BS3400" s="266"/>
      <c r="BT3400" s="266"/>
      <c r="BU3400" s="266"/>
      <c r="BV3400" s="266"/>
    </row>
    <row r="3401" spans="12:74">
      <c r="L3401" s="266"/>
      <c r="M3401" s="266"/>
      <c r="N3401" s="266"/>
      <c r="O3401" s="266"/>
      <c r="P3401" s="266"/>
      <c r="Q3401" s="266"/>
      <c r="BR3401" s="266"/>
      <c r="BS3401" s="266"/>
      <c r="BT3401" s="266"/>
      <c r="BU3401" s="266"/>
      <c r="BV3401" s="266"/>
    </row>
    <row r="3402" spans="12:74">
      <c r="L3402" s="266"/>
      <c r="M3402" s="266"/>
      <c r="N3402" s="266"/>
      <c r="O3402" s="266"/>
      <c r="P3402" s="266"/>
      <c r="Q3402" s="266"/>
      <c r="BR3402" s="266"/>
      <c r="BS3402" s="266"/>
      <c r="BT3402" s="266"/>
      <c r="BU3402" s="266"/>
      <c r="BV3402" s="266"/>
    </row>
    <row r="3403" spans="12:74">
      <c r="L3403" s="266"/>
      <c r="M3403" s="266"/>
      <c r="N3403" s="266"/>
      <c r="O3403" s="266"/>
      <c r="P3403" s="266"/>
      <c r="Q3403" s="266"/>
      <c r="BR3403" s="266"/>
      <c r="BS3403" s="266"/>
      <c r="BT3403" s="266"/>
      <c r="BU3403" s="266"/>
      <c r="BV3403" s="266"/>
    </row>
    <row r="3404" spans="12:74">
      <c r="L3404" s="266"/>
      <c r="M3404" s="266"/>
      <c r="N3404" s="266"/>
      <c r="O3404" s="266"/>
      <c r="P3404" s="266"/>
      <c r="Q3404" s="266"/>
      <c r="BR3404" s="266"/>
      <c r="BS3404" s="266"/>
      <c r="BT3404" s="266"/>
      <c r="BU3404" s="266"/>
      <c r="BV3404" s="266"/>
    </row>
    <row r="3405" spans="12:74">
      <c r="L3405" s="266"/>
      <c r="M3405" s="266"/>
      <c r="N3405" s="266"/>
      <c r="O3405" s="266"/>
      <c r="P3405" s="266"/>
      <c r="Q3405" s="266"/>
      <c r="BR3405" s="266"/>
      <c r="BS3405" s="266"/>
      <c r="BT3405" s="266"/>
      <c r="BU3405" s="266"/>
      <c r="BV3405" s="266"/>
    </row>
    <row r="3406" spans="12:74">
      <c r="L3406" s="266"/>
      <c r="M3406" s="266"/>
      <c r="N3406" s="266"/>
      <c r="O3406" s="266"/>
      <c r="P3406" s="266"/>
      <c r="Q3406" s="266"/>
      <c r="BR3406" s="266"/>
      <c r="BS3406" s="266"/>
      <c r="BT3406" s="266"/>
      <c r="BU3406" s="266"/>
      <c r="BV3406" s="266"/>
    </row>
    <row r="3407" spans="12:74">
      <c r="L3407" s="266"/>
      <c r="M3407" s="266"/>
      <c r="N3407" s="266"/>
      <c r="O3407" s="266"/>
      <c r="P3407" s="266"/>
      <c r="Q3407" s="266"/>
      <c r="BR3407" s="266"/>
      <c r="BS3407" s="266"/>
      <c r="BT3407" s="266"/>
      <c r="BU3407" s="266"/>
      <c r="BV3407" s="266"/>
    </row>
    <row r="3408" spans="12:74">
      <c r="L3408" s="266"/>
      <c r="M3408" s="266"/>
      <c r="N3408" s="266"/>
      <c r="O3408" s="266"/>
      <c r="P3408" s="266"/>
      <c r="Q3408" s="266"/>
      <c r="BR3408" s="266"/>
      <c r="BS3408" s="266"/>
      <c r="BT3408" s="266"/>
      <c r="BU3408" s="266"/>
      <c r="BV3408" s="266"/>
    </row>
    <row r="3409" spans="12:74">
      <c r="L3409" s="266"/>
      <c r="M3409" s="266"/>
      <c r="N3409" s="266"/>
      <c r="O3409" s="266"/>
      <c r="P3409" s="266"/>
      <c r="Q3409" s="266"/>
      <c r="BR3409" s="266"/>
      <c r="BS3409" s="266"/>
      <c r="BT3409" s="266"/>
      <c r="BU3409" s="266"/>
      <c r="BV3409" s="266"/>
    </row>
    <row r="3410" spans="12:74">
      <c r="L3410" s="266"/>
      <c r="M3410" s="266"/>
      <c r="N3410" s="266"/>
      <c r="O3410" s="266"/>
      <c r="P3410" s="266"/>
      <c r="Q3410" s="266"/>
      <c r="BR3410" s="266"/>
      <c r="BS3410" s="266"/>
      <c r="BT3410" s="266"/>
      <c r="BU3410" s="266"/>
      <c r="BV3410" s="266"/>
    </row>
    <row r="3411" spans="12:74">
      <c r="L3411" s="266"/>
      <c r="M3411" s="266"/>
      <c r="N3411" s="266"/>
      <c r="O3411" s="266"/>
      <c r="P3411" s="266"/>
      <c r="Q3411" s="266"/>
      <c r="BR3411" s="266"/>
      <c r="BS3411" s="266"/>
      <c r="BT3411" s="266"/>
      <c r="BU3411" s="266"/>
      <c r="BV3411" s="266"/>
    </row>
    <row r="3412" spans="12:74">
      <c r="L3412" s="266"/>
      <c r="M3412" s="266"/>
      <c r="N3412" s="266"/>
      <c r="O3412" s="266"/>
      <c r="P3412" s="266"/>
      <c r="Q3412" s="266"/>
      <c r="BR3412" s="266"/>
      <c r="BS3412" s="266"/>
      <c r="BT3412" s="266"/>
      <c r="BU3412" s="266"/>
      <c r="BV3412" s="266"/>
    </row>
    <row r="3413" spans="12:74">
      <c r="L3413" s="266"/>
      <c r="M3413" s="266"/>
      <c r="N3413" s="266"/>
      <c r="O3413" s="266"/>
      <c r="P3413" s="266"/>
      <c r="Q3413" s="266"/>
      <c r="BR3413" s="266"/>
      <c r="BS3413" s="266"/>
      <c r="BT3413" s="266"/>
      <c r="BU3413" s="266"/>
      <c r="BV3413" s="266"/>
    </row>
    <row r="3414" spans="12:74">
      <c r="L3414" s="266"/>
      <c r="M3414" s="266"/>
      <c r="N3414" s="266"/>
      <c r="O3414" s="266"/>
      <c r="P3414" s="266"/>
      <c r="Q3414" s="266"/>
      <c r="BR3414" s="266"/>
      <c r="BS3414" s="266"/>
      <c r="BT3414" s="266"/>
      <c r="BU3414" s="266"/>
      <c r="BV3414" s="266"/>
    </row>
    <row r="3415" spans="12:74">
      <c r="L3415" s="266"/>
      <c r="M3415" s="266"/>
      <c r="N3415" s="266"/>
      <c r="O3415" s="266"/>
      <c r="P3415" s="266"/>
      <c r="Q3415" s="266"/>
      <c r="BR3415" s="266"/>
      <c r="BS3415" s="266"/>
      <c r="BT3415" s="266"/>
      <c r="BU3415" s="266"/>
      <c r="BV3415" s="266"/>
    </row>
    <row r="3416" spans="12:74">
      <c r="L3416" s="266"/>
      <c r="M3416" s="266"/>
      <c r="N3416" s="266"/>
      <c r="O3416" s="266"/>
      <c r="P3416" s="266"/>
      <c r="Q3416" s="266"/>
      <c r="BR3416" s="266"/>
      <c r="BS3416" s="266"/>
      <c r="BT3416" s="266"/>
      <c r="BU3416" s="266"/>
      <c r="BV3416" s="266"/>
    </row>
    <row r="3417" spans="12:74">
      <c r="L3417" s="266"/>
      <c r="M3417" s="266"/>
      <c r="N3417" s="266"/>
      <c r="O3417" s="266"/>
      <c r="P3417" s="266"/>
      <c r="Q3417" s="266"/>
      <c r="BR3417" s="266"/>
      <c r="BS3417" s="266"/>
      <c r="BT3417" s="266"/>
      <c r="BU3417" s="266"/>
      <c r="BV3417" s="266"/>
    </row>
    <row r="3418" spans="12:74">
      <c r="L3418" s="266"/>
      <c r="M3418" s="266"/>
      <c r="N3418" s="266"/>
      <c r="O3418" s="266"/>
      <c r="P3418" s="266"/>
      <c r="Q3418" s="266"/>
      <c r="BR3418" s="266"/>
      <c r="BS3418" s="266"/>
      <c r="BT3418" s="266"/>
      <c r="BU3418" s="266"/>
      <c r="BV3418" s="266"/>
    </row>
    <row r="3419" spans="12:74">
      <c r="L3419" s="266"/>
      <c r="M3419" s="266"/>
      <c r="N3419" s="266"/>
      <c r="O3419" s="266"/>
      <c r="P3419" s="266"/>
      <c r="Q3419" s="266"/>
      <c r="BR3419" s="266"/>
      <c r="BS3419" s="266"/>
      <c r="BT3419" s="266"/>
      <c r="BU3419" s="266"/>
      <c r="BV3419" s="266"/>
    </row>
    <row r="3420" spans="12:74">
      <c r="L3420" s="266"/>
      <c r="M3420" s="266"/>
      <c r="N3420" s="266"/>
      <c r="O3420" s="266"/>
      <c r="P3420" s="266"/>
      <c r="Q3420" s="266"/>
      <c r="BR3420" s="266"/>
      <c r="BS3420" s="266"/>
      <c r="BT3420" s="266"/>
      <c r="BU3420" s="266"/>
      <c r="BV3420" s="266"/>
    </row>
    <row r="3421" spans="12:74">
      <c r="L3421" s="266"/>
      <c r="M3421" s="266"/>
      <c r="N3421" s="266"/>
      <c r="O3421" s="266"/>
      <c r="P3421" s="266"/>
      <c r="Q3421" s="266"/>
      <c r="BR3421" s="266"/>
      <c r="BS3421" s="266"/>
      <c r="BT3421" s="266"/>
      <c r="BU3421" s="266"/>
      <c r="BV3421" s="266"/>
    </row>
    <row r="3422" spans="12:74">
      <c r="L3422" s="266"/>
      <c r="M3422" s="266"/>
      <c r="N3422" s="266"/>
      <c r="O3422" s="266"/>
      <c r="P3422" s="266"/>
      <c r="Q3422" s="266"/>
      <c r="BR3422" s="266"/>
      <c r="BS3422" s="266"/>
      <c r="BT3422" s="266"/>
      <c r="BU3422" s="266"/>
      <c r="BV3422" s="266"/>
    </row>
    <row r="3423" spans="12:74">
      <c r="L3423" s="266"/>
      <c r="M3423" s="266"/>
      <c r="N3423" s="266"/>
      <c r="O3423" s="266"/>
      <c r="P3423" s="266"/>
      <c r="Q3423" s="266"/>
      <c r="BR3423" s="266"/>
      <c r="BS3423" s="266"/>
      <c r="BT3423" s="266"/>
      <c r="BU3423" s="266"/>
      <c r="BV3423" s="266"/>
    </row>
    <row r="3424" spans="12:74">
      <c r="L3424" s="266"/>
      <c r="M3424" s="266"/>
      <c r="N3424" s="266"/>
      <c r="O3424" s="266"/>
      <c r="P3424" s="266"/>
      <c r="Q3424" s="266"/>
      <c r="BR3424" s="266"/>
      <c r="BS3424" s="266"/>
      <c r="BT3424" s="266"/>
      <c r="BU3424" s="266"/>
      <c r="BV3424" s="266"/>
    </row>
    <row r="3425" spans="12:74">
      <c r="L3425" s="266"/>
      <c r="M3425" s="266"/>
      <c r="N3425" s="266"/>
      <c r="O3425" s="266"/>
      <c r="P3425" s="266"/>
      <c r="Q3425" s="266"/>
      <c r="BR3425" s="266"/>
      <c r="BS3425" s="266"/>
      <c r="BT3425" s="266"/>
      <c r="BU3425" s="266"/>
      <c r="BV3425" s="266"/>
    </row>
    <row r="3426" spans="12:74">
      <c r="L3426" s="266"/>
      <c r="M3426" s="266"/>
      <c r="N3426" s="266"/>
      <c r="O3426" s="266"/>
      <c r="P3426" s="266"/>
      <c r="Q3426" s="266"/>
      <c r="BR3426" s="266"/>
      <c r="BS3426" s="266"/>
      <c r="BT3426" s="266"/>
      <c r="BU3426" s="266"/>
      <c r="BV3426" s="266"/>
    </row>
    <row r="3427" spans="12:74">
      <c r="L3427" s="266"/>
      <c r="M3427" s="266"/>
      <c r="N3427" s="266"/>
      <c r="O3427" s="266"/>
      <c r="P3427" s="266"/>
      <c r="Q3427" s="266"/>
      <c r="BR3427" s="266"/>
      <c r="BS3427" s="266"/>
      <c r="BT3427" s="266"/>
      <c r="BU3427" s="266"/>
      <c r="BV3427" s="266"/>
    </row>
    <row r="3428" spans="12:74">
      <c r="L3428" s="266"/>
      <c r="M3428" s="266"/>
      <c r="N3428" s="266"/>
      <c r="O3428" s="266"/>
      <c r="P3428" s="266"/>
      <c r="Q3428" s="266"/>
      <c r="BR3428" s="266"/>
      <c r="BS3428" s="266"/>
      <c r="BT3428" s="266"/>
      <c r="BU3428" s="266"/>
      <c r="BV3428" s="266"/>
    </row>
    <row r="3429" spans="12:74">
      <c r="L3429" s="266"/>
      <c r="M3429" s="266"/>
      <c r="N3429" s="266"/>
      <c r="O3429" s="266"/>
      <c r="P3429" s="266"/>
      <c r="Q3429" s="266"/>
      <c r="BR3429" s="266"/>
      <c r="BS3429" s="266"/>
      <c r="BT3429" s="266"/>
      <c r="BU3429" s="266"/>
      <c r="BV3429" s="266"/>
    </row>
    <row r="3430" spans="12:74">
      <c r="L3430" s="266"/>
      <c r="M3430" s="266"/>
      <c r="N3430" s="266"/>
      <c r="O3430" s="266"/>
      <c r="P3430" s="266"/>
      <c r="Q3430" s="266"/>
      <c r="BR3430" s="266"/>
      <c r="BS3430" s="266"/>
      <c r="BT3430" s="266"/>
      <c r="BU3430" s="266"/>
      <c r="BV3430" s="266"/>
    </row>
    <row r="3431" spans="12:74">
      <c r="L3431" s="266"/>
      <c r="M3431" s="266"/>
      <c r="N3431" s="266"/>
      <c r="O3431" s="266"/>
      <c r="P3431" s="266"/>
      <c r="Q3431" s="266"/>
      <c r="BR3431" s="266"/>
      <c r="BS3431" s="266"/>
      <c r="BT3431" s="266"/>
      <c r="BU3431" s="266"/>
      <c r="BV3431" s="266"/>
    </row>
    <row r="3432" spans="12:74">
      <c r="L3432" s="266"/>
      <c r="M3432" s="266"/>
      <c r="N3432" s="266"/>
      <c r="O3432" s="266"/>
      <c r="P3432" s="266"/>
      <c r="Q3432" s="266"/>
      <c r="BR3432" s="266"/>
      <c r="BS3432" s="266"/>
      <c r="BT3432" s="266"/>
      <c r="BU3432" s="266"/>
      <c r="BV3432" s="266"/>
    </row>
    <row r="3433" spans="12:74">
      <c r="L3433" s="266"/>
      <c r="M3433" s="266"/>
      <c r="N3433" s="266"/>
      <c r="O3433" s="266"/>
      <c r="P3433" s="266"/>
      <c r="Q3433" s="266"/>
      <c r="BR3433" s="266"/>
      <c r="BS3433" s="266"/>
      <c r="BT3433" s="266"/>
      <c r="BU3433" s="266"/>
      <c r="BV3433" s="266"/>
    </row>
    <row r="3434" spans="12:74">
      <c r="L3434" s="266"/>
      <c r="M3434" s="266"/>
      <c r="N3434" s="266"/>
      <c r="O3434" s="266"/>
      <c r="P3434" s="266"/>
      <c r="Q3434" s="266"/>
      <c r="BR3434" s="266"/>
      <c r="BS3434" s="266"/>
      <c r="BT3434" s="266"/>
      <c r="BU3434" s="266"/>
      <c r="BV3434" s="266"/>
    </row>
    <row r="3435" spans="12:74">
      <c r="L3435" s="266"/>
      <c r="M3435" s="266"/>
      <c r="N3435" s="266"/>
      <c r="O3435" s="266"/>
      <c r="P3435" s="266"/>
      <c r="Q3435" s="266"/>
      <c r="BR3435" s="266"/>
      <c r="BS3435" s="266"/>
      <c r="BT3435" s="266"/>
      <c r="BU3435" s="266"/>
      <c r="BV3435" s="266"/>
    </row>
    <row r="3436" spans="12:74">
      <c r="L3436" s="266"/>
      <c r="M3436" s="266"/>
      <c r="N3436" s="266"/>
      <c r="O3436" s="266"/>
      <c r="P3436" s="266"/>
      <c r="Q3436" s="266"/>
      <c r="BR3436" s="266"/>
      <c r="BS3436" s="266"/>
      <c r="BT3436" s="266"/>
      <c r="BU3436" s="266"/>
      <c r="BV3436" s="266"/>
    </row>
    <row r="3437" spans="12:74">
      <c r="L3437" s="266"/>
      <c r="M3437" s="266"/>
      <c r="N3437" s="266"/>
      <c r="O3437" s="266"/>
      <c r="P3437" s="266"/>
      <c r="Q3437" s="266"/>
      <c r="BR3437" s="266"/>
      <c r="BS3437" s="266"/>
      <c r="BT3437" s="266"/>
      <c r="BU3437" s="266"/>
      <c r="BV3437" s="266"/>
    </row>
    <row r="3438" spans="12:74">
      <c r="L3438" s="266"/>
      <c r="M3438" s="266"/>
      <c r="N3438" s="266"/>
      <c r="O3438" s="266"/>
      <c r="P3438" s="266"/>
      <c r="Q3438" s="266"/>
      <c r="BR3438" s="266"/>
      <c r="BS3438" s="266"/>
      <c r="BT3438" s="266"/>
      <c r="BU3438" s="266"/>
      <c r="BV3438" s="266"/>
    </row>
    <row r="3439" spans="12:74">
      <c r="L3439" s="266"/>
      <c r="M3439" s="266"/>
      <c r="N3439" s="266"/>
      <c r="O3439" s="266"/>
      <c r="P3439" s="266"/>
      <c r="Q3439" s="266"/>
      <c r="BR3439" s="266"/>
      <c r="BS3439" s="266"/>
      <c r="BT3439" s="266"/>
      <c r="BU3439" s="266"/>
      <c r="BV3439" s="266"/>
    </row>
    <row r="3440" spans="12:74">
      <c r="L3440" s="266"/>
      <c r="M3440" s="266"/>
      <c r="N3440" s="266"/>
      <c r="O3440" s="266"/>
      <c r="P3440" s="266"/>
      <c r="Q3440" s="266"/>
      <c r="BR3440" s="266"/>
      <c r="BS3440" s="266"/>
      <c r="BT3440" s="266"/>
      <c r="BU3440" s="266"/>
      <c r="BV3440" s="266"/>
    </row>
    <row r="3441" spans="12:74">
      <c r="L3441" s="266"/>
      <c r="M3441" s="266"/>
      <c r="N3441" s="266"/>
      <c r="O3441" s="266"/>
      <c r="P3441" s="266"/>
      <c r="Q3441" s="266"/>
      <c r="BR3441" s="266"/>
      <c r="BS3441" s="266"/>
      <c r="BT3441" s="266"/>
      <c r="BU3441" s="266"/>
      <c r="BV3441" s="266"/>
    </row>
    <row r="3442" spans="12:74">
      <c r="L3442" s="266"/>
      <c r="M3442" s="266"/>
      <c r="N3442" s="266"/>
      <c r="O3442" s="266"/>
      <c r="P3442" s="266"/>
      <c r="Q3442" s="266"/>
      <c r="BR3442" s="266"/>
      <c r="BS3442" s="266"/>
      <c r="BT3442" s="266"/>
      <c r="BU3442" s="266"/>
      <c r="BV3442" s="266"/>
    </row>
    <row r="3443" spans="12:74">
      <c r="L3443" s="266"/>
      <c r="M3443" s="266"/>
      <c r="N3443" s="266"/>
      <c r="O3443" s="266"/>
      <c r="P3443" s="266"/>
      <c r="Q3443" s="266"/>
      <c r="BR3443" s="266"/>
      <c r="BS3443" s="266"/>
      <c r="BT3443" s="266"/>
      <c r="BU3443" s="266"/>
      <c r="BV3443" s="266"/>
    </row>
    <row r="3444" spans="12:74">
      <c r="L3444" s="266"/>
      <c r="M3444" s="266"/>
      <c r="N3444" s="266"/>
      <c r="O3444" s="266"/>
      <c r="P3444" s="266"/>
      <c r="Q3444" s="266"/>
      <c r="BR3444" s="266"/>
      <c r="BS3444" s="266"/>
      <c r="BT3444" s="266"/>
      <c r="BU3444" s="266"/>
      <c r="BV3444" s="266"/>
    </row>
    <row r="3445" spans="12:74">
      <c r="L3445" s="266"/>
      <c r="M3445" s="266"/>
      <c r="N3445" s="266"/>
      <c r="O3445" s="266"/>
      <c r="P3445" s="266"/>
      <c r="Q3445" s="266"/>
      <c r="BR3445" s="266"/>
      <c r="BS3445" s="266"/>
      <c r="BT3445" s="266"/>
      <c r="BU3445" s="266"/>
      <c r="BV3445" s="266"/>
    </row>
    <row r="3446" spans="12:74">
      <c r="L3446" s="266"/>
      <c r="M3446" s="266"/>
      <c r="N3446" s="266"/>
      <c r="O3446" s="266"/>
      <c r="P3446" s="266"/>
      <c r="Q3446" s="266"/>
      <c r="BR3446" s="266"/>
      <c r="BS3446" s="266"/>
      <c r="BT3446" s="266"/>
      <c r="BU3446" s="266"/>
      <c r="BV3446" s="266"/>
    </row>
    <row r="3447" spans="12:74">
      <c r="L3447" s="266"/>
      <c r="M3447" s="266"/>
      <c r="N3447" s="266"/>
      <c r="O3447" s="266"/>
      <c r="P3447" s="266"/>
      <c r="Q3447" s="266"/>
      <c r="BR3447" s="266"/>
      <c r="BS3447" s="266"/>
      <c r="BT3447" s="266"/>
      <c r="BU3447" s="266"/>
      <c r="BV3447" s="266"/>
    </row>
    <row r="3448" spans="12:74">
      <c r="L3448" s="266"/>
      <c r="M3448" s="266"/>
      <c r="N3448" s="266"/>
      <c r="O3448" s="266"/>
      <c r="P3448" s="266"/>
      <c r="Q3448" s="266"/>
      <c r="BR3448" s="266"/>
      <c r="BS3448" s="266"/>
      <c r="BT3448" s="266"/>
      <c r="BU3448" s="266"/>
      <c r="BV3448" s="266"/>
    </row>
    <row r="3449" spans="12:74">
      <c r="L3449" s="266"/>
      <c r="M3449" s="266"/>
      <c r="N3449" s="266"/>
      <c r="O3449" s="266"/>
      <c r="P3449" s="266"/>
      <c r="Q3449" s="266"/>
      <c r="BR3449" s="266"/>
      <c r="BS3449" s="266"/>
      <c r="BT3449" s="266"/>
      <c r="BU3449" s="266"/>
      <c r="BV3449" s="266"/>
    </row>
    <row r="3450" spans="12:74">
      <c r="L3450" s="266"/>
      <c r="M3450" s="266"/>
      <c r="N3450" s="266"/>
      <c r="O3450" s="266"/>
      <c r="P3450" s="266"/>
      <c r="Q3450" s="266"/>
      <c r="BR3450" s="266"/>
      <c r="BS3450" s="266"/>
      <c r="BT3450" s="266"/>
      <c r="BU3450" s="266"/>
      <c r="BV3450" s="266"/>
    </row>
    <row r="3451" spans="12:74">
      <c r="L3451" s="266"/>
      <c r="M3451" s="266"/>
      <c r="N3451" s="266"/>
      <c r="O3451" s="266"/>
      <c r="P3451" s="266"/>
      <c r="Q3451" s="266"/>
      <c r="BR3451" s="266"/>
      <c r="BS3451" s="266"/>
      <c r="BT3451" s="266"/>
      <c r="BU3451" s="266"/>
      <c r="BV3451" s="266"/>
    </row>
    <row r="3452" spans="12:74">
      <c r="L3452" s="266"/>
      <c r="M3452" s="266"/>
      <c r="N3452" s="266"/>
      <c r="O3452" s="266"/>
      <c r="P3452" s="266"/>
      <c r="Q3452" s="266"/>
      <c r="BR3452" s="266"/>
      <c r="BS3452" s="266"/>
      <c r="BT3452" s="266"/>
      <c r="BU3452" s="266"/>
      <c r="BV3452" s="266"/>
    </row>
    <row r="3453" spans="12:74">
      <c r="L3453" s="266"/>
      <c r="M3453" s="266"/>
      <c r="N3453" s="266"/>
      <c r="O3453" s="266"/>
      <c r="P3453" s="266"/>
      <c r="Q3453" s="266"/>
      <c r="BR3453" s="266"/>
      <c r="BS3453" s="266"/>
      <c r="BT3453" s="266"/>
      <c r="BU3453" s="266"/>
      <c r="BV3453" s="266"/>
    </row>
    <row r="3454" spans="12:74">
      <c r="L3454" s="266"/>
      <c r="M3454" s="266"/>
      <c r="N3454" s="266"/>
      <c r="O3454" s="266"/>
      <c r="P3454" s="266"/>
      <c r="Q3454" s="266"/>
      <c r="BR3454" s="266"/>
      <c r="BS3454" s="266"/>
      <c r="BT3454" s="266"/>
      <c r="BU3454" s="266"/>
      <c r="BV3454" s="266"/>
    </row>
    <row r="3455" spans="12:74">
      <c r="L3455" s="266"/>
      <c r="M3455" s="266"/>
      <c r="N3455" s="266"/>
      <c r="O3455" s="266"/>
      <c r="P3455" s="266"/>
      <c r="Q3455" s="266"/>
      <c r="BR3455" s="266"/>
      <c r="BS3455" s="266"/>
      <c r="BT3455" s="266"/>
      <c r="BU3455" s="266"/>
      <c r="BV3455" s="266"/>
    </row>
    <row r="3456" spans="12:74">
      <c r="L3456" s="266"/>
      <c r="M3456" s="266"/>
      <c r="N3456" s="266"/>
      <c r="O3456" s="266"/>
      <c r="P3456" s="266"/>
      <c r="Q3456" s="266"/>
      <c r="BR3456" s="266"/>
      <c r="BS3456" s="266"/>
      <c r="BT3456" s="266"/>
      <c r="BU3456" s="266"/>
      <c r="BV3456" s="266"/>
    </row>
    <row r="3457" spans="12:74">
      <c r="L3457" s="266"/>
      <c r="M3457" s="266"/>
      <c r="N3457" s="266"/>
      <c r="O3457" s="266"/>
      <c r="P3457" s="266"/>
      <c r="Q3457" s="266"/>
      <c r="BR3457" s="266"/>
      <c r="BS3457" s="266"/>
      <c r="BT3457" s="266"/>
      <c r="BU3457" s="266"/>
      <c r="BV3457" s="266"/>
    </row>
    <row r="3458" spans="12:74">
      <c r="L3458" s="266"/>
      <c r="M3458" s="266"/>
      <c r="N3458" s="266"/>
      <c r="O3458" s="266"/>
      <c r="P3458" s="266"/>
      <c r="Q3458" s="266"/>
      <c r="BR3458" s="266"/>
      <c r="BS3458" s="266"/>
      <c r="BT3458" s="266"/>
      <c r="BU3458" s="266"/>
      <c r="BV3458" s="266"/>
    </row>
    <row r="3459" spans="12:74">
      <c r="L3459" s="266"/>
      <c r="M3459" s="266"/>
      <c r="N3459" s="266"/>
      <c r="O3459" s="266"/>
      <c r="P3459" s="266"/>
      <c r="Q3459" s="266"/>
      <c r="BR3459" s="266"/>
      <c r="BS3459" s="266"/>
      <c r="BT3459" s="266"/>
      <c r="BU3459" s="266"/>
      <c r="BV3459" s="266"/>
    </row>
    <row r="3460" spans="12:74">
      <c r="L3460" s="266"/>
      <c r="M3460" s="266"/>
      <c r="N3460" s="266"/>
      <c r="O3460" s="266"/>
      <c r="P3460" s="266"/>
      <c r="Q3460" s="266"/>
      <c r="BR3460" s="266"/>
      <c r="BS3460" s="266"/>
      <c r="BT3460" s="266"/>
      <c r="BU3460" s="266"/>
      <c r="BV3460" s="266"/>
    </row>
    <row r="3461" spans="12:74">
      <c r="L3461" s="266"/>
      <c r="M3461" s="266"/>
      <c r="N3461" s="266"/>
      <c r="O3461" s="266"/>
      <c r="P3461" s="266"/>
      <c r="Q3461" s="266"/>
      <c r="BR3461" s="266"/>
      <c r="BS3461" s="266"/>
      <c r="BT3461" s="266"/>
      <c r="BU3461" s="266"/>
      <c r="BV3461" s="266"/>
    </row>
    <row r="3462" spans="12:74">
      <c r="L3462" s="266"/>
      <c r="M3462" s="266"/>
      <c r="N3462" s="266"/>
      <c r="O3462" s="266"/>
      <c r="P3462" s="266"/>
      <c r="Q3462" s="266"/>
      <c r="BR3462" s="266"/>
      <c r="BS3462" s="266"/>
      <c r="BT3462" s="266"/>
      <c r="BU3462" s="266"/>
      <c r="BV3462" s="266"/>
    </row>
    <row r="3463" spans="12:74">
      <c r="L3463" s="266"/>
      <c r="M3463" s="266"/>
      <c r="N3463" s="266"/>
      <c r="O3463" s="266"/>
      <c r="P3463" s="266"/>
      <c r="Q3463" s="266"/>
      <c r="BR3463" s="266"/>
      <c r="BS3463" s="266"/>
      <c r="BT3463" s="266"/>
      <c r="BU3463" s="266"/>
      <c r="BV3463" s="266"/>
    </row>
    <row r="3464" spans="12:74">
      <c r="L3464" s="266"/>
      <c r="M3464" s="266"/>
      <c r="N3464" s="266"/>
      <c r="O3464" s="266"/>
      <c r="P3464" s="266"/>
      <c r="Q3464" s="266"/>
      <c r="BR3464" s="266"/>
      <c r="BS3464" s="266"/>
      <c r="BT3464" s="266"/>
      <c r="BU3464" s="266"/>
      <c r="BV3464" s="266"/>
    </row>
    <row r="3465" spans="12:74">
      <c r="L3465" s="266"/>
      <c r="M3465" s="266"/>
      <c r="N3465" s="266"/>
      <c r="O3465" s="266"/>
      <c r="P3465" s="266"/>
      <c r="Q3465" s="266"/>
      <c r="BR3465" s="266"/>
      <c r="BS3465" s="266"/>
      <c r="BT3465" s="266"/>
      <c r="BU3465" s="266"/>
      <c r="BV3465" s="266"/>
    </row>
    <row r="3466" spans="12:74">
      <c r="L3466" s="266"/>
      <c r="M3466" s="266"/>
      <c r="N3466" s="266"/>
      <c r="O3466" s="266"/>
      <c r="P3466" s="266"/>
      <c r="Q3466" s="266"/>
      <c r="BR3466" s="266"/>
      <c r="BS3466" s="266"/>
      <c r="BT3466" s="266"/>
      <c r="BU3466" s="266"/>
      <c r="BV3466" s="266"/>
    </row>
    <row r="3467" spans="12:74">
      <c r="L3467" s="266"/>
      <c r="M3467" s="266"/>
      <c r="N3467" s="266"/>
      <c r="O3467" s="266"/>
      <c r="P3467" s="266"/>
      <c r="Q3467" s="266"/>
      <c r="BR3467" s="266"/>
      <c r="BS3467" s="266"/>
      <c r="BT3467" s="266"/>
      <c r="BU3467" s="266"/>
      <c r="BV3467" s="266"/>
    </row>
    <row r="3468" spans="12:74">
      <c r="L3468" s="266"/>
      <c r="M3468" s="266"/>
      <c r="N3468" s="266"/>
      <c r="O3468" s="266"/>
      <c r="P3468" s="266"/>
      <c r="Q3468" s="266"/>
      <c r="BR3468" s="266"/>
      <c r="BS3468" s="266"/>
      <c r="BT3468" s="266"/>
      <c r="BU3468" s="266"/>
      <c r="BV3468" s="266"/>
    </row>
    <row r="3469" spans="12:74">
      <c r="L3469" s="266"/>
      <c r="M3469" s="266"/>
      <c r="N3469" s="266"/>
      <c r="O3469" s="266"/>
      <c r="P3469" s="266"/>
      <c r="Q3469" s="266"/>
      <c r="BR3469" s="266"/>
      <c r="BS3469" s="266"/>
      <c r="BT3469" s="266"/>
      <c r="BU3469" s="266"/>
      <c r="BV3469" s="266"/>
    </row>
    <row r="3470" spans="12:74">
      <c r="L3470" s="266"/>
      <c r="M3470" s="266"/>
      <c r="N3470" s="266"/>
      <c r="O3470" s="266"/>
      <c r="P3470" s="266"/>
      <c r="Q3470" s="266"/>
      <c r="BR3470" s="266"/>
      <c r="BS3470" s="266"/>
      <c r="BT3470" s="266"/>
      <c r="BU3470" s="266"/>
      <c r="BV3470" s="266"/>
    </row>
    <row r="3471" spans="12:74">
      <c r="L3471" s="266"/>
      <c r="M3471" s="266"/>
      <c r="N3471" s="266"/>
      <c r="O3471" s="266"/>
      <c r="P3471" s="266"/>
      <c r="Q3471" s="266"/>
      <c r="BR3471" s="266"/>
      <c r="BS3471" s="266"/>
      <c r="BT3471" s="266"/>
      <c r="BU3471" s="266"/>
      <c r="BV3471" s="266"/>
    </row>
    <row r="3472" spans="12:74">
      <c r="L3472" s="266"/>
      <c r="M3472" s="266"/>
      <c r="N3472" s="266"/>
      <c r="O3472" s="266"/>
      <c r="P3472" s="266"/>
      <c r="Q3472" s="266"/>
      <c r="BR3472" s="266"/>
      <c r="BS3472" s="266"/>
      <c r="BT3472" s="266"/>
      <c r="BU3472" s="266"/>
      <c r="BV3472" s="266"/>
    </row>
    <row r="3473" spans="12:74">
      <c r="L3473" s="266"/>
      <c r="M3473" s="266"/>
      <c r="N3473" s="266"/>
      <c r="O3473" s="266"/>
      <c r="P3473" s="266"/>
      <c r="Q3473" s="266"/>
      <c r="BR3473" s="266"/>
      <c r="BS3473" s="266"/>
      <c r="BT3473" s="266"/>
      <c r="BU3473" s="266"/>
      <c r="BV3473" s="266"/>
    </row>
    <row r="3474" spans="12:74">
      <c r="L3474" s="266"/>
      <c r="M3474" s="266"/>
      <c r="N3474" s="266"/>
      <c r="O3474" s="266"/>
      <c r="P3474" s="266"/>
      <c r="Q3474" s="266"/>
      <c r="BR3474" s="266"/>
      <c r="BS3474" s="266"/>
      <c r="BT3474" s="266"/>
      <c r="BU3474" s="266"/>
      <c r="BV3474" s="266"/>
    </row>
    <row r="3475" spans="12:74">
      <c r="L3475" s="266"/>
      <c r="M3475" s="266"/>
      <c r="N3475" s="266"/>
      <c r="O3475" s="266"/>
      <c r="P3475" s="266"/>
      <c r="Q3475" s="266"/>
      <c r="BR3475" s="266"/>
      <c r="BS3475" s="266"/>
      <c r="BT3475" s="266"/>
      <c r="BU3475" s="266"/>
      <c r="BV3475" s="266"/>
    </row>
    <row r="3476" spans="12:74">
      <c r="L3476" s="266"/>
      <c r="M3476" s="266"/>
      <c r="N3476" s="266"/>
      <c r="O3476" s="266"/>
      <c r="P3476" s="266"/>
      <c r="Q3476" s="266"/>
      <c r="BR3476" s="266"/>
      <c r="BS3476" s="266"/>
      <c r="BT3476" s="266"/>
      <c r="BU3476" s="266"/>
      <c r="BV3476" s="266"/>
    </row>
    <row r="3477" spans="12:74">
      <c r="L3477" s="266"/>
      <c r="M3477" s="266"/>
      <c r="N3477" s="266"/>
      <c r="O3477" s="266"/>
      <c r="P3477" s="266"/>
      <c r="Q3477" s="266"/>
      <c r="BR3477" s="266"/>
      <c r="BS3477" s="266"/>
      <c r="BT3477" s="266"/>
      <c r="BU3477" s="266"/>
      <c r="BV3477" s="266"/>
    </row>
    <row r="3478" spans="12:74">
      <c r="L3478" s="266"/>
      <c r="M3478" s="266"/>
      <c r="N3478" s="266"/>
      <c r="O3478" s="266"/>
      <c r="P3478" s="266"/>
      <c r="Q3478" s="266"/>
      <c r="BR3478" s="266"/>
      <c r="BS3478" s="266"/>
      <c r="BT3478" s="266"/>
      <c r="BU3478" s="266"/>
      <c r="BV3478" s="266"/>
    </row>
    <row r="3479" spans="12:74">
      <c r="L3479" s="266"/>
      <c r="M3479" s="266"/>
      <c r="N3479" s="266"/>
      <c r="O3479" s="266"/>
      <c r="P3479" s="266"/>
      <c r="Q3479" s="266"/>
      <c r="BR3479" s="266"/>
      <c r="BS3479" s="266"/>
      <c r="BT3479" s="266"/>
      <c r="BU3479" s="266"/>
      <c r="BV3479" s="266"/>
    </row>
    <row r="3480" spans="12:74">
      <c r="L3480" s="266"/>
      <c r="M3480" s="266"/>
      <c r="N3480" s="266"/>
      <c r="O3480" s="266"/>
      <c r="P3480" s="266"/>
      <c r="Q3480" s="266"/>
      <c r="BR3480" s="266"/>
      <c r="BS3480" s="266"/>
      <c r="BT3480" s="266"/>
      <c r="BU3480" s="266"/>
      <c r="BV3480" s="266"/>
    </row>
    <row r="3481" spans="12:74">
      <c r="L3481" s="266"/>
      <c r="M3481" s="266"/>
      <c r="N3481" s="266"/>
      <c r="O3481" s="266"/>
      <c r="P3481" s="266"/>
      <c r="Q3481" s="266"/>
      <c r="BR3481" s="266"/>
      <c r="BS3481" s="266"/>
      <c r="BT3481" s="266"/>
      <c r="BU3481" s="266"/>
      <c r="BV3481" s="266"/>
    </row>
    <row r="3482" spans="12:74">
      <c r="L3482" s="266"/>
      <c r="M3482" s="266"/>
      <c r="N3482" s="266"/>
      <c r="O3482" s="266"/>
      <c r="P3482" s="266"/>
      <c r="Q3482" s="266"/>
      <c r="BR3482" s="266"/>
      <c r="BS3482" s="266"/>
      <c r="BT3482" s="266"/>
      <c r="BU3482" s="266"/>
      <c r="BV3482" s="266"/>
    </row>
    <row r="3483" spans="12:74">
      <c r="L3483" s="266"/>
      <c r="M3483" s="266"/>
      <c r="N3483" s="266"/>
      <c r="O3483" s="266"/>
      <c r="P3483" s="266"/>
      <c r="Q3483" s="266"/>
      <c r="BR3483" s="266"/>
      <c r="BS3483" s="266"/>
      <c r="BT3483" s="266"/>
      <c r="BU3483" s="266"/>
      <c r="BV3483" s="266"/>
    </row>
    <row r="3484" spans="12:74">
      <c r="L3484" s="266"/>
      <c r="M3484" s="266"/>
      <c r="N3484" s="266"/>
      <c r="O3484" s="266"/>
      <c r="P3484" s="266"/>
      <c r="Q3484" s="266"/>
      <c r="BR3484" s="266"/>
      <c r="BS3484" s="266"/>
      <c r="BT3484" s="266"/>
      <c r="BU3484" s="266"/>
      <c r="BV3484" s="266"/>
    </row>
    <row r="3485" spans="12:74">
      <c r="L3485" s="266"/>
      <c r="M3485" s="266"/>
      <c r="N3485" s="266"/>
      <c r="O3485" s="266"/>
      <c r="P3485" s="266"/>
      <c r="Q3485" s="266"/>
      <c r="BR3485" s="266"/>
      <c r="BS3485" s="266"/>
      <c r="BT3485" s="266"/>
      <c r="BU3485" s="266"/>
      <c r="BV3485" s="266"/>
    </row>
    <row r="3486" spans="12:74">
      <c r="L3486" s="266"/>
      <c r="M3486" s="266"/>
      <c r="N3486" s="266"/>
      <c r="O3486" s="266"/>
      <c r="P3486" s="266"/>
      <c r="Q3486" s="266"/>
      <c r="BR3486" s="266"/>
      <c r="BS3486" s="266"/>
      <c r="BT3486" s="266"/>
      <c r="BU3486" s="266"/>
      <c r="BV3486" s="266"/>
    </row>
    <row r="3487" spans="12:74">
      <c r="L3487" s="266"/>
      <c r="M3487" s="266"/>
      <c r="N3487" s="266"/>
      <c r="O3487" s="266"/>
      <c r="P3487" s="266"/>
      <c r="Q3487" s="266"/>
      <c r="BR3487" s="266"/>
      <c r="BS3487" s="266"/>
      <c r="BT3487" s="266"/>
      <c r="BU3487" s="266"/>
      <c r="BV3487" s="266"/>
    </row>
    <row r="3488" spans="12:74">
      <c r="L3488" s="266"/>
      <c r="M3488" s="266"/>
      <c r="N3488" s="266"/>
      <c r="O3488" s="266"/>
      <c r="P3488" s="266"/>
      <c r="Q3488" s="266"/>
      <c r="BR3488" s="266"/>
      <c r="BS3488" s="266"/>
      <c r="BT3488" s="266"/>
      <c r="BU3488" s="266"/>
      <c r="BV3488" s="266"/>
    </row>
    <row r="3489" spans="12:74">
      <c r="L3489" s="266"/>
      <c r="M3489" s="266"/>
      <c r="N3489" s="266"/>
      <c r="O3489" s="266"/>
      <c r="P3489" s="266"/>
      <c r="Q3489" s="266"/>
      <c r="BR3489" s="266"/>
      <c r="BS3489" s="266"/>
      <c r="BT3489" s="266"/>
      <c r="BU3489" s="266"/>
      <c r="BV3489" s="266"/>
    </row>
    <row r="3490" spans="12:74">
      <c r="L3490" s="266"/>
      <c r="M3490" s="266"/>
      <c r="N3490" s="266"/>
      <c r="O3490" s="266"/>
      <c r="P3490" s="266"/>
      <c r="Q3490" s="266"/>
      <c r="BR3490" s="266"/>
      <c r="BS3490" s="266"/>
      <c r="BT3490" s="266"/>
      <c r="BU3490" s="266"/>
      <c r="BV3490" s="266"/>
    </row>
    <row r="3491" spans="12:74">
      <c r="L3491" s="266"/>
      <c r="M3491" s="266"/>
      <c r="N3491" s="266"/>
      <c r="O3491" s="266"/>
      <c r="P3491" s="266"/>
      <c r="Q3491" s="266"/>
      <c r="BR3491" s="266"/>
      <c r="BS3491" s="266"/>
      <c r="BT3491" s="266"/>
      <c r="BU3491" s="266"/>
      <c r="BV3491" s="266"/>
    </row>
    <row r="3492" spans="12:74">
      <c r="L3492" s="266"/>
      <c r="M3492" s="266"/>
      <c r="N3492" s="266"/>
      <c r="O3492" s="266"/>
      <c r="P3492" s="266"/>
      <c r="Q3492" s="266"/>
      <c r="BR3492" s="266"/>
      <c r="BS3492" s="266"/>
      <c r="BT3492" s="266"/>
      <c r="BU3492" s="266"/>
      <c r="BV3492" s="266"/>
    </row>
    <row r="3493" spans="12:74">
      <c r="L3493" s="266"/>
      <c r="M3493" s="266"/>
      <c r="N3493" s="266"/>
      <c r="O3493" s="266"/>
      <c r="P3493" s="266"/>
      <c r="Q3493" s="266"/>
      <c r="BR3493" s="266"/>
      <c r="BS3493" s="266"/>
      <c r="BT3493" s="266"/>
      <c r="BU3493" s="266"/>
      <c r="BV3493" s="266"/>
    </row>
    <row r="3494" spans="12:74">
      <c r="L3494" s="266"/>
      <c r="M3494" s="266"/>
      <c r="N3494" s="266"/>
      <c r="O3494" s="266"/>
      <c r="P3494" s="266"/>
      <c r="Q3494" s="266"/>
      <c r="BR3494" s="266"/>
      <c r="BS3494" s="266"/>
      <c r="BT3494" s="266"/>
      <c r="BU3494" s="266"/>
      <c r="BV3494" s="266"/>
    </row>
    <row r="3495" spans="12:74">
      <c r="L3495" s="266"/>
      <c r="M3495" s="266"/>
      <c r="N3495" s="266"/>
      <c r="O3495" s="266"/>
      <c r="P3495" s="266"/>
      <c r="Q3495" s="266"/>
      <c r="BR3495" s="266"/>
      <c r="BS3495" s="266"/>
      <c r="BT3495" s="266"/>
      <c r="BU3495" s="266"/>
      <c r="BV3495" s="266"/>
    </row>
    <row r="3496" spans="12:74">
      <c r="L3496" s="266"/>
      <c r="M3496" s="266"/>
      <c r="N3496" s="266"/>
      <c r="O3496" s="266"/>
      <c r="P3496" s="266"/>
      <c r="Q3496" s="266"/>
      <c r="BR3496" s="266"/>
      <c r="BS3496" s="266"/>
      <c r="BT3496" s="266"/>
      <c r="BU3496" s="266"/>
      <c r="BV3496" s="266"/>
    </row>
    <row r="3497" spans="12:74">
      <c r="L3497" s="266"/>
      <c r="M3497" s="266"/>
      <c r="N3497" s="266"/>
      <c r="O3497" s="266"/>
      <c r="P3497" s="266"/>
      <c r="Q3497" s="266"/>
      <c r="BR3497" s="266"/>
      <c r="BS3497" s="266"/>
      <c r="BT3497" s="266"/>
      <c r="BU3497" s="266"/>
      <c r="BV3497" s="266"/>
    </row>
    <row r="3498" spans="12:74">
      <c r="L3498" s="266"/>
      <c r="M3498" s="266"/>
      <c r="N3498" s="266"/>
      <c r="O3498" s="266"/>
      <c r="P3498" s="266"/>
      <c r="Q3498" s="266"/>
      <c r="BR3498" s="266"/>
      <c r="BS3498" s="266"/>
      <c r="BT3498" s="266"/>
      <c r="BU3498" s="266"/>
      <c r="BV3498" s="266"/>
    </row>
    <row r="3499" spans="12:74">
      <c r="L3499" s="266"/>
      <c r="M3499" s="266"/>
      <c r="N3499" s="266"/>
      <c r="O3499" s="266"/>
      <c r="P3499" s="266"/>
      <c r="Q3499" s="266"/>
      <c r="BR3499" s="266"/>
      <c r="BS3499" s="266"/>
      <c r="BT3499" s="266"/>
      <c r="BU3499" s="266"/>
      <c r="BV3499" s="266"/>
    </row>
    <row r="3500" spans="12:74">
      <c r="L3500" s="266"/>
      <c r="M3500" s="266"/>
      <c r="N3500" s="266"/>
      <c r="O3500" s="266"/>
      <c r="P3500" s="266"/>
      <c r="Q3500" s="266"/>
      <c r="BR3500" s="266"/>
      <c r="BS3500" s="266"/>
      <c r="BT3500" s="266"/>
      <c r="BU3500" s="266"/>
      <c r="BV3500" s="266"/>
    </row>
    <row r="3501" spans="12:74">
      <c r="L3501" s="266"/>
      <c r="M3501" s="266"/>
      <c r="N3501" s="266"/>
      <c r="O3501" s="266"/>
      <c r="P3501" s="266"/>
      <c r="Q3501" s="266"/>
      <c r="BR3501" s="266"/>
      <c r="BS3501" s="266"/>
      <c r="BT3501" s="266"/>
      <c r="BU3501" s="266"/>
      <c r="BV3501" s="266"/>
    </row>
    <row r="3502" spans="12:74">
      <c r="L3502" s="266"/>
      <c r="M3502" s="266"/>
      <c r="N3502" s="266"/>
      <c r="O3502" s="266"/>
      <c r="P3502" s="266"/>
      <c r="Q3502" s="266"/>
      <c r="BR3502" s="266"/>
      <c r="BS3502" s="266"/>
      <c r="BT3502" s="266"/>
      <c r="BU3502" s="266"/>
      <c r="BV3502" s="266"/>
    </row>
    <row r="3503" spans="12:74">
      <c r="L3503" s="266"/>
      <c r="M3503" s="266"/>
      <c r="N3503" s="266"/>
      <c r="O3503" s="266"/>
      <c r="P3503" s="266"/>
      <c r="Q3503" s="266"/>
      <c r="BR3503" s="266"/>
      <c r="BS3503" s="266"/>
      <c r="BT3503" s="266"/>
      <c r="BU3503" s="266"/>
      <c r="BV3503" s="266"/>
    </row>
    <row r="3504" spans="12:74">
      <c r="L3504" s="266"/>
      <c r="M3504" s="266"/>
      <c r="N3504" s="266"/>
      <c r="O3504" s="266"/>
      <c r="P3504" s="266"/>
      <c r="Q3504" s="266"/>
      <c r="BR3504" s="266"/>
      <c r="BS3504" s="266"/>
      <c r="BT3504" s="266"/>
      <c r="BU3504" s="266"/>
      <c r="BV3504" s="266"/>
    </row>
    <row r="3505" spans="12:74">
      <c r="L3505" s="266"/>
      <c r="M3505" s="266"/>
      <c r="N3505" s="266"/>
      <c r="O3505" s="266"/>
      <c r="P3505" s="266"/>
      <c r="Q3505" s="266"/>
      <c r="BR3505" s="266"/>
      <c r="BS3505" s="266"/>
      <c r="BT3505" s="266"/>
      <c r="BU3505" s="266"/>
      <c r="BV3505" s="266"/>
    </row>
    <row r="3506" spans="12:74">
      <c r="L3506" s="266"/>
      <c r="M3506" s="266"/>
      <c r="N3506" s="266"/>
      <c r="O3506" s="266"/>
      <c r="P3506" s="266"/>
      <c r="Q3506" s="266"/>
      <c r="BR3506" s="266"/>
      <c r="BS3506" s="266"/>
      <c r="BT3506" s="266"/>
      <c r="BU3506" s="266"/>
      <c r="BV3506" s="266"/>
    </row>
    <row r="3507" spans="12:74">
      <c r="L3507" s="266"/>
      <c r="M3507" s="266"/>
      <c r="N3507" s="266"/>
      <c r="O3507" s="266"/>
      <c r="P3507" s="266"/>
      <c r="Q3507" s="266"/>
      <c r="BR3507" s="266"/>
      <c r="BS3507" s="266"/>
      <c r="BT3507" s="266"/>
      <c r="BU3507" s="266"/>
      <c r="BV3507" s="266"/>
    </row>
    <row r="3508" spans="12:74">
      <c r="L3508" s="266"/>
      <c r="M3508" s="266"/>
      <c r="N3508" s="266"/>
      <c r="O3508" s="266"/>
      <c r="P3508" s="266"/>
      <c r="Q3508" s="266"/>
      <c r="BR3508" s="266"/>
      <c r="BS3508" s="266"/>
      <c r="BT3508" s="266"/>
      <c r="BU3508" s="266"/>
      <c r="BV3508" s="266"/>
    </row>
    <row r="3509" spans="12:74">
      <c r="L3509" s="266"/>
      <c r="M3509" s="266"/>
      <c r="N3509" s="266"/>
      <c r="O3509" s="266"/>
      <c r="P3509" s="266"/>
      <c r="Q3509" s="266"/>
      <c r="BR3509" s="266"/>
      <c r="BS3509" s="266"/>
      <c r="BT3509" s="266"/>
      <c r="BU3509" s="266"/>
      <c r="BV3509" s="266"/>
    </row>
    <row r="3510" spans="12:74">
      <c r="L3510" s="266"/>
      <c r="M3510" s="266"/>
      <c r="N3510" s="266"/>
      <c r="O3510" s="266"/>
      <c r="P3510" s="266"/>
      <c r="Q3510" s="266"/>
      <c r="BR3510" s="266"/>
      <c r="BS3510" s="266"/>
      <c r="BT3510" s="266"/>
      <c r="BU3510" s="266"/>
      <c r="BV3510" s="266"/>
    </row>
    <row r="3511" spans="12:74">
      <c r="L3511" s="266"/>
      <c r="M3511" s="266"/>
      <c r="N3511" s="266"/>
      <c r="O3511" s="266"/>
      <c r="P3511" s="266"/>
      <c r="Q3511" s="266"/>
      <c r="BR3511" s="266"/>
      <c r="BS3511" s="266"/>
      <c r="BT3511" s="266"/>
      <c r="BU3511" s="266"/>
      <c r="BV3511" s="266"/>
    </row>
    <row r="3512" spans="12:74">
      <c r="L3512" s="266"/>
      <c r="M3512" s="266"/>
      <c r="N3512" s="266"/>
      <c r="O3512" s="266"/>
      <c r="P3512" s="266"/>
      <c r="Q3512" s="266"/>
      <c r="BR3512" s="266"/>
      <c r="BS3512" s="266"/>
      <c r="BT3512" s="266"/>
      <c r="BU3512" s="266"/>
      <c r="BV3512" s="266"/>
    </row>
    <row r="3513" spans="12:74">
      <c r="L3513" s="266"/>
      <c r="M3513" s="266"/>
      <c r="N3513" s="266"/>
      <c r="O3513" s="266"/>
      <c r="P3513" s="266"/>
      <c r="Q3513" s="266"/>
      <c r="BR3513" s="266"/>
      <c r="BS3513" s="266"/>
      <c r="BT3513" s="266"/>
      <c r="BU3513" s="266"/>
      <c r="BV3513" s="266"/>
    </row>
    <row r="3514" spans="12:74">
      <c r="L3514" s="266"/>
      <c r="M3514" s="266"/>
      <c r="N3514" s="266"/>
      <c r="O3514" s="266"/>
      <c r="P3514" s="266"/>
      <c r="Q3514" s="266"/>
      <c r="BR3514" s="266"/>
      <c r="BS3514" s="266"/>
      <c r="BT3514" s="266"/>
      <c r="BU3514" s="266"/>
      <c r="BV3514" s="266"/>
    </row>
    <row r="3515" spans="12:74">
      <c r="L3515" s="266"/>
      <c r="M3515" s="266"/>
      <c r="N3515" s="266"/>
      <c r="O3515" s="266"/>
      <c r="P3515" s="266"/>
      <c r="Q3515" s="266"/>
      <c r="BR3515" s="266"/>
      <c r="BS3515" s="266"/>
      <c r="BT3515" s="266"/>
      <c r="BU3515" s="266"/>
      <c r="BV3515" s="266"/>
    </row>
    <row r="3516" spans="12:74">
      <c r="L3516" s="266"/>
      <c r="M3516" s="266"/>
      <c r="N3516" s="266"/>
      <c r="O3516" s="266"/>
      <c r="P3516" s="266"/>
      <c r="Q3516" s="266"/>
      <c r="BR3516" s="266"/>
      <c r="BS3516" s="266"/>
      <c r="BT3516" s="266"/>
      <c r="BU3516" s="266"/>
      <c r="BV3516" s="266"/>
    </row>
    <row r="3517" spans="12:74">
      <c r="L3517" s="266"/>
      <c r="M3517" s="266"/>
      <c r="N3517" s="266"/>
      <c r="O3517" s="266"/>
      <c r="P3517" s="266"/>
      <c r="Q3517" s="266"/>
      <c r="BR3517" s="266"/>
      <c r="BS3517" s="266"/>
      <c r="BT3517" s="266"/>
      <c r="BU3517" s="266"/>
      <c r="BV3517" s="266"/>
    </row>
    <row r="3518" spans="12:74">
      <c r="L3518" s="266"/>
      <c r="M3518" s="266"/>
      <c r="N3518" s="266"/>
      <c r="O3518" s="266"/>
      <c r="P3518" s="266"/>
      <c r="Q3518" s="266"/>
      <c r="BR3518" s="266"/>
      <c r="BS3518" s="266"/>
      <c r="BT3518" s="266"/>
      <c r="BU3518" s="266"/>
      <c r="BV3518" s="266"/>
    </row>
    <row r="3519" spans="12:74">
      <c r="L3519" s="266"/>
      <c r="M3519" s="266"/>
      <c r="N3519" s="266"/>
      <c r="O3519" s="266"/>
      <c r="P3519" s="266"/>
      <c r="Q3519" s="266"/>
      <c r="BR3519" s="266"/>
      <c r="BS3519" s="266"/>
      <c r="BT3519" s="266"/>
      <c r="BU3519" s="266"/>
      <c r="BV3519" s="266"/>
    </row>
    <row r="3520" spans="12:74">
      <c r="L3520" s="266"/>
      <c r="M3520" s="266"/>
      <c r="N3520" s="266"/>
      <c r="O3520" s="266"/>
      <c r="P3520" s="266"/>
      <c r="Q3520" s="266"/>
      <c r="BR3520" s="266"/>
      <c r="BS3520" s="266"/>
      <c r="BT3520" s="266"/>
      <c r="BU3520" s="266"/>
      <c r="BV3520" s="266"/>
    </row>
    <row r="3521" spans="12:74">
      <c r="L3521" s="266"/>
      <c r="M3521" s="266"/>
      <c r="N3521" s="266"/>
      <c r="O3521" s="266"/>
      <c r="P3521" s="266"/>
      <c r="Q3521" s="266"/>
      <c r="BR3521" s="266"/>
      <c r="BS3521" s="266"/>
      <c r="BT3521" s="266"/>
      <c r="BU3521" s="266"/>
      <c r="BV3521" s="266"/>
    </row>
    <row r="3522" spans="12:74">
      <c r="L3522" s="266"/>
      <c r="M3522" s="266"/>
      <c r="N3522" s="266"/>
      <c r="O3522" s="266"/>
      <c r="P3522" s="266"/>
      <c r="Q3522" s="266"/>
      <c r="BR3522" s="266"/>
      <c r="BS3522" s="266"/>
      <c r="BT3522" s="266"/>
      <c r="BU3522" s="266"/>
      <c r="BV3522" s="266"/>
    </row>
    <row r="3523" spans="12:74">
      <c r="L3523" s="266"/>
      <c r="M3523" s="266"/>
      <c r="N3523" s="266"/>
      <c r="O3523" s="266"/>
      <c r="P3523" s="266"/>
      <c r="Q3523" s="266"/>
      <c r="BR3523" s="266"/>
      <c r="BS3523" s="266"/>
      <c r="BT3523" s="266"/>
      <c r="BU3523" s="266"/>
      <c r="BV3523" s="266"/>
    </row>
    <row r="3524" spans="12:74">
      <c r="L3524" s="266"/>
      <c r="M3524" s="266"/>
      <c r="N3524" s="266"/>
      <c r="O3524" s="266"/>
      <c r="P3524" s="266"/>
      <c r="Q3524" s="266"/>
      <c r="BR3524" s="266"/>
      <c r="BS3524" s="266"/>
      <c r="BT3524" s="266"/>
      <c r="BU3524" s="266"/>
      <c r="BV3524" s="266"/>
    </row>
    <row r="3525" spans="12:74">
      <c r="L3525" s="266"/>
      <c r="M3525" s="266"/>
      <c r="N3525" s="266"/>
      <c r="O3525" s="266"/>
      <c r="P3525" s="266"/>
      <c r="Q3525" s="266"/>
      <c r="BR3525" s="266"/>
      <c r="BS3525" s="266"/>
      <c r="BT3525" s="266"/>
      <c r="BU3525" s="266"/>
      <c r="BV3525" s="266"/>
    </row>
    <row r="3526" spans="12:74">
      <c r="L3526" s="266"/>
      <c r="M3526" s="266"/>
      <c r="N3526" s="266"/>
      <c r="O3526" s="266"/>
      <c r="P3526" s="266"/>
      <c r="Q3526" s="266"/>
      <c r="BR3526" s="266"/>
      <c r="BS3526" s="266"/>
      <c r="BT3526" s="266"/>
      <c r="BU3526" s="266"/>
      <c r="BV3526" s="266"/>
    </row>
    <row r="3527" spans="12:74">
      <c r="L3527" s="266"/>
      <c r="M3527" s="266"/>
      <c r="N3527" s="266"/>
      <c r="O3527" s="266"/>
      <c r="P3527" s="266"/>
      <c r="Q3527" s="266"/>
      <c r="BR3527" s="266"/>
      <c r="BS3527" s="266"/>
      <c r="BT3527" s="266"/>
      <c r="BU3527" s="266"/>
      <c r="BV3527" s="266"/>
    </row>
    <row r="3528" spans="12:74">
      <c r="L3528" s="266"/>
      <c r="M3528" s="266"/>
      <c r="N3528" s="266"/>
      <c r="O3528" s="266"/>
      <c r="P3528" s="266"/>
      <c r="Q3528" s="266"/>
      <c r="BR3528" s="266"/>
      <c r="BS3528" s="266"/>
      <c r="BT3528" s="266"/>
      <c r="BU3528" s="266"/>
      <c r="BV3528" s="266"/>
    </row>
    <row r="3529" spans="12:74">
      <c r="L3529" s="266"/>
      <c r="M3529" s="266"/>
      <c r="N3529" s="266"/>
      <c r="O3529" s="266"/>
      <c r="P3529" s="266"/>
      <c r="Q3529" s="266"/>
      <c r="BR3529" s="266"/>
      <c r="BS3529" s="266"/>
      <c r="BT3529" s="266"/>
      <c r="BU3529" s="266"/>
      <c r="BV3529" s="266"/>
    </row>
    <row r="3530" spans="12:74">
      <c r="L3530" s="266"/>
      <c r="M3530" s="266"/>
      <c r="N3530" s="266"/>
      <c r="O3530" s="266"/>
      <c r="P3530" s="266"/>
      <c r="Q3530" s="266"/>
      <c r="BR3530" s="266"/>
      <c r="BS3530" s="266"/>
      <c r="BT3530" s="266"/>
      <c r="BU3530" s="266"/>
      <c r="BV3530" s="266"/>
    </row>
    <row r="3531" spans="12:74">
      <c r="L3531" s="266"/>
      <c r="M3531" s="266"/>
      <c r="N3531" s="266"/>
      <c r="O3531" s="266"/>
      <c r="P3531" s="266"/>
      <c r="Q3531" s="266"/>
      <c r="BR3531" s="266"/>
      <c r="BS3531" s="266"/>
      <c r="BT3531" s="266"/>
      <c r="BU3531" s="266"/>
      <c r="BV3531" s="266"/>
    </row>
    <row r="3532" spans="12:74">
      <c r="L3532" s="266"/>
      <c r="M3532" s="266"/>
      <c r="N3532" s="266"/>
      <c r="O3532" s="266"/>
      <c r="P3532" s="266"/>
      <c r="Q3532" s="266"/>
      <c r="BR3532" s="266"/>
      <c r="BS3532" s="266"/>
      <c r="BT3532" s="266"/>
      <c r="BU3532" s="266"/>
      <c r="BV3532" s="266"/>
    </row>
    <row r="3533" spans="12:74">
      <c r="L3533" s="266"/>
      <c r="M3533" s="266"/>
      <c r="N3533" s="266"/>
      <c r="O3533" s="266"/>
      <c r="P3533" s="266"/>
      <c r="Q3533" s="266"/>
      <c r="BR3533" s="266"/>
      <c r="BS3533" s="266"/>
      <c r="BT3533" s="266"/>
      <c r="BU3533" s="266"/>
      <c r="BV3533" s="266"/>
    </row>
    <row r="3534" spans="12:74">
      <c r="L3534" s="266"/>
      <c r="M3534" s="266"/>
      <c r="N3534" s="266"/>
      <c r="O3534" s="266"/>
      <c r="P3534" s="266"/>
      <c r="Q3534" s="266"/>
      <c r="BR3534" s="266"/>
      <c r="BS3534" s="266"/>
      <c r="BT3534" s="266"/>
      <c r="BU3534" s="266"/>
      <c r="BV3534" s="266"/>
    </row>
    <row r="3535" spans="12:74">
      <c r="L3535" s="266"/>
      <c r="M3535" s="266"/>
      <c r="N3535" s="266"/>
      <c r="O3535" s="266"/>
      <c r="P3535" s="266"/>
      <c r="Q3535" s="266"/>
      <c r="BR3535" s="266"/>
      <c r="BS3535" s="266"/>
      <c r="BT3535" s="266"/>
      <c r="BU3535" s="266"/>
      <c r="BV3535" s="266"/>
    </row>
    <row r="3536" spans="12:74">
      <c r="L3536" s="266"/>
      <c r="M3536" s="266"/>
      <c r="N3536" s="266"/>
      <c r="O3536" s="266"/>
      <c r="P3536" s="266"/>
      <c r="Q3536" s="266"/>
      <c r="BR3536" s="266"/>
      <c r="BS3536" s="266"/>
      <c r="BT3536" s="266"/>
      <c r="BU3536" s="266"/>
      <c r="BV3536" s="266"/>
    </row>
    <row r="3537" spans="12:74">
      <c r="L3537" s="266"/>
      <c r="M3537" s="266"/>
      <c r="N3537" s="266"/>
      <c r="O3537" s="266"/>
      <c r="P3537" s="266"/>
      <c r="Q3537" s="266"/>
      <c r="BR3537" s="266"/>
      <c r="BS3537" s="266"/>
      <c r="BT3537" s="266"/>
      <c r="BU3537" s="266"/>
      <c r="BV3537" s="266"/>
    </row>
    <row r="3538" spans="12:74">
      <c r="L3538" s="266"/>
      <c r="M3538" s="266"/>
      <c r="N3538" s="266"/>
      <c r="O3538" s="266"/>
      <c r="P3538" s="266"/>
      <c r="Q3538" s="266"/>
      <c r="BR3538" s="266"/>
      <c r="BS3538" s="266"/>
      <c r="BT3538" s="266"/>
      <c r="BU3538" s="266"/>
      <c r="BV3538" s="266"/>
    </row>
    <row r="3539" spans="12:74">
      <c r="L3539" s="266"/>
      <c r="M3539" s="266"/>
      <c r="N3539" s="266"/>
      <c r="O3539" s="266"/>
      <c r="P3539" s="266"/>
      <c r="Q3539" s="266"/>
      <c r="BR3539" s="266"/>
      <c r="BS3539" s="266"/>
      <c r="BT3539" s="266"/>
      <c r="BU3539" s="266"/>
      <c r="BV3539" s="266"/>
    </row>
    <row r="3540" spans="12:74">
      <c r="L3540" s="266"/>
      <c r="M3540" s="266"/>
      <c r="N3540" s="266"/>
      <c r="O3540" s="266"/>
      <c r="P3540" s="266"/>
      <c r="Q3540" s="266"/>
      <c r="BR3540" s="266"/>
      <c r="BS3540" s="266"/>
      <c r="BT3540" s="266"/>
      <c r="BU3540" s="266"/>
      <c r="BV3540" s="266"/>
    </row>
    <row r="3541" spans="12:74">
      <c r="L3541" s="266"/>
      <c r="M3541" s="266"/>
      <c r="N3541" s="266"/>
      <c r="O3541" s="266"/>
      <c r="P3541" s="266"/>
      <c r="Q3541" s="266"/>
      <c r="BR3541" s="266"/>
      <c r="BS3541" s="266"/>
      <c r="BT3541" s="266"/>
      <c r="BU3541" s="266"/>
      <c r="BV3541" s="266"/>
    </row>
    <row r="3542" spans="12:74">
      <c r="L3542" s="266"/>
      <c r="M3542" s="266"/>
      <c r="N3542" s="266"/>
      <c r="O3542" s="266"/>
      <c r="P3542" s="266"/>
      <c r="Q3542" s="266"/>
      <c r="BR3542" s="266"/>
      <c r="BS3542" s="266"/>
      <c r="BT3542" s="266"/>
      <c r="BU3542" s="266"/>
      <c r="BV3542" s="266"/>
    </row>
    <row r="3543" spans="12:74">
      <c r="L3543" s="266"/>
      <c r="M3543" s="266"/>
      <c r="N3543" s="266"/>
      <c r="O3543" s="266"/>
      <c r="P3543" s="266"/>
      <c r="Q3543" s="266"/>
      <c r="BR3543" s="266"/>
      <c r="BS3543" s="266"/>
      <c r="BT3543" s="266"/>
      <c r="BU3543" s="266"/>
      <c r="BV3543" s="266"/>
    </row>
    <row r="3544" spans="12:74">
      <c r="L3544" s="266"/>
      <c r="M3544" s="266"/>
      <c r="N3544" s="266"/>
      <c r="O3544" s="266"/>
      <c r="P3544" s="266"/>
      <c r="Q3544" s="266"/>
      <c r="BR3544" s="266"/>
      <c r="BS3544" s="266"/>
      <c r="BT3544" s="266"/>
      <c r="BU3544" s="266"/>
      <c r="BV3544" s="266"/>
    </row>
    <row r="3545" spans="12:74">
      <c r="L3545" s="266"/>
      <c r="M3545" s="266"/>
      <c r="N3545" s="266"/>
      <c r="O3545" s="266"/>
      <c r="P3545" s="266"/>
      <c r="Q3545" s="266"/>
      <c r="BR3545" s="266"/>
      <c r="BS3545" s="266"/>
      <c r="BT3545" s="266"/>
      <c r="BU3545" s="266"/>
      <c r="BV3545" s="266"/>
    </row>
    <row r="3546" spans="12:74">
      <c r="L3546" s="266"/>
      <c r="M3546" s="266"/>
      <c r="N3546" s="266"/>
      <c r="O3546" s="266"/>
      <c r="P3546" s="266"/>
      <c r="Q3546" s="266"/>
      <c r="BR3546" s="266"/>
      <c r="BS3546" s="266"/>
      <c r="BT3546" s="266"/>
      <c r="BU3546" s="266"/>
      <c r="BV3546" s="266"/>
    </row>
    <row r="3547" spans="12:74">
      <c r="L3547" s="266"/>
      <c r="M3547" s="266"/>
      <c r="N3547" s="266"/>
      <c r="O3547" s="266"/>
      <c r="P3547" s="266"/>
      <c r="Q3547" s="266"/>
      <c r="BR3547" s="266"/>
      <c r="BS3547" s="266"/>
      <c r="BT3547" s="266"/>
      <c r="BU3547" s="266"/>
      <c r="BV3547" s="266"/>
    </row>
    <row r="3548" spans="12:74">
      <c r="L3548" s="266"/>
      <c r="M3548" s="266"/>
      <c r="N3548" s="266"/>
      <c r="O3548" s="266"/>
      <c r="P3548" s="266"/>
      <c r="Q3548" s="266"/>
      <c r="BR3548" s="266"/>
      <c r="BS3548" s="266"/>
      <c r="BT3548" s="266"/>
      <c r="BU3548" s="266"/>
      <c r="BV3548" s="266"/>
    </row>
    <row r="3549" spans="12:74">
      <c r="L3549" s="266"/>
      <c r="M3549" s="266"/>
      <c r="N3549" s="266"/>
      <c r="O3549" s="266"/>
      <c r="P3549" s="266"/>
      <c r="Q3549" s="266"/>
      <c r="BR3549" s="266"/>
      <c r="BS3549" s="266"/>
      <c r="BT3549" s="266"/>
      <c r="BU3549" s="266"/>
      <c r="BV3549" s="266"/>
    </row>
    <row r="3550" spans="12:74">
      <c r="L3550" s="266"/>
      <c r="M3550" s="266"/>
      <c r="N3550" s="266"/>
      <c r="O3550" s="266"/>
      <c r="P3550" s="266"/>
      <c r="Q3550" s="266"/>
      <c r="BR3550" s="266"/>
      <c r="BS3550" s="266"/>
      <c r="BT3550" s="266"/>
      <c r="BU3550" s="266"/>
      <c r="BV3550" s="266"/>
    </row>
    <row r="3551" spans="12:74">
      <c r="L3551" s="266"/>
      <c r="M3551" s="266"/>
      <c r="N3551" s="266"/>
      <c r="O3551" s="266"/>
      <c r="P3551" s="266"/>
      <c r="Q3551" s="266"/>
      <c r="BR3551" s="266"/>
      <c r="BS3551" s="266"/>
      <c r="BT3551" s="266"/>
      <c r="BU3551" s="266"/>
      <c r="BV3551" s="266"/>
    </row>
    <row r="3552" spans="12:74">
      <c r="L3552" s="266"/>
      <c r="M3552" s="266"/>
      <c r="N3552" s="266"/>
      <c r="O3552" s="266"/>
      <c r="P3552" s="266"/>
      <c r="Q3552" s="266"/>
      <c r="BR3552" s="266"/>
      <c r="BS3552" s="266"/>
      <c r="BT3552" s="266"/>
      <c r="BU3552" s="266"/>
      <c r="BV3552" s="266"/>
    </row>
    <row r="3553" spans="12:74">
      <c r="L3553" s="266"/>
      <c r="M3553" s="266"/>
      <c r="N3553" s="266"/>
      <c r="O3553" s="266"/>
      <c r="P3553" s="266"/>
      <c r="Q3553" s="266"/>
      <c r="BR3553" s="266"/>
      <c r="BS3553" s="266"/>
      <c r="BT3553" s="266"/>
      <c r="BU3553" s="266"/>
      <c r="BV3553" s="266"/>
    </row>
    <row r="3554" spans="12:74">
      <c r="L3554" s="266"/>
      <c r="M3554" s="266"/>
      <c r="N3554" s="266"/>
      <c r="O3554" s="266"/>
      <c r="P3554" s="266"/>
      <c r="Q3554" s="266"/>
      <c r="BR3554" s="266"/>
      <c r="BS3554" s="266"/>
      <c r="BT3554" s="266"/>
      <c r="BU3554" s="266"/>
      <c r="BV3554" s="266"/>
    </row>
    <row r="3555" spans="12:74">
      <c r="L3555" s="266"/>
      <c r="M3555" s="266"/>
      <c r="N3555" s="266"/>
      <c r="O3555" s="266"/>
      <c r="P3555" s="266"/>
      <c r="Q3555" s="266"/>
      <c r="BR3555" s="266"/>
      <c r="BS3555" s="266"/>
      <c r="BT3555" s="266"/>
      <c r="BU3555" s="266"/>
      <c r="BV3555" s="266"/>
    </row>
    <row r="3556" spans="12:74">
      <c r="L3556" s="266"/>
      <c r="M3556" s="266"/>
      <c r="N3556" s="266"/>
      <c r="O3556" s="266"/>
      <c r="P3556" s="266"/>
      <c r="Q3556" s="266"/>
      <c r="BR3556" s="266"/>
      <c r="BS3556" s="266"/>
      <c r="BT3556" s="266"/>
      <c r="BU3556" s="266"/>
      <c r="BV3556" s="266"/>
    </row>
    <row r="3557" spans="12:74">
      <c r="L3557" s="266"/>
      <c r="M3557" s="266"/>
      <c r="N3557" s="266"/>
      <c r="O3557" s="266"/>
      <c r="P3557" s="266"/>
      <c r="Q3557" s="266"/>
      <c r="BR3557" s="266"/>
      <c r="BS3557" s="266"/>
      <c r="BT3557" s="266"/>
      <c r="BU3557" s="266"/>
      <c r="BV3557" s="266"/>
    </row>
    <row r="3558" spans="12:74">
      <c r="L3558" s="266"/>
      <c r="M3558" s="266"/>
      <c r="N3558" s="266"/>
      <c r="O3558" s="266"/>
      <c r="P3558" s="266"/>
      <c r="Q3558" s="266"/>
      <c r="BR3558" s="266"/>
      <c r="BS3558" s="266"/>
      <c r="BT3558" s="266"/>
      <c r="BU3558" s="266"/>
      <c r="BV3558" s="266"/>
    </row>
    <row r="3559" spans="12:74">
      <c r="L3559" s="266"/>
      <c r="M3559" s="266"/>
      <c r="N3559" s="266"/>
      <c r="O3559" s="266"/>
      <c r="P3559" s="266"/>
      <c r="Q3559" s="266"/>
      <c r="BR3559" s="266"/>
      <c r="BS3559" s="266"/>
      <c r="BT3559" s="266"/>
      <c r="BU3559" s="266"/>
      <c r="BV3559" s="266"/>
    </row>
    <row r="3560" spans="12:74">
      <c r="L3560" s="266"/>
      <c r="M3560" s="266"/>
      <c r="N3560" s="266"/>
      <c r="O3560" s="266"/>
      <c r="P3560" s="266"/>
      <c r="Q3560" s="266"/>
      <c r="BR3560" s="266"/>
      <c r="BS3560" s="266"/>
      <c r="BT3560" s="266"/>
      <c r="BU3560" s="266"/>
      <c r="BV3560" s="266"/>
    </row>
    <row r="3561" spans="12:74">
      <c r="L3561" s="266"/>
      <c r="M3561" s="266"/>
      <c r="N3561" s="266"/>
      <c r="O3561" s="266"/>
      <c r="P3561" s="266"/>
      <c r="Q3561" s="266"/>
      <c r="BR3561" s="266"/>
      <c r="BS3561" s="266"/>
      <c r="BT3561" s="266"/>
      <c r="BU3561" s="266"/>
      <c r="BV3561" s="266"/>
    </row>
    <row r="3562" spans="12:74">
      <c r="L3562" s="266"/>
      <c r="M3562" s="266"/>
      <c r="N3562" s="266"/>
      <c r="O3562" s="266"/>
      <c r="P3562" s="266"/>
      <c r="Q3562" s="266"/>
      <c r="BR3562" s="266"/>
      <c r="BS3562" s="266"/>
      <c r="BT3562" s="266"/>
      <c r="BU3562" s="266"/>
      <c r="BV3562" s="266"/>
    </row>
    <row r="3563" spans="12:74">
      <c r="L3563" s="266"/>
      <c r="M3563" s="266"/>
      <c r="N3563" s="266"/>
      <c r="O3563" s="266"/>
      <c r="P3563" s="266"/>
      <c r="Q3563" s="266"/>
      <c r="BR3563" s="266"/>
      <c r="BS3563" s="266"/>
      <c r="BT3563" s="266"/>
      <c r="BU3563" s="266"/>
      <c r="BV3563" s="266"/>
    </row>
    <row r="3564" spans="12:74">
      <c r="L3564" s="266"/>
      <c r="M3564" s="266"/>
      <c r="N3564" s="266"/>
      <c r="O3564" s="266"/>
      <c r="P3564" s="266"/>
      <c r="Q3564" s="266"/>
      <c r="BR3564" s="266"/>
      <c r="BS3564" s="266"/>
      <c r="BT3564" s="266"/>
      <c r="BU3564" s="266"/>
      <c r="BV3564" s="266"/>
    </row>
    <row r="3565" spans="12:74">
      <c r="L3565" s="266"/>
      <c r="M3565" s="266"/>
      <c r="N3565" s="266"/>
      <c r="O3565" s="266"/>
      <c r="P3565" s="266"/>
      <c r="Q3565" s="266"/>
      <c r="BR3565" s="266"/>
      <c r="BS3565" s="266"/>
      <c r="BT3565" s="266"/>
      <c r="BU3565" s="266"/>
      <c r="BV3565" s="266"/>
    </row>
    <row r="3566" spans="12:74">
      <c r="L3566" s="266"/>
      <c r="M3566" s="266"/>
      <c r="N3566" s="266"/>
      <c r="O3566" s="266"/>
      <c r="P3566" s="266"/>
      <c r="Q3566" s="266"/>
      <c r="BR3566" s="266"/>
      <c r="BS3566" s="266"/>
      <c r="BT3566" s="266"/>
      <c r="BU3566" s="266"/>
      <c r="BV3566" s="266"/>
    </row>
    <row r="3567" spans="12:74">
      <c r="L3567" s="266"/>
      <c r="M3567" s="266"/>
      <c r="N3567" s="266"/>
      <c r="O3567" s="266"/>
      <c r="P3567" s="266"/>
      <c r="Q3567" s="266"/>
      <c r="BR3567" s="266"/>
      <c r="BS3567" s="266"/>
      <c r="BT3567" s="266"/>
      <c r="BU3567" s="266"/>
      <c r="BV3567" s="266"/>
    </row>
    <row r="3568" spans="12:74">
      <c r="L3568" s="266"/>
      <c r="M3568" s="266"/>
      <c r="N3568" s="266"/>
      <c r="O3568" s="266"/>
      <c r="P3568" s="266"/>
      <c r="Q3568" s="266"/>
      <c r="BR3568" s="266"/>
      <c r="BS3568" s="266"/>
      <c r="BT3568" s="266"/>
      <c r="BU3568" s="266"/>
      <c r="BV3568" s="266"/>
    </row>
    <row r="3569" spans="12:74">
      <c r="L3569" s="266"/>
      <c r="M3569" s="266"/>
      <c r="N3569" s="266"/>
      <c r="O3569" s="266"/>
      <c r="P3569" s="266"/>
      <c r="Q3569" s="266"/>
      <c r="BR3569" s="266"/>
      <c r="BS3569" s="266"/>
      <c r="BT3569" s="266"/>
      <c r="BU3569" s="266"/>
      <c r="BV3569" s="266"/>
    </row>
    <row r="3570" spans="12:74">
      <c r="L3570" s="266"/>
      <c r="M3570" s="266"/>
      <c r="N3570" s="266"/>
      <c r="O3570" s="266"/>
      <c r="P3570" s="266"/>
      <c r="Q3570" s="266"/>
      <c r="BR3570" s="266"/>
      <c r="BS3570" s="266"/>
      <c r="BT3570" s="266"/>
      <c r="BU3570" s="266"/>
      <c r="BV3570" s="266"/>
    </row>
    <row r="3571" spans="12:74">
      <c r="L3571" s="266"/>
      <c r="M3571" s="266"/>
      <c r="N3571" s="266"/>
      <c r="O3571" s="266"/>
      <c r="P3571" s="266"/>
      <c r="Q3571" s="266"/>
      <c r="BR3571" s="266"/>
      <c r="BS3571" s="266"/>
      <c r="BT3571" s="266"/>
      <c r="BU3571" s="266"/>
      <c r="BV3571" s="266"/>
    </row>
    <row r="3572" spans="12:74">
      <c r="L3572" s="266"/>
      <c r="M3572" s="266"/>
      <c r="N3572" s="266"/>
      <c r="O3572" s="266"/>
      <c r="P3572" s="266"/>
      <c r="Q3572" s="266"/>
      <c r="BR3572" s="266"/>
      <c r="BS3572" s="266"/>
      <c r="BT3572" s="266"/>
      <c r="BU3572" s="266"/>
      <c r="BV3572" s="266"/>
    </row>
    <row r="3573" spans="12:74">
      <c r="L3573" s="266"/>
      <c r="M3573" s="266"/>
      <c r="N3573" s="266"/>
      <c r="O3573" s="266"/>
      <c r="P3573" s="266"/>
      <c r="Q3573" s="266"/>
      <c r="BR3573" s="266"/>
      <c r="BS3573" s="266"/>
      <c r="BT3573" s="266"/>
      <c r="BU3573" s="266"/>
      <c r="BV3573" s="266"/>
    </row>
    <row r="3574" spans="12:74">
      <c r="L3574" s="266"/>
      <c r="M3574" s="266"/>
      <c r="N3574" s="266"/>
      <c r="O3574" s="266"/>
      <c r="P3574" s="266"/>
      <c r="Q3574" s="266"/>
      <c r="BR3574" s="266"/>
      <c r="BS3574" s="266"/>
      <c r="BT3574" s="266"/>
      <c r="BU3574" s="266"/>
      <c r="BV3574" s="266"/>
    </row>
    <row r="3575" spans="12:74">
      <c r="L3575" s="266"/>
      <c r="M3575" s="266"/>
      <c r="N3575" s="266"/>
      <c r="O3575" s="266"/>
      <c r="P3575" s="266"/>
      <c r="Q3575" s="266"/>
      <c r="BR3575" s="266"/>
      <c r="BS3575" s="266"/>
      <c r="BT3575" s="266"/>
      <c r="BU3575" s="266"/>
      <c r="BV3575" s="266"/>
    </row>
    <row r="3576" spans="12:74">
      <c r="L3576" s="266"/>
      <c r="M3576" s="266"/>
      <c r="N3576" s="266"/>
      <c r="O3576" s="266"/>
      <c r="P3576" s="266"/>
      <c r="Q3576" s="266"/>
      <c r="BR3576" s="266"/>
      <c r="BS3576" s="266"/>
      <c r="BT3576" s="266"/>
      <c r="BU3576" s="266"/>
      <c r="BV3576" s="266"/>
    </row>
    <row r="3577" spans="12:74">
      <c r="L3577" s="266"/>
      <c r="M3577" s="266"/>
      <c r="N3577" s="266"/>
      <c r="O3577" s="266"/>
      <c r="P3577" s="266"/>
      <c r="Q3577" s="266"/>
      <c r="BR3577" s="266"/>
      <c r="BS3577" s="266"/>
      <c r="BT3577" s="266"/>
      <c r="BU3577" s="266"/>
      <c r="BV3577" s="266"/>
    </row>
    <row r="3578" spans="12:74">
      <c r="L3578" s="266"/>
      <c r="M3578" s="266"/>
      <c r="N3578" s="266"/>
      <c r="O3578" s="266"/>
      <c r="P3578" s="266"/>
      <c r="Q3578" s="266"/>
      <c r="BR3578" s="266"/>
      <c r="BS3578" s="266"/>
      <c r="BT3578" s="266"/>
      <c r="BU3578" s="266"/>
      <c r="BV3578" s="266"/>
    </row>
    <row r="3579" spans="12:74">
      <c r="L3579" s="266"/>
      <c r="M3579" s="266"/>
      <c r="N3579" s="266"/>
      <c r="O3579" s="266"/>
      <c r="P3579" s="266"/>
      <c r="Q3579" s="266"/>
      <c r="BR3579" s="266"/>
      <c r="BS3579" s="266"/>
      <c r="BT3579" s="266"/>
      <c r="BU3579" s="266"/>
      <c r="BV3579" s="266"/>
    </row>
    <row r="3580" spans="12:74">
      <c r="L3580" s="266"/>
      <c r="M3580" s="266"/>
      <c r="N3580" s="266"/>
      <c r="O3580" s="266"/>
      <c r="P3580" s="266"/>
      <c r="Q3580" s="266"/>
      <c r="BR3580" s="266"/>
      <c r="BS3580" s="266"/>
      <c r="BT3580" s="266"/>
      <c r="BU3580" s="266"/>
      <c r="BV3580" s="266"/>
    </row>
    <row r="3581" spans="12:74">
      <c r="L3581" s="266"/>
      <c r="M3581" s="266"/>
      <c r="N3581" s="266"/>
      <c r="O3581" s="266"/>
      <c r="P3581" s="266"/>
      <c r="Q3581" s="266"/>
      <c r="BR3581" s="266"/>
      <c r="BS3581" s="266"/>
      <c r="BT3581" s="266"/>
      <c r="BU3581" s="266"/>
      <c r="BV3581" s="266"/>
    </row>
    <row r="3582" spans="12:74">
      <c r="L3582" s="266"/>
      <c r="M3582" s="266"/>
      <c r="N3582" s="266"/>
      <c r="O3582" s="266"/>
      <c r="P3582" s="266"/>
      <c r="Q3582" s="266"/>
      <c r="BR3582" s="266"/>
      <c r="BS3582" s="266"/>
      <c r="BT3582" s="266"/>
      <c r="BU3582" s="266"/>
      <c r="BV3582" s="266"/>
    </row>
    <row r="3583" spans="12:74">
      <c r="L3583" s="266"/>
      <c r="M3583" s="266"/>
      <c r="N3583" s="266"/>
      <c r="O3583" s="266"/>
      <c r="P3583" s="266"/>
      <c r="Q3583" s="266"/>
      <c r="BR3583" s="266"/>
      <c r="BS3583" s="266"/>
      <c r="BT3583" s="266"/>
      <c r="BU3583" s="266"/>
      <c r="BV3583" s="266"/>
    </row>
    <row r="3584" spans="12:74">
      <c r="L3584" s="266"/>
      <c r="M3584" s="266"/>
      <c r="N3584" s="266"/>
      <c r="O3584" s="266"/>
      <c r="P3584" s="266"/>
      <c r="Q3584" s="266"/>
      <c r="BR3584" s="266"/>
      <c r="BS3584" s="266"/>
      <c r="BT3584" s="266"/>
      <c r="BU3584" s="266"/>
      <c r="BV3584" s="266"/>
    </row>
    <row r="3585" spans="12:74">
      <c r="L3585" s="266"/>
      <c r="M3585" s="266"/>
      <c r="N3585" s="266"/>
      <c r="O3585" s="266"/>
      <c r="P3585" s="266"/>
      <c r="Q3585" s="266"/>
      <c r="BR3585" s="266"/>
      <c r="BS3585" s="266"/>
      <c r="BT3585" s="266"/>
      <c r="BU3585" s="266"/>
      <c r="BV3585" s="266"/>
    </row>
    <row r="3586" spans="12:74">
      <c r="L3586" s="266"/>
      <c r="M3586" s="266"/>
      <c r="N3586" s="266"/>
      <c r="O3586" s="266"/>
      <c r="P3586" s="266"/>
      <c r="Q3586" s="266"/>
      <c r="BR3586" s="266"/>
      <c r="BS3586" s="266"/>
      <c r="BT3586" s="266"/>
      <c r="BU3586" s="266"/>
      <c r="BV3586" s="266"/>
    </row>
    <row r="3587" spans="12:74">
      <c r="L3587" s="266"/>
      <c r="M3587" s="266"/>
      <c r="N3587" s="266"/>
      <c r="O3587" s="266"/>
      <c r="P3587" s="266"/>
      <c r="Q3587" s="266"/>
      <c r="BR3587" s="266"/>
      <c r="BS3587" s="266"/>
      <c r="BT3587" s="266"/>
      <c r="BU3587" s="266"/>
      <c r="BV3587" s="266"/>
    </row>
    <row r="3588" spans="12:74">
      <c r="L3588" s="266"/>
      <c r="M3588" s="266"/>
      <c r="N3588" s="266"/>
      <c r="O3588" s="266"/>
      <c r="P3588" s="266"/>
      <c r="Q3588" s="266"/>
      <c r="BR3588" s="266"/>
      <c r="BS3588" s="266"/>
      <c r="BT3588" s="266"/>
      <c r="BU3588" s="266"/>
      <c r="BV3588" s="266"/>
    </row>
    <row r="3589" spans="12:74">
      <c r="L3589" s="266"/>
      <c r="M3589" s="266"/>
      <c r="N3589" s="266"/>
      <c r="O3589" s="266"/>
      <c r="P3589" s="266"/>
      <c r="Q3589" s="266"/>
      <c r="BR3589" s="266"/>
      <c r="BS3589" s="266"/>
      <c r="BT3589" s="266"/>
      <c r="BU3589" s="266"/>
      <c r="BV3589" s="266"/>
    </row>
    <row r="3590" spans="12:74">
      <c r="L3590" s="266"/>
      <c r="M3590" s="266"/>
      <c r="N3590" s="266"/>
      <c r="O3590" s="266"/>
      <c r="P3590" s="266"/>
      <c r="Q3590" s="266"/>
      <c r="BR3590" s="266"/>
      <c r="BS3590" s="266"/>
      <c r="BT3590" s="266"/>
      <c r="BU3590" s="266"/>
      <c r="BV3590" s="266"/>
    </row>
    <row r="3591" spans="12:74">
      <c r="L3591" s="266"/>
      <c r="M3591" s="266"/>
      <c r="N3591" s="266"/>
      <c r="O3591" s="266"/>
      <c r="P3591" s="266"/>
      <c r="Q3591" s="266"/>
      <c r="BR3591" s="266"/>
      <c r="BS3591" s="266"/>
      <c r="BT3591" s="266"/>
      <c r="BU3591" s="266"/>
      <c r="BV3591" s="266"/>
    </row>
    <row r="3592" spans="12:74">
      <c r="L3592" s="266"/>
      <c r="M3592" s="266"/>
      <c r="N3592" s="266"/>
      <c r="O3592" s="266"/>
      <c r="P3592" s="266"/>
      <c r="Q3592" s="266"/>
      <c r="BR3592" s="266"/>
      <c r="BS3592" s="266"/>
      <c r="BT3592" s="266"/>
      <c r="BU3592" s="266"/>
      <c r="BV3592" s="266"/>
    </row>
    <row r="3593" spans="12:74">
      <c r="L3593" s="266"/>
      <c r="M3593" s="266"/>
      <c r="N3593" s="266"/>
      <c r="O3593" s="266"/>
      <c r="P3593" s="266"/>
      <c r="Q3593" s="266"/>
      <c r="BR3593" s="266"/>
      <c r="BS3593" s="266"/>
      <c r="BT3593" s="266"/>
      <c r="BU3593" s="266"/>
      <c r="BV3593" s="266"/>
    </row>
    <row r="3594" spans="12:74">
      <c r="L3594" s="266"/>
      <c r="M3594" s="266"/>
      <c r="N3594" s="266"/>
      <c r="O3594" s="266"/>
      <c r="P3594" s="266"/>
      <c r="Q3594" s="266"/>
      <c r="BR3594" s="266"/>
      <c r="BS3594" s="266"/>
      <c r="BT3594" s="266"/>
      <c r="BU3594" s="266"/>
      <c r="BV3594" s="266"/>
    </row>
    <row r="3595" spans="12:74">
      <c r="L3595" s="266"/>
      <c r="M3595" s="266"/>
      <c r="N3595" s="266"/>
      <c r="O3595" s="266"/>
      <c r="P3595" s="266"/>
      <c r="Q3595" s="266"/>
      <c r="BR3595" s="266"/>
      <c r="BS3595" s="266"/>
      <c r="BT3595" s="266"/>
      <c r="BU3595" s="266"/>
      <c r="BV3595" s="266"/>
    </row>
    <row r="3596" spans="12:74">
      <c r="L3596" s="266"/>
      <c r="M3596" s="266"/>
      <c r="N3596" s="266"/>
      <c r="O3596" s="266"/>
      <c r="P3596" s="266"/>
      <c r="Q3596" s="266"/>
      <c r="BR3596" s="266"/>
      <c r="BS3596" s="266"/>
      <c r="BT3596" s="266"/>
      <c r="BU3596" s="266"/>
      <c r="BV3596" s="266"/>
    </row>
    <row r="3597" spans="12:74">
      <c r="L3597" s="266"/>
      <c r="M3597" s="266"/>
      <c r="N3597" s="266"/>
      <c r="O3597" s="266"/>
      <c r="P3597" s="266"/>
      <c r="Q3597" s="266"/>
      <c r="BR3597" s="266"/>
      <c r="BS3597" s="266"/>
      <c r="BT3597" s="266"/>
      <c r="BU3597" s="266"/>
      <c r="BV3597" s="266"/>
    </row>
    <row r="3598" spans="12:74">
      <c r="L3598" s="266"/>
      <c r="M3598" s="266"/>
      <c r="N3598" s="266"/>
      <c r="O3598" s="266"/>
      <c r="P3598" s="266"/>
      <c r="Q3598" s="266"/>
      <c r="BR3598" s="266"/>
      <c r="BS3598" s="266"/>
      <c r="BT3598" s="266"/>
      <c r="BU3598" s="266"/>
      <c r="BV3598" s="266"/>
    </row>
    <row r="3599" spans="12:74">
      <c r="L3599" s="266"/>
      <c r="M3599" s="266"/>
      <c r="N3599" s="266"/>
      <c r="O3599" s="266"/>
      <c r="P3599" s="266"/>
      <c r="Q3599" s="266"/>
      <c r="BR3599" s="266"/>
      <c r="BS3599" s="266"/>
      <c r="BT3599" s="266"/>
      <c r="BU3599" s="266"/>
      <c r="BV3599" s="266"/>
    </row>
    <row r="3600" spans="12:74">
      <c r="L3600" s="266"/>
      <c r="M3600" s="266"/>
      <c r="N3600" s="266"/>
      <c r="O3600" s="266"/>
      <c r="P3600" s="266"/>
      <c r="Q3600" s="266"/>
      <c r="BR3600" s="266"/>
      <c r="BS3600" s="266"/>
      <c r="BT3600" s="266"/>
      <c r="BU3600" s="266"/>
      <c r="BV3600" s="266"/>
    </row>
    <row r="3601" spans="12:74">
      <c r="L3601" s="266"/>
      <c r="M3601" s="266"/>
      <c r="N3601" s="266"/>
      <c r="O3601" s="266"/>
      <c r="P3601" s="266"/>
      <c r="Q3601" s="266"/>
      <c r="BR3601" s="266"/>
      <c r="BS3601" s="266"/>
      <c r="BT3601" s="266"/>
      <c r="BU3601" s="266"/>
      <c r="BV3601" s="266"/>
    </row>
    <row r="3602" spans="12:74">
      <c r="L3602" s="266"/>
      <c r="M3602" s="266"/>
      <c r="N3602" s="266"/>
      <c r="O3602" s="266"/>
      <c r="P3602" s="266"/>
      <c r="Q3602" s="266"/>
      <c r="BR3602" s="266"/>
      <c r="BS3602" s="266"/>
      <c r="BT3602" s="266"/>
      <c r="BU3602" s="266"/>
      <c r="BV3602" s="266"/>
    </row>
    <row r="3603" spans="12:74">
      <c r="L3603" s="266"/>
      <c r="M3603" s="266"/>
      <c r="N3603" s="266"/>
      <c r="O3603" s="266"/>
      <c r="P3603" s="266"/>
      <c r="Q3603" s="266"/>
      <c r="BR3603" s="266"/>
      <c r="BS3603" s="266"/>
      <c r="BT3603" s="266"/>
      <c r="BU3603" s="266"/>
      <c r="BV3603" s="266"/>
    </row>
    <row r="3604" spans="12:74">
      <c r="L3604" s="266"/>
      <c r="M3604" s="266"/>
      <c r="N3604" s="266"/>
      <c r="O3604" s="266"/>
      <c r="P3604" s="266"/>
      <c r="Q3604" s="266"/>
      <c r="BR3604" s="266"/>
      <c r="BS3604" s="266"/>
      <c r="BT3604" s="266"/>
      <c r="BU3604" s="266"/>
      <c r="BV3604" s="266"/>
    </row>
    <row r="3605" spans="12:74">
      <c r="L3605" s="266"/>
      <c r="M3605" s="266"/>
      <c r="N3605" s="266"/>
      <c r="O3605" s="266"/>
      <c r="P3605" s="266"/>
      <c r="Q3605" s="266"/>
      <c r="BR3605" s="266"/>
      <c r="BS3605" s="266"/>
      <c r="BT3605" s="266"/>
      <c r="BU3605" s="266"/>
      <c r="BV3605" s="266"/>
    </row>
    <row r="3606" spans="12:74">
      <c r="L3606" s="266"/>
      <c r="M3606" s="266"/>
      <c r="N3606" s="266"/>
      <c r="O3606" s="266"/>
      <c r="P3606" s="266"/>
      <c r="Q3606" s="266"/>
      <c r="BR3606" s="266"/>
      <c r="BS3606" s="266"/>
      <c r="BT3606" s="266"/>
      <c r="BU3606" s="266"/>
      <c r="BV3606" s="266"/>
    </row>
    <row r="3607" spans="12:74">
      <c r="L3607" s="266"/>
      <c r="M3607" s="266"/>
      <c r="N3607" s="266"/>
      <c r="O3607" s="266"/>
      <c r="P3607" s="266"/>
      <c r="Q3607" s="266"/>
      <c r="BR3607" s="266"/>
      <c r="BS3607" s="266"/>
      <c r="BT3607" s="266"/>
      <c r="BU3607" s="266"/>
      <c r="BV3607" s="266"/>
    </row>
    <row r="3608" spans="12:74">
      <c r="L3608" s="266"/>
      <c r="M3608" s="266"/>
      <c r="N3608" s="266"/>
      <c r="O3608" s="266"/>
      <c r="P3608" s="266"/>
      <c r="Q3608" s="266"/>
      <c r="BR3608" s="266"/>
      <c r="BS3608" s="266"/>
      <c r="BT3608" s="266"/>
      <c r="BU3608" s="266"/>
      <c r="BV3608" s="266"/>
    </row>
    <row r="3609" spans="12:74">
      <c r="L3609" s="266"/>
      <c r="M3609" s="266"/>
      <c r="N3609" s="266"/>
      <c r="O3609" s="266"/>
      <c r="P3609" s="266"/>
      <c r="Q3609" s="266"/>
      <c r="BR3609" s="266"/>
      <c r="BS3609" s="266"/>
      <c r="BT3609" s="266"/>
      <c r="BU3609" s="266"/>
      <c r="BV3609" s="266"/>
    </row>
    <row r="3610" spans="12:74">
      <c r="L3610" s="266"/>
      <c r="M3610" s="266"/>
      <c r="N3610" s="266"/>
      <c r="O3610" s="266"/>
      <c r="P3610" s="266"/>
      <c r="Q3610" s="266"/>
      <c r="BR3610" s="266"/>
      <c r="BS3610" s="266"/>
      <c r="BT3610" s="266"/>
      <c r="BU3610" s="266"/>
      <c r="BV3610" s="266"/>
    </row>
    <row r="3611" spans="12:74">
      <c r="L3611" s="266"/>
      <c r="M3611" s="266"/>
      <c r="N3611" s="266"/>
      <c r="O3611" s="266"/>
      <c r="P3611" s="266"/>
      <c r="Q3611" s="266"/>
      <c r="BR3611" s="266"/>
      <c r="BS3611" s="266"/>
      <c r="BT3611" s="266"/>
      <c r="BU3611" s="266"/>
      <c r="BV3611" s="266"/>
    </row>
    <row r="3612" spans="12:74">
      <c r="L3612" s="266"/>
      <c r="M3612" s="266"/>
      <c r="N3612" s="266"/>
      <c r="O3612" s="266"/>
      <c r="P3612" s="266"/>
      <c r="Q3612" s="266"/>
      <c r="BR3612" s="266"/>
      <c r="BS3612" s="266"/>
      <c r="BT3612" s="266"/>
      <c r="BU3612" s="266"/>
      <c r="BV3612" s="266"/>
    </row>
    <row r="3613" spans="12:74">
      <c r="L3613" s="266"/>
      <c r="M3613" s="266"/>
      <c r="N3613" s="266"/>
      <c r="O3613" s="266"/>
      <c r="P3613" s="266"/>
      <c r="Q3613" s="266"/>
      <c r="BR3613" s="266"/>
      <c r="BS3613" s="266"/>
      <c r="BT3613" s="266"/>
      <c r="BU3613" s="266"/>
      <c r="BV3613" s="266"/>
    </row>
    <row r="3614" spans="12:74">
      <c r="L3614" s="266"/>
      <c r="M3614" s="266"/>
      <c r="N3614" s="266"/>
      <c r="O3614" s="266"/>
      <c r="P3614" s="266"/>
      <c r="Q3614" s="266"/>
      <c r="BR3614" s="266"/>
      <c r="BS3614" s="266"/>
      <c r="BT3614" s="266"/>
      <c r="BU3614" s="266"/>
      <c r="BV3614" s="266"/>
    </row>
    <row r="3615" spans="12:74">
      <c r="L3615" s="266"/>
      <c r="M3615" s="266"/>
      <c r="N3615" s="266"/>
      <c r="O3615" s="266"/>
      <c r="P3615" s="266"/>
      <c r="Q3615" s="266"/>
      <c r="BR3615" s="266"/>
      <c r="BS3615" s="266"/>
      <c r="BT3615" s="266"/>
      <c r="BU3615" s="266"/>
      <c r="BV3615" s="266"/>
    </row>
    <row r="3616" spans="12:74">
      <c r="L3616" s="266"/>
      <c r="M3616" s="266"/>
      <c r="N3616" s="266"/>
      <c r="O3616" s="266"/>
      <c r="P3616" s="266"/>
      <c r="Q3616" s="266"/>
      <c r="BR3616" s="266"/>
      <c r="BS3616" s="266"/>
      <c r="BT3616" s="266"/>
      <c r="BU3616" s="266"/>
      <c r="BV3616" s="266"/>
    </row>
    <row r="3617" spans="12:74">
      <c r="L3617" s="266"/>
      <c r="M3617" s="266"/>
      <c r="N3617" s="266"/>
      <c r="O3617" s="266"/>
      <c r="P3617" s="266"/>
      <c r="Q3617" s="266"/>
      <c r="BR3617" s="266"/>
      <c r="BS3617" s="266"/>
      <c r="BT3617" s="266"/>
      <c r="BU3617" s="266"/>
      <c r="BV3617" s="266"/>
    </row>
    <row r="3618" spans="12:74">
      <c r="L3618" s="266"/>
      <c r="M3618" s="266"/>
      <c r="N3618" s="266"/>
      <c r="O3618" s="266"/>
      <c r="P3618" s="266"/>
      <c r="Q3618" s="266"/>
      <c r="BR3618" s="266"/>
      <c r="BS3618" s="266"/>
      <c r="BT3618" s="266"/>
      <c r="BU3618" s="266"/>
      <c r="BV3618" s="266"/>
    </row>
    <row r="3619" spans="12:74">
      <c r="L3619" s="266"/>
      <c r="M3619" s="266"/>
      <c r="N3619" s="266"/>
      <c r="O3619" s="266"/>
      <c r="P3619" s="266"/>
      <c r="Q3619" s="266"/>
      <c r="BR3619" s="266"/>
      <c r="BS3619" s="266"/>
      <c r="BT3619" s="266"/>
      <c r="BU3619" s="266"/>
      <c r="BV3619" s="266"/>
    </row>
    <row r="3620" spans="12:74">
      <c r="L3620" s="266"/>
      <c r="M3620" s="266"/>
      <c r="N3620" s="266"/>
      <c r="O3620" s="266"/>
      <c r="P3620" s="266"/>
      <c r="Q3620" s="266"/>
      <c r="BR3620" s="266"/>
      <c r="BS3620" s="266"/>
      <c r="BT3620" s="266"/>
      <c r="BU3620" s="266"/>
      <c r="BV3620" s="266"/>
    </row>
    <row r="3621" spans="12:74">
      <c r="L3621" s="266"/>
      <c r="M3621" s="266"/>
      <c r="N3621" s="266"/>
      <c r="O3621" s="266"/>
      <c r="P3621" s="266"/>
      <c r="Q3621" s="266"/>
      <c r="BR3621" s="266"/>
      <c r="BS3621" s="266"/>
      <c r="BT3621" s="266"/>
      <c r="BU3621" s="266"/>
      <c r="BV3621" s="266"/>
    </row>
    <row r="3622" spans="12:74">
      <c r="L3622" s="266"/>
      <c r="M3622" s="266"/>
      <c r="N3622" s="266"/>
      <c r="O3622" s="266"/>
      <c r="P3622" s="266"/>
      <c r="Q3622" s="266"/>
      <c r="BR3622" s="266"/>
      <c r="BS3622" s="266"/>
      <c r="BT3622" s="266"/>
      <c r="BU3622" s="266"/>
      <c r="BV3622" s="266"/>
    </row>
    <row r="3623" spans="12:74">
      <c r="L3623" s="266"/>
      <c r="M3623" s="266"/>
      <c r="N3623" s="266"/>
      <c r="O3623" s="266"/>
      <c r="P3623" s="266"/>
      <c r="Q3623" s="266"/>
      <c r="BR3623" s="266"/>
      <c r="BS3623" s="266"/>
      <c r="BT3623" s="266"/>
      <c r="BU3623" s="266"/>
      <c r="BV3623" s="266"/>
    </row>
    <row r="3624" spans="12:74">
      <c r="L3624" s="266"/>
      <c r="M3624" s="266"/>
      <c r="N3624" s="266"/>
      <c r="O3624" s="266"/>
      <c r="P3624" s="266"/>
      <c r="Q3624" s="266"/>
      <c r="BR3624" s="266"/>
      <c r="BS3624" s="266"/>
      <c r="BT3624" s="266"/>
      <c r="BU3624" s="266"/>
      <c r="BV3624" s="266"/>
    </row>
    <row r="3625" spans="12:74">
      <c r="L3625" s="266"/>
      <c r="M3625" s="266"/>
      <c r="N3625" s="266"/>
      <c r="O3625" s="266"/>
      <c r="P3625" s="266"/>
      <c r="Q3625" s="266"/>
      <c r="BR3625" s="266"/>
      <c r="BS3625" s="266"/>
      <c r="BT3625" s="266"/>
      <c r="BU3625" s="266"/>
      <c r="BV3625" s="266"/>
    </row>
    <row r="3626" spans="12:74">
      <c r="L3626" s="266"/>
      <c r="M3626" s="266"/>
      <c r="N3626" s="266"/>
      <c r="O3626" s="266"/>
      <c r="P3626" s="266"/>
      <c r="Q3626" s="266"/>
      <c r="BR3626" s="266"/>
      <c r="BS3626" s="266"/>
      <c r="BT3626" s="266"/>
      <c r="BU3626" s="266"/>
      <c r="BV3626" s="266"/>
    </row>
    <row r="3627" spans="12:74">
      <c r="L3627" s="266"/>
      <c r="M3627" s="266"/>
      <c r="N3627" s="266"/>
      <c r="O3627" s="266"/>
      <c r="P3627" s="266"/>
      <c r="Q3627" s="266"/>
      <c r="BR3627" s="266"/>
      <c r="BS3627" s="266"/>
      <c r="BT3627" s="266"/>
      <c r="BU3627" s="266"/>
      <c r="BV3627" s="266"/>
    </row>
    <row r="3628" spans="12:74">
      <c r="L3628" s="266"/>
      <c r="M3628" s="266"/>
      <c r="N3628" s="266"/>
      <c r="O3628" s="266"/>
      <c r="P3628" s="266"/>
      <c r="Q3628" s="266"/>
      <c r="BR3628" s="266"/>
      <c r="BS3628" s="266"/>
      <c r="BT3628" s="266"/>
      <c r="BU3628" s="266"/>
      <c r="BV3628" s="266"/>
    </row>
    <row r="3629" spans="12:74">
      <c r="L3629" s="266"/>
      <c r="M3629" s="266"/>
      <c r="N3629" s="266"/>
      <c r="O3629" s="266"/>
      <c r="P3629" s="266"/>
      <c r="Q3629" s="266"/>
      <c r="BR3629" s="266"/>
      <c r="BS3629" s="266"/>
      <c r="BT3629" s="266"/>
      <c r="BU3629" s="266"/>
      <c r="BV3629" s="266"/>
    </row>
    <row r="3630" spans="12:74">
      <c r="L3630" s="266"/>
      <c r="M3630" s="266"/>
      <c r="N3630" s="266"/>
      <c r="O3630" s="266"/>
      <c r="P3630" s="266"/>
      <c r="Q3630" s="266"/>
      <c r="BR3630" s="266"/>
      <c r="BS3630" s="266"/>
      <c r="BT3630" s="266"/>
      <c r="BU3630" s="266"/>
      <c r="BV3630" s="266"/>
    </row>
    <row r="3631" spans="12:74">
      <c r="L3631" s="266"/>
      <c r="M3631" s="266"/>
      <c r="N3631" s="266"/>
      <c r="O3631" s="266"/>
      <c r="P3631" s="266"/>
      <c r="Q3631" s="266"/>
      <c r="BR3631" s="266"/>
      <c r="BS3631" s="266"/>
      <c r="BT3631" s="266"/>
      <c r="BU3631" s="266"/>
      <c r="BV3631" s="266"/>
    </row>
    <row r="3632" spans="12:74">
      <c r="L3632" s="266"/>
      <c r="M3632" s="266"/>
      <c r="N3632" s="266"/>
      <c r="O3632" s="266"/>
      <c r="P3632" s="266"/>
      <c r="Q3632" s="266"/>
      <c r="BR3632" s="266"/>
      <c r="BS3632" s="266"/>
      <c r="BT3632" s="266"/>
      <c r="BU3632" s="266"/>
      <c r="BV3632" s="266"/>
    </row>
    <row r="3633" spans="12:74">
      <c r="L3633" s="266"/>
      <c r="M3633" s="266"/>
      <c r="N3633" s="266"/>
      <c r="O3633" s="266"/>
      <c r="P3633" s="266"/>
      <c r="Q3633" s="266"/>
      <c r="BR3633" s="266"/>
      <c r="BS3633" s="266"/>
      <c r="BT3633" s="266"/>
      <c r="BU3633" s="266"/>
      <c r="BV3633" s="266"/>
    </row>
    <row r="3634" spans="12:74">
      <c r="L3634" s="266"/>
      <c r="M3634" s="266"/>
      <c r="N3634" s="266"/>
      <c r="O3634" s="266"/>
      <c r="P3634" s="266"/>
      <c r="Q3634" s="266"/>
      <c r="BR3634" s="266"/>
      <c r="BS3634" s="266"/>
      <c r="BT3634" s="266"/>
      <c r="BU3634" s="266"/>
      <c r="BV3634" s="266"/>
    </row>
    <row r="3635" spans="12:74">
      <c r="L3635" s="266"/>
      <c r="M3635" s="266"/>
      <c r="N3635" s="266"/>
      <c r="O3635" s="266"/>
      <c r="P3635" s="266"/>
      <c r="Q3635" s="266"/>
      <c r="BR3635" s="266"/>
      <c r="BS3635" s="266"/>
      <c r="BT3635" s="266"/>
      <c r="BU3635" s="266"/>
      <c r="BV3635" s="266"/>
    </row>
    <row r="3636" spans="12:74">
      <c r="L3636" s="266"/>
      <c r="M3636" s="266"/>
      <c r="N3636" s="266"/>
      <c r="O3636" s="266"/>
      <c r="P3636" s="266"/>
      <c r="Q3636" s="266"/>
      <c r="BR3636" s="266"/>
      <c r="BS3636" s="266"/>
      <c r="BT3636" s="266"/>
      <c r="BU3636" s="266"/>
      <c r="BV3636" s="266"/>
    </row>
    <row r="3637" spans="12:74">
      <c r="L3637" s="266"/>
      <c r="M3637" s="266"/>
      <c r="N3637" s="266"/>
      <c r="O3637" s="266"/>
      <c r="P3637" s="266"/>
      <c r="Q3637" s="266"/>
      <c r="BR3637" s="266"/>
      <c r="BS3637" s="266"/>
      <c r="BT3637" s="266"/>
      <c r="BU3637" s="266"/>
      <c r="BV3637" s="266"/>
    </row>
    <row r="3638" spans="12:74">
      <c r="L3638" s="266"/>
      <c r="M3638" s="266"/>
      <c r="N3638" s="266"/>
      <c r="O3638" s="266"/>
      <c r="P3638" s="266"/>
      <c r="Q3638" s="266"/>
      <c r="BR3638" s="266"/>
      <c r="BS3638" s="266"/>
      <c r="BT3638" s="266"/>
      <c r="BU3638" s="266"/>
      <c r="BV3638" s="266"/>
    </row>
    <row r="3639" spans="12:74">
      <c r="L3639" s="266"/>
      <c r="M3639" s="266"/>
      <c r="N3639" s="266"/>
      <c r="O3639" s="266"/>
      <c r="P3639" s="266"/>
      <c r="Q3639" s="266"/>
      <c r="BR3639" s="266"/>
      <c r="BS3639" s="266"/>
      <c r="BT3639" s="266"/>
      <c r="BU3639" s="266"/>
      <c r="BV3639" s="266"/>
    </row>
    <row r="3640" spans="12:74">
      <c r="L3640" s="266"/>
      <c r="M3640" s="266"/>
      <c r="N3640" s="266"/>
      <c r="O3640" s="266"/>
      <c r="P3640" s="266"/>
      <c r="Q3640" s="266"/>
      <c r="BR3640" s="266"/>
      <c r="BS3640" s="266"/>
      <c r="BT3640" s="266"/>
      <c r="BU3640" s="266"/>
      <c r="BV3640" s="266"/>
    </row>
    <row r="3641" spans="12:74">
      <c r="L3641" s="266"/>
      <c r="M3641" s="266"/>
      <c r="N3641" s="266"/>
      <c r="O3641" s="266"/>
      <c r="P3641" s="266"/>
      <c r="Q3641" s="266"/>
      <c r="BR3641" s="266"/>
      <c r="BS3641" s="266"/>
      <c r="BT3641" s="266"/>
      <c r="BU3641" s="266"/>
      <c r="BV3641" s="266"/>
    </row>
    <row r="3642" spans="12:74">
      <c r="L3642" s="266"/>
      <c r="M3642" s="266"/>
      <c r="N3642" s="266"/>
      <c r="O3642" s="266"/>
      <c r="P3642" s="266"/>
      <c r="Q3642" s="266"/>
      <c r="BR3642" s="266"/>
      <c r="BS3642" s="266"/>
      <c r="BT3642" s="266"/>
      <c r="BU3642" s="266"/>
      <c r="BV3642" s="266"/>
    </row>
    <row r="3643" spans="12:74">
      <c r="L3643" s="266"/>
      <c r="M3643" s="266"/>
      <c r="N3643" s="266"/>
      <c r="O3643" s="266"/>
      <c r="P3643" s="266"/>
      <c r="Q3643" s="266"/>
      <c r="BR3643" s="266"/>
      <c r="BS3643" s="266"/>
      <c r="BT3643" s="266"/>
      <c r="BU3643" s="266"/>
      <c r="BV3643" s="266"/>
    </row>
    <row r="3644" spans="12:74">
      <c r="L3644" s="266"/>
      <c r="M3644" s="266"/>
      <c r="N3644" s="266"/>
      <c r="O3644" s="266"/>
      <c r="P3644" s="266"/>
      <c r="Q3644" s="266"/>
      <c r="BR3644" s="266"/>
      <c r="BS3644" s="266"/>
      <c r="BT3644" s="266"/>
      <c r="BU3644" s="266"/>
      <c r="BV3644" s="266"/>
    </row>
    <row r="3645" spans="12:74">
      <c r="L3645" s="266"/>
      <c r="M3645" s="266"/>
      <c r="N3645" s="266"/>
      <c r="O3645" s="266"/>
      <c r="P3645" s="266"/>
      <c r="Q3645" s="266"/>
      <c r="BR3645" s="266"/>
      <c r="BS3645" s="266"/>
      <c r="BT3645" s="266"/>
      <c r="BU3645" s="266"/>
      <c r="BV3645" s="266"/>
    </row>
    <row r="3646" spans="12:74">
      <c r="L3646" s="266"/>
      <c r="M3646" s="266"/>
      <c r="N3646" s="266"/>
      <c r="O3646" s="266"/>
      <c r="P3646" s="266"/>
      <c r="Q3646" s="266"/>
      <c r="BR3646" s="266"/>
      <c r="BS3646" s="266"/>
      <c r="BT3646" s="266"/>
      <c r="BU3646" s="266"/>
      <c r="BV3646" s="266"/>
    </row>
    <row r="3647" spans="12:74">
      <c r="L3647" s="266"/>
      <c r="M3647" s="266"/>
      <c r="N3647" s="266"/>
      <c r="O3647" s="266"/>
      <c r="P3647" s="266"/>
      <c r="Q3647" s="266"/>
      <c r="BR3647" s="266"/>
      <c r="BS3647" s="266"/>
      <c r="BT3647" s="266"/>
      <c r="BU3647" s="266"/>
      <c r="BV3647" s="266"/>
    </row>
    <row r="3648" spans="12:74">
      <c r="L3648" s="266"/>
      <c r="M3648" s="266"/>
      <c r="N3648" s="266"/>
      <c r="O3648" s="266"/>
      <c r="P3648" s="266"/>
      <c r="Q3648" s="266"/>
      <c r="BR3648" s="266"/>
      <c r="BS3648" s="266"/>
      <c r="BT3648" s="266"/>
      <c r="BU3648" s="266"/>
      <c r="BV3648" s="266"/>
    </row>
    <row r="3649" spans="12:74">
      <c r="L3649" s="266"/>
      <c r="M3649" s="266"/>
      <c r="N3649" s="266"/>
      <c r="O3649" s="266"/>
      <c r="P3649" s="266"/>
      <c r="Q3649" s="266"/>
      <c r="BR3649" s="266"/>
      <c r="BS3649" s="266"/>
      <c r="BT3649" s="266"/>
      <c r="BU3649" s="266"/>
      <c r="BV3649" s="266"/>
    </row>
    <row r="3650" spans="12:74">
      <c r="L3650" s="266"/>
      <c r="M3650" s="266"/>
      <c r="N3650" s="266"/>
      <c r="O3650" s="266"/>
      <c r="P3650" s="266"/>
      <c r="Q3650" s="266"/>
      <c r="BR3650" s="266"/>
      <c r="BS3650" s="266"/>
      <c r="BT3650" s="266"/>
      <c r="BU3650" s="266"/>
      <c r="BV3650" s="266"/>
    </row>
    <row r="3651" spans="12:74">
      <c r="L3651" s="266"/>
      <c r="M3651" s="266"/>
      <c r="N3651" s="266"/>
      <c r="O3651" s="266"/>
      <c r="P3651" s="266"/>
      <c r="Q3651" s="266"/>
      <c r="BR3651" s="266"/>
      <c r="BS3651" s="266"/>
      <c r="BT3651" s="266"/>
      <c r="BU3651" s="266"/>
      <c r="BV3651" s="266"/>
    </row>
    <row r="3652" spans="12:74">
      <c r="L3652" s="266"/>
      <c r="M3652" s="266"/>
      <c r="N3652" s="266"/>
      <c r="O3652" s="266"/>
      <c r="P3652" s="266"/>
      <c r="Q3652" s="266"/>
      <c r="BR3652" s="266"/>
      <c r="BS3652" s="266"/>
      <c r="BT3652" s="266"/>
      <c r="BU3652" s="266"/>
      <c r="BV3652" s="266"/>
    </row>
    <row r="3653" spans="12:74">
      <c r="L3653" s="266"/>
      <c r="M3653" s="266"/>
      <c r="N3653" s="266"/>
      <c r="O3653" s="266"/>
      <c r="P3653" s="266"/>
      <c r="Q3653" s="266"/>
      <c r="BR3653" s="266"/>
      <c r="BS3653" s="266"/>
      <c r="BT3653" s="266"/>
      <c r="BU3653" s="266"/>
      <c r="BV3653" s="266"/>
    </row>
    <row r="3654" spans="12:74">
      <c r="L3654" s="266"/>
      <c r="M3654" s="266"/>
      <c r="N3654" s="266"/>
      <c r="O3654" s="266"/>
      <c r="P3654" s="266"/>
      <c r="Q3654" s="266"/>
      <c r="BR3654" s="266"/>
      <c r="BS3654" s="266"/>
      <c r="BT3654" s="266"/>
      <c r="BU3654" s="266"/>
      <c r="BV3654" s="266"/>
    </row>
    <row r="3655" spans="12:74">
      <c r="L3655" s="266"/>
      <c r="M3655" s="266"/>
      <c r="N3655" s="266"/>
      <c r="O3655" s="266"/>
      <c r="P3655" s="266"/>
      <c r="Q3655" s="266"/>
      <c r="BR3655" s="266"/>
      <c r="BS3655" s="266"/>
      <c r="BT3655" s="266"/>
      <c r="BU3655" s="266"/>
      <c r="BV3655" s="266"/>
    </row>
    <row r="3656" spans="12:74">
      <c r="L3656" s="266"/>
      <c r="M3656" s="266"/>
      <c r="N3656" s="266"/>
      <c r="O3656" s="266"/>
      <c r="P3656" s="266"/>
      <c r="Q3656" s="266"/>
      <c r="BR3656" s="266"/>
      <c r="BS3656" s="266"/>
      <c r="BT3656" s="266"/>
      <c r="BU3656" s="266"/>
      <c r="BV3656" s="266"/>
    </row>
    <row r="3657" spans="12:74">
      <c r="L3657" s="266"/>
      <c r="M3657" s="266"/>
      <c r="N3657" s="266"/>
      <c r="O3657" s="266"/>
      <c r="P3657" s="266"/>
      <c r="Q3657" s="266"/>
      <c r="BR3657" s="266"/>
      <c r="BS3657" s="266"/>
      <c r="BT3657" s="266"/>
      <c r="BU3657" s="266"/>
      <c r="BV3657" s="266"/>
    </row>
    <row r="3658" spans="12:74">
      <c r="L3658" s="266"/>
      <c r="M3658" s="266"/>
      <c r="N3658" s="266"/>
      <c r="O3658" s="266"/>
      <c r="P3658" s="266"/>
      <c r="Q3658" s="266"/>
      <c r="BR3658" s="266"/>
      <c r="BS3658" s="266"/>
      <c r="BT3658" s="266"/>
      <c r="BU3658" s="266"/>
      <c r="BV3658" s="266"/>
    </row>
    <row r="3659" spans="12:74">
      <c r="L3659" s="266"/>
      <c r="M3659" s="266"/>
      <c r="N3659" s="266"/>
      <c r="O3659" s="266"/>
      <c r="P3659" s="266"/>
      <c r="Q3659" s="266"/>
      <c r="BR3659" s="266"/>
      <c r="BS3659" s="266"/>
      <c r="BT3659" s="266"/>
      <c r="BU3659" s="266"/>
      <c r="BV3659" s="266"/>
    </row>
    <row r="3660" spans="12:74">
      <c r="L3660" s="266"/>
      <c r="M3660" s="266"/>
      <c r="N3660" s="266"/>
      <c r="O3660" s="266"/>
      <c r="P3660" s="266"/>
      <c r="Q3660" s="266"/>
      <c r="BR3660" s="266"/>
      <c r="BS3660" s="266"/>
      <c r="BT3660" s="266"/>
      <c r="BU3660" s="266"/>
      <c r="BV3660" s="266"/>
    </row>
    <row r="3661" spans="12:74">
      <c r="L3661" s="266"/>
      <c r="M3661" s="266"/>
      <c r="N3661" s="266"/>
      <c r="O3661" s="266"/>
      <c r="P3661" s="266"/>
      <c r="Q3661" s="266"/>
      <c r="BR3661" s="266"/>
      <c r="BS3661" s="266"/>
      <c r="BT3661" s="266"/>
      <c r="BU3661" s="266"/>
      <c r="BV3661" s="266"/>
    </row>
    <row r="3662" spans="12:74">
      <c r="L3662" s="266"/>
      <c r="M3662" s="266"/>
      <c r="N3662" s="266"/>
      <c r="O3662" s="266"/>
      <c r="P3662" s="266"/>
      <c r="Q3662" s="266"/>
      <c r="BR3662" s="266"/>
      <c r="BS3662" s="266"/>
      <c r="BT3662" s="266"/>
      <c r="BU3662" s="266"/>
      <c r="BV3662" s="266"/>
    </row>
    <row r="3663" spans="12:74">
      <c r="L3663" s="266"/>
      <c r="M3663" s="266"/>
      <c r="N3663" s="266"/>
      <c r="O3663" s="266"/>
      <c r="P3663" s="266"/>
      <c r="Q3663" s="266"/>
      <c r="BR3663" s="266"/>
      <c r="BS3663" s="266"/>
      <c r="BT3663" s="266"/>
      <c r="BU3663" s="266"/>
      <c r="BV3663" s="266"/>
    </row>
    <row r="3664" spans="12:74">
      <c r="L3664" s="266"/>
      <c r="M3664" s="266"/>
      <c r="N3664" s="266"/>
      <c r="O3664" s="266"/>
      <c r="P3664" s="266"/>
      <c r="Q3664" s="266"/>
      <c r="BR3664" s="266"/>
      <c r="BS3664" s="266"/>
      <c r="BT3664" s="266"/>
      <c r="BU3664" s="266"/>
      <c r="BV3664" s="266"/>
    </row>
    <row r="3665" spans="12:74">
      <c r="L3665" s="266"/>
      <c r="M3665" s="266"/>
      <c r="N3665" s="266"/>
      <c r="O3665" s="266"/>
      <c r="P3665" s="266"/>
      <c r="Q3665" s="266"/>
      <c r="BR3665" s="266"/>
      <c r="BS3665" s="266"/>
      <c r="BT3665" s="266"/>
      <c r="BU3665" s="266"/>
      <c r="BV3665" s="266"/>
    </row>
    <row r="3666" spans="12:74">
      <c r="L3666" s="266"/>
      <c r="M3666" s="266"/>
      <c r="N3666" s="266"/>
      <c r="O3666" s="266"/>
      <c r="P3666" s="266"/>
      <c r="Q3666" s="266"/>
      <c r="BR3666" s="266"/>
      <c r="BS3666" s="266"/>
      <c r="BT3666" s="266"/>
      <c r="BU3666" s="266"/>
      <c r="BV3666" s="266"/>
    </row>
    <row r="3667" spans="12:74">
      <c r="L3667" s="266"/>
      <c r="M3667" s="266"/>
      <c r="N3667" s="266"/>
      <c r="O3667" s="266"/>
      <c r="P3667" s="266"/>
      <c r="Q3667" s="266"/>
      <c r="BR3667" s="266"/>
      <c r="BS3667" s="266"/>
      <c r="BT3667" s="266"/>
      <c r="BU3667" s="266"/>
      <c r="BV3667" s="266"/>
    </row>
    <row r="3668" spans="12:74">
      <c r="L3668" s="266"/>
      <c r="M3668" s="266"/>
      <c r="N3668" s="266"/>
      <c r="O3668" s="266"/>
      <c r="P3668" s="266"/>
      <c r="Q3668" s="266"/>
      <c r="BR3668" s="266"/>
      <c r="BS3668" s="266"/>
      <c r="BT3668" s="266"/>
      <c r="BU3668" s="266"/>
      <c r="BV3668" s="266"/>
    </row>
    <row r="3669" spans="12:74">
      <c r="L3669" s="266"/>
      <c r="M3669" s="266"/>
      <c r="N3669" s="266"/>
      <c r="O3669" s="266"/>
      <c r="P3669" s="266"/>
      <c r="Q3669" s="266"/>
      <c r="BR3669" s="266"/>
      <c r="BS3669" s="266"/>
      <c r="BT3669" s="266"/>
      <c r="BU3669" s="266"/>
      <c r="BV3669" s="266"/>
    </row>
    <row r="3670" spans="12:74">
      <c r="L3670" s="266"/>
      <c r="M3670" s="266"/>
      <c r="N3670" s="266"/>
      <c r="O3670" s="266"/>
      <c r="P3670" s="266"/>
      <c r="Q3670" s="266"/>
      <c r="BR3670" s="266"/>
      <c r="BS3670" s="266"/>
      <c r="BT3670" s="266"/>
      <c r="BU3670" s="266"/>
      <c r="BV3670" s="266"/>
    </row>
    <row r="3671" spans="12:74">
      <c r="L3671" s="266"/>
      <c r="M3671" s="266"/>
      <c r="N3671" s="266"/>
      <c r="O3671" s="266"/>
      <c r="P3671" s="266"/>
      <c r="Q3671" s="266"/>
      <c r="BR3671" s="266"/>
      <c r="BS3671" s="266"/>
      <c r="BT3671" s="266"/>
      <c r="BU3671" s="266"/>
      <c r="BV3671" s="266"/>
    </row>
    <row r="3672" spans="12:74">
      <c r="L3672" s="266"/>
      <c r="M3672" s="266"/>
      <c r="N3672" s="266"/>
      <c r="O3672" s="266"/>
      <c r="P3672" s="266"/>
      <c r="Q3672" s="266"/>
      <c r="BR3672" s="266"/>
      <c r="BS3672" s="266"/>
      <c r="BT3672" s="266"/>
      <c r="BU3672" s="266"/>
      <c r="BV3672" s="266"/>
    </row>
    <row r="3673" spans="12:74">
      <c r="L3673" s="266"/>
      <c r="M3673" s="266"/>
      <c r="N3673" s="266"/>
      <c r="O3673" s="266"/>
      <c r="P3673" s="266"/>
      <c r="Q3673" s="266"/>
      <c r="BR3673" s="266"/>
      <c r="BS3673" s="266"/>
      <c r="BT3673" s="266"/>
      <c r="BU3673" s="266"/>
      <c r="BV3673" s="266"/>
    </row>
    <row r="3674" spans="12:74">
      <c r="L3674" s="266"/>
      <c r="M3674" s="266"/>
      <c r="N3674" s="266"/>
      <c r="O3674" s="266"/>
      <c r="P3674" s="266"/>
      <c r="Q3674" s="266"/>
      <c r="BR3674" s="266"/>
      <c r="BS3674" s="266"/>
      <c r="BT3674" s="266"/>
      <c r="BU3674" s="266"/>
      <c r="BV3674" s="266"/>
    </row>
    <row r="3675" spans="12:74">
      <c r="L3675" s="266"/>
      <c r="M3675" s="266"/>
      <c r="N3675" s="266"/>
      <c r="O3675" s="266"/>
      <c r="P3675" s="266"/>
      <c r="Q3675" s="266"/>
      <c r="BR3675" s="266"/>
      <c r="BS3675" s="266"/>
      <c r="BT3675" s="266"/>
      <c r="BU3675" s="266"/>
      <c r="BV3675" s="266"/>
    </row>
    <row r="3676" spans="12:74">
      <c r="L3676" s="266"/>
      <c r="M3676" s="266"/>
      <c r="N3676" s="266"/>
      <c r="O3676" s="266"/>
      <c r="P3676" s="266"/>
      <c r="Q3676" s="266"/>
      <c r="BR3676" s="266"/>
      <c r="BS3676" s="266"/>
      <c r="BT3676" s="266"/>
      <c r="BU3676" s="266"/>
      <c r="BV3676" s="266"/>
    </row>
    <row r="3677" spans="12:74">
      <c r="L3677" s="266"/>
      <c r="M3677" s="266"/>
      <c r="N3677" s="266"/>
      <c r="O3677" s="266"/>
      <c r="P3677" s="266"/>
      <c r="Q3677" s="266"/>
      <c r="BR3677" s="266"/>
      <c r="BS3677" s="266"/>
      <c r="BT3677" s="266"/>
      <c r="BU3677" s="266"/>
      <c r="BV3677" s="266"/>
    </row>
    <row r="3678" spans="12:74">
      <c r="L3678" s="266"/>
      <c r="M3678" s="266"/>
      <c r="N3678" s="266"/>
      <c r="O3678" s="266"/>
      <c r="P3678" s="266"/>
      <c r="Q3678" s="266"/>
      <c r="BR3678" s="266"/>
      <c r="BS3678" s="266"/>
      <c r="BT3678" s="266"/>
      <c r="BU3678" s="266"/>
      <c r="BV3678" s="266"/>
    </row>
    <row r="3679" spans="12:74">
      <c r="L3679" s="266"/>
      <c r="M3679" s="266"/>
      <c r="N3679" s="266"/>
      <c r="O3679" s="266"/>
      <c r="P3679" s="266"/>
      <c r="Q3679" s="266"/>
      <c r="BR3679" s="266"/>
      <c r="BS3679" s="266"/>
      <c r="BT3679" s="266"/>
      <c r="BU3679" s="266"/>
      <c r="BV3679" s="266"/>
    </row>
    <row r="3680" spans="12:74">
      <c r="L3680" s="266"/>
      <c r="M3680" s="266"/>
      <c r="N3680" s="266"/>
      <c r="O3680" s="266"/>
      <c r="P3680" s="266"/>
      <c r="Q3680" s="266"/>
      <c r="BR3680" s="266"/>
      <c r="BS3680" s="266"/>
      <c r="BT3680" s="266"/>
      <c r="BU3680" s="266"/>
      <c r="BV3680" s="266"/>
    </row>
    <row r="3681" spans="12:74">
      <c r="L3681" s="266"/>
      <c r="M3681" s="266"/>
      <c r="N3681" s="266"/>
      <c r="O3681" s="266"/>
      <c r="P3681" s="266"/>
      <c r="Q3681" s="266"/>
      <c r="BR3681" s="266"/>
      <c r="BS3681" s="266"/>
      <c r="BT3681" s="266"/>
      <c r="BU3681" s="266"/>
      <c r="BV3681" s="266"/>
    </row>
    <row r="3682" spans="12:74">
      <c r="L3682" s="266"/>
      <c r="M3682" s="266"/>
      <c r="N3682" s="266"/>
      <c r="O3682" s="266"/>
      <c r="P3682" s="266"/>
      <c r="Q3682" s="266"/>
      <c r="BR3682" s="266"/>
      <c r="BS3682" s="266"/>
      <c r="BT3682" s="266"/>
      <c r="BU3682" s="266"/>
      <c r="BV3682" s="266"/>
    </row>
    <row r="3683" spans="12:74">
      <c r="L3683" s="266"/>
      <c r="M3683" s="266"/>
      <c r="N3683" s="266"/>
      <c r="O3683" s="266"/>
      <c r="P3683" s="266"/>
      <c r="Q3683" s="266"/>
      <c r="BR3683" s="266"/>
      <c r="BS3683" s="266"/>
      <c r="BT3683" s="266"/>
      <c r="BU3683" s="266"/>
      <c r="BV3683" s="266"/>
    </row>
    <row r="3684" spans="12:74">
      <c r="L3684" s="266"/>
      <c r="M3684" s="266"/>
      <c r="N3684" s="266"/>
      <c r="O3684" s="266"/>
      <c r="P3684" s="266"/>
      <c r="Q3684" s="266"/>
      <c r="BR3684" s="266"/>
      <c r="BS3684" s="266"/>
      <c r="BT3684" s="266"/>
      <c r="BU3684" s="266"/>
      <c r="BV3684" s="266"/>
    </row>
    <row r="3685" spans="12:74">
      <c r="L3685" s="266"/>
      <c r="M3685" s="266"/>
      <c r="N3685" s="266"/>
      <c r="O3685" s="266"/>
      <c r="P3685" s="266"/>
      <c r="Q3685" s="266"/>
      <c r="BR3685" s="266"/>
      <c r="BS3685" s="266"/>
      <c r="BT3685" s="266"/>
      <c r="BU3685" s="266"/>
      <c r="BV3685" s="266"/>
    </row>
    <row r="3686" spans="12:74">
      <c r="L3686" s="266"/>
      <c r="M3686" s="266"/>
      <c r="N3686" s="266"/>
      <c r="O3686" s="266"/>
      <c r="P3686" s="266"/>
      <c r="Q3686" s="266"/>
      <c r="BR3686" s="266"/>
      <c r="BS3686" s="266"/>
      <c r="BT3686" s="266"/>
      <c r="BU3686" s="266"/>
      <c r="BV3686" s="266"/>
    </row>
    <row r="3687" spans="12:74">
      <c r="L3687" s="266"/>
      <c r="M3687" s="266"/>
      <c r="N3687" s="266"/>
      <c r="O3687" s="266"/>
      <c r="P3687" s="266"/>
      <c r="Q3687" s="266"/>
      <c r="BR3687" s="266"/>
      <c r="BS3687" s="266"/>
      <c r="BT3687" s="266"/>
      <c r="BU3687" s="266"/>
      <c r="BV3687" s="266"/>
    </row>
    <row r="3688" spans="12:74">
      <c r="L3688" s="266"/>
      <c r="M3688" s="266"/>
      <c r="N3688" s="266"/>
      <c r="O3688" s="266"/>
      <c r="P3688" s="266"/>
      <c r="Q3688" s="266"/>
      <c r="BR3688" s="266"/>
      <c r="BS3688" s="266"/>
      <c r="BT3688" s="266"/>
      <c r="BU3688" s="266"/>
      <c r="BV3688" s="266"/>
    </row>
    <row r="3689" spans="12:74">
      <c r="L3689" s="266"/>
      <c r="M3689" s="266"/>
      <c r="N3689" s="266"/>
      <c r="O3689" s="266"/>
      <c r="P3689" s="266"/>
      <c r="Q3689" s="266"/>
      <c r="BR3689" s="266"/>
      <c r="BS3689" s="266"/>
      <c r="BT3689" s="266"/>
      <c r="BU3689" s="266"/>
      <c r="BV3689" s="266"/>
    </row>
    <row r="3690" spans="12:74">
      <c r="L3690" s="266"/>
      <c r="M3690" s="266"/>
      <c r="N3690" s="266"/>
      <c r="O3690" s="266"/>
      <c r="P3690" s="266"/>
      <c r="Q3690" s="266"/>
      <c r="BR3690" s="266"/>
      <c r="BS3690" s="266"/>
      <c r="BT3690" s="266"/>
      <c r="BU3690" s="266"/>
      <c r="BV3690" s="266"/>
    </row>
    <row r="3691" spans="12:74">
      <c r="L3691" s="266"/>
      <c r="M3691" s="266"/>
      <c r="N3691" s="266"/>
      <c r="O3691" s="266"/>
      <c r="P3691" s="266"/>
      <c r="Q3691" s="266"/>
      <c r="BR3691" s="266"/>
      <c r="BS3691" s="266"/>
      <c r="BT3691" s="266"/>
      <c r="BU3691" s="266"/>
      <c r="BV3691" s="266"/>
    </row>
    <row r="3692" spans="12:74">
      <c r="L3692" s="266"/>
      <c r="M3692" s="266"/>
      <c r="N3692" s="266"/>
      <c r="O3692" s="266"/>
      <c r="P3692" s="266"/>
      <c r="Q3692" s="266"/>
      <c r="BR3692" s="266"/>
      <c r="BS3692" s="266"/>
      <c r="BT3692" s="266"/>
      <c r="BU3692" s="266"/>
      <c r="BV3692" s="266"/>
    </row>
    <row r="3693" spans="12:74">
      <c r="L3693" s="266"/>
      <c r="M3693" s="266"/>
      <c r="N3693" s="266"/>
      <c r="O3693" s="266"/>
      <c r="P3693" s="266"/>
      <c r="Q3693" s="266"/>
      <c r="BR3693" s="266"/>
      <c r="BS3693" s="266"/>
      <c r="BT3693" s="266"/>
      <c r="BU3693" s="266"/>
      <c r="BV3693" s="266"/>
    </row>
    <row r="3694" spans="12:74">
      <c r="L3694" s="266"/>
      <c r="M3694" s="266"/>
      <c r="N3694" s="266"/>
      <c r="O3694" s="266"/>
      <c r="P3694" s="266"/>
      <c r="Q3694" s="266"/>
      <c r="BR3694" s="266"/>
      <c r="BS3694" s="266"/>
      <c r="BT3694" s="266"/>
      <c r="BU3694" s="266"/>
      <c r="BV3694" s="266"/>
    </row>
    <row r="3695" spans="12:74">
      <c r="L3695" s="266"/>
      <c r="M3695" s="266"/>
      <c r="N3695" s="266"/>
      <c r="O3695" s="266"/>
      <c r="P3695" s="266"/>
      <c r="Q3695" s="266"/>
      <c r="BR3695" s="266"/>
      <c r="BS3695" s="266"/>
      <c r="BT3695" s="266"/>
      <c r="BU3695" s="266"/>
      <c r="BV3695" s="266"/>
    </row>
    <row r="3696" spans="12:74">
      <c r="L3696" s="266"/>
      <c r="M3696" s="266"/>
      <c r="N3696" s="266"/>
      <c r="O3696" s="266"/>
      <c r="P3696" s="266"/>
      <c r="Q3696" s="266"/>
      <c r="BR3696" s="266"/>
      <c r="BS3696" s="266"/>
      <c r="BT3696" s="266"/>
      <c r="BU3696" s="266"/>
      <c r="BV3696" s="266"/>
    </row>
    <row r="3697" spans="12:74">
      <c r="L3697" s="266"/>
      <c r="M3697" s="266"/>
      <c r="N3697" s="266"/>
      <c r="O3697" s="266"/>
      <c r="P3697" s="266"/>
      <c r="Q3697" s="266"/>
      <c r="BR3697" s="266"/>
      <c r="BS3697" s="266"/>
      <c r="BT3697" s="266"/>
      <c r="BU3697" s="266"/>
      <c r="BV3697" s="266"/>
    </row>
    <row r="3698" spans="12:74">
      <c r="L3698" s="266"/>
      <c r="M3698" s="266"/>
      <c r="N3698" s="266"/>
      <c r="O3698" s="266"/>
      <c r="P3698" s="266"/>
      <c r="Q3698" s="266"/>
      <c r="BR3698" s="266"/>
      <c r="BS3698" s="266"/>
      <c r="BT3698" s="266"/>
      <c r="BU3698" s="266"/>
      <c r="BV3698" s="266"/>
    </row>
    <row r="3699" spans="12:74">
      <c r="L3699" s="266"/>
      <c r="M3699" s="266"/>
      <c r="N3699" s="266"/>
      <c r="O3699" s="266"/>
      <c r="P3699" s="266"/>
      <c r="Q3699" s="266"/>
      <c r="BR3699" s="266"/>
      <c r="BS3699" s="266"/>
      <c r="BT3699" s="266"/>
      <c r="BU3699" s="266"/>
      <c r="BV3699" s="266"/>
    </row>
    <row r="3700" spans="12:74">
      <c r="L3700" s="266"/>
      <c r="M3700" s="266"/>
      <c r="N3700" s="266"/>
      <c r="O3700" s="266"/>
      <c r="P3700" s="266"/>
      <c r="Q3700" s="266"/>
      <c r="BR3700" s="266"/>
      <c r="BS3700" s="266"/>
      <c r="BT3700" s="266"/>
      <c r="BU3700" s="266"/>
      <c r="BV3700" s="266"/>
    </row>
    <row r="3701" spans="12:74">
      <c r="L3701" s="266"/>
      <c r="M3701" s="266"/>
      <c r="N3701" s="266"/>
      <c r="O3701" s="266"/>
      <c r="P3701" s="266"/>
      <c r="Q3701" s="266"/>
      <c r="BR3701" s="266"/>
      <c r="BS3701" s="266"/>
      <c r="BT3701" s="266"/>
      <c r="BU3701" s="266"/>
      <c r="BV3701" s="266"/>
    </row>
    <row r="3702" spans="12:74">
      <c r="L3702" s="266"/>
      <c r="M3702" s="266"/>
      <c r="N3702" s="266"/>
      <c r="O3702" s="266"/>
      <c r="P3702" s="266"/>
      <c r="Q3702" s="266"/>
      <c r="BR3702" s="266"/>
      <c r="BS3702" s="266"/>
      <c r="BT3702" s="266"/>
      <c r="BU3702" s="266"/>
      <c r="BV3702" s="266"/>
    </row>
    <row r="3703" spans="12:74">
      <c r="L3703" s="266"/>
      <c r="M3703" s="266"/>
      <c r="N3703" s="266"/>
      <c r="O3703" s="266"/>
      <c r="P3703" s="266"/>
      <c r="Q3703" s="266"/>
      <c r="BR3703" s="266"/>
      <c r="BS3703" s="266"/>
      <c r="BT3703" s="266"/>
      <c r="BU3703" s="266"/>
      <c r="BV3703" s="266"/>
    </row>
    <row r="3704" spans="12:74">
      <c r="L3704" s="266"/>
      <c r="M3704" s="266"/>
      <c r="N3704" s="266"/>
      <c r="O3704" s="266"/>
      <c r="P3704" s="266"/>
      <c r="Q3704" s="266"/>
      <c r="BR3704" s="266"/>
      <c r="BS3704" s="266"/>
      <c r="BT3704" s="266"/>
      <c r="BU3704" s="266"/>
      <c r="BV3704" s="266"/>
    </row>
    <row r="3705" spans="12:74">
      <c r="L3705" s="266"/>
      <c r="M3705" s="266"/>
      <c r="N3705" s="266"/>
      <c r="O3705" s="266"/>
      <c r="P3705" s="266"/>
      <c r="Q3705" s="266"/>
      <c r="BR3705" s="266"/>
      <c r="BS3705" s="266"/>
      <c r="BT3705" s="266"/>
      <c r="BU3705" s="266"/>
      <c r="BV3705" s="266"/>
    </row>
    <row r="3706" spans="12:74">
      <c r="L3706" s="266"/>
      <c r="M3706" s="266"/>
      <c r="N3706" s="266"/>
      <c r="O3706" s="266"/>
      <c r="P3706" s="266"/>
      <c r="Q3706" s="266"/>
      <c r="BR3706" s="266"/>
      <c r="BS3706" s="266"/>
      <c r="BT3706" s="266"/>
      <c r="BU3706" s="266"/>
      <c r="BV3706" s="266"/>
    </row>
    <row r="3707" spans="12:74">
      <c r="L3707" s="266"/>
      <c r="M3707" s="266"/>
      <c r="N3707" s="266"/>
      <c r="O3707" s="266"/>
      <c r="P3707" s="266"/>
      <c r="Q3707" s="266"/>
      <c r="BR3707" s="266"/>
      <c r="BS3707" s="266"/>
      <c r="BT3707" s="266"/>
      <c r="BU3707" s="266"/>
      <c r="BV3707" s="266"/>
    </row>
    <row r="3708" spans="12:74">
      <c r="L3708" s="266"/>
      <c r="M3708" s="266"/>
      <c r="N3708" s="266"/>
      <c r="O3708" s="266"/>
      <c r="P3708" s="266"/>
      <c r="Q3708" s="266"/>
      <c r="BR3708" s="266"/>
      <c r="BS3708" s="266"/>
      <c r="BT3708" s="266"/>
      <c r="BU3708" s="266"/>
      <c r="BV3708" s="266"/>
    </row>
    <row r="3709" spans="12:74">
      <c r="L3709" s="266"/>
      <c r="M3709" s="266"/>
      <c r="N3709" s="266"/>
      <c r="O3709" s="266"/>
      <c r="P3709" s="266"/>
      <c r="Q3709" s="266"/>
      <c r="BR3709" s="266"/>
      <c r="BS3709" s="266"/>
      <c r="BT3709" s="266"/>
      <c r="BU3709" s="266"/>
      <c r="BV3709" s="266"/>
    </row>
    <row r="3710" spans="12:74">
      <c r="L3710" s="266"/>
      <c r="M3710" s="266"/>
      <c r="N3710" s="266"/>
      <c r="O3710" s="266"/>
      <c r="P3710" s="266"/>
      <c r="Q3710" s="266"/>
      <c r="BR3710" s="266"/>
      <c r="BS3710" s="266"/>
      <c r="BT3710" s="266"/>
      <c r="BU3710" s="266"/>
      <c r="BV3710" s="266"/>
    </row>
    <row r="3711" spans="12:74">
      <c r="L3711" s="266"/>
      <c r="M3711" s="266"/>
      <c r="N3711" s="266"/>
      <c r="O3711" s="266"/>
      <c r="P3711" s="266"/>
      <c r="Q3711" s="266"/>
      <c r="BR3711" s="266"/>
      <c r="BS3711" s="266"/>
      <c r="BT3711" s="266"/>
      <c r="BU3711" s="266"/>
      <c r="BV3711" s="266"/>
    </row>
    <row r="3712" spans="12:74">
      <c r="L3712" s="266"/>
      <c r="M3712" s="266"/>
      <c r="N3712" s="266"/>
      <c r="O3712" s="266"/>
      <c r="P3712" s="266"/>
      <c r="Q3712" s="266"/>
      <c r="BR3712" s="266"/>
      <c r="BS3712" s="266"/>
      <c r="BT3712" s="266"/>
      <c r="BU3712" s="266"/>
      <c r="BV3712" s="266"/>
    </row>
    <row r="3713" spans="12:74">
      <c r="L3713" s="266"/>
      <c r="M3713" s="266"/>
      <c r="N3713" s="266"/>
      <c r="O3713" s="266"/>
      <c r="P3713" s="266"/>
      <c r="Q3713" s="266"/>
      <c r="BR3713" s="266"/>
      <c r="BS3713" s="266"/>
      <c r="BT3713" s="266"/>
      <c r="BU3713" s="266"/>
      <c r="BV3713" s="266"/>
    </row>
    <row r="3714" spans="12:74">
      <c r="L3714" s="266"/>
      <c r="M3714" s="266"/>
      <c r="N3714" s="266"/>
      <c r="O3714" s="266"/>
      <c r="P3714" s="266"/>
      <c r="Q3714" s="266"/>
      <c r="BR3714" s="266"/>
      <c r="BS3714" s="266"/>
      <c r="BT3714" s="266"/>
      <c r="BU3714" s="266"/>
      <c r="BV3714" s="266"/>
    </row>
    <row r="3715" spans="12:74">
      <c r="L3715" s="266"/>
      <c r="M3715" s="266"/>
      <c r="N3715" s="266"/>
      <c r="O3715" s="266"/>
      <c r="P3715" s="266"/>
      <c r="Q3715" s="266"/>
      <c r="BR3715" s="266"/>
      <c r="BS3715" s="266"/>
      <c r="BT3715" s="266"/>
      <c r="BU3715" s="266"/>
      <c r="BV3715" s="266"/>
    </row>
    <row r="3716" spans="12:74">
      <c r="L3716" s="266"/>
      <c r="M3716" s="266"/>
      <c r="N3716" s="266"/>
      <c r="O3716" s="266"/>
      <c r="P3716" s="266"/>
      <c r="Q3716" s="266"/>
      <c r="BR3716" s="266"/>
      <c r="BS3716" s="266"/>
      <c r="BT3716" s="266"/>
      <c r="BU3716" s="266"/>
      <c r="BV3716" s="266"/>
    </row>
    <row r="3717" spans="12:74">
      <c r="L3717" s="266"/>
      <c r="M3717" s="266"/>
      <c r="N3717" s="266"/>
      <c r="O3717" s="266"/>
      <c r="P3717" s="266"/>
      <c r="Q3717" s="266"/>
      <c r="BR3717" s="266"/>
      <c r="BS3717" s="266"/>
      <c r="BT3717" s="266"/>
      <c r="BU3717" s="266"/>
      <c r="BV3717" s="266"/>
    </row>
    <row r="3718" spans="12:74">
      <c r="L3718" s="266"/>
      <c r="M3718" s="266"/>
      <c r="N3718" s="266"/>
      <c r="O3718" s="266"/>
      <c r="P3718" s="266"/>
      <c r="Q3718" s="266"/>
      <c r="BR3718" s="266"/>
      <c r="BS3718" s="266"/>
      <c r="BT3718" s="266"/>
      <c r="BU3718" s="266"/>
      <c r="BV3718" s="266"/>
    </row>
    <row r="3719" spans="12:74">
      <c r="L3719" s="266"/>
      <c r="M3719" s="266"/>
      <c r="N3719" s="266"/>
      <c r="O3719" s="266"/>
      <c r="P3719" s="266"/>
      <c r="Q3719" s="266"/>
      <c r="BR3719" s="266"/>
      <c r="BS3719" s="266"/>
      <c r="BT3719" s="266"/>
      <c r="BU3719" s="266"/>
      <c r="BV3719" s="266"/>
    </row>
    <row r="3720" spans="12:74">
      <c r="L3720" s="266"/>
      <c r="M3720" s="266"/>
      <c r="N3720" s="266"/>
      <c r="O3720" s="266"/>
      <c r="P3720" s="266"/>
      <c r="Q3720" s="266"/>
      <c r="BR3720" s="266"/>
      <c r="BS3720" s="266"/>
      <c r="BT3720" s="266"/>
      <c r="BU3720" s="266"/>
      <c r="BV3720" s="266"/>
    </row>
    <row r="3721" spans="12:74">
      <c r="L3721" s="266"/>
      <c r="M3721" s="266"/>
      <c r="N3721" s="266"/>
      <c r="O3721" s="266"/>
      <c r="P3721" s="266"/>
      <c r="Q3721" s="266"/>
      <c r="BR3721" s="266"/>
      <c r="BS3721" s="266"/>
      <c r="BT3721" s="266"/>
      <c r="BU3721" s="266"/>
      <c r="BV3721" s="266"/>
    </row>
    <row r="3722" spans="12:74">
      <c r="L3722" s="266"/>
      <c r="M3722" s="266"/>
      <c r="N3722" s="266"/>
      <c r="O3722" s="266"/>
      <c r="P3722" s="266"/>
      <c r="Q3722" s="266"/>
      <c r="BR3722" s="266"/>
      <c r="BS3722" s="266"/>
      <c r="BT3722" s="266"/>
      <c r="BU3722" s="266"/>
      <c r="BV3722" s="266"/>
    </row>
    <row r="3723" spans="12:74">
      <c r="L3723" s="266"/>
      <c r="M3723" s="266"/>
      <c r="N3723" s="266"/>
      <c r="O3723" s="266"/>
      <c r="P3723" s="266"/>
      <c r="Q3723" s="266"/>
      <c r="BR3723" s="266"/>
      <c r="BS3723" s="266"/>
      <c r="BT3723" s="266"/>
      <c r="BU3723" s="266"/>
      <c r="BV3723" s="266"/>
    </row>
    <row r="3724" spans="12:74">
      <c r="L3724" s="266"/>
      <c r="M3724" s="266"/>
      <c r="N3724" s="266"/>
      <c r="O3724" s="266"/>
      <c r="P3724" s="266"/>
      <c r="Q3724" s="266"/>
      <c r="BR3724" s="266"/>
      <c r="BS3724" s="266"/>
      <c r="BT3724" s="266"/>
      <c r="BU3724" s="266"/>
      <c r="BV3724" s="266"/>
    </row>
    <row r="3725" spans="12:74">
      <c r="L3725" s="266"/>
      <c r="M3725" s="266"/>
      <c r="N3725" s="266"/>
      <c r="O3725" s="266"/>
      <c r="P3725" s="266"/>
      <c r="Q3725" s="266"/>
      <c r="BR3725" s="266"/>
      <c r="BS3725" s="266"/>
      <c r="BT3725" s="266"/>
      <c r="BU3725" s="266"/>
      <c r="BV3725" s="266"/>
    </row>
    <row r="3726" spans="12:74">
      <c r="L3726" s="266"/>
      <c r="M3726" s="266"/>
      <c r="N3726" s="266"/>
      <c r="O3726" s="266"/>
      <c r="P3726" s="266"/>
      <c r="Q3726" s="266"/>
      <c r="BR3726" s="266"/>
      <c r="BS3726" s="266"/>
      <c r="BT3726" s="266"/>
      <c r="BU3726" s="266"/>
      <c r="BV3726" s="266"/>
    </row>
    <row r="3727" spans="12:74">
      <c r="L3727" s="266"/>
      <c r="M3727" s="266"/>
      <c r="N3727" s="266"/>
      <c r="O3727" s="266"/>
      <c r="P3727" s="266"/>
      <c r="Q3727" s="266"/>
      <c r="BR3727" s="266"/>
      <c r="BS3727" s="266"/>
      <c r="BT3727" s="266"/>
      <c r="BU3727" s="266"/>
      <c r="BV3727" s="266"/>
    </row>
    <row r="3728" spans="12:74">
      <c r="L3728" s="266"/>
      <c r="M3728" s="266"/>
      <c r="N3728" s="266"/>
      <c r="O3728" s="266"/>
      <c r="P3728" s="266"/>
      <c r="Q3728" s="266"/>
      <c r="BR3728" s="266"/>
      <c r="BS3728" s="266"/>
      <c r="BT3728" s="266"/>
      <c r="BU3728" s="266"/>
      <c r="BV3728" s="266"/>
    </row>
    <row r="3729" spans="12:74">
      <c r="L3729" s="266"/>
      <c r="M3729" s="266"/>
      <c r="N3729" s="266"/>
      <c r="O3729" s="266"/>
      <c r="P3729" s="266"/>
      <c r="Q3729" s="266"/>
      <c r="BR3729" s="266"/>
      <c r="BS3729" s="266"/>
      <c r="BT3729" s="266"/>
      <c r="BU3729" s="266"/>
      <c r="BV3729" s="266"/>
    </row>
    <row r="3730" spans="12:74">
      <c r="L3730" s="266"/>
      <c r="M3730" s="266"/>
      <c r="N3730" s="266"/>
      <c r="O3730" s="266"/>
      <c r="P3730" s="266"/>
      <c r="Q3730" s="266"/>
      <c r="BR3730" s="266"/>
      <c r="BS3730" s="266"/>
      <c r="BT3730" s="266"/>
      <c r="BU3730" s="266"/>
      <c r="BV3730" s="266"/>
    </row>
    <row r="3731" spans="12:74">
      <c r="L3731" s="266"/>
      <c r="M3731" s="266"/>
      <c r="N3731" s="266"/>
      <c r="O3731" s="266"/>
      <c r="P3731" s="266"/>
      <c r="Q3731" s="266"/>
      <c r="BR3731" s="266"/>
      <c r="BS3731" s="266"/>
      <c r="BT3731" s="266"/>
      <c r="BU3731" s="266"/>
      <c r="BV3731" s="266"/>
    </row>
    <row r="3732" spans="12:74">
      <c r="L3732" s="266"/>
      <c r="M3732" s="266"/>
      <c r="N3732" s="266"/>
      <c r="O3732" s="266"/>
      <c r="P3732" s="266"/>
      <c r="Q3732" s="266"/>
      <c r="BR3732" s="266"/>
      <c r="BS3732" s="266"/>
      <c r="BT3732" s="266"/>
      <c r="BU3732" s="266"/>
      <c r="BV3732" s="266"/>
    </row>
    <row r="3733" spans="12:74">
      <c r="L3733" s="266"/>
      <c r="M3733" s="266"/>
      <c r="N3733" s="266"/>
      <c r="O3733" s="266"/>
      <c r="P3733" s="266"/>
      <c r="Q3733" s="266"/>
      <c r="BR3733" s="266"/>
      <c r="BS3733" s="266"/>
      <c r="BT3733" s="266"/>
      <c r="BU3733" s="266"/>
      <c r="BV3733" s="266"/>
    </row>
    <row r="3734" spans="12:74">
      <c r="L3734" s="266"/>
      <c r="M3734" s="266"/>
      <c r="N3734" s="266"/>
      <c r="O3734" s="266"/>
      <c r="P3734" s="266"/>
      <c r="Q3734" s="266"/>
      <c r="BR3734" s="266"/>
      <c r="BS3734" s="266"/>
      <c r="BT3734" s="266"/>
      <c r="BU3734" s="266"/>
      <c r="BV3734" s="266"/>
    </row>
    <row r="3735" spans="12:74">
      <c r="L3735" s="266"/>
      <c r="M3735" s="266"/>
      <c r="N3735" s="266"/>
      <c r="O3735" s="266"/>
      <c r="P3735" s="266"/>
      <c r="Q3735" s="266"/>
      <c r="BR3735" s="266"/>
      <c r="BS3735" s="266"/>
      <c r="BT3735" s="266"/>
      <c r="BU3735" s="266"/>
      <c r="BV3735" s="266"/>
    </row>
    <row r="3736" spans="12:74">
      <c r="L3736" s="266"/>
      <c r="M3736" s="266"/>
      <c r="N3736" s="266"/>
      <c r="O3736" s="266"/>
      <c r="P3736" s="266"/>
      <c r="Q3736" s="266"/>
      <c r="BR3736" s="266"/>
      <c r="BS3736" s="266"/>
      <c r="BT3736" s="266"/>
      <c r="BU3736" s="266"/>
      <c r="BV3736" s="266"/>
    </row>
    <row r="3737" spans="12:74">
      <c r="L3737" s="266"/>
      <c r="M3737" s="266"/>
      <c r="N3737" s="266"/>
      <c r="O3737" s="266"/>
      <c r="P3737" s="266"/>
      <c r="Q3737" s="266"/>
      <c r="BR3737" s="266"/>
      <c r="BS3737" s="266"/>
      <c r="BT3737" s="266"/>
      <c r="BU3737" s="266"/>
      <c r="BV3737" s="266"/>
    </row>
    <row r="3738" spans="12:74">
      <c r="L3738" s="266"/>
      <c r="M3738" s="266"/>
      <c r="N3738" s="266"/>
      <c r="O3738" s="266"/>
      <c r="P3738" s="266"/>
      <c r="Q3738" s="266"/>
      <c r="BR3738" s="266"/>
      <c r="BS3738" s="266"/>
      <c r="BT3738" s="266"/>
      <c r="BU3738" s="266"/>
      <c r="BV3738" s="266"/>
    </row>
    <row r="3739" spans="12:74">
      <c r="L3739" s="266"/>
      <c r="M3739" s="266"/>
      <c r="N3739" s="266"/>
      <c r="O3739" s="266"/>
      <c r="P3739" s="266"/>
      <c r="Q3739" s="266"/>
      <c r="BR3739" s="266"/>
      <c r="BS3739" s="266"/>
      <c r="BT3739" s="266"/>
      <c r="BU3739" s="266"/>
      <c r="BV3739" s="266"/>
    </row>
    <row r="3740" spans="12:74">
      <c r="L3740" s="266"/>
      <c r="M3740" s="266"/>
      <c r="N3740" s="266"/>
      <c r="O3740" s="266"/>
      <c r="P3740" s="266"/>
      <c r="Q3740" s="266"/>
      <c r="BR3740" s="266"/>
      <c r="BS3740" s="266"/>
      <c r="BT3740" s="266"/>
      <c r="BU3740" s="266"/>
      <c r="BV3740" s="266"/>
    </row>
    <row r="3741" spans="12:74">
      <c r="L3741" s="266"/>
      <c r="M3741" s="266"/>
      <c r="N3741" s="266"/>
      <c r="O3741" s="266"/>
      <c r="P3741" s="266"/>
      <c r="Q3741" s="266"/>
      <c r="BR3741" s="266"/>
      <c r="BS3741" s="266"/>
      <c r="BT3741" s="266"/>
      <c r="BU3741" s="266"/>
      <c r="BV3741" s="266"/>
    </row>
    <row r="3742" spans="12:74">
      <c r="L3742" s="266"/>
      <c r="M3742" s="266"/>
      <c r="N3742" s="266"/>
      <c r="O3742" s="266"/>
      <c r="P3742" s="266"/>
      <c r="Q3742" s="266"/>
      <c r="BR3742" s="266"/>
      <c r="BS3742" s="266"/>
      <c r="BT3742" s="266"/>
      <c r="BU3742" s="266"/>
      <c r="BV3742" s="266"/>
    </row>
    <row r="3743" spans="12:74">
      <c r="L3743" s="266"/>
      <c r="M3743" s="266"/>
      <c r="N3743" s="266"/>
      <c r="O3743" s="266"/>
      <c r="P3743" s="266"/>
      <c r="Q3743" s="266"/>
      <c r="BR3743" s="266"/>
      <c r="BS3743" s="266"/>
      <c r="BT3743" s="266"/>
      <c r="BU3743" s="266"/>
      <c r="BV3743" s="266"/>
    </row>
    <row r="3744" spans="12:74">
      <c r="L3744" s="266"/>
      <c r="M3744" s="266"/>
      <c r="N3744" s="266"/>
      <c r="O3744" s="266"/>
      <c r="P3744" s="266"/>
      <c r="Q3744" s="266"/>
      <c r="BR3744" s="266"/>
      <c r="BS3744" s="266"/>
      <c r="BT3744" s="266"/>
      <c r="BU3744" s="266"/>
      <c r="BV3744" s="266"/>
    </row>
    <row r="3745" spans="12:74">
      <c r="L3745" s="266"/>
      <c r="M3745" s="266"/>
      <c r="N3745" s="266"/>
      <c r="O3745" s="266"/>
      <c r="P3745" s="266"/>
      <c r="Q3745" s="266"/>
      <c r="BR3745" s="266"/>
      <c r="BS3745" s="266"/>
      <c r="BT3745" s="266"/>
      <c r="BU3745" s="266"/>
      <c r="BV3745" s="266"/>
    </row>
    <row r="3746" spans="12:74">
      <c r="L3746" s="266"/>
      <c r="M3746" s="266"/>
      <c r="N3746" s="266"/>
      <c r="O3746" s="266"/>
      <c r="P3746" s="266"/>
      <c r="Q3746" s="266"/>
      <c r="BR3746" s="266"/>
      <c r="BS3746" s="266"/>
      <c r="BT3746" s="266"/>
      <c r="BU3746" s="266"/>
      <c r="BV3746" s="266"/>
    </row>
    <row r="3747" spans="12:74">
      <c r="L3747" s="266"/>
      <c r="M3747" s="266"/>
      <c r="N3747" s="266"/>
      <c r="O3747" s="266"/>
      <c r="P3747" s="266"/>
      <c r="Q3747" s="266"/>
      <c r="BR3747" s="266"/>
      <c r="BS3747" s="266"/>
      <c r="BT3747" s="266"/>
      <c r="BU3747" s="266"/>
      <c r="BV3747" s="266"/>
    </row>
    <row r="3748" spans="12:74">
      <c r="L3748" s="266"/>
      <c r="M3748" s="266"/>
      <c r="N3748" s="266"/>
      <c r="O3748" s="266"/>
      <c r="P3748" s="266"/>
      <c r="Q3748" s="266"/>
      <c r="BR3748" s="266"/>
      <c r="BS3748" s="266"/>
      <c r="BT3748" s="266"/>
      <c r="BU3748" s="266"/>
      <c r="BV3748" s="266"/>
    </row>
    <row r="3749" spans="12:74">
      <c r="L3749" s="266"/>
      <c r="M3749" s="266"/>
      <c r="N3749" s="266"/>
      <c r="O3749" s="266"/>
      <c r="P3749" s="266"/>
      <c r="Q3749" s="266"/>
      <c r="BR3749" s="266"/>
      <c r="BS3749" s="266"/>
      <c r="BT3749" s="266"/>
      <c r="BU3749" s="266"/>
      <c r="BV3749" s="266"/>
    </row>
    <row r="3750" spans="12:74">
      <c r="L3750" s="266"/>
      <c r="M3750" s="266"/>
      <c r="N3750" s="266"/>
      <c r="O3750" s="266"/>
      <c r="P3750" s="266"/>
      <c r="Q3750" s="266"/>
      <c r="BR3750" s="266"/>
      <c r="BS3750" s="266"/>
      <c r="BT3750" s="266"/>
      <c r="BU3750" s="266"/>
      <c r="BV3750" s="266"/>
    </row>
    <row r="3751" spans="12:74">
      <c r="L3751" s="266"/>
      <c r="M3751" s="266"/>
      <c r="N3751" s="266"/>
      <c r="O3751" s="266"/>
      <c r="P3751" s="266"/>
      <c r="Q3751" s="266"/>
      <c r="BR3751" s="266"/>
      <c r="BS3751" s="266"/>
      <c r="BT3751" s="266"/>
      <c r="BU3751" s="266"/>
      <c r="BV3751" s="266"/>
    </row>
    <row r="3752" spans="12:74">
      <c r="L3752" s="266"/>
      <c r="M3752" s="266"/>
      <c r="N3752" s="266"/>
      <c r="O3752" s="266"/>
      <c r="P3752" s="266"/>
      <c r="Q3752" s="266"/>
      <c r="BR3752" s="266"/>
      <c r="BS3752" s="266"/>
      <c r="BT3752" s="266"/>
      <c r="BU3752" s="266"/>
      <c r="BV3752" s="266"/>
    </row>
    <row r="3753" spans="12:74">
      <c r="L3753" s="266"/>
      <c r="M3753" s="266"/>
      <c r="N3753" s="266"/>
      <c r="O3753" s="266"/>
      <c r="P3753" s="266"/>
      <c r="Q3753" s="266"/>
      <c r="BR3753" s="266"/>
      <c r="BS3753" s="266"/>
      <c r="BT3753" s="266"/>
      <c r="BU3753" s="266"/>
      <c r="BV3753" s="266"/>
    </row>
    <row r="3754" spans="12:74">
      <c r="L3754" s="266"/>
      <c r="M3754" s="266"/>
      <c r="N3754" s="266"/>
      <c r="O3754" s="266"/>
      <c r="P3754" s="266"/>
      <c r="Q3754" s="266"/>
      <c r="BR3754" s="266"/>
      <c r="BS3754" s="266"/>
      <c r="BT3754" s="266"/>
      <c r="BU3754" s="266"/>
      <c r="BV3754" s="266"/>
    </row>
    <row r="3755" spans="12:74">
      <c r="L3755" s="266"/>
      <c r="M3755" s="266"/>
      <c r="N3755" s="266"/>
      <c r="O3755" s="266"/>
      <c r="P3755" s="266"/>
      <c r="Q3755" s="266"/>
      <c r="BR3755" s="266"/>
      <c r="BS3755" s="266"/>
      <c r="BT3755" s="266"/>
      <c r="BU3755" s="266"/>
      <c r="BV3755" s="266"/>
    </row>
    <row r="3756" spans="12:74">
      <c r="L3756" s="266"/>
      <c r="M3756" s="266"/>
      <c r="N3756" s="266"/>
      <c r="O3756" s="266"/>
      <c r="P3756" s="266"/>
      <c r="Q3756" s="266"/>
      <c r="BR3756" s="266"/>
      <c r="BS3756" s="266"/>
      <c r="BT3756" s="266"/>
      <c r="BU3756" s="266"/>
      <c r="BV3756" s="266"/>
    </row>
    <row r="3757" spans="12:74">
      <c r="L3757" s="266"/>
      <c r="M3757" s="266"/>
      <c r="N3757" s="266"/>
      <c r="O3757" s="266"/>
      <c r="P3757" s="266"/>
      <c r="Q3757" s="266"/>
      <c r="BR3757" s="266"/>
      <c r="BS3757" s="266"/>
      <c r="BT3757" s="266"/>
      <c r="BU3757" s="266"/>
      <c r="BV3757" s="266"/>
    </row>
    <row r="3758" spans="12:74">
      <c r="L3758" s="266"/>
      <c r="M3758" s="266"/>
      <c r="N3758" s="266"/>
      <c r="O3758" s="266"/>
      <c r="P3758" s="266"/>
      <c r="Q3758" s="266"/>
      <c r="BR3758" s="266"/>
      <c r="BS3758" s="266"/>
      <c r="BT3758" s="266"/>
      <c r="BU3758" s="266"/>
      <c r="BV3758" s="266"/>
    </row>
    <row r="3759" spans="12:74">
      <c r="L3759" s="266"/>
      <c r="M3759" s="266"/>
      <c r="N3759" s="266"/>
      <c r="O3759" s="266"/>
      <c r="P3759" s="266"/>
      <c r="Q3759" s="266"/>
      <c r="BR3759" s="266"/>
      <c r="BS3759" s="266"/>
      <c r="BT3759" s="266"/>
      <c r="BU3759" s="266"/>
      <c r="BV3759" s="266"/>
    </row>
    <row r="3760" spans="12:74">
      <c r="L3760" s="266"/>
      <c r="M3760" s="266"/>
      <c r="N3760" s="266"/>
      <c r="O3760" s="266"/>
      <c r="P3760" s="266"/>
      <c r="Q3760" s="266"/>
      <c r="BR3760" s="266"/>
      <c r="BS3760" s="266"/>
      <c r="BT3760" s="266"/>
      <c r="BU3760" s="266"/>
      <c r="BV3760" s="266"/>
    </row>
    <row r="3761" spans="12:74">
      <c r="L3761" s="266"/>
      <c r="M3761" s="266"/>
      <c r="N3761" s="266"/>
      <c r="O3761" s="266"/>
      <c r="P3761" s="266"/>
      <c r="Q3761" s="266"/>
      <c r="BR3761" s="266"/>
      <c r="BS3761" s="266"/>
      <c r="BT3761" s="266"/>
      <c r="BU3761" s="266"/>
      <c r="BV3761" s="266"/>
    </row>
    <row r="3762" spans="12:74">
      <c r="L3762" s="266"/>
      <c r="M3762" s="266"/>
      <c r="N3762" s="266"/>
      <c r="O3762" s="266"/>
      <c r="P3762" s="266"/>
      <c r="Q3762" s="266"/>
      <c r="BR3762" s="266"/>
      <c r="BS3762" s="266"/>
      <c r="BT3762" s="266"/>
      <c r="BU3762" s="266"/>
      <c r="BV3762" s="266"/>
    </row>
    <row r="3763" spans="12:74">
      <c r="L3763" s="266"/>
      <c r="M3763" s="266"/>
      <c r="N3763" s="266"/>
      <c r="O3763" s="266"/>
      <c r="P3763" s="266"/>
      <c r="Q3763" s="266"/>
      <c r="BR3763" s="266"/>
      <c r="BS3763" s="266"/>
      <c r="BT3763" s="266"/>
      <c r="BU3763" s="266"/>
      <c r="BV3763" s="266"/>
    </row>
    <row r="3764" spans="12:74">
      <c r="L3764" s="266"/>
      <c r="M3764" s="266"/>
      <c r="N3764" s="266"/>
      <c r="O3764" s="266"/>
      <c r="P3764" s="266"/>
      <c r="Q3764" s="266"/>
      <c r="BR3764" s="266"/>
      <c r="BS3764" s="266"/>
      <c r="BT3764" s="266"/>
      <c r="BU3764" s="266"/>
      <c r="BV3764" s="266"/>
    </row>
    <row r="3765" spans="12:74">
      <c r="L3765" s="266"/>
      <c r="M3765" s="266"/>
      <c r="N3765" s="266"/>
      <c r="O3765" s="266"/>
      <c r="P3765" s="266"/>
      <c r="Q3765" s="266"/>
      <c r="BR3765" s="266"/>
      <c r="BS3765" s="266"/>
      <c r="BT3765" s="266"/>
      <c r="BU3765" s="266"/>
      <c r="BV3765" s="266"/>
    </row>
    <row r="3766" spans="12:74">
      <c r="L3766" s="266"/>
      <c r="M3766" s="266"/>
      <c r="N3766" s="266"/>
      <c r="O3766" s="266"/>
      <c r="P3766" s="266"/>
      <c r="Q3766" s="266"/>
      <c r="BR3766" s="266"/>
      <c r="BS3766" s="266"/>
      <c r="BT3766" s="266"/>
      <c r="BU3766" s="266"/>
      <c r="BV3766" s="266"/>
    </row>
    <row r="3767" spans="12:74">
      <c r="L3767" s="266"/>
      <c r="M3767" s="266"/>
      <c r="N3767" s="266"/>
      <c r="O3767" s="266"/>
      <c r="P3767" s="266"/>
      <c r="Q3767" s="266"/>
      <c r="BR3767" s="266"/>
      <c r="BS3767" s="266"/>
      <c r="BT3767" s="266"/>
      <c r="BU3767" s="266"/>
      <c r="BV3767" s="266"/>
    </row>
    <row r="3768" spans="12:74">
      <c r="L3768" s="266"/>
      <c r="M3768" s="266"/>
      <c r="N3768" s="266"/>
      <c r="O3768" s="266"/>
      <c r="P3768" s="266"/>
      <c r="Q3768" s="266"/>
      <c r="BR3768" s="266"/>
      <c r="BS3768" s="266"/>
      <c r="BT3768" s="266"/>
      <c r="BU3768" s="266"/>
      <c r="BV3768" s="266"/>
    </row>
    <row r="3769" spans="12:74">
      <c r="L3769" s="266"/>
      <c r="M3769" s="266"/>
      <c r="N3769" s="266"/>
      <c r="O3769" s="266"/>
      <c r="P3769" s="266"/>
      <c r="Q3769" s="266"/>
      <c r="BR3769" s="266"/>
      <c r="BS3769" s="266"/>
      <c r="BT3769" s="266"/>
      <c r="BU3769" s="266"/>
      <c r="BV3769" s="266"/>
    </row>
    <row r="3770" spans="12:74">
      <c r="L3770" s="266"/>
      <c r="M3770" s="266"/>
      <c r="N3770" s="266"/>
      <c r="O3770" s="266"/>
      <c r="P3770" s="266"/>
      <c r="Q3770" s="266"/>
      <c r="BR3770" s="266"/>
      <c r="BS3770" s="266"/>
      <c r="BT3770" s="266"/>
      <c r="BU3770" s="266"/>
      <c r="BV3770" s="266"/>
    </row>
    <row r="3771" spans="12:74">
      <c r="L3771" s="266"/>
      <c r="M3771" s="266"/>
      <c r="N3771" s="266"/>
      <c r="O3771" s="266"/>
      <c r="P3771" s="266"/>
      <c r="Q3771" s="266"/>
      <c r="BR3771" s="266"/>
      <c r="BS3771" s="266"/>
      <c r="BT3771" s="266"/>
      <c r="BU3771" s="266"/>
      <c r="BV3771" s="266"/>
    </row>
    <row r="3772" spans="12:74">
      <c r="L3772" s="266"/>
      <c r="M3772" s="266"/>
      <c r="N3772" s="266"/>
      <c r="O3772" s="266"/>
      <c r="P3772" s="266"/>
      <c r="Q3772" s="266"/>
      <c r="BR3772" s="266"/>
      <c r="BS3772" s="266"/>
      <c r="BT3772" s="266"/>
      <c r="BU3772" s="266"/>
      <c r="BV3772" s="266"/>
    </row>
    <row r="3773" spans="12:74">
      <c r="L3773" s="266"/>
      <c r="M3773" s="266"/>
      <c r="N3773" s="266"/>
      <c r="O3773" s="266"/>
      <c r="P3773" s="266"/>
      <c r="Q3773" s="266"/>
      <c r="BR3773" s="266"/>
      <c r="BS3773" s="266"/>
      <c r="BT3773" s="266"/>
      <c r="BU3773" s="266"/>
      <c r="BV3773" s="266"/>
    </row>
    <row r="3774" spans="12:74">
      <c r="L3774" s="266"/>
      <c r="M3774" s="266"/>
      <c r="N3774" s="266"/>
      <c r="O3774" s="266"/>
      <c r="P3774" s="266"/>
      <c r="Q3774" s="266"/>
      <c r="BR3774" s="266"/>
      <c r="BS3774" s="266"/>
      <c r="BT3774" s="266"/>
      <c r="BU3774" s="266"/>
      <c r="BV3774" s="266"/>
    </row>
    <row r="3775" spans="12:74">
      <c r="L3775" s="266"/>
      <c r="M3775" s="266"/>
      <c r="N3775" s="266"/>
      <c r="O3775" s="266"/>
      <c r="P3775" s="266"/>
      <c r="Q3775" s="266"/>
      <c r="BR3775" s="266"/>
      <c r="BS3775" s="266"/>
      <c r="BT3775" s="266"/>
      <c r="BU3775" s="266"/>
      <c r="BV3775" s="266"/>
    </row>
    <row r="3776" spans="12:74">
      <c r="L3776" s="266"/>
      <c r="M3776" s="266"/>
      <c r="N3776" s="266"/>
      <c r="O3776" s="266"/>
      <c r="P3776" s="266"/>
      <c r="Q3776" s="266"/>
      <c r="BR3776" s="266"/>
      <c r="BS3776" s="266"/>
      <c r="BT3776" s="266"/>
      <c r="BU3776" s="266"/>
      <c r="BV3776" s="266"/>
    </row>
    <row r="3777" spans="12:74">
      <c r="L3777" s="266"/>
      <c r="M3777" s="266"/>
      <c r="N3777" s="266"/>
      <c r="O3777" s="266"/>
      <c r="P3777" s="266"/>
      <c r="Q3777" s="266"/>
      <c r="BR3777" s="266"/>
      <c r="BS3777" s="266"/>
      <c r="BT3777" s="266"/>
      <c r="BU3777" s="266"/>
      <c r="BV3777" s="266"/>
    </row>
    <row r="3778" spans="12:74">
      <c r="L3778" s="266"/>
      <c r="M3778" s="266"/>
      <c r="N3778" s="266"/>
      <c r="O3778" s="266"/>
      <c r="P3778" s="266"/>
      <c r="Q3778" s="266"/>
      <c r="BR3778" s="266"/>
      <c r="BS3778" s="266"/>
      <c r="BT3778" s="266"/>
      <c r="BU3778" s="266"/>
      <c r="BV3778" s="266"/>
    </row>
    <row r="3779" spans="12:74">
      <c r="L3779" s="266"/>
      <c r="M3779" s="266"/>
      <c r="N3779" s="266"/>
      <c r="O3779" s="266"/>
      <c r="P3779" s="266"/>
      <c r="Q3779" s="266"/>
      <c r="BR3779" s="266"/>
      <c r="BS3779" s="266"/>
      <c r="BT3779" s="266"/>
      <c r="BU3779" s="266"/>
      <c r="BV3779" s="266"/>
    </row>
    <row r="3780" spans="12:74">
      <c r="L3780" s="266"/>
      <c r="M3780" s="266"/>
      <c r="N3780" s="266"/>
      <c r="O3780" s="266"/>
      <c r="P3780" s="266"/>
      <c r="Q3780" s="266"/>
      <c r="BR3780" s="266"/>
      <c r="BS3780" s="266"/>
      <c r="BT3780" s="266"/>
      <c r="BU3780" s="266"/>
      <c r="BV3780" s="266"/>
    </row>
    <row r="3781" spans="12:74">
      <c r="L3781" s="266"/>
      <c r="M3781" s="266"/>
      <c r="N3781" s="266"/>
      <c r="O3781" s="266"/>
      <c r="P3781" s="266"/>
      <c r="Q3781" s="266"/>
      <c r="BR3781" s="266"/>
      <c r="BS3781" s="266"/>
      <c r="BT3781" s="266"/>
      <c r="BU3781" s="266"/>
      <c r="BV3781" s="266"/>
    </row>
    <row r="3782" spans="12:74">
      <c r="L3782" s="266"/>
      <c r="M3782" s="266"/>
      <c r="N3782" s="266"/>
      <c r="O3782" s="266"/>
      <c r="P3782" s="266"/>
      <c r="Q3782" s="266"/>
      <c r="BR3782" s="266"/>
      <c r="BS3782" s="266"/>
      <c r="BT3782" s="266"/>
      <c r="BU3782" s="266"/>
      <c r="BV3782" s="266"/>
    </row>
    <row r="3783" spans="12:74">
      <c r="L3783" s="266"/>
      <c r="M3783" s="266"/>
      <c r="N3783" s="266"/>
      <c r="O3783" s="266"/>
      <c r="P3783" s="266"/>
      <c r="Q3783" s="266"/>
      <c r="BR3783" s="266"/>
      <c r="BS3783" s="266"/>
      <c r="BT3783" s="266"/>
      <c r="BU3783" s="266"/>
      <c r="BV3783" s="266"/>
    </row>
    <row r="3784" spans="12:74">
      <c r="L3784" s="266"/>
      <c r="M3784" s="266"/>
      <c r="N3784" s="266"/>
      <c r="O3784" s="266"/>
      <c r="P3784" s="266"/>
      <c r="Q3784" s="266"/>
      <c r="BR3784" s="266"/>
      <c r="BS3784" s="266"/>
      <c r="BT3784" s="266"/>
      <c r="BU3784" s="266"/>
      <c r="BV3784" s="266"/>
    </row>
    <row r="3785" spans="12:74">
      <c r="L3785" s="266"/>
      <c r="M3785" s="266"/>
      <c r="N3785" s="266"/>
      <c r="O3785" s="266"/>
      <c r="P3785" s="266"/>
      <c r="Q3785" s="266"/>
      <c r="BR3785" s="266"/>
      <c r="BS3785" s="266"/>
      <c r="BT3785" s="266"/>
      <c r="BU3785" s="266"/>
      <c r="BV3785" s="266"/>
    </row>
    <row r="3786" spans="12:74">
      <c r="L3786" s="266"/>
      <c r="M3786" s="266"/>
      <c r="N3786" s="266"/>
      <c r="O3786" s="266"/>
      <c r="P3786" s="266"/>
      <c r="Q3786" s="266"/>
      <c r="BR3786" s="266"/>
      <c r="BS3786" s="266"/>
      <c r="BT3786" s="266"/>
      <c r="BU3786" s="266"/>
      <c r="BV3786" s="266"/>
    </row>
    <row r="3787" spans="12:74">
      <c r="L3787" s="266"/>
      <c r="M3787" s="266"/>
      <c r="N3787" s="266"/>
      <c r="O3787" s="266"/>
      <c r="P3787" s="266"/>
      <c r="Q3787" s="266"/>
      <c r="BR3787" s="266"/>
      <c r="BS3787" s="266"/>
      <c r="BT3787" s="266"/>
      <c r="BU3787" s="266"/>
      <c r="BV3787" s="266"/>
    </row>
    <row r="3788" spans="12:74">
      <c r="L3788" s="266"/>
      <c r="M3788" s="266"/>
      <c r="N3788" s="266"/>
      <c r="O3788" s="266"/>
      <c r="P3788" s="266"/>
      <c r="Q3788" s="266"/>
      <c r="BR3788" s="266"/>
      <c r="BS3788" s="266"/>
      <c r="BT3788" s="266"/>
      <c r="BU3788" s="266"/>
      <c r="BV3788" s="266"/>
    </row>
    <row r="3789" spans="12:74">
      <c r="L3789" s="266"/>
      <c r="M3789" s="266"/>
      <c r="N3789" s="266"/>
      <c r="O3789" s="266"/>
      <c r="P3789" s="266"/>
      <c r="Q3789" s="266"/>
      <c r="BR3789" s="266"/>
      <c r="BS3789" s="266"/>
      <c r="BT3789" s="266"/>
      <c r="BU3789" s="266"/>
      <c r="BV3789" s="266"/>
    </row>
    <row r="3790" spans="12:74">
      <c r="L3790" s="266"/>
      <c r="M3790" s="266"/>
      <c r="N3790" s="266"/>
      <c r="O3790" s="266"/>
      <c r="P3790" s="266"/>
      <c r="Q3790" s="266"/>
      <c r="BR3790" s="266"/>
      <c r="BS3790" s="266"/>
      <c r="BT3790" s="266"/>
      <c r="BU3790" s="266"/>
      <c r="BV3790" s="266"/>
    </row>
    <row r="3791" spans="12:74">
      <c r="L3791" s="266"/>
      <c r="M3791" s="266"/>
      <c r="N3791" s="266"/>
      <c r="O3791" s="266"/>
      <c r="P3791" s="266"/>
      <c r="Q3791" s="266"/>
      <c r="BR3791" s="266"/>
      <c r="BS3791" s="266"/>
      <c r="BT3791" s="266"/>
      <c r="BU3791" s="266"/>
      <c r="BV3791" s="266"/>
    </row>
    <row r="3792" spans="12:74">
      <c r="L3792" s="266"/>
      <c r="M3792" s="266"/>
      <c r="N3792" s="266"/>
      <c r="O3792" s="266"/>
      <c r="P3792" s="266"/>
      <c r="Q3792" s="266"/>
      <c r="BR3792" s="266"/>
      <c r="BS3792" s="266"/>
      <c r="BT3792" s="266"/>
      <c r="BU3792" s="266"/>
      <c r="BV3792" s="266"/>
    </row>
    <row r="3793" spans="12:74">
      <c r="L3793" s="266"/>
      <c r="M3793" s="266"/>
      <c r="N3793" s="266"/>
      <c r="O3793" s="266"/>
      <c r="P3793" s="266"/>
      <c r="Q3793" s="266"/>
      <c r="BR3793" s="266"/>
      <c r="BS3793" s="266"/>
      <c r="BT3793" s="266"/>
      <c r="BU3793" s="266"/>
      <c r="BV3793" s="266"/>
    </row>
    <row r="3794" spans="12:74">
      <c r="L3794" s="266"/>
      <c r="M3794" s="266"/>
      <c r="N3794" s="266"/>
      <c r="O3794" s="266"/>
      <c r="P3794" s="266"/>
      <c r="Q3794" s="266"/>
      <c r="BR3794" s="266"/>
      <c r="BS3794" s="266"/>
      <c r="BT3794" s="266"/>
      <c r="BU3794" s="266"/>
      <c r="BV3794" s="266"/>
    </row>
    <row r="3795" spans="12:74">
      <c r="L3795" s="266"/>
      <c r="M3795" s="266"/>
      <c r="N3795" s="266"/>
      <c r="O3795" s="266"/>
      <c r="P3795" s="266"/>
      <c r="Q3795" s="266"/>
      <c r="BR3795" s="266"/>
      <c r="BS3795" s="266"/>
      <c r="BT3795" s="266"/>
      <c r="BU3795" s="266"/>
      <c r="BV3795" s="266"/>
    </row>
    <row r="3796" spans="12:74">
      <c r="L3796" s="266"/>
      <c r="M3796" s="266"/>
      <c r="N3796" s="266"/>
      <c r="O3796" s="266"/>
      <c r="P3796" s="266"/>
      <c r="Q3796" s="266"/>
      <c r="BR3796" s="266"/>
      <c r="BS3796" s="266"/>
      <c r="BT3796" s="266"/>
      <c r="BU3796" s="266"/>
      <c r="BV3796" s="266"/>
    </row>
    <row r="3797" spans="12:74">
      <c r="L3797" s="266"/>
      <c r="M3797" s="266"/>
      <c r="N3797" s="266"/>
      <c r="O3797" s="266"/>
      <c r="P3797" s="266"/>
      <c r="Q3797" s="266"/>
      <c r="BR3797" s="266"/>
      <c r="BS3797" s="266"/>
      <c r="BT3797" s="266"/>
      <c r="BU3797" s="266"/>
      <c r="BV3797" s="266"/>
    </row>
    <row r="3798" spans="12:74">
      <c r="L3798" s="266"/>
      <c r="M3798" s="266"/>
      <c r="N3798" s="266"/>
      <c r="O3798" s="266"/>
      <c r="P3798" s="266"/>
      <c r="Q3798" s="266"/>
      <c r="BR3798" s="266"/>
      <c r="BS3798" s="266"/>
      <c r="BT3798" s="266"/>
      <c r="BU3798" s="266"/>
      <c r="BV3798" s="266"/>
    </row>
    <row r="3799" spans="12:74">
      <c r="L3799" s="266"/>
      <c r="M3799" s="266"/>
      <c r="N3799" s="266"/>
      <c r="O3799" s="266"/>
      <c r="P3799" s="266"/>
      <c r="Q3799" s="266"/>
      <c r="BR3799" s="266"/>
      <c r="BS3799" s="266"/>
      <c r="BT3799" s="266"/>
      <c r="BU3799" s="266"/>
      <c r="BV3799" s="266"/>
    </row>
    <row r="3800" spans="12:74">
      <c r="L3800" s="266"/>
      <c r="M3800" s="266"/>
      <c r="N3800" s="266"/>
      <c r="O3800" s="266"/>
      <c r="P3800" s="266"/>
      <c r="Q3800" s="266"/>
      <c r="BR3800" s="266"/>
      <c r="BS3800" s="266"/>
      <c r="BT3800" s="266"/>
      <c r="BU3800" s="266"/>
      <c r="BV3800" s="266"/>
    </row>
    <row r="3801" spans="12:74">
      <c r="L3801" s="266"/>
      <c r="M3801" s="266"/>
      <c r="N3801" s="266"/>
      <c r="O3801" s="266"/>
      <c r="P3801" s="266"/>
      <c r="Q3801" s="266"/>
      <c r="BR3801" s="266"/>
      <c r="BS3801" s="266"/>
      <c r="BT3801" s="266"/>
      <c r="BU3801" s="266"/>
      <c r="BV3801" s="266"/>
    </row>
    <row r="3802" spans="12:74">
      <c r="L3802" s="266"/>
      <c r="M3802" s="266"/>
      <c r="N3802" s="266"/>
      <c r="O3802" s="266"/>
      <c r="P3802" s="266"/>
      <c r="Q3802" s="266"/>
      <c r="BR3802" s="266"/>
      <c r="BS3802" s="266"/>
      <c r="BT3802" s="266"/>
      <c r="BU3802" s="266"/>
      <c r="BV3802" s="266"/>
    </row>
    <row r="3803" spans="12:74">
      <c r="L3803" s="266"/>
      <c r="M3803" s="266"/>
      <c r="N3803" s="266"/>
      <c r="O3803" s="266"/>
      <c r="P3803" s="266"/>
      <c r="Q3803" s="266"/>
      <c r="BR3803" s="266"/>
      <c r="BS3803" s="266"/>
      <c r="BT3803" s="266"/>
      <c r="BU3803" s="266"/>
      <c r="BV3803" s="266"/>
    </row>
    <row r="3804" spans="12:74">
      <c r="L3804" s="266"/>
      <c r="M3804" s="266"/>
      <c r="N3804" s="266"/>
      <c r="O3804" s="266"/>
      <c r="P3804" s="266"/>
      <c r="Q3804" s="266"/>
      <c r="BR3804" s="266"/>
      <c r="BS3804" s="266"/>
      <c r="BT3804" s="266"/>
      <c r="BU3804" s="266"/>
      <c r="BV3804" s="266"/>
    </row>
    <row r="3805" spans="12:74">
      <c r="L3805" s="266"/>
      <c r="M3805" s="266"/>
      <c r="N3805" s="266"/>
      <c r="O3805" s="266"/>
      <c r="P3805" s="266"/>
      <c r="Q3805" s="266"/>
      <c r="BR3805" s="266"/>
      <c r="BS3805" s="266"/>
      <c r="BT3805" s="266"/>
      <c r="BU3805" s="266"/>
      <c r="BV3805" s="266"/>
    </row>
    <row r="3806" spans="12:74">
      <c r="L3806" s="266"/>
      <c r="M3806" s="266"/>
      <c r="N3806" s="266"/>
      <c r="O3806" s="266"/>
      <c r="P3806" s="266"/>
      <c r="Q3806" s="266"/>
      <c r="BR3806" s="266"/>
      <c r="BS3806" s="266"/>
      <c r="BT3806" s="266"/>
      <c r="BU3806" s="266"/>
      <c r="BV3806" s="266"/>
    </row>
    <row r="3807" spans="12:74">
      <c r="L3807" s="266"/>
      <c r="M3807" s="266"/>
      <c r="N3807" s="266"/>
      <c r="O3807" s="266"/>
      <c r="P3807" s="266"/>
      <c r="Q3807" s="266"/>
      <c r="BR3807" s="266"/>
      <c r="BS3807" s="266"/>
      <c r="BT3807" s="266"/>
      <c r="BU3807" s="266"/>
      <c r="BV3807" s="266"/>
    </row>
    <row r="3808" spans="12:74">
      <c r="L3808" s="266"/>
      <c r="M3808" s="266"/>
      <c r="N3808" s="266"/>
      <c r="O3808" s="266"/>
      <c r="P3808" s="266"/>
      <c r="Q3808" s="266"/>
      <c r="BR3808" s="266"/>
      <c r="BS3808" s="266"/>
      <c r="BT3808" s="266"/>
      <c r="BU3808" s="266"/>
      <c r="BV3808" s="266"/>
    </row>
    <row r="3809" spans="12:74">
      <c r="L3809" s="266"/>
      <c r="M3809" s="266"/>
      <c r="N3809" s="266"/>
      <c r="O3809" s="266"/>
      <c r="P3809" s="266"/>
      <c r="Q3809" s="266"/>
      <c r="BR3809" s="266"/>
      <c r="BS3809" s="266"/>
      <c r="BT3809" s="266"/>
      <c r="BU3809" s="266"/>
      <c r="BV3809" s="266"/>
    </row>
    <row r="3810" spans="12:74">
      <c r="L3810" s="266"/>
      <c r="M3810" s="266"/>
      <c r="N3810" s="266"/>
      <c r="O3810" s="266"/>
      <c r="P3810" s="266"/>
      <c r="Q3810" s="266"/>
      <c r="BR3810" s="266"/>
      <c r="BS3810" s="266"/>
      <c r="BT3810" s="266"/>
      <c r="BU3810" s="266"/>
      <c r="BV3810" s="266"/>
    </row>
    <row r="3811" spans="12:74">
      <c r="L3811" s="266"/>
      <c r="M3811" s="266"/>
      <c r="N3811" s="266"/>
      <c r="O3811" s="266"/>
      <c r="P3811" s="266"/>
      <c r="Q3811" s="266"/>
      <c r="BR3811" s="266"/>
      <c r="BS3811" s="266"/>
      <c r="BT3811" s="266"/>
      <c r="BU3811" s="266"/>
      <c r="BV3811" s="266"/>
    </row>
    <row r="3812" spans="12:74">
      <c r="L3812" s="266"/>
      <c r="M3812" s="266"/>
      <c r="N3812" s="266"/>
      <c r="O3812" s="266"/>
      <c r="P3812" s="266"/>
      <c r="Q3812" s="266"/>
      <c r="BR3812" s="266"/>
      <c r="BS3812" s="266"/>
      <c r="BT3812" s="266"/>
      <c r="BU3812" s="266"/>
      <c r="BV3812" s="266"/>
    </row>
    <row r="3813" spans="12:74">
      <c r="L3813" s="266"/>
      <c r="M3813" s="266"/>
      <c r="N3813" s="266"/>
      <c r="O3813" s="266"/>
      <c r="P3813" s="266"/>
      <c r="Q3813" s="266"/>
      <c r="BR3813" s="266"/>
      <c r="BS3813" s="266"/>
      <c r="BT3813" s="266"/>
      <c r="BU3813" s="266"/>
      <c r="BV3813" s="266"/>
    </row>
    <row r="3814" spans="12:74">
      <c r="L3814" s="266"/>
      <c r="M3814" s="266"/>
      <c r="N3814" s="266"/>
      <c r="O3814" s="266"/>
      <c r="P3814" s="266"/>
      <c r="Q3814" s="266"/>
      <c r="BR3814" s="266"/>
      <c r="BS3814" s="266"/>
      <c r="BT3814" s="266"/>
      <c r="BU3814" s="266"/>
      <c r="BV3814" s="266"/>
    </row>
    <row r="3815" spans="12:74">
      <c r="L3815" s="266"/>
      <c r="M3815" s="266"/>
      <c r="N3815" s="266"/>
      <c r="O3815" s="266"/>
      <c r="P3815" s="266"/>
      <c r="Q3815" s="266"/>
      <c r="BR3815" s="266"/>
      <c r="BS3815" s="266"/>
      <c r="BT3815" s="266"/>
      <c r="BU3815" s="266"/>
      <c r="BV3815" s="266"/>
    </row>
    <row r="3816" spans="12:74">
      <c r="L3816" s="266"/>
      <c r="M3816" s="266"/>
      <c r="N3816" s="266"/>
      <c r="O3816" s="266"/>
      <c r="P3816" s="266"/>
      <c r="Q3816" s="266"/>
      <c r="BR3816" s="266"/>
      <c r="BS3816" s="266"/>
      <c r="BT3816" s="266"/>
      <c r="BU3816" s="266"/>
      <c r="BV3816" s="266"/>
    </row>
    <row r="3817" spans="12:74">
      <c r="L3817" s="266"/>
      <c r="M3817" s="266"/>
      <c r="N3817" s="266"/>
      <c r="O3817" s="266"/>
      <c r="P3817" s="266"/>
      <c r="Q3817" s="266"/>
      <c r="BR3817" s="266"/>
      <c r="BS3817" s="266"/>
      <c r="BT3817" s="266"/>
      <c r="BU3817" s="266"/>
      <c r="BV3817" s="266"/>
    </row>
    <row r="3818" spans="12:74">
      <c r="L3818" s="266"/>
      <c r="M3818" s="266"/>
      <c r="N3818" s="266"/>
      <c r="O3818" s="266"/>
      <c r="P3818" s="266"/>
      <c r="Q3818" s="266"/>
      <c r="BR3818" s="266"/>
      <c r="BS3818" s="266"/>
      <c r="BT3818" s="266"/>
      <c r="BU3818" s="266"/>
      <c r="BV3818" s="266"/>
    </row>
    <row r="3819" spans="12:74">
      <c r="L3819" s="266"/>
      <c r="M3819" s="266"/>
      <c r="N3819" s="266"/>
      <c r="O3819" s="266"/>
      <c r="P3819" s="266"/>
      <c r="Q3819" s="266"/>
      <c r="BR3819" s="266"/>
      <c r="BS3819" s="266"/>
      <c r="BT3819" s="266"/>
      <c r="BU3819" s="266"/>
      <c r="BV3819" s="266"/>
    </row>
    <row r="3820" spans="12:74">
      <c r="L3820" s="266"/>
      <c r="M3820" s="266"/>
      <c r="N3820" s="266"/>
      <c r="O3820" s="266"/>
      <c r="P3820" s="266"/>
      <c r="Q3820" s="266"/>
      <c r="BR3820" s="266"/>
      <c r="BS3820" s="266"/>
      <c r="BT3820" s="266"/>
      <c r="BU3820" s="266"/>
      <c r="BV3820" s="266"/>
    </row>
    <row r="3821" spans="12:74">
      <c r="L3821" s="266"/>
      <c r="M3821" s="266"/>
      <c r="N3821" s="266"/>
      <c r="O3821" s="266"/>
      <c r="P3821" s="266"/>
      <c r="Q3821" s="266"/>
      <c r="BR3821" s="266"/>
      <c r="BS3821" s="266"/>
      <c r="BT3821" s="266"/>
      <c r="BU3821" s="266"/>
      <c r="BV3821" s="266"/>
    </row>
    <row r="3822" spans="12:74">
      <c r="L3822" s="266"/>
      <c r="M3822" s="266"/>
      <c r="N3822" s="266"/>
      <c r="O3822" s="266"/>
      <c r="P3822" s="266"/>
      <c r="Q3822" s="266"/>
      <c r="BR3822" s="266"/>
      <c r="BS3822" s="266"/>
      <c r="BT3822" s="266"/>
      <c r="BU3822" s="266"/>
      <c r="BV3822" s="266"/>
    </row>
    <row r="3823" spans="12:74">
      <c r="L3823" s="266"/>
      <c r="M3823" s="266"/>
      <c r="N3823" s="266"/>
      <c r="O3823" s="266"/>
      <c r="P3823" s="266"/>
      <c r="Q3823" s="266"/>
      <c r="BR3823" s="266"/>
      <c r="BS3823" s="266"/>
      <c r="BT3823" s="266"/>
      <c r="BU3823" s="266"/>
      <c r="BV3823" s="266"/>
    </row>
    <row r="3824" spans="12:74">
      <c r="L3824" s="266"/>
      <c r="M3824" s="266"/>
      <c r="N3824" s="266"/>
      <c r="O3824" s="266"/>
      <c r="P3824" s="266"/>
      <c r="Q3824" s="266"/>
      <c r="BR3824" s="266"/>
      <c r="BS3824" s="266"/>
      <c r="BT3824" s="266"/>
      <c r="BU3824" s="266"/>
      <c r="BV3824" s="266"/>
    </row>
    <row r="3825" spans="12:74">
      <c r="L3825" s="266"/>
      <c r="M3825" s="266"/>
      <c r="N3825" s="266"/>
      <c r="O3825" s="266"/>
      <c r="P3825" s="266"/>
      <c r="Q3825" s="266"/>
      <c r="BR3825" s="266"/>
      <c r="BS3825" s="266"/>
      <c r="BT3825" s="266"/>
      <c r="BU3825" s="266"/>
      <c r="BV3825" s="266"/>
    </row>
    <row r="3826" spans="12:74">
      <c r="L3826" s="266"/>
      <c r="M3826" s="266"/>
      <c r="N3826" s="266"/>
      <c r="O3826" s="266"/>
      <c r="P3826" s="266"/>
      <c r="Q3826" s="266"/>
      <c r="BR3826" s="266"/>
      <c r="BS3826" s="266"/>
      <c r="BT3826" s="266"/>
      <c r="BU3826" s="266"/>
      <c r="BV3826" s="266"/>
    </row>
    <row r="3827" spans="12:74">
      <c r="L3827" s="266"/>
      <c r="M3827" s="266"/>
      <c r="N3827" s="266"/>
      <c r="O3827" s="266"/>
      <c r="P3827" s="266"/>
      <c r="Q3827" s="266"/>
      <c r="BR3827" s="266"/>
      <c r="BS3827" s="266"/>
      <c r="BT3827" s="266"/>
      <c r="BU3827" s="266"/>
      <c r="BV3827" s="266"/>
    </row>
    <row r="3828" spans="12:74">
      <c r="L3828" s="266"/>
      <c r="M3828" s="266"/>
      <c r="N3828" s="266"/>
      <c r="O3828" s="266"/>
      <c r="P3828" s="266"/>
      <c r="Q3828" s="266"/>
      <c r="BR3828" s="266"/>
      <c r="BS3828" s="266"/>
      <c r="BT3828" s="266"/>
      <c r="BU3828" s="266"/>
      <c r="BV3828" s="266"/>
    </row>
    <row r="3829" spans="12:74">
      <c r="L3829" s="266"/>
      <c r="M3829" s="266"/>
      <c r="N3829" s="266"/>
      <c r="O3829" s="266"/>
      <c r="P3829" s="266"/>
      <c r="Q3829" s="266"/>
      <c r="BR3829" s="266"/>
      <c r="BS3829" s="266"/>
      <c r="BT3829" s="266"/>
      <c r="BU3829" s="266"/>
      <c r="BV3829" s="266"/>
    </row>
    <row r="3830" spans="12:74">
      <c r="L3830" s="266"/>
      <c r="M3830" s="266"/>
      <c r="N3830" s="266"/>
      <c r="O3830" s="266"/>
      <c r="P3830" s="266"/>
      <c r="Q3830" s="266"/>
      <c r="BR3830" s="266"/>
      <c r="BS3830" s="266"/>
      <c r="BT3830" s="266"/>
      <c r="BU3830" s="266"/>
      <c r="BV3830" s="266"/>
    </row>
    <row r="3831" spans="12:74">
      <c r="L3831" s="266"/>
      <c r="M3831" s="266"/>
      <c r="N3831" s="266"/>
      <c r="O3831" s="266"/>
      <c r="P3831" s="266"/>
      <c r="Q3831" s="266"/>
      <c r="BR3831" s="266"/>
      <c r="BS3831" s="266"/>
      <c r="BT3831" s="266"/>
      <c r="BU3831" s="266"/>
      <c r="BV3831" s="266"/>
    </row>
    <row r="3832" spans="12:74">
      <c r="L3832" s="266"/>
      <c r="M3832" s="266"/>
      <c r="N3832" s="266"/>
      <c r="O3832" s="266"/>
      <c r="P3832" s="266"/>
      <c r="Q3832" s="266"/>
      <c r="BR3832" s="266"/>
      <c r="BS3832" s="266"/>
      <c r="BT3832" s="266"/>
      <c r="BU3832" s="266"/>
      <c r="BV3832" s="266"/>
    </row>
    <row r="3833" spans="12:74">
      <c r="L3833" s="266"/>
      <c r="M3833" s="266"/>
      <c r="N3833" s="266"/>
      <c r="O3833" s="266"/>
      <c r="P3833" s="266"/>
      <c r="Q3833" s="266"/>
      <c r="BR3833" s="266"/>
      <c r="BS3833" s="266"/>
      <c r="BT3833" s="266"/>
      <c r="BU3833" s="266"/>
      <c r="BV3833" s="266"/>
    </row>
    <row r="3834" spans="12:74">
      <c r="L3834" s="266"/>
      <c r="M3834" s="266"/>
      <c r="N3834" s="266"/>
      <c r="O3834" s="266"/>
      <c r="P3834" s="266"/>
      <c r="Q3834" s="266"/>
      <c r="BR3834" s="266"/>
      <c r="BS3834" s="266"/>
      <c r="BT3834" s="266"/>
      <c r="BU3834" s="266"/>
      <c r="BV3834" s="266"/>
    </row>
    <row r="3835" spans="12:74">
      <c r="L3835" s="266"/>
      <c r="M3835" s="266"/>
      <c r="N3835" s="266"/>
      <c r="O3835" s="266"/>
      <c r="P3835" s="266"/>
      <c r="Q3835" s="266"/>
      <c r="BR3835" s="266"/>
      <c r="BS3835" s="266"/>
      <c r="BT3835" s="266"/>
      <c r="BU3835" s="266"/>
      <c r="BV3835" s="266"/>
    </row>
    <row r="3836" spans="12:74">
      <c r="L3836" s="266"/>
      <c r="M3836" s="266"/>
      <c r="N3836" s="266"/>
      <c r="O3836" s="266"/>
      <c r="P3836" s="266"/>
      <c r="Q3836" s="266"/>
      <c r="BR3836" s="266"/>
      <c r="BS3836" s="266"/>
      <c r="BT3836" s="266"/>
      <c r="BU3836" s="266"/>
      <c r="BV3836" s="266"/>
    </row>
    <row r="3837" spans="12:74">
      <c r="L3837" s="266"/>
      <c r="M3837" s="266"/>
      <c r="N3837" s="266"/>
      <c r="O3837" s="266"/>
      <c r="P3837" s="266"/>
      <c r="Q3837" s="266"/>
      <c r="BR3837" s="266"/>
      <c r="BS3837" s="266"/>
      <c r="BT3837" s="266"/>
      <c r="BU3837" s="266"/>
      <c r="BV3837" s="266"/>
    </row>
    <row r="3838" spans="12:74">
      <c r="L3838" s="266"/>
      <c r="M3838" s="266"/>
      <c r="N3838" s="266"/>
      <c r="O3838" s="266"/>
      <c r="P3838" s="266"/>
      <c r="Q3838" s="266"/>
      <c r="BR3838" s="266"/>
      <c r="BS3838" s="266"/>
      <c r="BT3838" s="266"/>
      <c r="BU3838" s="266"/>
      <c r="BV3838" s="266"/>
    </row>
    <row r="3839" spans="12:74">
      <c r="L3839" s="266"/>
      <c r="M3839" s="266"/>
      <c r="N3839" s="266"/>
      <c r="O3839" s="266"/>
      <c r="P3839" s="266"/>
      <c r="Q3839" s="266"/>
      <c r="BR3839" s="266"/>
      <c r="BS3839" s="266"/>
      <c r="BT3839" s="266"/>
      <c r="BU3839" s="266"/>
      <c r="BV3839" s="266"/>
    </row>
    <row r="3840" spans="12:74">
      <c r="L3840" s="266"/>
      <c r="M3840" s="266"/>
      <c r="N3840" s="266"/>
      <c r="O3840" s="266"/>
      <c r="P3840" s="266"/>
      <c r="Q3840" s="266"/>
      <c r="BR3840" s="266"/>
      <c r="BS3840" s="266"/>
      <c r="BT3840" s="266"/>
      <c r="BU3840" s="266"/>
      <c r="BV3840" s="266"/>
    </row>
    <row r="3841" spans="12:74">
      <c r="L3841" s="266"/>
      <c r="M3841" s="266"/>
      <c r="N3841" s="266"/>
      <c r="O3841" s="266"/>
      <c r="P3841" s="266"/>
      <c r="Q3841" s="266"/>
      <c r="BR3841" s="266"/>
      <c r="BS3841" s="266"/>
      <c r="BT3841" s="266"/>
      <c r="BU3841" s="266"/>
      <c r="BV3841" s="266"/>
    </row>
    <row r="3842" spans="12:74">
      <c r="L3842" s="266"/>
      <c r="M3842" s="266"/>
      <c r="N3842" s="266"/>
      <c r="O3842" s="266"/>
      <c r="P3842" s="266"/>
      <c r="Q3842" s="266"/>
      <c r="BR3842" s="266"/>
      <c r="BS3842" s="266"/>
      <c r="BT3842" s="266"/>
      <c r="BU3842" s="266"/>
      <c r="BV3842" s="266"/>
    </row>
    <row r="3843" spans="12:74">
      <c r="L3843" s="266"/>
      <c r="M3843" s="266"/>
      <c r="N3843" s="266"/>
      <c r="O3843" s="266"/>
      <c r="P3843" s="266"/>
      <c r="Q3843" s="266"/>
      <c r="BR3843" s="266"/>
      <c r="BS3843" s="266"/>
      <c r="BT3843" s="266"/>
      <c r="BU3843" s="266"/>
      <c r="BV3843" s="266"/>
    </row>
    <row r="3844" spans="12:74">
      <c r="L3844" s="266"/>
      <c r="M3844" s="266"/>
      <c r="N3844" s="266"/>
      <c r="O3844" s="266"/>
      <c r="P3844" s="266"/>
      <c r="Q3844" s="266"/>
      <c r="BR3844" s="266"/>
      <c r="BS3844" s="266"/>
      <c r="BT3844" s="266"/>
      <c r="BU3844" s="266"/>
      <c r="BV3844" s="266"/>
    </row>
    <row r="3845" spans="12:74">
      <c r="L3845" s="266"/>
      <c r="M3845" s="266"/>
      <c r="N3845" s="266"/>
      <c r="O3845" s="266"/>
      <c r="P3845" s="266"/>
      <c r="Q3845" s="266"/>
      <c r="BR3845" s="266"/>
      <c r="BS3845" s="266"/>
      <c r="BT3845" s="266"/>
      <c r="BU3845" s="266"/>
      <c r="BV3845" s="266"/>
    </row>
    <row r="3846" spans="12:74">
      <c r="L3846" s="266"/>
      <c r="M3846" s="266"/>
      <c r="N3846" s="266"/>
      <c r="O3846" s="266"/>
      <c r="P3846" s="266"/>
      <c r="Q3846" s="266"/>
      <c r="BR3846" s="266"/>
      <c r="BS3846" s="266"/>
      <c r="BT3846" s="266"/>
      <c r="BU3846" s="266"/>
      <c r="BV3846" s="266"/>
    </row>
    <row r="3847" spans="12:74">
      <c r="L3847" s="266"/>
      <c r="M3847" s="266"/>
      <c r="N3847" s="266"/>
      <c r="O3847" s="266"/>
      <c r="P3847" s="266"/>
      <c r="Q3847" s="266"/>
      <c r="BR3847" s="266"/>
      <c r="BS3847" s="266"/>
      <c r="BT3847" s="266"/>
      <c r="BU3847" s="266"/>
      <c r="BV3847" s="266"/>
    </row>
    <row r="3848" spans="12:74">
      <c r="L3848" s="266"/>
      <c r="M3848" s="266"/>
      <c r="N3848" s="266"/>
      <c r="O3848" s="266"/>
      <c r="P3848" s="266"/>
      <c r="Q3848" s="266"/>
      <c r="BR3848" s="266"/>
      <c r="BS3848" s="266"/>
      <c r="BT3848" s="266"/>
      <c r="BU3848" s="266"/>
      <c r="BV3848" s="266"/>
    </row>
    <row r="3849" spans="12:74">
      <c r="L3849" s="266"/>
      <c r="M3849" s="266"/>
      <c r="N3849" s="266"/>
      <c r="O3849" s="266"/>
      <c r="P3849" s="266"/>
      <c r="Q3849" s="266"/>
      <c r="BR3849" s="266"/>
      <c r="BS3849" s="266"/>
      <c r="BT3849" s="266"/>
      <c r="BU3849" s="266"/>
      <c r="BV3849" s="266"/>
    </row>
    <row r="3850" spans="12:74">
      <c r="L3850" s="266"/>
      <c r="M3850" s="266"/>
      <c r="N3850" s="266"/>
      <c r="O3850" s="266"/>
      <c r="P3850" s="266"/>
      <c r="Q3850" s="266"/>
      <c r="BR3850" s="266"/>
      <c r="BS3850" s="266"/>
      <c r="BT3850" s="266"/>
      <c r="BU3850" s="266"/>
      <c r="BV3850" s="266"/>
    </row>
    <row r="3851" spans="12:74">
      <c r="L3851" s="266"/>
      <c r="M3851" s="266"/>
      <c r="N3851" s="266"/>
      <c r="O3851" s="266"/>
      <c r="P3851" s="266"/>
      <c r="Q3851" s="266"/>
      <c r="BR3851" s="266"/>
      <c r="BS3851" s="266"/>
      <c r="BT3851" s="266"/>
      <c r="BU3851" s="266"/>
      <c r="BV3851" s="266"/>
    </row>
    <row r="3852" spans="12:74">
      <c r="L3852" s="266"/>
      <c r="M3852" s="266"/>
      <c r="N3852" s="266"/>
      <c r="O3852" s="266"/>
      <c r="P3852" s="266"/>
      <c r="Q3852" s="266"/>
      <c r="BR3852" s="266"/>
      <c r="BS3852" s="266"/>
      <c r="BT3852" s="266"/>
      <c r="BU3852" s="266"/>
      <c r="BV3852" s="266"/>
    </row>
    <row r="3853" spans="12:74">
      <c r="L3853" s="266"/>
      <c r="M3853" s="266"/>
      <c r="N3853" s="266"/>
      <c r="O3853" s="266"/>
      <c r="P3853" s="266"/>
      <c r="Q3853" s="266"/>
      <c r="BR3853" s="266"/>
      <c r="BS3853" s="266"/>
      <c r="BT3853" s="266"/>
      <c r="BU3853" s="266"/>
      <c r="BV3853" s="266"/>
    </row>
    <row r="3854" spans="12:74">
      <c r="L3854" s="266"/>
      <c r="M3854" s="266"/>
      <c r="N3854" s="266"/>
      <c r="O3854" s="266"/>
      <c r="P3854" s="266"/>
      <c r="Q3854" s="266"/>
      <c r="BR3854" s="266"/>
      <c r="BS3854" s="266"/>
      <c r="BT3854" s="266"/>
      <c r="BU3854" s="266"/>
      <c r="BV3854" s="266"/>
    </row>
    <row r="3855" spans="12:74">
      <c r="L3855" s="266"/>
      <c r="M3855" s="266"/>
      <c r="N3855" s="266"/>
      <c r="O3855" s="266"/>
      <c r="P3855" s="266"/>
      <c r="Q3855" s="266"/>
      <c r="BR3855" s="266"/>
      <c r="BS3855" s="266"/>
      <c r="BT3855" s="266"/>
      <c r="BU3855" s="266"/>
      <c r="BV3855" s="266"/>
    </row>
    <row r="3856" spans="12:74">
      <c r="L3856" s="266"/>
      <c r="M3856" s="266"/>
      <c r="N3856" s="266"/>
      <c r="O3856" s="266"/>
      <c r="P3856" s="266"/>
      <c r="Q3856" s="266"/>
      <c r="BR3856" s="266"/>
      <c r="BS3856" s="266"/>
      <c r="BT3856" s="266"/>
      <c r="BU3856" s="266"/>
      <c r="BV3856" s="266"/>
    </row>
    <row r="3857" spans="12:74">
      <c r="L3857" s="266"/>
      <c r="M3857" s="266"/>
      <c r="N3857" s="266"/>
      <c r="O3857" s="266"/>
      <c r="P3857" s="266"/>
      <c r="Q3857" s="266"/>
      <c r="BR3857" s="266"/>
      <c r="BS3857" s="266"/>
      <c r="BT3857" s="266"/>
      <c r="BU3857" s="266"/>
      <c r="BV3857" s="266"/>
    </row>
    <row r="3858" spans="12:74">
      <c r="L3858" s="266"/>
      <c r="M3858" s="266"/>
      <c r="N3858" s="266"/>
      <c r="O3858" s="266"/>
      <c r="P3858" s="266"/>
      <c r="Q3858" s="266"/>
      <c r="BR3858" s="266"/>
      <c r="BS3858" s="266"/>
      <c r="BT3858" s="266"/>
      <c r="BU3858" s="266"/>
      <c r="BV3858" s="266"/>
    </row>
    <row r="3859" spans="12:74">
      <c r="L3859" s="266"/>
      <c r="M3859" s="266"/>
      <c r="N3859" s="266"/>
      <c r="O3859" s="266"/>
      <c r="P3859" s="266"/>
      <c r="Q3859" s="266"/>
      <c r="BR3859" s="266"/>
      <c r="BS3859" s="266"/>
      <c r="BT3859" s="266"/>
      <c r="BU3859" s="266"/>
      <c r="BV3859" s="266"/>
    </row>
    <row r="3860" spans="12:74">
      <c r="L3860" s="266"/>
      <c r="M3860" s="266"/>
      <c r="N3860" s="266"/>
      <c r="O3860" s="266"/>
      <c r="P3860" s="266"/>
      <c r="Q3860" s="266"/>
      <c r="BR3860" s="266"/>
      <c r="BS3860" s="266"/>
      <c r="BT3860" s="266"/>
      <c r="BU3860" s="266"/>
      <c r="BV3860" s="266"/>
    </row>
    <row r="3861" spans="12:74">
      <c r="L3861" s="266"/>
      <c r="M3861" s="266"/>
      <c r="N3861" s="266"/>
      <c r="O3861" s="266"/>
      <c r="P3861" s="266"/>
      <c r="Q3861" s="266"/>
      <c r="BR3861" s="266"/>
      <c r="BS3861" s="266"/>
      <c r="BT3861" s="266"/>
      <c r="BU3861" s="266"/>
      <c r="BV3861" s="266"/>
    </row>
    <row r="3862" spans="12:74">
      <c r="L3862" s="266"/>
      <c r="M3862" s="266"/>
      <c r="N3862" s="266"/>
      <c r="O3862" s="266"/>
      <c r="P3862" s="266"/>
      <c r="Q3862" s="266"/>
      <c r="BR3862" s="266"/>
      <c r="BS3862" s="266"/>
      <c r="BT3862" s="266"/>
      <c r="BU3862" s="266"/>
      <c r="BV3862" s="266"/>
    </row>
    <row r="3863" spans="12:74">
      <c r="L3863" s="266"/>
      <c r="M3863" s="266"/>
      <c r="N3863" s="266"/>
      <c r="O3863" s="266"/>
      <c r="P3863" s="266"/>
      <c r="Q3863" s="266"/>
      <c r="BR3863" s="266"/>
      <c r="BS3863" s="266"/>
      <c r="BT3863" s="266"/>
      <c r="BU3863" s="266"/>
      <c r="BV3863" s="266"/>
    </row>
    <row r="3864" spans="12:74">
      <c r="L3864" s="266"/>
      <c r="M3864" s="266"/>
      <c r="N3864" s="266"/>
      <c r="O3864" s="266"/>
      <c r="P3864" s="266"/>
      <c r="Q3864" s="266"/>
      <c r="BR3864" s="266"/>
      <c r="BS3864" s="266"/>
      <c r="BT3864" s="266"/>
      <c r="BU3864" s="266"/>
      <c r="BV3864" s="266"/>
    </row>
    <row r="3865" spans="12:74">
      <c r="L3865" s="266"/>
      <c r="M3865" s="266"/>
      <c r="N3865" s="266"/>
      <c r="O3865" s="266"/>
      <c r="P3865" s="266"/>
      <c r="Q3865" s="266"/>
      <c r="BR3865" s="266"/>
      <c r="BS3865" s="266"/>
      <c r="BT3865" s="266"/>
      <c r="BU3865" s="266"/>
      <c r="BV3865" s="266"/>
    </row>
    <row r="3866" spans="12:74">
      <c r="L3866" s="266"/>
      <c r="M3866" s="266"/>
      <c r="N3866" s="266"/>
      <c r="O3866" s="266"/>
      <c r="P3866" s="266"/>
      <c r="Q3866" s="266"/>
      <c r="BR3866" s="266"/>
      <c r="BS3866" s="266"/>
      <c r="BT3866" s="266"/>
      <c r="BU3866" s="266"/>
      <c r="BV3866" s="266"/>
    </row>
    <row r="3867" spans="12:74">
      <c r="L3867" s="266"/>
      <c r="M3867" s="266"/>
      <c r="N3867" s="266"/>
      <c r="O3867" s="266"/>
      <c r="P3867" s="266"/>
      <c r="Q3867" s="266"/>
      <c r="BR3867" s="266"/>
      <c r="BS3867" s="266"/>
      <c r="BT3867" s="266"/>
      <c r="BU3867" s="266"/>
      <c r="BV3867" s="266"/>
    </row>
    <row r="3868" spans="12:74">
      <c r="L3868" s="266"/>
      <c r="M3868" s="266"/>
      <c r="N3868" s="266"/>
      <c r="O3868" s="266"/>
      <c r="P3868" s="266"/>
      <c r="Q3868" s="266"/>
      <c r="BR3868" s="266"/>
      <c r="BS3868" s="266"/>
      <c r="BT3868" s="266"/>
      <c r="BU3868" s="266"/>
      <c r="BV3868" s="266"/>
    </row>
    <row r="3869" spans="12:74">
      <c r="L3869" s="266"/>
      <c r="M3869" s="266"/>
      <c r="N3869" s="266"/>
      <c r="O3869" s="266"/>
      <c r="P3869" s="266"/>
      <c r="Q3869" s="266"/>
      <c r="BR3869" s="266"/>
      <c r="BS3869" s="266"/>
      <c r="BT3869" s="266"/>
      <c r="BU3869" s="266"/>
      <c r="BV3869" s="266"/>
    </row>
    <row r="3870" spans="12:74">
      <c r="L3870" s="266"/>
      <c r="M3870" s="266"/>
      <c r="N3870" s="266"/>
      <c r="O3870" s="266"/>
      <c r="P3870" s="266"/>
      <c r="Q3870" s="266"/>
      <c r="BR3870" s="266"/>
      <c r="BS3870" s="266"/>
      <c r="BT3870" s="266"/>
      <c r="BU3870" s="266"/>
      <c r="BV3870" s="266"/>
    </row>
    <row r="3871" spans="12:74">
      <c r="L3871" s="266"/>
      <c r="M3871" s="266"/>
      <c r="N3871" s="266"/>
      <c r="O3871" s="266"/>
      <c r="P3871" s="266"/>
      <c r="Q3871" s="266"/>
      <c r="BR3871" s="266"/>
      <c r="BS3871" s="266"/>
      <c r="BT3871" s="266"/>
      <c r="BU3871" s="266"/>
      <c r="BV3871" s="266"/>
    </row>
    <row r="3872" spans="12:74">
      <c r="L3872" s="266"/>
      <c r="M3872" s="266"/>
      <c r="N3872" s="266"/>
      <c r="O3872" s="266"/>
      <c r="P3872" s="266"/>
      <c r="Q3872" s="266"/>
      <c r="BR3872" s="266"/>
      <c r="BS3872" s="266"/>
      <c r="BT3872" s="266"/>
      <c r="BU3872" s="266"/>
      <c r="BV3872" s="266"/>
    </row>
    <row r="3873" spans="12:74">
      <c r="L3873" s="266"/>
      <c r="M3873" s="266"/>
      <c r="N3873" s="266"/>
      <c r="O3873" s="266"/>
      <c r="P3873" s="266"/>
      <c r="Q3873" s="266"/>
      <c r="BR3873" s="266"/>
      <c r="BS3873" s="266"/>
      <c r="BT3873" s="266"/>
      <c r="BU3873" s="266"/>
      <c r="BV3873" s="266"/>
    </row>
    <row r="3874" spans="12:74">
      <c r="L3874" s="266"/>
      <c r="M3874" s="266"/>
      <c r="N3874" s="266"/>
      <c r="O3874" s="266"/>
      <c r="P3874" s="266"/>
      <c r="Q3874" s="266"/>
      <c r="BR3874" s="266"/>
      <c r="BS3874" s="266"/>
      <c r="BT3874" s="266"/>
      <c r="BU3874" s="266"/>
      <c r="BV3874" s="266"/>
    </row>
    <row r="3875" spans="12:74">
      <c r="L3875" s="266"/>
      <c r="M3875" s="266"/>
      <c r="N3875" s="266"/>
      <c r="O3875" s="266"/>
      <c r="P3875" s="266"/>
      <c r="Q3875" s="266"/>
      <c r="BR3875" s="266"/>
      <c r="BS3875" s="266"/>
      <c r="BT3875" s="266"/>
      <c r="BU3875" s="266"/>
      <c r="BV3875" s="266"/>
    </row>
    <row r="3876" spans="12:74">
      <c r="L3876" s="266"/>
      <c r="M3876" s="266"/>
      <c r="N3876" s="266"/>
      <c r="O3876" s="266"/>
      <c r="P3876" s="266"/>
      <c r="Q3876" s="266"/>
      <c r="BR3876" s="266"/>
      <c r="BS3876" s="266"/>
      <c r="BT3876" s="266"/>
      <c r="BU3876" s="266"/>
      <c r="BV3876" s="266"/>
    </row>
    <row r="3877" spans="12:74">
      <c r="L3877" s="266"/>
      <c r="M3877" s="266"/>
      <c r="N3877" s="266"/>
      <c r="O3877" s="266"/>
      <c r="P3877" s="266"/>
      <c r="Q3877" s="266"/>
      <c r="BR3877" s="266"/>
      <c r="BS3877" s="266"/>
      <c r="BT3877" s="266"/>
      <c r="BU3877" s="266"/>
      <c r="BV3877" s="266"/>
    </row>
    <row r="3878" spans="12:74">
      <c r="L3878" s="266"/>
      <c r="M3878" s="266"/>
      <c r="N3878" s="266"/>
      <c r="O3878" s="266"/>
      <c r="P3878" s="266"/>
      <c r="Q3878" s="266"/>
      <c r="BR3878" s="266"/>
      <c r="BS3878" s="266"/>
      <c r="BT3878" s="266"/>
      <c r="BU3878" s="266"/>
      <c r="BV3878" s="266"/>
    </row>
    <row r="3879" spans="12:74">
      <c r="L3879" s="266"/>
      <c r="M3879" s="266"/>
      <c r="N3879" s="266"/>
      <c r="O3879" s="266"/>
      <c r="P3879" s="266"/>
      <c r="Q3879" s="266"/>
      <c r="BR3879" s="266"/>
      <c r="BS3879" s="266"/>
      <c r="BT3879" s="266"/>
      <c r="BU3879" s="266"/>
      <c r="BV3879" s="266"/>
    </row>
    <row r="3880" spans="12:74">
      <c r="L3880" s="266"/>
      <c r="M3880" s="266"/>
      <c r="N3880" s="266"/>
      <c r="O3880" s="266"/>
      <c r="P3880" s="266"/>
      <c r="Q3880" s="266"/>
      <c r="BR3880" s="266"/>
      <c r="BS3880" s="266"/>
      <c r="BT3880" s="266"/>
      <c r="BU3880" s="266"/>
      <c r="BV3880" s="266"/>
    </row>
    <row r="3881" spans="12:74">
      <c r="L3881" s="266"/>
      <c r="M3881" s="266"/>
      <c r="N3881" s="266"/>
      <c r="O3881" s="266"/>
      <c r="P3881" s="266"/>
      <c r="Q3881" s="266"/>
      <c r="BR3881" s="266"/>
      <c r="BS3881" s="266"/>
      <c r="BT3881" s="266"/>
      <c r="BU3881" s="266"/>
      <c r="BV3881" s="266"/>
    </row>
    <row r="3882" spans="12:74">
      <c r="L3882" s="266"/>
      <c r="M3882" s="266"/>
      <c r="N3882" s="266"/>
      <c r="O3882" s="266"/>
      <c r="P3882" s="266"/>
      <c r="Q3882" s="266"/>
      <c r="BR3882" s="266"/>
      <c r="BS3882" s="266"/>
      <c r="BT3882" s="266"/>
      <c r="BU3882" s="266"/>
      <c r="BV3882" s="266"/>
    </row>
    <row r="3883" spans="12:74">
      <c r="L3883" s="266"/>
      <c r="M3883" s="266"/>
      <c r="N3883" s="266"/>
      <c r="O3883" s="266"/>
      <c r="P3883" s="266"/>
      <c r="Q3883" s="266"/>
      <c r="BR3883" s="266"/>
      <c r="BS3883" s="266"/>
      <c r="BT3883" s="266"/>
      <c r="BU3883" s="266"/>
      <c r="BV3883" s="266"/>
    </row>
    <row r="3884" spans="12:74">
      <c r="L3884" s="266"/>
      <c r="M3884" s="266"/>
      <c r="N3884" s="266"/>
      <c r="O3884" s="266"/>
      <c r="P3884" s="266"/>
      <c r="Q3884" s="266"/>
      <c r="BR3884" s="266"/>
      <c r="BS3884" s="266"/>
      <c r="BT3884" s="266"/>
      <c r="BU3884" s="266"/>
      <c r="BV3884" s="266"/>
    </row>
    <row r="3885" spans="12:74">
      <c r="L3885" s="266"/>
      <c r="M3885" s="266"/>
      <c r="N3885" s="266"/>
      <c r="O3885" s="266"/>
      <c r="P3885" s="266"/>
      <c r="Q3885" s="266"/>
      <c r="BR3885" s="266"/>
      <c r="BS3885" s="266"/>
      <c r="BT3885" s="266"/>
      <c r="BU3885" s="266"/>
      <c r="BV3885" s="266"/>
    </row>
    <row r="3886" spans="12:74">
      <c r="L3886" s="266"/>
      <c r="M3886" s="266"/>
      <c r="N3886" s="266"/>
      <c r="O3886" s="266"/>
      <c r="P3886" s="266"/>
      <c r="Q3886" s="266"/>
      <c r="BR3886" s="266"/>
      <c r="BS3886" s="266"/>
      <c r="BT3886" s="266"/>
      <c r="BU3886" s="266"/>
      <c r="BV3886" s="266"/>
    </row>
    <row r="3887" spans="12:74">
      <c r="L3887" s="266"/>
      <c r="M3887" s="266"/>
      <c r="N3887" s="266"/>
      <c r="O3887" s="266"/>
      <c r="P3887" s="266"/>
      <c r="Q3887" s="266"/>
      <c r="BR3887" s="266"/>
      <c r="BS3887" s="266"/>
      <c r="BT3887" s="266"/>
      <c r="BU3887" s="266"/>
      <c r="BV3887" s="266"/>
    </row>
    <row r="3888" spans="12:74">
      <c r="L3888" s="266"/>
      <c r="M3888" s="266"/>
      <c r="N3888" s="266"/>
      <c r="O3888" s="266"/>
      <c r="P3888" s="266"/>
      <c r="Q3888" s="266"/>
      <c r="BR3888" s="266"/>
      <c r="BS3888" s="266"/>
      <c r="BT3888" s="266"/>
      <c r="BU3888" s="266"/>
      <c r="BV3888" s="266"/>
    </row>
    <row r="3889" spans="12:74">
      <c r="L3889" s="266"/>
      <c r="M3889" s="266"/>
      <c r="N3889" s="266"/>
      <c r="O3889" s="266"/>
      <c r="P3889" s="266"/>
      <c r="Q3889" s="266"/>
      <c r="BR3889" s="266"/>
      <c r="BS3889" s="266"/>
      <c r="BT3889" s="266"/>
      <c r="BU3889" s="266"/>
      <c r="BV3889" s="266"/>
    </row>
    <row r="3890" spans="12:74">
      <c r="L3890" s="266"/>
      <c r="M3890" s="266"/>
      <c r="N3890" s="266"/>
      <c r="O3890" s="266"/>
      <c r="P3890" s="266"/>
      <c r="Q3890" s="266"/>
      <c r="BR3890" s="266"/>
      <c r="BS3890" s="266"/>
      <c r="BT3890" s="266"/>
      <c r="BU3890" s="266"/>
      <c r="BV3890" s="266"/>
    </row>
    <row r="3891" spans="12:74">
      <c r="L3891" s="266"/>
      <c r="M3891" s="266"/>
      <c r="N3891" s="266"/>
      <c r="O3891" s="266"/>
      <c r="P3891" s="266"/>
      <c r="Q3891" s="266"/>
      <c r="BR3891" s="266"/>
      <c r="BS3891" s="266"/>
      <c r="BT3891" s="266"/>
      <c r="BU3891" s="266"/>
      <c r="BV3891" s="266"/>
    </row>
    <row r="3892" spans="12:74">
      <c r="L3892" s="266"/>
      <c r="M3892" s="266"/>
      <c r="N3892" s="266"/>
      <c r="O3892" s="266"/>
      <c r="P3892" s="266"/>
      <c r="Q3892" s="266"/>
      <c r="BR3892" s="266"/>
      <c r="BS3892" s="266"/>
      <c r="BT3892" s="266"/>
      <c r="BU3892" s="266"/>
      <c r="BV3892" s="266"/>
    </row>
    <row r="3893" spans="12:74">
      <c r="L3893" s="266"/>
      <c r="M3893" s="266"/>
      <c r="N3893" s="266"/>
      <c r="O3893" s="266"/>
      <c r="P3893" s="266"/>
      <c r="Q3893" s="266"/>
      <c r="BR3893" s="266"/>
      <c r="BS3893" s="266"/>
      <c r="BT3893" s="266"/>
      <c r="BU3893" s="266"/>
      <c r="BV3893" s="266"/>
    </row>
    <row r="3894" spans="12:74">
      <c r="L3894" s="266"/>
      <c r="M3894" s="266"/>
      <c r="N3894" s="266"/>
      <c r="O3894" s="266"/>
      <c r="P3894" s="266"/>
      <c r="Q3894" s="266"/>
      <c r="BR3894" s="266"/>
      <c r="BS3894" s="266"/>
      <c r="BT3894" s="266"/>
      <c r="BU3894" s="266"/>
      <c r="BV3894" s="266"/>
    </row>
    <row r="3895" spans="12:74">
      <c r="L3895" s="266"/>
      <c r="M3895" s="266"/>
      <c r="N3895" s="266"/>
      <c r="O3895" s="266"/>
      <c r="P3895" s="266"/>
      <c r="Q3895" s="266"/>
      <c r="BR3895" s="266"/>
      <c r="BS3895" s="266"/>
      <c r="BT3895" s="266"/>
      <c r="BU3895" s="266"/>
      <c r="BV3895" s="266"/>
    </row>
    <row r="3896" spans="12:74">
      <c r="L3896" s="266"/>
      <c r="M3896" s="266"/>
      <c r="N3896" s="266"/>
      <c r="O3896" s="266"/>
      <c r="P3896" s="266"/>
      <c r="Q3896" s="266"/>
      <c r="BR3896" s="266"/>
      <c r="BS3896" s="266"/>
      <c r="BT3896" s="266"/>
      <c r="BU3896" s="266"/>
      <c r="BV3896" s="266"/>
    </row>
    <row r="3897" spans="12:74">
      <c r="L3897" s="266"/>
      <c r="M3897" s="266"/>
      <c r="N3897" s="266"/>
      <c r="O3897" s="266"/>
      <c r="P3897" s="266"/>
      <c r="Q3897" s="266"/>
      <c r="BR3897" s="266"/>
      <c r="BS3897" s="266"/>
      <c r="BT3897" s="266"/>
      <c r="BU3897" s="266"/>
      <c r="BV3897" s="266"/>
    </row>
    <row r="3898" spans="12:74">
      <c r="L3898" s="266"/>
      <c r="M3898" s="266"/>
      <c r="N3898" s="266"/>
      <c r="O3898" s="266"/>
      <c r="P3898" s="266"/>
      <c r="Q3898" s="266"/>
      <c r="BR3898" s="266"/>
      <c r="BS3898" s="266"/>
      <c r="BT3898" s="266"/>
      <c r="BU3898" s="266"/>
      <c r="BV3898" s="266"/>
    </row>
    <row r="3899" spans="12:74">
      <c r="L3899" s="266"/>
      <c r="M3899" s="266"/>
      <c r="N3899" s="266"/>
      <c r="O3899" s="266"/>
      <c r="P3899" s="266"/>
      <c r="Q3899" s="266"/>
      <c r="BR3899" s="266"/>
      <c r="BS3899" s="266"/>
      <c r="BT3899" s="266"/>
      <c r="BU3899" s="266"/>
      <c r="BV3899" s="266"/>
    </row>
    <row r="3900" spans="12:74">
      <c r="L3900" s="266"/>
      <c r="M3900" s="266"/>
      <c r="N3900" s="266"/>
      <c r="O3900" s="266"/>
      <c r="P3900" s="266"/>
      <c r="Q3900" s="266"/>
      <c r="BR3900" s="266"/>
      <c r="BS3900" s="266"/>
      <c r="BT3900" s="266"/>
      <c r="BU3900" s="266"/>
      <c r="BV3900" s="266"/>
    </row>
    <row r="3901" spans="12:74">
      <c r="L3901" s="266"/>
      <c r="M3901" s="266"/>
      <c r="N3901" s="266"/>
      <c r="O3901" s="266"/>
      <c r="P3901" s="266"/>
      <c r="Q3901" s="266"/>
      <c r="BR3901" s="266"/>
      <c r="BS3901" s="266"/>
      <c r="BT3901" s="266"/>
      <c r="BU3901" s="266"/>
      <c r="BV3901" s="266"/>
    </row>
    <row r="3902" spans="12:74">
      <c r="L3902" s="266"/>
      <c r="M3902" s="266"/>
      <c r="N3902" s="266"/>
      <c r="O3902" s="266"/>
      <c r="P3902" s="266"/>
      <c r="Q3902" s="266"/>
      <c r="BR3902" s="266"/>
      <c r="BS3902" s="266"/>
      <c r="BT3902" s="266"/>
      <c r="BU3902" s="266"/>
      <c r="BV3902" s="266"/>
    </row>
    <row r="3903" spans="12:74">
      <c r="L3903" s="266"/>
      <c r="M3903" s="266"/>
      <c r="N3903" s="266"/>
      <c r="O3903" s="266"/>
      <c r="P3903" s="266"/>
      <c r="Q3903" s="266"/>
      <c r="BR3903" s="266"/>
      <c r="BS3903" s="266"/>
      <c r="BT3903" s="266"/>
      <c r="BU3903" s="266"/>
      <c r="BV3903" s="266"/>
    </row>
    <row r="3904" spans="12:74">
      <c r="L3904" s="266"/>
      <c r="M3904" s="266"/>
      <c r="N3904" s="266"/>
      <c r="O3904" s="266"/>
      <c r="P3904" s="266"/>
      <c r="Q3904" s="266"/>
      <c r="BR3904" s="266"/>
      <c r="BS3904" s="266"/>
      <c r="BT3904" s="266"/>
      <c r="BU3904" s="266"/>
      <c r="BV3904" s="266"/>
    </row>
    <row r="3905" spans="12:74">
      <c r="L3905" s="266"/>
      <c r="M3905" s="266"/>
      <c r="N3905" s="266"/>
      <c r="O3905" s="266"/>
      <c r="P3905" s="266"/>
      <c r="Q3905" s="266"/>
      <c r="BR3905" s="266"/>
      <c r="BS3905" s="266"/>
      <c r="BT3905" s="266"/>
      <c r="BU3905" s="266"/>
      <c r="BV3905" s="266"/>
    </row>
    <row r="3906" spans="12:74">
      <c r="L3906" s="266"/>
      <c r="M3906" s="266"/>
      <c r="N3906" s="266"/>
      <c r="O3906" s="266"/>
      <c r="P3906" s="266"/>
      <c r="Q3906" s="266"/>
      <c r="BR3906" s="266"/>
      <c r="BS3906" s="266"/>
      <c r="BT3906" s="266"/>
      <c r="BU3906" s="266"/>
      <c r="BV3906" s="266"/>
    </row>
    <row r="3907" spans="12:74">
      <c r="L3907" s="266"/>
      <c r="M3907" s="266"/>
      <c r="N3907" s="266"/>
      <c r="O3907" s="266"/>
      <c r="P3907" s="266"/>
      <c r="Q3907" s="266"/>
      <c r="BR3907" s="266"/>
      <c r="BS3907" s="266"/>
      <c r="BT3907" s="266"/>
      <c r="BU3907" s="266"/>
      <c r="BV3907" s="266"/>
    </row>
    <row r="3908" spans="12:74">
      <c r="L3908" s="266"/>
      <c r="M3908" s="266"/>
      <c r="N3908" s="266"/>
      <c r="O3908" s="266"/>
      <c r="P3908" s="266"/>
      <c r="Q3908" s="266"/>
      <c r="BR3908" s="266"/>
      <c r="BS3908" s="266"/>
      <c r="BT3908" s="266"/>
      <c r="BU3908" s="266"/>
      <c r="BV3908" s="266"/>
    </row>
    <row r="3909" spans="12:74">
      <c r="L3909" s="266"/>
      <c r="M3909" s="266"/>
      <c r="N3909" s="266"/>
      <c r="O3909" s="266"/>
      <c r="P3909" s="266"/>
      <c r="Q3909" s="266"/>
      <c r="BR3909" s="266"/>
      <c r="BS3909" s="266"/>
      <c r="BT3909" s="266"/>
      <c r="BU3909" s="266"/>
      <c r="BV3909" s="266"/>
    </row>
    <row r="3910" spans="12:74">
      <c r="L3910" s="266"/>
      <c r="M3910" s="266"/>
      <c r="N3910" s="266"/>
      <c r="O3910" s="266"/>
      <c r="P3910" s="266"/>
      <c r="Q3910" s="266"/>
      <c r="BR3910" s="266"/>
      <c r="BS3910" s="266"/>
      <c r="BT3910" s="266"/>
      <c r="BU3910" s="266"/>
      <c r="BV3910" s="266"/>
    </row>
    <row r="3911" spans="12:74">
      <c r="L3911" s="266"/>
      <c r="M3911" s="266"/>
      <c r="N3911" s="266"/>
      <c r="O3911" s="266"/>
      <c r="P3911" s="266"/>
      <c r="Q3911" s="266"/>
      <c r="BR3911" s="266"/>
      <c r="BS3911" s="266"/>
      <c r="BT3911" s="266"/>
      <c r="BU3911" s="266"/>
      <c r="BV3911" s="266"/>
    </row>
    <row r="3912" spans="12:74">
      <c r="L3912" s="266"/>
      <c r="M3912" s="266"/>
      <c r="N3912" s="266"/>
      <c r="O3912" s="266"/>
      <c r="P3912" s="266"/>
      <c r="Q3912" s="266"/>
      <c r="BR3912" s="266"/>
      <c r="BS3912" s="266"/>
      <c r="BT3912" s="266"/>
      <c r="BU3912" s="266"/>
      <c r="BV3912" s="266"/>
    </row>
    <row r="3913" spans="12:74">
      <c r="L3913" s="266"/>
      <c r="M3913" s="266"/>
      <c r="N3913" s="266"/>
      <c r="O3913" s="266"/>
      <c r="P3913" s="266"/>
      <c r="Q3913" s="266"/>
      <c r="BR3913" s="266"/>
      <c r="BS3913" s="266"/>
      <c r="BT3913" s="266"/>
      <c r="BU3913" s="266"/>
      <c r="BV3913" s="266"/>
    </row>
    <row r="3914" spans="12:74">
      <c r="L3914" s="266"/>
      <c r="M3914" s="266"/>
      <c r="N3914" s="266"/>
      <c r="O3914" s="266"/>
      <c r="P3914" s="266"/>
      <c r="Q3914" s="266"/>
      <c r="BR3914" s="266"/>
      <c r="BS3914" s="266"/>
      <c r="BT3914" s="266"/>
      <c r="BU3914" s="266"/>
      <c r="BV3914" s="266"/>
    </row>
    <row r="3915" spans="12:74">
      <c r="L3915" s="266"/>
      <c r="M3915" s="266"/>
      <c r="N3915" s="266"/>
      <c r="O3915" s="266"/>
      <c r="P3915" s="266"/>
      <c r="Q3915" s="266"/>
      <c r="BR3915" s="266"/>
      <c r="BS3915" s="266"/>
      <c r="BT3915" s="266"/>
      <c r="BU3915" s="266"/>
      <c r="BV3915" s="266"/>
    </row>
    <row r="3916" spans="12:74">
      <c r="L3916" s="266"/>
      <c r="M3916" s="266"/>
      <c r="N3916" s="266"/>
      <c r="O3916" s="266"/>
      <c r="P3916" s="266"/>
      <c r="Q3916" s="266"/>
      <c r="BR3916" s="266"/>
      <c r="BS3916" s="266"/>
      <c r="BT3916" s="266"/>
      <c r="BU3916" s="266"/>
      <c r="BV3916" s="266"/>
    </row>
    <row r="3917" spans="12:74">
      <c r="L3917" s="266"/>
      <c r="M3917" s="266"/>
      <c r="N3917" s="266"/>
      <c r="O3917" s="266"/>
      <c r="P3917" s="266"/>
      <c r="Q3917" s="266"/>
      <c r="BR3917" s="266"/>
      <c r="BS3917" s="266"/>
      <c r="BT3917" s="266"/>
      <c r="BU3917" s="266"/>
      <c r="BV3917" s="266"/>
    </row>
    <row r="3918" spans="12:74">
      <c r="L3918" s="266"/>
      <c r="M3918" s="266"/>
      <c r="N3918" s="266"/>
      <c r="O3918" s="266"/>
      <c r="P3918" s="266"/>
      <c r="Q3918" s="266"/>
      <c r="BR3918" s="266"/>
      <c r="BS3918" s="266"/>
      <c r="BT3918" s="266"/>
      <c r="BU3918" s="266"/>
      <c r="BV3918" s="266"/>
    </row>
    <row r="3919" spans="12:74">
      <c r="L3919" s="266"/>
      <c r="M3919" s="266"/>
      <c r="N3919" s="266"/>
      <c r="O3919" s="266"/>
      <c r="P3919" s="266"/>
      <c r="Q3919" s="266"/>
      <c r="BR3919" s="266"/>
      <c r="BS3919" s="266"/>
      <c r="BT3919" s="266"/>
      <c r="BU3919" s="266"/>
      <c r="BV3919" s="266"/>
    </row>
    <row r="3920" spans="12:74">
      <c r="L3920" s="266"/>
      <c r="M3920" s="266"/>
      <c r="N3920" s="266"/>
      <c r="O3920" s="266"/>
      <c r="P3920" s="266"/>
      <c r="Q3920" s="266"/>
      <c r="BR3920" s="266"/>
      <c r="BS3920" s="266"/>
      <c r="BT3920" s="266"/>
      <c r="BU3920" s="266"/>
      <c r="BV3920" s="266"/>
    </row>
    <row r="3921" spans="12:74">
      <c r="L3921" s="266"/>
      <c r="M3921" s="266"/>
      <c r="N3921" s="266"/>
      <c r="O3921" s="266"/>
      <c r="P3921" s="266"/>
      <c r="Q3921" s="266"/>
      <c r="BR3921" s="266"/>
      <c r="BS3921" s="266"/>
      <c r="BT3921" s="266"/>
      <c r="BU3921" s="266"/>
      <c r="BV3921" s="266"/>
    </row>
    <row r="3922" spans="12:74">
      <c r="L3922" s="266"/>
      <c r="M3922" s="266"/>
      <c r="N3922" s="266"/>
      <c r="O3922" s="266"/>
      <c r="P3922" s="266"/>
      <c r="Q3922" s="266"/>
      <c r="BR3922" s="266"/>
      <c r="BS3922" s="266"/>
      <c r="BT3922" s="266"/>
      <c r="BU3922" s="266"/>
      <c r="BV3922" s="266"/>
    </row>
    <row r="3923" spans="12:74">
      <c r="L3923" s="266"/>
      <c r="M3923" s="266"/>
      <c r="N3923" s="266"/>
      <c r="O3923" s="266"/>
      <c r="P3923" s="266"/>
      <c r="Q3923" s="266"/>
      <c r="BR3923" s="266"/>
      <c r="BS3923" s="266"/>
      <c r="BT3923" s="266"/>
      <c r="BU3923" s="266"/>
      <c r="BV3923" s="266"/>
    </row>
    <row r="3924" spans="12:74">
      <c r="L3924" s="266"/>
      <c r="M3924" s="266"/>
      <c r="N3924" s="266"/>
      <c r="O3924" s="266"/>
      <c r="P3924" s="266"/>
      <c r="Q3924" s="266"/>
      <c r="BR3924" s="266"/>
      <c r="BS3924" s="266"/>
      <c r="BT3924" s="266"/>
      <c r="BU3924" s="266"/>
      <c r="BV3924" s="266"/>
    </row>
    <row r="3925" spans="12:74">
      <c r="L3925" s="266"/>
      <c r="M3925" s="266"/>
      <c r="N3925" s="266"/>
      <c r="O3925" s="266"/>
      <c r="P3925" s="266"/>
      <c r="Q3925" s="266"/>
      <c r="BR3925" s="266"/>
      <c r="BS3925" s="266"/>
      <c r="BT3925" s="266"/>
      <c r="BU3925" s="266"/>
      <c r="BV3925" s="266"/>
    </row>
    <row r="3926" spans="12:74">
      <c r="L3926" s="266"/>
      <c r="M3926" s="266"/>
      <c r="N3926" s="266"/>
      <c r="O3926" s="266"/>
      <c r="P3926" s="266"/>
      <c r="Q3926" s="266"/>
      <c r="BR3926" s="266"/>
      <c r="BS3926" s="266"/>
      <c r="BT3926" s="266"/>
      <c r="BU3926" s="266"/>
      <c r="BV3926" s="266"/>
    </row>
    <row r="3927" spans="12:74">
      <c r="L3927" s="266"/>
      <c r="M3927" s="266"/>
      <c r="N3927" s="266"/>
      <c r="O3927" s="266"/>
      <c r="P3927" s="266"/>
      <c r="Q3927" s="266"/>
      <c r="BR3927" s="266"/>
      <c r="BS3927" s="266"/>
      <c r="BT3927" s="266"/>
      <c r="BU3927" s="266"/>
      <c r="BV3927" s="266"/>
    </row>
    <row r="3928" spans="12:74">
      <c r="L3928" s="266"/>
      <c r="M3928" s="266"/>
      <c r="N3928" s="266"/>
      <c r="O3928" s="266"/>
      <c r="P3928" s="266"/>
      <c r="Q3928" s="266"/>
      <c r="BR3928" s="266"/>
      <c r="BS3928" s="266"/>
      <c r="BT3928" s="266"/>
      <c r="BU3928" s="266"/>
      <c r="BV3928" s="266"/>
    </row>
    <row r="3929" spans="12:74">
      <c r="L3929" s="266"/>
      <c r="M3929" s="266"/>
      <c r="N3929" s="266"/>
      <c r="O3929" s="266"/>
      <c r="P3929" s="266"/>
      <c r="Q3929" s="266"/>
      <c r="BR3929" s="266"/>
      <c r="BS3929" s="266"/>
      <c r="BT3929" s="266"/>
      <c r="BU3929" s="266"/>
      <c r="BV3929" s="266"/>
    </row>
    <row r="3930" spans="12:74">
      <c r="L3930" s="266"/>
      <c r="M3930" s="266"/>
      <c r="N3930" s="266"/>
      <c r="O3930" s="266"/>
      <c r="P3930" s="266"/>
      <c r="Q3930" s="266"/>
      <c r="BR3930" s="266"/>
      <c r="BS3930" s="266"/>
      <c r="BT3930" s="266"/>
      <c r="BU3930" s="266"/>
      <c r="BV3930" s="266"/>
    </row>
    <row r="3931" spans="12:74">
      <c r="L3931" s="266"/>
      <c r="M3931" s="266"/>
      <c r="N3931" s="266"/>
      <c r="O3931" s="266"/>
      <c r="P3931" s="266"/>
      <c r="Q3931" s="266"/>
      <c r="BR3931" s="266"/>
      <c r="BS3931" s="266"/>
      <c r="BT3931" s="266"/>
      <c r="BU3931" s="266"/>
      <c r="BV3931" s="266"/>
    </row>
    <row r="3932" spans="12:74">
      <c r="L3932" s="266"/>
      <c r="M3932" s="266"/>
      <c r="N3932" s="266"/>
      <c r="O3932" s="266"/>
      <c r="P3932" s="266"/>
      <c r="Q3932" s="266"/>
      <c r="BR3932" s="266"/>
      <c r="BS3932" s="266"/>
      <c r="BT3932" s="266"/>
      <c r="BU3932" s="266"/>
      <c r="BV3932" s="266"/>
    </row>
    <row r="3933" spans="12:74">
      <c r="L3933" s="266"/>
      <c r="M3933" s="266"/>
      <c r="N3933" s="266"/>
      <c r="O3933" s="266"/>
      <c r="P3933" s="266"/>
      <c r="Q3933" s="266"/>
      <c r="BR3933" s="266"/>
      <c r="BS3933" s="266"/>
      <c r="BT3933" s="266"/>
      <c r="BU3933" s="266"/>
      <c r="BV3933" s="266"/>
    </row>
    <row r="3934" spans="12:74">
      <c r="L3934" s="266"/>
      <c r="M3934" s="266"/>
      <c r="N3934" s="266"/>
      <c r="O3934" s="266"/>
      <c r="P3934" s="266"/>
      <c r="Q3934" s="266"/>
      <c r="BR3934" s="266"/>
      <c r="BS3934" s="266"/>
      <c r="BT3934" s="266"/>
      <c r="BU3934" s="266"/>
      <c r="BV3934" s="266"/>
    </row>
    <row r="3935" spans="12:74">
      <c r="L3935" s="266"/>
      <c r="M3935" s="266"/>
      <c r="N3935" s="266"/>
      <c r="O3935" s="266"/>
      <c r="P3935" s="266"/>
      <c r="Q3935" s="266"/>
      <c r="BR3935" s="266"/>
      <c r="BS3935" s="266"/>
      <c r="BT3935" s="266"/>
      <c r="BU3935" s="266"/>
      <c r="BV3935" s="266"/>
    </row>
    <row r="3936" spans="12:74">
      <c r="L3936" s="266"/>
      <c r="M3936" s="266"/>
      <c r="N3936" s="266"/>
      <c r="O3936" s="266"/>
      <c r="P3936" s="266"/>
      <c r="Q3936" s="266"/>
      <c r="BR3936" s="266"/>
      <c r="BS3936" s="266"/>
      <c r="BT3936" s="266"/>
      <c r="BU3936" s="266"/>
      <c r="BV3936" s="266"/>
    </row>
    <row r="3937" spans="12:74">
      <c r="L3937" s="266"/>
      <c r="M3937" s="266"/>
      <c r="N3937" s="266"/>
      <c r="O3937" s="266"/>
      <c r="P3937" s="266"/>
      <c r="Q3937" s="266"/>
      <c r="BR3937" s="266"/>
      <c r="BS3937" s="266"/>
      <c r="BT3937" s="266"/>
      <c r="BU3937" s="266"/>
      <c r="BV3937" s="266"/>
    </row>
    <row r="3938" spans="12:74">
      <c r="L3938" s="266"/>
      <c r="M3938" s="266"/>
      <c r="N3938" s="266"/>
      <c r="O3938" s="266"/>
      <c r="P3938" s="266"/>
      <c r="Q3938" s="266"/>
      <c r="BR3938" s="266"/>
      <c r="BS3938" s="266"/>
      <c r="BT3938" s="266"/>
      <c r="BU3938" s="266"/>
      <c r="BV3938" s="266"/>
    </row>
    <row r="3939" spans="12:74">
      <c r="L3939" s="266"/>
      <c r="M3939" s="266"/>
      <c r="N3939" s="266"/>
      <c r="O3939" s="266"/>
      <c r="P3939" s="266"/>
      <c r="Q3939" s="266"/>
      <c r="BR3939" s="266"/>
      <c r="BS3939" s="266"/>
      <c r="BT3939" s="266"/>
      <c r="BU3939" s="266"/>
      <c r="BV3939" s="266"/>
    </row>
    <row r="3940" spans="12:74">
      <c r="L3940" s="266"/>
      <c r="M3940" s="266"/>
      <c r="N3940" s="266"/>
      <c r="O3940" s="266"/>
      <c r="P3940" s="266"/>
      <c r="Q3940" s="266"/>
      <c r="BR3940" s="266"/>
      <c r="BS3940" s="266"/>
      <c r="BT3940" s="266"/>
      <c r="BU3940" s="266"/>
      <c r="BV3940" s="266"/>
    </row>
    <row r="3941" spans="12:74">
      <c r="L3941" s="266"/>
      <c r="M3941" s="266"/>
      <c r="N3941" s="266"/>
      <c r="O3941" s="266"/>
      <c r="P3941" s="266"/>
      <c r="Q3941" s="266"/>
      <c r="BR3941" s="266"/>
      <c r="BS3941" s="266"/>
      <c r="BT3941" s="266"/>
      <c r="BU3941" s="266"/>
      <c r="BV3941" s="266"/>
    </row>
    <row r="3942" spans="12:74">
      <c r="L3942" s="266"/>
      <c r="M3942" s="266"/>
      <c r="N3942" s="266"/>
      <c r="O3942" s="266"/>
      <c r="P3942" s="266"/>
      <c r="Q3942" s="266"/>
      <c r="BR3942" s="266"/>
      <c r="BS3942" s="266"/>
      <c r="BT3942" s="266"/>
      <c r="BU3942" s="266"/>
      <c r="BV3942" s="266"/>
    </row>
    <row r="3943" spans="12:74">
      <c r="L3943" s="266"/>
      <c r="M3943" s="266"/>
      <c r="N3943" s="266"/>
      <c r="O3943" s="266"/>
      <c r="P3943" s="266"/>
      <c r="Q3943" s="266"/>
      <c r="BR3943" s="266"/>
      <c r="BS3943" s="266"/>
      <c r="BT3943" s="266"/>
      <c r="BU3943" s="266"/>
      <c r="BV3943" s="266"/>
    </row>
    <row r="3944" spans="12:74">
      <c r="L3944" s="266"/>
      <c r="M3944" s="266"/>
      <c r="N3944" s="266"/>
      <c r="O3944" s="266"/>
      <c r="P3944" s="266"/>
      <c r="Q3944" s="266"/>
      <c r="BR3944" s="266"/>
      <c r="BS3944" s="266"/>
      <c r="BT3944" s="266"/>
      <c r="BU3944" s="266"/>
      <c r="BV3944" s="266"/>
    </row>
    <row r="3945" spans="12:74">
      <c r="L3945" s="266"/>
      <c r="M3945" s="266"/>
      <c r="N3945" s="266"/>
      <c r="O3945" s="266"/>
      <c r="P3945" s="266"/>
      <c r="Q3945" s="266"/>
      <c r="BR3945" s="266"/>
      <c r="BS3945" s="266"/>
      <c r="BT3945" s="266"/>
      <c r="BU3945" s="266"/>
      <c r="BV3945" s="266"/>
    </row>
    <row r="3946" spans="12:74">
      <c r="L3946" s="266"/>
      <c r="M3946" s="266"/>
      <c r="N3946" s="266"/>
      <c r="O3946" s="266"/>
      <c r="P3946" s="266"/>
      <c r="Q3946" s="266"/>
      <c r="BR3946" s="266"/>
      <c r="BS3946" s="266"/>
      <c r="BT3946" s="266"/>
      <c r="BU3946" s="266"/>
      <c r="BV3946" s="266"/>
    </row>
    <row r="3947" spans="12:74">
      <c r="L3947" s="266"/>
      <c r="M3947" s="266"/>
      <c r="N3947" s="266"/>
      <c r="O3947" s="266"/>
      <c r="P3947" s="266"/>
      <c r="Q3947" s="266"/>
      <c r="BR3947" s="266"/>
      <c r="BS3947" s="266"/>
      <c r="BT3947" s="266"/>
      <c r="BU3947" s="266"/>
      <c r="BV3947" s="266"/>
    </row>
    <row r="3948" spans="12:74">
      <c r="L3948" s="266"/>
      <c r="M3948" s="266"/>
      <c r="N3948" s="266"/>
      <c r="O3948" s="266"/>
      <c r="P3948" s="266"/>
      <c r="Q3948" s="266"/>
      <c r="BR3948" s="266"/>
      <c r="BS3948" s="266"/>
      <c r="BT3948" s="266"/>
      <c r="BU3948" s="266"/>
      <c r="BV3948" s="266"/>
    </row>
    <row r="3949" spans="12:74">
      <c r="L3949" s="266"/>
      <c r="M3949" s="266"/>
      <c r="N3949" s="266"/>
      <c r="O3949" s="266"/>
      <c r="P3949" s="266"/>
      <c r="Q3949" s="266"/>
      <c r="BR3949" s="266"/>
      <c r="BS3949" s="266"/>
      <c r="BT3949" s="266"/>
      <c r="BU3949" s="266"/>
      <c r="BV3949" s="266"/>
    </row>
    <row r="3950" spans="12:74">
      <c r="L3950" s="266"/>
      <c r="M3950" s="266"/>
      <c r="N3950" s="266"/>
      <c r="O3950" s="266"/>
      <c r="P3950" s="266"/>
      <c r="Q3950" s="266"/>
      <c r="BR3950" s="266"/>
      <c r="BS3950" s="266"/>
      <c r="BT3950" s="266"/>
      <c r="BU3950" s="266"/>
      <c r="BV3950" s="266"/>
    </row>
    <row r="3951" spans="12:74">
      <c r="L3951" s="266"/>
      <c r="M3951" s="266"/>
      <c r="N3951" s="266"/>
      <c r="O3951" s="266"/>
      <c r="P3951" s="266"/>
      <c r="Q3951" s="266"/>
      <c r="BR3951" s="266"/>
      <c r="BS3951" s="266"/>
      <c r="BT3951" s="266"/>
      <c r="BU3951" s="266"/>
      <c r="BV3951" s="266"/>
    </row>
    <row r="3952" spans="12:74">
      <c r="L3952" s="266"/>
      <c r="M3952" s="266"/>
      <c r="N3952" s="266"/>
      <c r="O3952" s="266"/>
      <c r="P3952" s="266"/>
      <c r="Q3952" s="266"/>
      <c r="BR3952" s="266"/>
      <c r="BS3952" s="266"/>
      <c r="BT3952" s="266"/>
      <c r="BU3952" s="266"/>
      <c r="BV3952" s="266"/>
    </row>
    <row r="3953" spans="12:74">
      <c r="L3953" s="266"/>
      <c r="M3953" s="266"/>
      <c r="N3953" s="266"/>
      <c r="O3953" s="266"/>
      <c r="P3953" s="266"/>
      <c r="Q3953" s="266"/>
      <c r="BR3953" s="266"/>
      <c r="BS3953" s="266"/>
      <c r="BT3953" s="266"/>
      <c r="BU3953" s="266"/>
      <c r="BV3953" s="266"/>
    </row>
    <row r="3954" spans="12:74">
      <c r="L3954" s="266"/>
      <c r="M3954" s="266"/>
      <c r="N3954" s="266"/>
      <c r="O3954" s="266"/>
      <c r="P3954" s="266"/>
      <c r="Q3954" s="266"/>
      <c r="BR3954" s="266"/>
      <c r="BS3954" s="266"/>
      <c r="BT3954" s="266"/>
      <c r="BU3954" s="266"/>
      <c r="BV3954" s="266"/>
    </row>
    <row r="3955" spans="12:74">
      <c r="L3955" s="266"/>
      <c r="M3955" s="266"/>
      <c r="N3955" s="266"/>
      <c r="O3955" s="266"/>
      <c r="P3955" s="266"/>
      <c r="Q3955" s="266"/>
      <c r="BR3955" s="266"/>
      <c r="BS3955" s="266"/>
      <c r="BT3955" s="266"/>
      <c r="BU3955" s="266"/>
      <c r="BV3955" s="266"/>
    </row>
    <row r="3956" spans="12:74">
      <c r="L3956" s="266"/>
      <c r="M3956" s="266"/>
      <c r="N3956" s="266"/>
      <c r="O3956" s="266"/>
      <c r="P3956" s="266"/>
      <c r="Q3956" s="266"/>
      <c r="BR3956" s="266"/>
      <c r="BS3956" s="266"/>
      <c r="BT3956" s="266"/>
      <c r="BU3956" s="266"/>
      <c r="BV3956" s="266"/>
    </row>
    <row r="3957" spans="12:74">
      <c r="L3957" s="266"/>
      <c r="M3957" s="266"/>
      <c r="N3957" s="266"/>
      <c r="O3957" s="266"/>
      <c r="P3957" s="266"/>
      <c r="Q3957" s="266"/>
      <c r="BR3957" s="266"/>
      <c r="BS3957" s="266"/>
      <c r="BT3957" s="266"/>
      <c r="BU3957" s="266"/>
      <c r="BV3957" s="266"/>
    </row>
    <row r="3958" spans="12:74">
      <c r="L3958" s="266"/>
      <c r="M3958" s="266"/>
      <c r="N3958" s="266"/>
      <c r="O3958" s="266"/>
      <c r="P3958" s="266"/>
      <c r="Q3958" s="266"/>
      <c r="BR3958" s="266"/>
      <c r="BS3958" s="266"/>
      <c r="BT3958" s="266"/>
      <c r="BU3958" s="266"/>
      <c r="BV3958" s="266"/>
    </row>
    <row r="3959" spans="12:74">
      <c r="L3959" s="266"/>
      <c r="M3959" s="266"/>
      <c r="N3959" s="266"/>
      <c r="O3959" s="266"/>
      <c r="P3959" s="266"/>
      <c r="Q3959" s="266"/>
      <c r="BR3959" s="266"/>
      <c r="BS3959" s="266"/>
      <c r="BT3959" s="266"/>
      <c r="BU3959" s="266"/>
      <c r="BV3959" s="266"/>
    </row>
    <row r="3960" spans="12:74">
      <c r="L3960" s="266"/>
      <c r="M3960" s="266"/>
      <c r="N3960" s="266"/>
      <c r="O3960" s="266"/>
      <c r="P3960" s="266"/>
      <c r="Q3960" s="266"/>
      <c r="BR3960" s="266"/>
      <c r="BS3960" s="266"/>
      <c r="BT3960" s="266"/>
      <c r="BU3960" s="266"/>
      <c r="BV3960" s="266"/>
    </row>
    <row r="3961" spans="12:74">
      <c r="L3961" s="266"/>
      <c r="M3961" s="266"/>
      <c r="N3961" s="266"/>
      <c r="O3961" s="266"/>
      <c r="P3961" s="266"/>
      <c r="Q3961" s="266"/>
      <c r="BR3961" s="266"/>
      <c r="BS3961" s="266"/>
      <c r="BT3961" s="266"/>
      <c r="BU3961" s="266"/>
      <c r="BV3961" s="266"/>
    </row>
    <row r="3962" spans="12:74">
      <c r="L3962" s="266"/>
      <c r="M3962" s="266"/>
      <c r="N3962" s="266"/>
      <c r="O3962" s="266"/>
      <c r="P3962" s="266"/>
      <c r="Q3962" s="266"/>
      <c r="BR3962" s="266"/>
      <c r="BS3962" s="266"/>
      <c r="BT3962" s="266"/>
      <c r="BU3962" s="266"/>
      <c r="BV3962" s="266"/>
    </row>
    <row r="3963" spans="12:74">
      <c r="L3963" s="266"/>
      <c r="M3963" s="266"/>
      <c r="N3963" s="266"/>
      <c r="O3963" s="266"/>
      <c r="P3963" s="266"/>
      <c r="Q3963" s="266"/>
      <c r="BR3963" s="266"/>
      <c r="BS3963" s="266"/>
      <c r="BT3963" s="266"/>
      <c r="BU3963" s="266"/>
      <c r="BV3963" s="266"/>
    </row>
    <row r="3964" spans="12:74">
      <c r="L3964" s="266"/>
      <c r="M3964" s="266"/>
      <c r="N3964" s="266"/>
      <c r="O3964" s="266"/>
      <c r="P3964" s="266"/>
      <c r="Q3964" s="266"/>
      <c r="BR3964" s="266"/>
      <c r="BS3964" s="266"/>
      <c r="BT3964" s="266"/>
      <c r="BU3964" s="266"/>
      <c r="BV3964" s="266"/>
    </row>
    <row r="3965" spans="12:74">
      <c r="L3965" s="266"/>
      <c r="M3965" s="266"/>
      <c r="N3965" s="266"/>
      <c r="O3965" s="266"/>
      <c r="P3965" s="266"/>
      <c r="Q3965" s="266"/>
      <c r="BR3965" s="266"/>
      <c r="BS3965" s="266"/>
      <c r="BT3965" s="266"/>
      <c r="BU3965" s="266"/>
      <c r="BV3965" s="266"/>
    </row>
    <row r="3966" spans="12:74">
      <c r="L3966" s="266"/>
      <c r="M3966" s="266"/>
      <c r="N3966" s="266"/>
      <c r="O3966" s="266"/>
      <c r="P3966" s="266"/>
      <c r="Q3966" s="266"/>
      <c r="BR3966" s="266"/>
      <c r="BS3966" s="266"/>
      <c r="BT3966" s="266"/>
      <c r="BU3966" s="266"/>
      <c r="BV3966" s="266"/>
    </row>
    <row r="3967" spans="12:74">
      <c r="L3967" s="266"/>
      <c r="M3967" s="266"/>
      <c r="N3967" s="266"/>
      <c r="O3967" s="266"/>
      <c r="P3967" s="266"/>
      <c r="Q3967" s="266"/>
      <c r="BR3967" s="266"/>
      <c r="BS3967" s="266"/>
      <c r="BT3967" s="266"/>
      <c r="BU3967" s="266"/>
      <c r="BV3967" s="266"/>
    </row>
    <row r="3968" spans="12:74">
      <c r="L3968" s="266"/>
      <c r="M3968" s="266"/>
      <c r="N3968" s="266"/>
      <c r="O3968" s="266"/>
      <c r="P3968" s="266"/>
      <c r="Q3968" s="266"/>
      <c r="BR3968" s="266"/>
      <c r="BS3968" s="266"/>
      <c r="BT3968" s="266"/>
      <c r="BU3968" s="266"/>
      <c r="BV3968" s="266"/>
    </row>
    <row r="3969" spans="12:74">
      <c r="L3969" s="266"/>
      <c r="M3969" s="266"/>
      <c r="N3969" s="266"/>
      <c r="O3969" s="266"/>
      <c r="P3969" s="266"/>
      <c r="Q3969" s="266"/>
      <c r="BR3969" s="266"/>
      <c r="BS3969" s="266"/>
      <c r="BT3969" s="266"/>
      <c r="BU3969" s="266"/>
      <c r="BV3969" s="266"/>
    </row>
    <row r="3970" spans="12:74">
      <c r="L3970" s="266"/>
      <c r="M3970" s="266"/>
      <c r="N3970" s="266"/>
      <c r="O3970" s="266"/>
      <c r="P3970" s="266"/>
      <c r="Q3970" s="266"/>
      <c r="BR3970" s="266"/>
      <c r="BS3970" s="266"/>
      <c r="BT3970" s="266"/>
      <c r="BU3970" s="266"/>
      <c r="BV3970" s="266"/>
    </row>
    <row r="3971" spans="12:74">
      <c r="L3971" s="266"/>
      <c r="M3971" s="266"/>
      <c r="N3971" s="266"/>
      <c r="O3971" s="266"/>
      <c r="P3971" s="266"/>
      <c r="Q3971" s="266"/>
      <c r="BR3971" s="266"/>
      <c r="BS3971" s="266"/>
      <c r="BT3971" s="266"/>
      <c r="BU3971" s="266"/>
      <c r="BV3971" s="266"/>
    </row>
    <row r="3972" spans="12:74">
      <c r="L3972" s="266"/>
      <c r="M3972" s="266"/>
      <c r="N3972" s="266"/>
      <c r="O3972" s="266"/>
      <c r="P3972" s="266"/>
      <c r="Q3972" s="266"/>
      <c r="BR3972" s="266"/>
      <c r="BS3972" s="266"/>
      <c r="BT3972" s="266"/>
      <c r="BU3972" s="266"/>
      <c r="BV3972" s="266"/>
    </row>
    <row r="3973" spans="12:74">
      <c r="L3973" s="266"/>
      <c r="M3973" s="266"/>
      <c r="N3973" s="266"/>
      <c r="O3973" s="266"/>
      <c r="P3973" s="266"/>
      <c r="Q3973" s="266"/>
      <c r="BR3973" s="266"/>
      <c r="BS3973" s="266"/>
      <c r="BT3973" s="266"/>
      <c r="BU3973" s="266"/>
      <c r="BV3973" s="266"/>
    </row>
    <row r="3974" spans="12:74">
      <c r="L3974" s="266"/>
      <c r="M3974" s="266"/>
      <c r="N3974" s="266"/>
      <c r="O3974" s="266"/>
      <c r="P3974" s="266"/>
      <c r="Q3974" s="266"/>
      <c r="BR3974" s="266"/>
      <c r="BS3974" s="266"/>
      <c r="BT3974" s="266"/>
      <c r="BU3974" s="266"/>
      <c r="BV3974" s="266"/>
    </row>
    <row r="3975" spans="12:74">
      <c r="L3975" s="266"/>
      <c r="M3975" s="266"/>
      <c r="N3975" s="266"/>
      <c r="O3975" s="266"/>
      <c r="P3975" s="266"/>
      <c r="Q3975" s="266"/>
      <c r="BR3975" s="266"/>
      <c r="BS3975" s="266"/>
      <c r="BT3975" s="266"/>
      <c r="BU3975" s="266"/>
      <c r="BV3975" s="266"/>
    </row>
    <row r="3976" spans="12:74">
      <c r="L3976" s="266"/>
      <c r="M3976" s="266"/>
      <c r="N3976" s="266"/>
      <c r="O3976" s="266"/>
      <c r="P3976" s="266"/>
      <c r="Q3976" s="266"/>
      <c r="BR3976" s="266"/>
      <c r="BS3976" s="266"/>
      <c r="BT3976" s="266"/>
      <c r="BU3976" s="266"/>
      <c r="BV3976" s="266"/>
    </row>
    <row r="3977" spans="12:74">
      <c r="L3977" s="266"/>
      <c r="M3977" s="266"/>
      <c r="N3977" s="266"/>
      <c r="O3977" s="266"/>
      <c r="P3977" s="266"/>
      <c r="Q3977" s="266"/>
      <c r="BR3977" s="266"/>
      <c r="BS3977" s="266"/>
      <c r="BT3977" s="266"/>
      <c r="BU3977" s="266"/>
      <c r="BV3977" s="266"/>
    </row>
    <row r="3978" spans="12:74">
      <c r="L3978" s="266"/>
      <c r="M3978" s="266"/>
      <c r="N3978" s="266"/>
      <c r="O3978" s="266"/>
      <c r="P3978" s="266"/>
      <c r="Q3978" s="266"/>
      <c r="BR3978" s="266"/>
      <c r="BS3978" s="266"/>
      <c r="BT3978" s="266"/>
      <c r="BU3978" s="266"/>
      <c r="BV3978" s="266"/>
    </row>
    <row r="3979" spans="12:74">
      <c r="L3979" s="266"/>
      <c r="M3979" s="266"/>
      <c r="N3979" s="266"/>
      <c r="O3979" s="266"/>
      <c r="P3979" s="266"/>
      <c r="Q3979" s="266"/>
      <c r="BR3979" s="266"/>
      <c r="BS3979" s="266"/>
      <c r="BT3979" s="266"/>
      <c r="BU3979" s="266"/>
      <c r="BV3979" s="266"/>
    </row>
    <row r="3980" spans="12:74">
      <c r="L3980" s="266"/>
      <c r="M3980" s="266"/>
      <c r="N3980" s="266"/>
      <c r="O3980" s="266"/>
      <c r="P3980" s="266"/>
      <c r="Q3980" s="266"/>
      <c r="BR3980" s="266"/>
      <c r="BS3980" s="266"/>
      <c r="BT3980" s="266"/>
      <c r="BU3980" s="266"/>
      <c r="BV3980" s="266"/>
    </row>
    <row r="3981" spans="12:74">
      <c r="L3981" s="266"/>
      <c r="M3981" s="266"/>
      <c r="N3981" s="266"/>
      <c r="O3981" s="266"/>
      <c r="P3981" s="266"/>
      <c r="Q3981" s="266"/>
      <c r="BR3981" s="266"/>
      <c r="BS3981" s="266"/>
      <c r="BT3981" s="266"/>
      <c r="BU3981" s="266"/>
      <c r="BV3981" s="266"/>
    </row>
    <row r="3982" spans="12:74">
      <c r="L3982" s="266"/>
      <c r="M3982" s="266"/>
      <c r="N3982" s="266"/>
      <c r="O3982" s="266"/>
      <c r="P3982" s="266"/>
      <c r="Q3982" s="266"/>
      <c r="BR3982" s="266"/>
      <c r="BS3982" s="266"/>
      <c r="BT3982" s="266"/>
      <c r="BU3982" s="266"/>
      <c r="BV3982" s="266"/>
    </row>
    <row r="3983" spans="12:74">
      <c r="L3983" s="266"/>
      <c r="M3983" s="266"/>
      <c r="N3983" s="266"/>
      <c r="O3983" s="266"/>
      <c r="P3983" s="266"/>
      <c r="Q3983" s="266"/>
      <c r="BR3983" s="266"/>
      <c r="BS3983" s="266"/>
      <c r="BT3983" s="266"/>
      <c r="BU3983" s="266"/>
      <c r="BV3983" s="266"/>
    </row>
    <row r="3984" spans="12:74">
      <c r="L3984" s="266"/>
      <c r="M3984" s="266"/>
      <c r="N3984" s="266"/>
      <c r="O3984" s="266"/>
      <c r="P3984" s="266"/>
      <c r="Q3984" s="266"/>
      <c r="BR3984" s="266"/>
      <c r="BS3984" s="266"/>
      <c r="BT3984" s="266"/>
      <c r="BU3984" s="266"/>
      <c r="BV3984" s="266"/>
    </row>
    <row r="3985" spans="12:74">
      <c r="L3985" s="266"/>
      <c r="M3985" s="266"/>
      <c r="N3985" s="266"/>
      <c r="O3985" s="266"/>
      <c r="P3985" s="266"/>
      <c r="Q3985" s="266"/>
      <c r="BR3985" s="266"/>
      <c r="BS3985" s="266"/>
      <c r="BT3985" s="266"/>
      <c r="BU3985" s="266"/>
      <c r="BV3985" s="266"/>
    </row>
    <row r="3986" spans="12:74">
      <c r="L3986" s="266"/>
      <c r="M3986" s="266"/>
      <c r="N3986" s="266"/>
      <c r="O3986" s="266"/>
      <c r="P3986" s="266"/>
      <c r="Q3986" s="266"/>
      <c r="BR3986" s="266"/>
      <c r="BS3986" s="266"/>
      <c r="BT3986" s="266"/>
      <c r="BU3986" s="266"/>
      <c r="BV3986" s="266"/>
    </row>
    <row r="3987" spans="12:74">
      <c r="L3987" s="266"/>
      <c r="M3987" s="266"/>
      <c r="N3987" s="266"/>
      <c r="O3987" s="266"/>
      <c r="P3987" s="266"/>
      <c r="Q3987" s="266"/>
      <c r="BR3987" s="266"/>
      <c r="BS3987" s="266"/>
      <c r="BT3987" s="266"/>
      <c r="BU3987" s="266"/>
      <c r="BV3987" s="266"/>
    </row>
    <row r="3988" spans="12:74">
      <c r="L3988" s="266"/>
      <c r="M3988" s="266"/>
      <c r="N3988" s="266"/>
      <c r="O3988" s="266"/>
      <c r="P3988" s="266"/>
      <c r="Q3988" s="266"/>
      <c r="BR3988" s="266"/>
      <c r="BS3988" s="266"/>
      <c r="BT3988" s="266"/>
      <c r="BU3988" s="266"/>
      <c r="BV3988" s="266"/>
    </row>
    <row r="3989" spans="12:74">
      <c r="L3989" s="266"/>
      <c r="M3989" s="266"/>
      <c r="N3989" s="266"/>
      <c r="O3989" s="266"/>
      <c r="P3989" s="266"/>
      <c r="Q3989" s="266"/>
      <c r="BR3989" s="266"/>
      <c r="BS3989" s="266"/>
      <c r="BT3989" s="266"/>
      <c r="BU3989" s="266"/>
      <c r="BV3989" s="266"/>
    </row>
    <row r="3990" spans="12:74">
      <c r="L3990" s="266"/>
      <c r="M3990" s="266"/>
      <c r="N3990" s="266"/>
      <c r="O3990" s="266"/>
      <c r="P3990" s="266"/>
      <c r="Q3990" s="266"/>
      <c r="BR3990" s="266"/>
      <c r="BS3990" s="266"/>
      <c r="BT3990" s="266"/>
      <c r="BU3990" s="266"/>
      <c r="BV3990" s="266"/>
    </row>
    <row r="3991" spans="12:74">
      <c r="L3991" s="266"/>
      <c r="M3991" s="266"/>
      <c r="N3991" s="266"/>
      <c r="O3991" s="266"/>
      <c r="P3991" s="266"/>
      <c r="Q3991" s="266"/>
      <c r="BR3991" s="266"/>
      <c r="BS3991" s="266"/>
      <c r="BT3991" s="266"/>
      <c r="BU3991" s="266"/>
      <c r="BV3991" s="266"/>
    </row>
    <row r="3992" spans="12:74">
      <c r="L3992" s="266"/>
      <c r="M3992" s="266"/>
      <c r="N3992" s="266"/>
      <c r="O3992" s="266"/>
      <c r="P3992" s="266"/>
      <c r="Q3992" s="266"/>
      <c r="BR3992" s="266"/>
      <c r="BS3992" s="266"/>
      <c r="BT3992" s="266"/>
      <c r="BU3992" s="266"/>
      <c r="BV3992" s="266"/>
    </row>
    <row r="3993" spans="12:74">
      <c r="L3993" s="266"/>
      <c r="M3993" s="266"/>
      <c r="N3993" s="266"/>
      <c r="O3993" s="266"/>
      <c r="P3993" s="266"/>
      <c r="Q3993" s="266"/>
      <c r="BR3993" s="266"/>
      <c r="BS3993" s="266"/>
      <c r="BT3993" s="266"/>
      <c r="BU3993" s="266"/>
      <c r="BV3993" s="266"/>
    </row>
    <row r="3994" spans="12:74">
      <c r="L3994" s="266"/>
      <c r="M3994" s="266"/>
      <c r="N3994" s="266"/>
      <c r="O3994" s="266"/>
      <c r="P3994" s="266"/>
      <c r="Q3994" s="266"/>
      <c r="BR3994" s="266"/>
      <c r="BS3994" s="266"/>
      <c r="BT3994" s="266"/>
      <c r="BU3994" s="266"/>
      <c r="BV3994" s="266"/>
    </row>
    <row r="3995" spans="12:74">
      <c r="L3995" s="266"/>
      <c r="M3995" s="266"/>
      <c r="N3995" s="266"/>
      <c r="O3995" s="266"/>
      <c r="P3995" s="266"/>
      <c r="Q3995" s="266"/>
      <c r="BR3995" s="266"/>
      <c r="BS3995" s="266"/>
      <c r="BT3995" s="266"/>
      <c r="BU3995" s="266"/>
      <c r="BV3995" s="266"/>
    </row>
    <row r="3996" spans="12:74">
      <c r="L3996" s="266"/>
      <c r="M3996" s="266"/>
      <c r="N3996" s="266"/>
      <c r="O3996" s="266"/>
      <c r="P3996" s="266"/>
      <c r="Q3996" s="266"/>
      <c r="BR3996" s="266"/>
      <c r="BS3996" s="266"/>
      <c r="BT3996" s="266"/>
      <c r="BU3996" s="266"/>
      <c r="BV3996" s="266"/>
    </row>
    <row r="3997" spans="12:74">
      <c r="L3997" s="266"/>
      <c r="M3997" s="266"/>
      <c r="N3997" s="266"/>
      <c r="O3997" s="266"/>
      <c r="P3997" s="266"/>
      <c r="Q3997" s="266"/>
      <c r="BR3997" s="266"/>
      <c r="BS3997" s="266"/>
      <c r="BT3997" s="266"/>
      <c r="BU3997" s="266"/>
      <c r="BV3997" s="266"/>
    </row>
    <row r="3998" spans="12:74">
      <c r="L3998" s="266"/>
      <c r="M3998" s="266"/>
      <c r="N3998" s="266"/>
      <c r="O3998" s="266"/>
      <c r="P3998" s="266"/>
      <c r="Q3998" s="266"/>
      <c r="BR3998" s="266"/>
      <c r="BS3998" s="266"/>
      <c r="BT3998" s="266"/>
      <c r="BU3998" s="266"/>
      <c r="BV3998" s="266"/>
    </row>
    <row r="3999" spans="12:74">
      <c r="L3999" s="266"/>
      <c r="M3999" s="266"/>
      <c r="N3999" s="266"/>
      <c r="O3999" s="266"/>
      <c r="P3999" s="266"/>
      <c r="Q3999" s="266"/>
      <c r="BR3999" s="266"/>
      <c r="BS3999" s="266"/>
      <c r="BT3999" s="266"/>
      <c r="BU3999" s="266"/>
      <c r="BV3999" s="266"/>
    </row>
    <row r="4000" spans="12:74">
      <c r="L4000" s="266"/>
      <c r="M4000" s="266"/>
      <c r="N4000" s="266"/>
      <c r="O4000" s="266"/>
      <c r="P4000" s="266"/>
      <c r="Q4000" s="266"/>
      <c r="BR4000" s="266"/>
      <c r="BS4000" s="266"/>
      <c r="BT4000" s="266"/>
      <c r="BU4000" s="266"/>
      <c r="BV4000" s="266"/>
    </row>
    <row r="4001" spans="12:74">
      <c r="L4001" s="266"/>
      <c r="M4001" s="266"/>
      <c r="N4001" s="266"/>
      <c r="O4001" s="266"/>
      <c r="P4001" s="266"/>
      <c r="Q4001" s="266"/>
      <c r="BR4001" s="266"/>
      <c r="BS4001" s="266"/>
      <c r="BT4001" s="266"/>
      <c r="BU4001" s="266"/>
      <c r="BV4001" s="266"/>
    </row>
    <row r="4002" spans="12:74">
      <c r="L4002" s="266"/>
      <c r="M4002" s="266"/>
      <c r="N4002" s="266"/>
      <c r="O4002" s="266"/>
      <c r="P4002" s="266"/>
      <c r="Q4002" s="266"/>
      <c r="BR4002" s="266"/>
      <c r="BS4002" s="266"/>
      <c r="BT4002" s="266"/>
      <c r="BU4002" s="266"/>
      <c r="BV4002" s="266"/>
    </row>
    <row r="4003" spans="12:74">
      <c r="L4003" s="266"/>
      <c r="M4003" s="266"/>
      <c r="N4003" s="266"/>
      <c r="O4003" s="266"/>
      <c r="P4003" s="266"/>
      <c r="Q4003" s="266"/>
      <c r="BR4003" s="266"/>
      <c r="BS4003" s="266"/>
      <c r="BT4003" s="266"/>
      <c r="BU4003" s="266"/>
      <c r="BV4003" s="266"/>
    </row>
    <row r="4004" spans="12:74">
      <c r="L4004" s="266"/>
      <c r="M4004" s="266"/>
      <c r="N4004" s="266"/>
      <c r="O4004" s="266"/>
      <c r="P4004" s="266"/>
      <c r="Q4004" s="266"/>
      <c r="BR4004" s="266"/>
      <c r="BS4004" s="266"/>
      <c r="BT4004" s="266"/>
      <c r="BU4004" s="266"/>
      <c r="BV4004" s="266"/>
    </row>
    <row r="4005" spans="12:74">
      <c r="L4005" s="266"/>
      <c r="M4005" s="266"/>
      <c r="N4005" s="266"/>
      <c r="O4005" s="266"/>
      <c r="P4005" s="266"/>
      <c r="Q4005" s="266"/>
      <c r="BR4005" s="266"/>
      <c r="BS4005" s="266"/>
      <c r="BT4005" s="266"/>
      <c r="BU4005" s="266"/>
      <c r="BV4005" s="266"/>
    </row>
    <row r="4006" spans="12:74">
      <c r="L4006" s="266"/>
      <c r="M4006" s="266"/>
      <c r="N4006" s="266"/>
      <c r="O4006" s="266"/>
      <c r="P4006" s="266"/>
      <c r="Q4006" s="266"/>
      <c r="BR4006" s="266"/>
      <c r="BS4006" s="266"/>
      <c r="BT4006" s="266"/>
      <c r="BU4006" s="266"/>
      <c r="BV4006" s="266"/>
    </row>
    <row r="4007" spans="12:74">
      <c r="L4007" s="266"/>
      <c r="M4007" s="266"/>
      <c r="N4007" s="266"/>
      <c r="O4007" s="266"/>
      <c r="P4007" s="266"/>
      <c r="Q4007" s="266"/>
      <c r="BR4007" s="266"/>
      <c r="BS4007" s="266"/>
      <c r="BT4007" s="266"/>
      <c r="BU4007" s="266"/>
      <c r="BV4007" s="266"/>
    </row>
    <row r="4008" spans="12:74">
      <c r="L4008" s="266"/>
      <c r="M4008" s="266"/>
      <c r="N4008" s="266"/>
      <c r="O4008" s="266"/>
      <c r="P4008" s="266"/>
      <c r="Q4008" s="266"/>
      <c r="BR4008" s="266"/>
      <c r="BS4008" s="266"/>
      <c r="BT4008" s="266"/>
      <c r="BU4008" s="266"/>
      <c r="BV4008" s="266"/>
    </row>
    <row r="4009" spans="12:74">
      <c r="L4009" s="266"/>
      <c r="M4009" s="266"/>
      <c r="N4009" s="266"/>
      <c r="O4009" s="266"/>
      <c r="P4009" s="266"/>
      <c r="Q4009" s="266"/>
      <c r="BR4009" s="266"/>
      <c r="BS4009" s="266"/>
      <c r="BT4009" s="266"/>
      <c r="BU4009" s="266"/>
      <c r="BV4009" s="266"/>
    </row>
    <row r="4010" spans="12:74">
      <c r="L4010" s="266"/>
      <c r="M4010" s="266"/>
      <c r="N4010" s="266"/>
      <c r="O4010" s="266"/>
      <c r="P4010" s="266"/>
      <c r="Q4010" s="266"/>
      <c r="BR4010" s="266"/>
      <c r="BS4010" s="266"/>
      <c r="BT4010" s="266"/>
      <c r="BU4010" s="266"/>
      <c r="BV4010" s="266"/>
    </row>
    <row r="4011" spans="12:74">
      <c r="L4011" s="266"/>
      <c r="M4011" s="266"/>
      <c r="N4011" s="266"/>
      <c r="O4011" s="266"/>
      <c r="P4011" s="266"/>
      <c r="Q4011" s="266"/>
      <c r="BR4011" s="266"/>
      <c r="BS4011" s="266"/>
      <c r="BT4011" s="266"/>
      <c r="BU4011" s="266"/>
      <c r="BV4011" s="266"/>
    </row>
    <row r="4012" spans="12:74">
      <c r="L4012" s="266"/>
      <c r="M4012" s="266"/>
      <c r="N4012" s="266"/>
      <c r="O4012" s="266"/>
      <c r="P4012" s="266"/>
      <c r="Q4012" s="266"/>
      <c r="BR4012" s="266"/>
      <c r="BS4012" s="266"/>
      <c r="BT4012" s="266"/>
      <c r="BU4012" s="266"/>
      <c r="BV4012" s="266"/>
    </row>
    <row r="4013" spans="12:74">
      <c r="L4013" s="266"/>
      <c r="M4013" s="266"/>
      <c r="N4013" s="266"/>
      <c r="O4013" s="266"/>
      <c r="P4013" s="266"/>
      <c r="Q4013" s="266"/>
      <c r="BR4013" s="266"/>
      <c r="BS4013" s="266"/>
      <c r="BT4013" s="266"/>
      <c r="BU4013" s="266"/>
      <c r="BV4013" s="266"/>
    </row>
    <row r="4014" spans="12:74">
      <c r="L4014" s="266"/>
      <c r="M4014" s="266"/>
      <c r="N4014" s="266"/>
      <c r="O4014" s="266"/>
      <c r="P4014" s="266"/>
      <c r="Q4014" s="266"/>
      <c r="BR4014" s="266"/>
      <c r="BS4014" s="266"/>
      <c r="BT4014" s="266"/>
      <c r="BU4014" s="266"/>
      <c r="BV4014" s="266"/>
    </row>
    <row r="4015" spans="12:74">
      <c r="L4015" s="266"/>
      <c r="M4015" s="266"/>
      <c r="N4015" s="266"/>
      <c r="O4015" s="266"/>
      <c r="P4015" s="266"/>
      <c r="Q4015" s="266"/>
      <c r="BR4015" s="266"/>
      <c r="BS4015" s="266"/>
      <c r="BT4015" s="266"/>
      <c r="BU4015" s="266"/>
      <c r="BV4015" s="266"/>
    </row>
    <row r="4016" spans="12:74">
      <c r="L4016" s="266"/>
      <c r="M4016" s="266"/>
      <c r="N4016" s="266"/>
      <c r="O4016" s="266"/>
      <c r="P4016" s="266"/>
      <c r="Q4016" s="266"/>
      <c r="BR4016" s="266"/>
      <c r="BS4016" s="266"/>
      <c r="BT4016" s="266"/>
      <c r="BU4016" s="266"/>
      <c r="BV4016" s="266"/>
    </row>
    <row r="4017" spans="12:74">
      <c r="L4017" s="266"/>
      <c r="M4017" s="266"/>
      <c r="N4017" s="266"/>
      <c r="O4017" s="266"/>
      <c r="P4017" s="266"/>
      <c r="Q4017" s="266"/>
      <c r="BR4017" s="266"/>
      <c r="BS4017" s="266"/>
      <c r="BT4017" s="266"/>
      <c r="BU4017" s="266"/>
      <c r="BV4017" s="266"/>
    </row>
    <row r="4018" spans="12:74">
      <c r="L4018" s="266"/>
      <c r="M4018" s="266"/>
      <c r="N4018" s="266"/>
      <c r="O4018" s="266"/>
      <c r="P4018" s="266"/>
      <c r="Q4018" s="266"/>
      <c r="BR4018" s="266"/>
      <c r="BS4018" s="266"/>
      <c r="BT4018" s="266"/>
      <c r="BU4018" s="266"/>
      <c r="BV4018" s="266"/>
    </row>
    <row r="4019" spans="12:74">
      <c r="L4019" s="266"/>
      <c r="M4019" s="266"/>
      <c r="N4019" s="266"/>
      <c r="O4019" s="266"/>
      <c r="P4019" s="266"/>
      <c r="Q4019" s="266"/>
      <c r="BR4019" s="266"/>
      <c r="BS4019" s="266"/>
      <c r="BT4019" s="266"/>
      <c r="BU4019" s="266"/>
      <c r="BV4019" s="266"/>
    </row>
    <row r="4020" spans="12:74">
      <c r="L4020" s="266"/>
      <c r="M4020" s="266"/>
      <c r="N4020" s="266"/>
      <c r="O4020" s="266"/>
      <c r="P4020" s="266"/>
      <c r="Q4020" s="266"/>
      <c r="BR4020" s="266"/>
      <c r="BS4020" s="266"/>
      <c r="BT4020" s="266"/>
      <c r="BU4020" s="266"/>
      <c r="BV4020" s="266"/>
    </row>
    <row r="4021" spans="12:74">
      <c r="L4021" s="266"/>
      <c r="M4021" s="266"/>
      <c r="N4021" s="266"/>
      <c r="O4021" s="266"/>
      <c r="P4021" s="266"/>
      <c r="Q4021" s="266"/>
      <c r="BR4021" s="266"/>
      <c r="BS4021" s="266"/>
      <c r="BT4021" s="266"/>
      <c r="BU4021" s="266"/>
      <c r="BV4021" s="266"/>
    </row>
    <row r="4022" spans="12:74">
      <c r="L4022" s="266"/>
      <c r="M4022" s="266"/>
      <c r="N4022" s="266"/>
      <c r="O4022" s="266"/>
      <c r="P4022" s="266"/>
      <c r="Q4022" s="266"/>
      <c r="BR4022" s="266"/>
      <c r="BS4022" s="266"/>
      <c r="BT4022" s="266"/>
      <c r="BU4022" s="266"/>
      <c r="BV4022" s="266"/>
    </row>
    <row r="4023" spans="12:74">
      <c r="L4023" s="266"/>
      <c r="M4023" s="266"/>
      <c r="N4023" s="266"/>
      <c r="O4023" s="266"/>
      <c r="P4023" s="266"/>
      <c r="Q4023" s="266"/>
      <c r="BR4023" s="266"/>
      <c r="BS4023" s="266"/>
      <c r="BT4023" s="266"/>
      <c r="BU4023" s="266"/>
      <c r="BV4023" s="266"/>
    </row>
    <row r="4024" spans="12:74">
      <c r="L4024" s="266"/>
      <c r="M4024" s="266"/>
      <c r="N4024" s="266"/>
      <c r="O4024" s="266"/>
      <c r="P4024" s="266"/>
      <c r="Q4024" s="266"/>
      <c r="BR4024" s="266"/>
      <c r="BS4024" s="266"/>
      <c r="BT4024" s="266"/>
      <c r="BU4024" s="266"/>
      <c r="BV4024" s="266"/>
    </row>
    <row r="4025" spans="12:74">
      <c r="L4025" s="266"/>
      <c r="M4025" s="266"/>
      <c r="N4025" s="266"/>
      <c r="O4025" s="266"/>
      <c r="P4025" s="266"/>
      <c r="Q4025" s="266"/>
      <c r="BR4025" s="266"/>
      <c r="BS4025" s="266"/>
      <c r="BT4025" s="266"/>
      <c r="BU4025" s="266"/>
      <c r="BV4025" s="266"/>
    </row>
    <row r="4026" spans="12:74">
      <c r="L4026" s="266"/>
      <c r="M4026" s="266"/>
      <c r="N4026" s="266"/>
      <c r="O4026" s="266"/>
      <c r="P4026" s="266"/>
      <c r="Q4026" s="266"/>
      <c r="BR4026" s="266"/>
      <c r="BS4026" s="266"/>
      <c r="BT4026" s="266"/>
      <c r="BU4026" s="266"/>
      <c r="BV4026" s="266"/>
    </row>
    <row r="4027" spans="12:74">
      <c r="L4027" s="266"/>
      <c r="M4027" s="266"/>
      <c r="N4027" s="266"/>
      <c r="O4027" s="266"/>
      <c r="P4027" s="266"/>
      <c r="Q4027" s="266"/>
      <c r="BR4027" s="266"/>
      <c r="BS4027" s="266"/>
      <c r="BT4027" s="266"/>
      <c r="BU4027" s="266"/>
      <c r="BV4027" s="266"/>
    </row>
    <row r="4028" spans="12:74">
      <c r="L4028" s="266"/>
      <c r="M4028" s="266"/>
      <c r="N4028" s="266"/>
      <c r="O4028" s="266"/>
      <c r="P4028" s="266"/>
      <c r="Q4028" s="266"/>
      <c r="BR4028" s="266"/>
      <c r="BS4028" s="266"/>
      <c r="BT4028" s="266"/>
      <c r="BU4028" s="266"/>
      <c r="BV4028" s="266"/>
    </row>
    <row r="4029" spans="12:74">
      <c r="L4029" s="266"/>
      <c r="M4029" s="266"/>
      <c r="N4029" s="266"/>
      <c r="O4029" s="266"/>
      <c r="P4029" s="266"/>
      <c r="Q4029" s="266"/>
      <c r="BR4029" s="266"/>
      <c r="BS4029" s="266"/>
      <c r="BT4029" s="266"/>
      <c r="BU4029" s="266"/>
      <c r="BV4029" s="266"/>
    </row>
    <row r="4030" spans="12:74">
      <c r="L4030" s="266"/>
      <c r="M4030" s="266"/>
      <c r="N4030" s="266"/>
      <c r="O4030" s="266"/>
      <c r="P4030" s="266"/>
      <c r="Q4030" s="266"/>
      <c r="BR4030" s="266"/>
      <c r="BS4030" s="266"/>
      <c r="BT4030" s="266"/>
      <c r="BU4030" s="266"/>
      <c r="BV4030" s="266"/>
    </row>
    <row r="4031" spans="12:74">
      <c r="L4031" s="266"/>
      <c r="M4031" s="266"/>
      <c r="N4031" s="266"/>
      <c r="O4031" s="266"/>
      <c r="P4031" s="266"/>
      <c r="Q4031" s="266"/>
      <c r="BR4031" s="266"/>
      <c r="BS4031" s="266"/>
      <c r="BT4031" s="266"/>
      <c r="BU4031" s="266"/>
      <c r="BV4031" s="266"/>
    </row>
    <row r="4032" spans="12:74">
      <c r="L4032" s="266"/>
      <c r="M4032" s="266"/>
      <c r="N4032" s="266"/>
      <c r="O4032" s="266"/>
      <c r="P4032" s="266"/>
      <c r="Q4032" s="266"/>
      <c r="BR4032" s="266"/>
      <c r="BS4032" s="266"/>
      <c r="BT4032" s="266"/>
      <c r="BU4032" s="266"/>
      <c r="BV4032" s="266"/>
    </row>
    <row r="4033" spans="12:74">
      <c r="L4033" s="266"/>
      <c r="M4033" s="266"/>
      <c r="N4033" s="266"/>
      <c r="O4033" s="266"/>
      <c r="P4033" s="266"/>
      <c r="Q4033" s="266"/>
      <c r="BR4033" s="266"/>
      <c r="BS4033" s="266"/>
      <c r="BT4033" s="266"/>
      <c r="BU4033" s="266"/>
      <c r="BV4033" s="266"/>
    </row>
    <row r="4034" spans="12:74">
      <c r="L4034" s="266"/>
      <c r="M4034" s="266"/>
      <c r="N4034" s="266"/>
      <c r="O4034" s="266"/>
      <c r="P4034" s="266"/>
      <c r="Q4034" s="266"/>
      <c r="BR4034" s="266"/>
      <c r="BS4034" s="266"/>
      <c r="BT4034" s="266"/>
      <c r="BU4034" s="266"/>
      <c r="BV4034" s="266"/>
    </row>
    <row r="4035" spans="12:74">
      <c r="L4035" s="266"/>
      <c r="M4035" s="266"/>
      <c r="N4035" s="266"/>
      <c r="O4035" s="266"/>
      <c r="P4035" s="266"/>
      <c r="Q4035" s="266"/>
      <c r="BR4035" s="266"/>
      <c r="BS4035" s="266"/>
      <c r="BT4035" s="266"/>
      <c r="BU4035" s="266"/>
      <c r="BV4035" s="266"/>
    </row>
    <row r="4036" spans="12:74">
      <c r="L4036" s="266"/>
      <c r="M4036" s="266"/>
      <c r="N4036" s="266"/>
      <c r="O4036" s="266"/>
      <c r="P4036" s="266"/>
      <c r="Q4036" s="266"/>
      <c r="BR4036" s="266"/>
      <c r="BS4036" s="266"/>
      <c r="BT4036" s="266"/>
      <c r="BU4036" s="266"/>
      <c r="BV4036" s="266"/>
    </row>
    <row r="4037" spans="12:74">
      <c r="L4037" s="266"/>
      <c r="M4037" s="266"/>
      <c r="N4037" s="266"/>
      <c r="O4037" s="266"/>
      <c r="P4037" s="266"/>
      <c r="Q4037" s="266"/>
      <c r="BR4037" s="266"/>
      <c r="BS4037" s="266"/>
      <c r="BT4037" s="266"/>
      <c r="BU4037" s="266"/>
      <c r="BV4037" s="266"/>
    </row>
    <row r="4038" spans="12:74">
      <c r="L4038" s="266"/>
      <c r="M4038" s="266"/>
      <c r="N4038" s="266"/>
      <c r="O4038" s="266"/>
      <c r="P4038" s="266"/>
      <c r="Q4038" s="266"/>
      <c r="BR4038" s="266"/>
      <c r="BS4038" s="266"/>
      <c r="BT4038" s="266"/>
      <c r="BU4038" s="266"/>
      <c r="BV4038" s="266"/>
    </row>
    <row r="4039" spans="12:74">
      <c r="L4039" s="266"/>
      <c r="M4039" s="266"/>
      <c r="N4039" s="266"/>
      <c r="O4039" s="266"/>
      <c r="P4039" s="266"/>
      <c r="Q4039" s="266"/>
      <c r="BR4039" s="266"/>
      <c r="BS4039" s="266"/>
      <c r="BT4039" s="266"/>
      <c r="BU4039" s="266"/>
      <c r="BV4039" s="266"/>
    </row>
    <row r="4040" spans="12:74">
      <c r="L4040" s="266"/>
      <c r="M4040" s="266"/>
      <c r="N4040" s="266"/>
      <c r="O4040" s="266"/>
      <c r="P4040" s="266"/>
      <c r="Q4040" s="266"/>
      <c r="BR4040" s="266"/>
      <c r="BS4040" s="266"/>
      <c r="BT4040" s="266"/>
      <c r="BU4040" s="266"/>
      <c r="BV4040" s="266"/>
    </row>
    <row r="4041" spans="12:74">
      <c r="L4041" s="266"/>
      <c r="M4041" s="266"/>
      <c r="N4041" s="266"/>
      <c r="O4041" s="266"/>
      <c r="P4041" s="266"/>
      <c r="Q4041" s="266"/>
      <c r="BR4041" s="266"/>
      <c r="BS4041" s="266"/>
      <c r="BT4041" s="266"/>
      <c r="BU4041" s="266"/>
      <c r="BV4041" s="266"/>
    </row>
    <row r="4042" spans="12:74">
      <c r="L4042" s="266"/>
      <c r="M4042" s="266"/>
      <c r="N4042" s="266"/>
      <c r="O4042" s="266"/>
      <c r="P4042" s="266"/>
      <c r="Q4042" s="266"/>
      <c r="BR4042" s="266"/>
      <c r="BS4042" s="266"/>
      <c r="BT4042" s="266"/>
      <c r="BU4042" s="266"/>
      <c r="BV4042" s="266"/>
    </row>
    <row r="4043" spans="12:74">
      <c r="L4043" s="266"/>
      <c r="M4043" s="266"/>
      <c r="N4043" s="266"/>
      <c r="O4043" s="266"/>
      <c r="P4043" s="266"/>
      <c r="Q4043" s="266"/>
      <c r="BR4043" s="266"/>
      <c r="BS4043" s="266"/>
      <c r="BT4043" s="266"/>
      <c r="BU4043" s="266"/>
      <c r="BV4043" s="266"/>
    </row>
    <row r="4044" spans="12:74">
      <c r="L4044" s="266"/>
      <c r="M4044" s="266"/>
      <c r="N4044" s="266"/>
      <c r="O4044" s="266"/>
      <c r="P4044" s="266"/>
      <c r="Q4044" s="266"/>
      <c r="BR4044" s="266"/>
      <c r="BS4044" s="266"/>
      <c r="BT4044" s="266"/>
      <c r="BU4044" s="266"/>
      <c r="BV4044" s="266"/>
    </row>
    <row r="4045" spans="12:74">
      <c r="L4045" s="266"/>
      <c r="M4045" s="266"/>
      <c r="N4045" s="266"/>
      <c r="O4045" s="266"/>
      <c r="P4045" s="266"/>
      <c r="Q4045" s="266"/>
      <c r="BR4045" s="266"/>
      <c r="BS4045" s="266"/>
      <c r="BT4045" s="266"/>
      <c r="BU4045" s="266"/>
      <c r="BV4045" s="266"/>
    </row>
    <row r="4046" spans="12:74">
      <c r="L4046" s="266"/>
      <c r="M4046" s="266"/>
      <c r="N4046" s="266"/>
      <c r="O4046" s="266"/>
      <c r="P4046" s="266"/>
      <c r="Q4046" s="266"/>
      <c r="BR4046" s="266"/>
      <c r="BS4046" s="266"/>
      <c r="BT4046" s="266"/>
      <c r="BU4046" s="266"/>
      <c r="BV4046" s="266"/>
    </row>
    <row r="4047" spans="12:74">
      <c r="L4047" s="266"/>
      <c r="M4047" s="266"/>
      <c r="N4047" s="266"/>
      <c r="O4047" s="266"/>
      <c r="P4047" s="266"/>
      <c r="Q4047" s="266"/>
      <c r="BR4047" s="266"/>
      <c r="BS4047" s="266"/>
      <c r="BT4047" s="266"/>
      <c r="BU4047" s="266"/>
      <c r="BV4047" s="266"/>
    </row>
    <row r="4048" spans="12:74">
      <c r="L4048" s="266"/>
      <c r="M4048" s="266"/>
      <c r="N4048" s="266"/>
      <c r="O4048" s="266"/>
      <c r="P4048" s="266"/>
      <c r="Q4048" s="266"/>
      <c r="BR4048" s="266"/>
      <c r="BS4048" s="266"/>
      <c r="BT4048" s="266"/>
      <c r="BU4048" s="266"/>
      <c r="BV4048" s="266"/>
    </row>
    <row r="4049" spans="12:74">
      <c r="L4049" s="266"/>
      <c r="M4049" s="266"/>
      <c r="N4049" s="266"/>
      <c r="O4049" s="266"/>
      <c r="P4049" s="266"/>
      <c r="Q4049" s="266"/>
      <c r="BR4049" s="266"/>
      <c r="BS4049" s="266"/>
      <c r="BT4049" s="266"/>
      <c r="BU4049" s="266"/>
      <c r="BV4049" s="266"/>
    </row>
    <row r="4050" spans="12:74">
      <c r="L4050" s="266"/>
      <c r="M4050" s="266"/>
      <c r="N4050" s="266"/>
      <c r="O4050" s="266"/>
      <c r="P4050" s="266"/>
      <c r="Q4050" s="266"/>
      <c r="BR4050" s="266"/>
      <c r="BS4050" s="266"/>
      <c r="BT4050" s="266"/>
      <c r="BU4050" s="266"/>
      <c r="BV4050" s="266"/>
    </row>
    <row r="4051" spans="12:74">
      <c r="L4051" s="266"/>
      <c r="M4051" s="266"/>
      <c r="N4051" s="266"/>
      <c r="O4051" s="266"/>
      <c r="P4051" s="266"/>
      <c r="Q4051" s="266"/>
      <c r="BR4051" s="266"/>
      <c r="BS4051" s="266"/>
      <c r="BT4051" s="266"/>
      <c r="BU4051" s="266"/>
      <c r="BV4051" s="266"/>
    </row>
    <row r="4052" spans="12:74">
      <c r="L4052" s="266"/>
      <c r="M4052" s="266"/>
      <c r="N4052" s="266"/>
      <c r="O4052" s="266"/>
      <c r="P4052" s="266"/>
      <c r="Q4052" s="266"/>
      <c r="BR4052" s="266"/>
      <c r="BS4052" s="266"/>
      <c r="BT4052" s="266"/>
      <c r="BU4052" s="266"/>
      <c r="BV4052" s="266"/>
    </row>
    <row r="4053" spans="12:74">
      <c r="L4053" s="266"/>
      <c r="M4053" s="266"/>
      <c r="N4053" s="266"/>
      <c r="O4053" s="266"/>
      <c r="P4053" s="266"/>
      <c r="Q4053" s="266"/>
      <c r="BR4053" s="266"/>
      <c r="BS4053" s="266"/>
      <c r="BT4053" s="266"/>
      <c r="BU4053" s="266"/>
      <c r="BV4053" s="266"/>
    </row>
    <row r="4054" spans="12:74">
      <c r="L4054" s="266"/>
      <c r="M4054" s="266"/>
      <c r="N4054" s="266"/>
      <c r="O4054" s="266"/>
      <c r="P4054" s="266"/>
      <c r="Q4054" s="266"/>
      <c r="BR4054" s="266"/>
      <c r="BS4054" s="266"/>
      <c r="BT4054" s="266"/>
      <c r="BU4054" s="266"/>
      <c r="BV4054" s="266"/>
    </row>
    <row r="4055" spans="12:74">
      <c r="L4055" s="266"/>
      <c r="M4055" s="266"/>
      <c r="N4055" s="266"/>
      <c r="O4055" s="266"/>
      <c r="P4055" s="266"/>
      <c r="Q4055" s="266"/>
      <c r="BR4055" s="266"/>
      <c r="BS4055" s="266"/>
      <c r="BT4055" s="266"/>
      <c r="BU4055" s="266"/>
      <c r="BV4055" s="266"/>
    </row>
    <row r="4056" spans="12:74">
      <c r="L4056" s="266"/>
      <c r="M4056" s="266"/>
      <c r="N4056" s="266"/>
      <c r="O4056" s="266"/>
      <c r="P4056" s="266"/>
      <c r="Q4056" s="266"/>
      <c r="BR4056" s="266"/>
      <c r="BS4056" s="266"/>
      <c r="BT4056" s="266"/>
      <c r="BU4056" s="266"/>
      <c r="BV4056" s="266"/>
    </row>
    <row r="4057" spans="12:74">
      <c r="L4057" s="266"/>
      <c r="M4057" s="266"/>
      <c r="N4057" s="266"/>
      <c r="O4057" s="266"/>
      <c r="P4057" s="266"/>
      <c r="Q4057" s="266"/>
      <c r="BR4057" s="266"/>
      <c r="BS4057" s="266"/>
      <c r="BT4057" s="266"/>
      <c r="BU4057" s="266"/>
      <c r="BV4057" s="266"/>
    </row>
    <row r="4058" spans="12:74">
      <c r="L4058" s="266"/>
      <c r="M4058" s="266"/>
      <c r="N4058" s="266"/>
      <c r="O4058" s="266"/>
      <c r="P4058" s="266"/>
      <c r="Q4058" s="266"/>
      <c r="BR4058" s="266"/>
      <c r="BS4058" s="266"/>
      <c r="BT4058" s="266"/>
      <c r="BU4058" s="266"/>
      <c r="BV4058" s="266"/>
    </row>
    <row r="4059" spans="12:74">
      <c r="L4059" s="266"/>
      <c r="M4059" s="266"/>
      <c r="N4059" s="266"/>
      <c r="O4059" s="266"/>
      <c r="P4059" s="266"/>
      <c r="Q4059" s="266"/>
      <c r="BR4059" s="266"/>
      <c r="BS4059" s="266"/>
      <c r="BT4059" s="266"/>
      <c r="BU4059" s="266"/>
      <c r="BV4059" s="266"/>
    </row>
    <row r="4060" spans="12:74">
      <c r="L4060" s="266"/>
      <c r="M4060" s="266"/>
      <c r="N4060" s="266"/>
      <c r="O4060" s="266"/>
      <c r="P4060" s="266"/>
      <c r="Q4060" s="266"/>
      <c r="BR4060" s="266"/>
      <c r="BS4060" s="266"/>
      <c r="BT4060" s="266"/>
      <c r="BU4060" s="266"/>
      <c r="BV4060" s="266"/>
    </row>
    <row r="4061" spans="12:74">
      <c r="L4061" s="266"/>
      <c r="M4061" s="266"/>
      <c r="N4061" s="266"/>
      <c r="O4061" s="266"/>
      <c r="P4061" s="266"/>
      <c r="Q4061" s="266"/>
      <c r="BR4061" s="266"/>
      <c r="BS4061" s="266"/>
      <c r="BT4061" s="266"/>
      <c r="BU4061" s="266"/>
      <c r="BV4061" s="266"/>
    </row>
    <row r="4062" spans="12:74">
      <c r="L4062" s="266"/>
      <c r="M4062" s="266"/>
      <c r="N4062" s="266"/>
      <c r="O4062" s="266"/>
      <c r="P4062" s="266"/>
      <c r="Q4062" s="266"/>
      <c r="BR4062" s="266"/>
      <c r="BS4062" s="266"/>
      <c r="BT4062" s="266"/>
      <c r="BU4062" s="266"/>
      <c r="BV4062" s="266"/>
    </row>
    <row r="4063" spans="12:74">
      <c r="L4063" s="266"/>
      <c r="M4063" s="266"/>
      <c r="N4063" s="266"/>
      <c r="O4063" s="266"/>
      <c r="P4063" s="266"/>
      <c r="Q4063" s="266"/>
      <c r="BR4063" s="266"/>
      <c r="BS4063" s="266"/>
      <c r="BT4063" s="266"/>
      <c r="BU4063" s="266"/>
      <c r="BV4063" s="266"/>
    </row>
    <row r="4064" spans="12:74">
      <c r="L4064" s="266"/>
      <c r="M4064" s="266"/>
      <c r="N4064" s="266"/>
      <c r="O4064" s="266"/>
      <c r="P4064" s="266"/>
      <c r="Q4064" s="266"/>
      <c r="BR4064" s="266"/>
      <c r="BS4064" s="266"/>
      <c r="BT4064" s="266"/>
      <c r="BU4064" s="266"/>
      <c r="BV4064" s="266"/>
    </row>
    <row r="4065" spans="12:74">
      <c r="L4065" s="266"/>
      <c r="M4065" s="266"/>
      <c r="N4065" s="266"/>
      <c r="O4065" s="266"/>
      <c r="P4065" s="266"/>
      <c r="Q4065" s="266"/>
      <c r="BR4065" s="266"/>
      <c r="BS4065" s="266"/>
      <c r="BT4065" s="266"/>
      <c r="BU4065" s="266"/>
      <c r="BV4065" s="266"/>
    </row>
    <row r="4066" spans="12:74">
      <c r="L4066" s="266"/>
      <c r="M4066" s="266"/>
      <c r="N4066" s="266"/>
      <c r="O4066" s="266"/>
      <c r="P4066" s="266"/>
      <c r="Q4066" s="266"/>
      <c r="BR4066" s="266"/>
      <c r="BS4066" s="266"/>
      <c r="BT4066" s="266"/>
      <c r="BU4066" s="266"/>
      <c r="BV4066" s="266"/>
    </row>
    <row r="4067" spans="12:74">
      <c r="L4067" s="266"/>
      <c r="M4067" s="266"/>
      <c r="N4067" s="266"/>
      <c r="O4067" s="266"/>
      <c r="P4067" s="266"/>
      <c r="Q4067" s="266"/>
      <c r="BR4067" s="266"/>
      <c r="BS4067" s="266"/>
      <c r="BT4067" s="266"/>
      <c r="BU4067" s="266"/>
      <c r="BV4067" s="266"/>
    </row>
    <row r="4068" spans="12:74">
      <c r="L4068" s="266"/>
      <c r="M4068" s="266"/>
      <c r="N4068" s="266"/>
      <c r="O4068" s="266"/>
      <c r="P4068" s="266"/>
      <c r="Q4068" s="266"/>
      <c r="BR4068" s="266"/>
      <c r="BS4068" s="266"/>
      <c r="BT4068" s="266"/>
      <c r="BU4068" s="266"/>
      <c r="BV4068" s="266"/>
    </row>
    <row r="4069" spans="12:74">
      <c r="L4069" s="266"/>
      <c r="M4069" s="266"/>
      <c r="N4069" s="266"/>
      <c r="O4069" s="266"/>
      <c r="P4069" s="266"/>
      <c r="Q4069" s="266"/>
      <c r="BR4069" s="266"/>
      <c r="BS4069" s="266"/>
      <c r="BT4069" s="266"/>
      <c r="BU4069" s="266"/>
      <c r="BV4069" s="266"/>
    </row>
    <row r="4070" spans="12:74">
      <c r="L4070" s="266"/>
      <c r="M4070" s="266"/>
      <c r="N4070" s="266"/>
      <c r="O4070" s="266"/>
      <c r="P4070" s="266"/>
      <c r="Q4070" s="266"/>
      <c r="BR4070" s="266"/>
      <c r="BS4070" s="266"/>
      <c r="BT4070" s="266"/>
      <c r="BU4070" s="266"/>
      <c r="BV4070" s="266"/>
    </row>
    <row r="4071" spans="12:74">
      <c r="L4071" s="266"/>
      <c r="M4071" s="266"/>
      <c r="N4071" s="266"/>
      <c r="O4071" s="266"/>
      <c r="P4071" s="266"/>
      <c r="Q4071" s="266"/>
      <c r="BR4071" s="266"/>
      <c r="BS4071" s="266"/>
      <c r="BT4071" s="266"/>
      <c r="BU4071" s="266"/>
      <c r="BV4071" s="266"/>
    </row>
    <row r="4072" spans="12:74">
      <c r="L4072" s="266"/>
      <c r="M4072" s="266"/>
      <c r="N4072" s="266"/>
      <c r="O4072" s="266"/>
      <c r="P4072" s="266"/>
      <c r="Q4072" s="266"/>
      <c r="BR4072" s="266"/>
      <c r="BS4072" s="266"/>
      <c r="BT4072" s="266"/>
      <c r="BU4072" s="266"/>
      <c r="BV4072" s="266"/>
    </row>
    <row r="4073" spans="12:74">
      <c r="L4073" s="266"/>
      <c r="M4073" s="266"/>
      <c r="N4073" s="266"/>
      <c r="O4073" s="266"/>
      <c r="P4073" s="266"/>
      <c r="Q4073" s="266"/>
      <c r="BR4073" s="266"/>
      <c r="BS4073" s="266"/>
      <c r="BT4073" s="266"/>
      <c r="BU4073" s="266"/>
      <c r="BV4073" s="266"/>
    </row>
    <row r="4074" spans="12:74">
      <c r="L4074" s="266"/>
      <c r="M4074" s="266"/>
      <c r="N4074" s="266"/>
      <c r="O4074" s="266"/>
      <c r="P4074" s="266"/>
      <c r="Q4074" s="266"/>
      <c r="BR4074" s="266"/>
      <c r="BS4074" s="266"/>
      <c r="BT4074" s="266"/>
      <c r="BU4074" s="266"/>
      <c r="BV4074" s="266"/>
    </row>
    <row r="4075" spans="12:74">
      <c r="L4075" s="266"/>
      <c r="M4075" s="266"/>
      <c r="N4075" s="266"/>
      <c r="O4075" s="266"/>
      <c r="P4075" s="266"/>
      <c r="Q4075" s="266"/>
      <c r="BR4075" s="266"/>
      <c r="BS4075" s="266"/>
      <c r="BT4075" s="266"/>
      <c r="BU4075" s="266"/>
      <c r="BV4075" s="266"/>
    </row>
    <row r="4076" spans="12:74">
      <c r="L4076" s="266"/>
      <c r="M4076" s="266"/>
      <c r="N4076" s="266"/>
      <c r="O4076" s="266"/>
      <c r="P4076" s="266"/>
      <c r="Q4076" s="266"/>
      <c r="BR4076" s="266"/>
      <c r="BS4076" s="266"/>
      <c r="BT4076" s="266"/>
      <c r="BU4076" s="266"/>
      <c r="BV4076" s="266"/>
    </row>
    <row r="4077" spans="12:74">
      <c r="L4077" s="266"/>
      <c r="M4077" s="266"/>
      <c r="N4077" s="266"/>
      <c r="O4077" s="266"/>
      <c r="P4077" s="266"/>
      <c r="Q4077" s="266"/>
      <c r="BR4077" s="266"/>
      <c r="BS4077" s="266"/>
      <c r="BT4077" s="266"/>
      <c r="BU4077" s="266"/>
      <c r="BV4077" s="266"/>
    </row>
    <row r="4078" spans="12:74">
      <c r="L4078" s="266"/>
      <c r="M4078" s="266"/>
      <c r="N4078" s="266"/>
      <c r="O4078" s="266"/>
      <c r="P4078" s="266"/>
      <c r="Q4078" s="266"/>
      <c r="BR4078" s="266"/>
      <c r="BS4078" s="266"/>
      <c r="BT4078" s="266"/>
      <c r="BU4078" s="266"/>
      <c r="BV4078" s="266"/>
    </row>
    <row r="4079" spans="12:74">
      <c r="L4079" s="266"/>
      <c r="M4079" s="266"/>
      <c r="N4079" s="266"/>
      <c r="O4079" s="266"/>
      <c r="P4079" s="266"/>
      <c r="Q4079" s="266"/>
      <c r="BR4079" s="266"/>
      <c r="BS4079" s="266"/>
      <c r="BT4079" s="266"/>
      <c r="BU4079" s="266"/>
      <c r="BV4079" s="266"/>
    </row>
    <row r="4080" spans="12:74">
      <c r="L4080" s="266"/>
      <c r="M4080" s="266"/>
      <c r="N4080" s="266"/>
      <c r="O4080" s="266"/>
      <c r="P4080" s="266"/>
      <c r="Q4080" s="266"/>
      <c r="BR4080" s="266"/>
      <c r="BS4080" s="266"/>
      <c r="BT4080" s="266"/>
      <c r="BU4080" s="266"/>
      <c r="BV4080" s="266"/>
    </row>
    <row r="4081" spans="12:74">
      <c r="L4081" s="266"/>
      <c r="M4081" s="266"/>
      <c r="N4081" s="266"/>
      <c r="O4081" s="266"/>
      <c r="P4081" s="266"/>
      <c r="Q4081" s="266"/>
      <c r="BR4081" s="266"/>
      <c r="BS4081" s="266"/>
      <c r="BT4081" s="266"/>
      <c r="BU4081" s="266"/>
      <c r="BV4081" s="266"/>
    </row>
    <row r="4082" spans="12:74">
      <c r="L4082" s="266"/>
      <c r="M4082" s="266"/>
      <c r="N4082" s="266"/>
      <c r="O4082" s="266"/>
      <c r="P4082" s="266"/>
      <c r="Q4082" s="266"/>
      <c r="BR4082" s="266"/>
      <c r="BS4082" s="266"/>
      <c r="BT4082" s="266"/>
      <c r="BU4082" s="266"/>
      <c r="BV4082" s="266"/>
    </row>
    <row r="4083" spans="12:74">
      <c r="L4083" s="266"/>
      <c r="M4083" s="266"/>
      <c r="N4083" s="266"/>
      <c r="O4083" s="266"/>
      <c r="P4083" s="266"/>
      <c r="Q4083" s="266"/>
      <c r="BR4083" s="266"/>
      <c r="BS4083" s="266"/>
      <c r="BT4083" s="266"/>
      <c r="BU4083" s="266"/>
      <c r="BV4083" s="266"/>
    </row>
    <row r="4084" spans="12:74">
      <c r="L4084" s="266"/>
      <c r="M4084" s="266"/>
      <c r="N4084" s="266"/>
      <c r="O4084" s="266"/>
      <c r="P4084" s="266"/>
      <c r="Q4084" s="266"/>
      <c r="BR4084" s="266"/>
      <c r="BS4084" s="266"/>
      <c r="BT4084" s="266"/>
      <c r="BU4084" s="266"/>
      <c r="BV4084" s="266"/>
    </row>
    <row r="4085" spans="12:74">
      <c r="L4085" s="266"/>
      <c r="M4085" s="266"/>
      <c r="N4085" s="266"/>
      <c r="O4085" s="266"/>
      <c r="P4085" s="266"/>
      <c r="Q4085" s="266"/>
      <c r="BR4085" s="266"/>
      <c r="BS4085" s="266"/>
      <c r="BT4085" s="266"/>
      <c r="BU4085" s="266"/>
      <c r="BV4085" s="266"/>
    </row>
    <row r="4086" spans="12:74">
      <c r="L4086" s="266"/>
      <c r="M4086" s="266"/>
      <c r="N4086" s="266"/>
      <c r="O4086" s="266"/>
      <c r="P4086" s="266"/>
      <c r="Q4086" s="266"/>
      <c r="BR4086" s="266"/>
      <c r="BS4086" s="266"/>
      <c r="BT4086" s="266"/>
      <c r="BU4086" s="266"/>
      <c r="BV4086" s="266"/>
    </row>
    <row r="4087" spans="12:74">
      <c r="L4087" s="266"/>
      <c r="M4087" s="266"/>
      <c r="N4087" s="266"/>
      <c r="O4087" s="266"/>
      <c r="P4087" s="266"/>
      <c r="Q4087" s="266"/>
      <c r="BR4087" s="266"/>
      <c r="BS4087" s="266"/>
      <c r="BT4087" s="266"/>
      <c r="BU4087" s="266"/>
      <c r="BV4087" s="266"/>
    </row>
    <row r="4088" spans="12:74">
      <c r="L4088" s="266"/>
      <c r="M4088" s="266"/>
      <c r="N4088" s="266"/>
      <c r="O4088" s="266"/>
      <c r="P4088" s="266"/>
      <c r="Q4088" s="266"/>
      <c r="BR4088" s="266"/>
      <c r="BS4088" s="266"/>
      <c r="BT4088" s="266"/>
      <c r="BU4088" s="266"/>
      <c r="BV4088" s="266"/>
    </row>
    <row r="4089" spans="12:74">
      <c r="L4089" s="266"/>
      <c r="M4089" s="266"/>
      <c r="N4089" s="266"/>
      <c r="O4089" s="266"/>
      <c r="P4089" s="266"/>
      <c r="Q4089" s="266"/>
      <c r="BR4089" s="266"/>
      <c r="BS4089" s="266"/>
      <c r="BT4089" s="266"/>
      <c r="BU4089" s="266"/>
      <c r="BV4089" s="266"/>
    </row>
    <row r="4090" spans="12:74">
      <c r="L4090" s="266"/>
      <c r="M4090" s="266"/>
      <c r="N4090" s="266"/>
      <c r="O4090" s="266"/>
      <c r="P4090" s="266"/>
      <c r="Q4090" s="266"/>
      <c r="BR4090" s="266"/>
      <c r="BS4090" s="266"/>
      <c r="BT4090" s="266"/>
      <c r="BU4090" s="266"/>
      <c r="BV4090" s="266"/>
    </row>
    <row r="4091" spans="12:74">
      <c r="L4091" s="266"/>
      <c r="M4091" s="266"/>
      <c r="N4091" s="266"/>
      <c r="O4091" s="266"/>
      <c r="P4091" s="266"/>
      <c r="Q4091" s="266"/>
      <c r="BR4091" s="266"/>
      <c r="BS4091" s="266"/>
      <c r="BT4091" s="266"/>
      <c r="BU4091" s="266"/>
      <c r="BV4091" s="266"/>
    </row>
    <row r="4092" spans="12:74">
      <c r="L4092" s="266"/>
      <c r="M4092" s="266"/>
      <c r="N4092" s="266"/>
      <c r="O4092" s="266"/>
      <c r="P4092" s="266"/>
      <c r="Q4092" s="266"/>
      <c r="BR4092" s="266"/>
      <c r="BS4092" s="266"/>
      <c r="BT4092" s="266"/>
      <c r="BU4092" s="266"/>
      <c r="BV4092" s="266"/>
    </row>
    <row r="4093" spans="12:74">
      <c r="L4093" s="266"/>
      <c r="M4093" s="266"/>
      <c r="N4093" s="266"/>
      <c r="O4093" s="266"/>
      <c r="P4093" s="266"/>
      <c r="Q4093" s="266"/>
      <c r="BR4093" s="266"/>
      <c r="BS4093" s="266"/>
      <c r="BT4093" s="266"/>
      <c r="BU4093" s="266"/>
      <c r="BV4093" s="266"/>
    </row>
    <row r="4094" spans="12:74">
      <c r="L4094" s="266"/>
      <c r="M4094" s="266"/>
      <c r="N4094" s="266"/>
      <c r="O4094" s="266"/>
      <c r="P4094" s="266"/>
      <c r="Q4094" s="266"/>
      <c r="BR4094" s="266"/>
      <c r="BS4094" s="266"/>
      <c r="BT4094" s="266"/>
      <c r="BU4094" s="266"/>
      <c r="BV4094" s="266"/>
    </row>
    <row r="4095" spans="12:74">
      <c r="L4095" s="266"/>
      <c r="M4095" s="266"/>
      <c r="N4095" s="266"/>
      <c r="O4095" s="266"/>
      <c r="P4095" s="266"/>
      <c r="Q4095" s="266"/>
      <c r="BR4095" s="266"/>
      <c r="BS4095" s="266"/>
      <c r="BT4095" s="266"/>
      <c r="BU4095" s="266"/>
      <c r="BV4095" s="266"/>
    </row>
    <row r="4096" spans="12:74">
      <c r="L4096" s="266"/>
      <c r="M4096" s="266"/>
      <c r="N4096" s="266"/>
      <c r="O4096" s="266"/>
      <c r="P4096" s="266"/>
      <c r="Q4096" s="266"/>
      <c r="BR4096" s="266"/>
      <c r="BS4096" s="266"/>
      <c r="BT4096" s="266"/>
      <c r="BU4096" s="266"/>
      <c r="BV4096" s="266"/>
    </row>
    <row r="4097" spans="12:74">
      <c r="L4097" s="266"/>
      <c r="M4097" s="266"/>
      <c r="N4097" s="266"/>
      <c r="O4097" s="266"/>
      <c r="P4097" s="266"/>
      <c r="Q4097" s="266"/>
      <c r="BR4097" s="266"/>
      <c r="BS4097" s="266"/>
      <c r="BT4097" s="266"/>
      <c r="BU4097" s="266"/>
      <c r="BV4097" s="266"/>
    </row>
    <row r="4098" spans="12:74">
      <c r="L4098" s="266"/>
      <c r="M4098" s="266"/>
      <c r="N4098" s="266"/>
      <c r="O4098" s="266"/>
      <c r="P4098" s="266"/>
      <c r="Q4098" s="266"/>
      <c r="BR4098" s="266"/>
      <c r="BS4098" s="266"/>
      <c r="BT4098" s="266"/>
      <c r="BU4098" s="266"/>
      <c r="BV4098" s="266"/>
    </row>
    <row r="4099" spans="12:74">
      <c r="L4099" s="266"/>
      <c r="M4099" s="266"/>
      <c r="N4099" s="266"/>
      <c r="O4099" s="266"/>
      <c r="P4099" s="266"/>
      <c r="Q4099" s="266"/>
      <c r="BR4099" s="266"/>
      <c r="BS4099" s="266"/>
      <c r="BT4099" s="266"/>
      <c r="BU4099" s="266"/>
      <c r="BV4099" s="266"/>
    </row>
    <row r="4100" spans="12:74">
      <c r="L4100" s="266"/>
      <c r="M4100" s="266"/>
      <c r="N4100" s="266"/>
      <c r="O4100" s="266"/>
      <c r="P4100" s="266"/>
      <c r="Q4100" s="266"/>
      <c r="BR4100" s="266"/>
      <c r="BS4100" s="266"/>
      <c r="BT4100" s="266"/>
      <c r="BU4100" s="266"/>
      <c r="BV4100" s="266"/>
    </row>
    <row r="4101" spans="12:74">
      <c r="L4101" s="266"/>
      <c r="M4101" s="266"/>
      <c r="N4101" s="266"/>
      <c r="O4101" s="266"/>
      <c r="P4101" s="266"/>
      <c r="Q4101" s="266"/>
      <c r="BR4101" s="266"/>
      <c r="BS4101" s="266"/>
      <c r="BT4101" s="266"/>
      <c r="BU4101" s="266"/>
      <c r="BV4101" s="266"/>
    </row>
    <row r="4102" spans="12:74">
      <c r="L4102" s="266"/>
      <c r="M4102" s="266"/>
      <c r="N4102" s="266"/>
      <c r="O4102" s="266"/>
      <c r="P4102" s="266"/>
      <c r="Q4102" s="266"/>
      <c r="BR4102" s="266"/>
      <c r="BS4102" s="266"/>
      <c r="BT4102" s="266"/>
      <c r="BU4102" s="266"/>
      <c r="BV4102" s="266"/>
    </row>
    <row r="4103" spans="12:74">
      <c r="L4103" s="266"/>
      <c r="M4103" s="266"/>
      <c r="N4103" s="266"/>
      <c r="O4103" s="266"/>
      <c r="P4103" s="266"/>
      <c r="Q4103" s="266"/>
      <c r="BR4103" s="266"/>
      <c r="BS4103" s="266"/>
      <c r="BT4103" s="266"/>
      <c r="BU4103" s="266"/>
      <c r="BV4103" s="266"/>
    </row>
    <row r="4104" spans="12:74">
      <c r="L4104" s="266"/>
      <c r="M4104" s="266"/>
      <c r="N4104" s="266"/>
      <c r="O4104" s="266"/>
      <c r="P4104" s="266"/>
      <c r="Q4104" s="266"/>
      <c r="BR4104" s="266"/>
      <c r="BS4104" s="266"/>
      <c r="BT4104" s="266"/>
      <c r="BU4104" s="266"/>
      <c r="BV4104" s="266"/>
    </row>
    <row r="4105" spans="12:74">
      <c r="L4105" s="266"/>
      <c r="M4105" s="266"/>
      <c r="N4105" s="266"/>
      <c r="O4105" s="266"/>
      <c r="P4105" s="266"/>
      <c r="Q4105" s="266"/>
      <c r="BR4105" s="266"/>
      <c r="BS4105" s="266"/>
      <c r="BT4105" s="266"/>
      <c r="BU4105" s="266"/>
      <c r="BV4105" s="266"/>
    </row>
    <row r="4106" spans="12:74">
      <c r="L4106" s="266"/>
      <c r="M4106" s="266"/>
      <c r="N4106" s="266"/>
      <c r="O4106" s="266"/>
      <c r="P4106" s="266"/>
      <c r="Q4106" s="266"/>
      <c r="BR4106" s="266"/>
      <c r="BS4106" s="266"/>
      <c r="BT4106" s="266"/>
      <c r="BU4106" s="266"/>
      <c r="BV4106" s="266"/>
    </row>
    <row r="4107" spans="12:74">
      <c r="L4107" s="266"/>
      <c r="M4107" s="266"/>
      <c r="N4107" s="266"/>
      <c r="O4107" s="266"/>
      <c r="P4107" s="266"/>
      <c r="Q4107" s="266"/>
      <c r="BR4107" s="266"/>
      <c r="BS4107" s="266"/>
      <c r="BT4107" s="266"/>
      <c r="BU4107" s="266"/>
      <c r="BV4107" s="266"/>
    </row>
    <row r="4108" spans="12:74">
      <c r="L4108" s="266"/>
      <c r="M4108" s="266"/>
      <c r="N4108" s="266"/>
      <c r="O4108" s="266"/>
      <c r="P4108" s="266"/>
      <c r="Q4108" s="266"/>
      <c r="BR4108" s="266"/>
      <c r="BS4108" s="266"/>
      <c r="BT4108" s="266"/>
      <c r="BU4108" s="266"/>
      <c r="BV4108" s="266"/>
    </row>
    <row r="4109" spans="12:74">
      <c r="L4109" s="266"/>
      <c r="M4109" s="266"/>
      <c r="N4109" s="266"/>
      <c r="O4109" s="266"/>
      <c r="P4109" s="266"/>
      <c r="Q4109" s="266"/>
      <c r="BR4109" s="266"/>
      <c r="BS4109" s="266"/>
      <c r="BT4109" s="266"/>
      <c r="BU4109" s="266"/>
      <c r="BV4109" s="266"/>
    </row>
    <row r="4110" spans="12:74">
      <c r="L4110" s="266"/>
      <c r="M4110" s="266"/>
      <c r="N4110" s="266"/>
      <c r="O4110" s="266"/>
      <c r="P4110" s="266"/>
      <c r="Q4110" s="266"/>
      <c r="BR4110" s="266"/>
      <c r="BS4110" s="266"/>
      <c r="BT4110" s="266"/>
      <c r="BU4110" s="266"/>
      <c r="BV4110" s="266"/>
    </row>
    <row r="4111" spans="12:74">
      <c r="L4111" s="266"/>
      <c r="M4111" s="266"/>
      <c r="N4111" s="266"/>
      <c r="O4111" s="266"/>
      <c r="P4111" s="266"/>
      <c r="Q4111" s="266"/>
      <c r="BR4111" s="266"/>
      <c r="BS4111" s="266"/>
      <c r="BT4111" s="266"/>
      <c r="BU4111" s="266"/>
      <c r="BV4111" s="266"/>
    </row>
    <row r="4112" spans="12:74">
      <c r="L4112" s="266"/>
      <c r="M4112" s="266"/>
      <c r="N4112" s="266"/>
      <c r="O4112" s="266"/>
      <c r="P4112" s="266"/>
      <c r="Q4112" s="266"/>
      <c r="BR4112" s="266"/>
      <c r="BS4112" s="266"/>
      <c r="BT4112" s="266"/>
      <c r="BU4112" s="266"/>
      <c r="BV4112" s="266"/>
    </row>
    <row r="4113" spans="12:74">
      <c r="L4113" s="266"/>
      <c r="M4113" s="266"/>
      <c r="N4113" s="266"/>
      <c r="O4113" s="266"/>
      <c r="P4113" s="266"/>
      <c r="Q4113" s="266"/>
      <c r="BR4113" s="266"/>
      <c r="BS4113" s="266"/>
      <c r="BT4113" s="266"/>
      <c r="BU4113" s="266"/>
      <c r="BV4113" s="266"/>
    </row>
    <row r="4114" spans="12:74">
      <c r="L4114" s="266"/>
      <c r="M4114" s="266"/>
      <c r="N4114" s="266"/>
      <c r="O4114" s="266"/>
      <c r="P4114" s="266"/>
      <c r="Q4114" s="266"/>
      <c r="BR4114" s="266"/>
      <c r="BS4114" s="266"/>
      <c r="BT4114" s="266"/>
      <c r="BU4114" s="266"/>
      <c r="BV4114" s="266"/>
    </row>
    <row r="4115" spans="12:74">
      <c r="L4115" s="266"/>
      <c r="M4115" s="266"/>
      <c r="N4115" s="266"/>
      <c r="O4115" s="266"/>
      <c r="P4115" s="266"/>
      <c r="Q4115" s="266"/>
      <c r="BR4115" s="266"/>
      <c r="BS4115" s="266"/>
      <c r="BT4115" s="266"/>
      <c r="BU4115" s="266"/>
      <c r="BV4115" s="266"/>
    </row>
    <row r="4116" spans="12:74">
      <c r="L4116" s="266"/>
      <c r="M4116" s="266"/>
      <c r="N4116" s="266"/>
      <c r="O4116" s="266"/>
      <c r="P4116" s="266"/>
      <c r="Q4116" s="266"/>
      <c r="BR4116" s="266"/>
      <c r="BS4116" s="266"/>
      <c r="BT4116" s="266"/>
      <c r="BU4116" s="266"/>
      <c r="BV4116" s="266"/>
    </row>
    <row r="4117" spans="12:74">
      <c r="L4117" s="266"/>
      <c r="M4117" s="266"/>
      <c r="N4117" s="266"/>
      <c r="O4117" s="266"/>
      <c r="P4117" s="266"/>
      <c r="Q4117" s="266"/>
      <c r="BR4117" s="266"/>
      <c r="BS4117" s="266"/>
      <c r="BT4117" s="266"/>
      <c r="BU4117" s="266"/>
      <c r="BV4117" s="266"/>
    </row>
    <row r="4118" spans="12:74">
      <c r="L4118" s="266"/>
      <c r="M4118" s="266"/>
      <c r="N4118" s="266"/>
      <c r="O4118" s="266"/>
      <c r="P4118" s="266"/>
      <c r="Q4118" s="266"/>
      <c r="BR4118" s="266"/>
      <c r="BS4118" s="266"/>
      <c r="BT4118" s="266"/>
      <c r="BU4118" s="266"/>
      <c r="BV4118" s="266"/>
    </row>
    <row r="4119" spans="12:74">
      <c r="L4119" s="266"/>
      <c r="M4119" s="266"/>
      <c r="N4119" s="266"/>
      <c r="O4119" s="266"/>
      <c r="P4119" s="266"/>
      <c r="Q4119" s="266"/>
      <c r="BR4119" s="266"/>
      <c r="BS4119" s="266"/>
      <c r="BT4119" s="266"/>
      <c r="BU4119" s="266"/>
      <c r="BV4119" s="266"/>
    </row>
    <row r="4120" spans="12:74">
      <c r="L4120" s="266"/>
      <c r="M4120" s="266"/>
      <c r="N4120" s="266"/>
      <c r="O4120" s="266"/>
      <c r="P4120" s="266"/>
      <c r="Q4120" s="266"/>
      <c r="BR4120" s="266"/>
      <c r="BS4120" s="266"/>
      <c r="BT4120" s="266"/>
      <c r="BU4120" s="266"/>
      <c r="BV4120" s="266"/>
    </row>
    <row r="4121" spans="12:74">
      <c r="L4121" s="266"/>
      <c r="M4121" s="266"/>
      <c r="N4121" s="266"/>
      <c r="O4121" s="266"/>
      <c r="P4121" s="266"/>
      <c r="Q4121" s="266"/>
      <c r="BR4121" s="266"/>
      <c r="BS4121" s="266"/>
      <c r="BT4121" s="266"/>
      <c r="BU4121" s="266"/>
      <c r="BV4121" s="266"/>
    </row>
    <row r="4122" spans="12:74">
      <c r="L4122" s="266"/>
      <c r="M4122" s="266"/>
      <c r="N4122" s="266"/>
      <c r="O4122" s="266"/>
      <c r="P4122" s="266"/>
      <c r="Q4122" s="266"/>
      <c r="BR4122" s="266"/>
      <c r="BS4122" s="266"/>
      <c r="BT4122" s="266"/>
      <c r="BU4122" s="266"/>
      <c r="BV4122" s="266"/>
    </row>
    <row r="4123" spans="12:74">
      <c r="L4123" s="266"/>
      <c r="M4123" s="266"/>
      <c r="N4123" s="266"/>
      <c r="O4123" s="266"/>
      <c r="P4123" s="266"/>
      <c r="Q4123" s="266"/>
      <c r="BR4123" s="266"/>
      <c r="BS4123" s="266"/>
      <c r="BT4123" s="266"/>
      <c r="BU4123" s="266"/>
      <c r="BV4123" s="266"/>
    </row>
    <row r="4124" spans="12:74">
      <c r="L4124" s="266"/>
      <c r="M4124" s="266"/>
      <c r="N4124" s="266"/>
      <c r="O4124" s="266"/>
      <c r="P4124" s="266"/>
      <c r="Q4124" s="266"/>
      <c r="BR4124" s="266"/>
      <c r="BS4124" s="266"/>
      <c r="BT4124" s="266"/>
      <c r="BU4124" s="266"/>
      <c r="BV4124" s="266"/>
    </row>
    <row r="4125" spans="12:74">
      <c r="L4125" s="266"/>
      <c r="M4125" s="266"/>
      <c r="N4125" s="266"/>
      <c r="O4125" s="266"/>
      <c r="P4125" s="266"/>
      <c r="Q4125" s="266"/>
      <c r="BR4125" s="266"/>
      <c r="BS4125" s="266"/>
      <c r="BT4125" s="266"/>
      <c r="BU4125" s="266"/>
      <c r="BV4125" s="266"/>
    </row>
    <row r="4126" spans="12:74">
      <c r="L4126" s="266"/>
      <c r="M4126" s="266"/>
      <c r="N4126" s="266"/>
      <c r="O4126" s="266"/>
      <c r="P4126" s="266"/>
      <c r="Q4126" s="266"/>
      <c r="BR4126" s="266"/>
      <c r="BS4126" s="266"/>
      <c r="BT4126" s="266"/>
      <c r="BU4126" s="266"/>
      <c r="BV4126" s="266"/>
    </row>
    <row r="4127" spans="12:74">
      <c r="L4127" s="266"/>
      <c r="M4127" s="266"/>
      <c r="N4127" s="266"/>
      <c r="O4127" s="266"/>
      <c r="P4127" s="266"/>
      <c r="Q4127" s="266"/>
      <c r="BR4127" s="266"/>
      <c r="BS4127" s="266"/>
      <c r="BT4127" s="266"/>
      <c r="BU4127" s="266"/>
      <c r="BV4127" s="266"/>
    </row>
    <row r="4128" spans="12:74">
      <c r="L4128" s="266"/>
      <c r="M4128" s="266"/>
      <c r="N4128" s="266"/>
      <c r="O4128" s="266"/>
      <c r="P4128" s="266"/>
      <c r="Q4128" s="266"/>
      <c r="BR4128" s="266"/>
      <c r="BS4128" s="266"/>
      <c r="BT4128" s="266"/>
      <c r="BU4128" s="266"/>
      <c r="BV4128" s="266"/>
    </row>
    <row r="4129" spans="12:74">
      <c r="L4129" s="266"/>
      <c r="M4129" s="266"/>
      <c r="N4129" s="266"/>
      <c r="O4129" s="266"/>
      <c r="P4129" s="266"/>
      <c r="Q4129" s="266"/>
      <c r="BR4129" s="266"/>
      <c r="BS4129" s="266"/>
      <c r="BT4129" s="266"/>
      <c r="BU4129" s="266"/>
      <c r="BV4129" s="266"/>
    </row>
    <row r="4130" spans="12:74">
      <c r="L4130" s="266"/>
      <c r="M4130" s="266"/>
      <c r="N4130" s="266"/>
      <c r="O4130" s="266"/>
      <c r="P4130" s="266"/>
      <c r="Q4130" s="266"/>
      <c r="BR4130" s="266"/>
      <c r="BS4130" s="266"/>
      <c r="BT4130" s="266"/>
      <c r="BU4130" s="266"/>
      <c r="BV4130" s="266"/>
    </row>
    <row r="4131" spans="12:74">
      <c r="L4131" s="266"/>
      <c r="M4131" s="266"/>
      <c r="N4131" s="266"/>
      <c r="O4131" s="266"/>
      <c r="P4131" s="266"/>
      <c r="Q4131" s="266"/>
      <c r="BR4131" s="266"/>
      <c r="BS4131" s="266"/>
      <c r="BT4131" s="266"/>
      <c r="BU4131" s="266"/>
      <c r="BV4131" s="266"/>
    </row>
    <row r="4132" spans="12:74">
      <c r="L4132" s="266"/>
      <c r="M4132" s="266"/>
      <c r="N4132" s="266"/>
      <c r="O4132" s="266"/>
      <c r="P4132" s="266"/>
      <c r="Q4132" s="266"/>
      <c r="BR4132" s="266"/>
      <c r="BS4132" s="266"/>
      <c r="BT4132" s="266"/>
      <c r="BU4132" s="266"/>
      <c r="BV4132" s="266"/>
    </row>
    <row r="4133" spans="12:74">
      <c r="L4133" s="266"/>
      <c r="M4133" s="266"/>
      <c r="N4133" s="266"/>
      <c r="O4133" s="266"/>
      <c r="P4133" s="266"/>
      <c r="Q4133" s="266"/>
      <c r="BR4133" s="266"/>
      <c r="BS4133" s="266"/>
      <c r="BT4133" s="266"/>
      <c r="BU4133" s="266"/>
      <c r="BV4133" s="266"/>
    </row>
    <row r="4134" spans="12:74">
      <c r="L4134" s="266"/>
      <c r="M4134" s="266"/>
      <c r="N4134" s="266"/>
      <c r="O4134" s="266"/>
      <c r="P4134" s="266"/>
      <c r="Q4134" s="266"/>
      <c r="BR4134" s="266"/>
      <c r="BS4134" s="266"/>
      <c r="BT4134" s="266"/>
      <c r="BU4134" s="266"/>
      <c r="BV4134" s="266"/>
    </row>
    <row r="4135" spans="12:74">
      <c r="L4135" s="266"/>
      <c r="M4135" s="266"/>
      <c r="N4135" s="266"/>
      <c r="O4135" s="266"/>
      <c r="P4135" s="266"/>
      <c r="Q4135" s="266"/>
      <c r="BR4135" s="266"/>
      <c r="BS4135" s="266"/>
      <c r="BT4135" s="266"/>
      <c r="BU4135" s="266"/>
      <c r="BV4135" s="266"/>
    </row>
    <row r="4136" spans="12:74">
      <c r="L4136" s="266"/>
      <c r="M4136" s="266"/>
      <c r="N4136" s="266"/>
      <c r="O4136" s="266"/>
      <c r="P4136" s="266"/>
      <c r="Q4136" s="266"/>
      <c r="BR4136" s="266"/>
      <c r="BS4136" s="266"/>
      <c r="BT4136" s="266"/>
      <c r="BU4136" s="266"/>
      <c r="BV4136" s="266"/>
    </row>
    <row r="4137" spans="12:74">
      <c r="L4137" s="266"/>
      <c r="M4137" s="266"/>
      <c r="N4137" s="266"/>
      <c r="O4137" s="266"/>
      <c r="P4137" s="266"/>
      <c r="Q4137" s="266"/>
      <c r="BR4137" s="266"/>
      <c r="BS4137" s="266"/>
      <c r="BT4137" s="266"/>
      <c r="BU4137" s="266"/>
      <c r="BV4137" s="266"/>
    </row>
    <row r="4138" spans="12:74">
      <c r="L4138" s="266"/>
      <c r="M4138" s="266"/>
      <c r="N4138" s="266"/>
      <c r="O4138" s="266"/>
      <c r="P4138" s="266"/>
      <c r="Q4138" s="266"/>
      <c r="BR4138" s="266"/>
      <c r="BS4138" s="266"/>
      <c r="BT4138" s="266"/>
      <c r="BU4138" s="266"/>
      <c r="BV4138" s="266"/>
    </row>
    <row r="4139" spans="12:74">
      <c r="L4139" s="266"/>
      <c r="M4139" s="266"/>
      <c r="N4139" s="266"/>
      <c r="O4139" s="266"/>
      <c r="P4139" s="266"/>
      <c r="Q4139" s="266"/>
      <c r="BR4139" s="266"/>
      <c r="BS4139" s="266"/>
      <c r="BT4139" s="266"/>
      <c r="BU4139" s="266"/>
      <c r="BV4139" s="266"/>
    </row>
    <row r="4140" spans="12:74">
      <c r="L4140" s="266"/>
      <c r="M4140" s="266"/>
      <c r="N4140" s="266"/>
      <c r="O4140" s="266"/>
      <c r="P4140" s="266"/>
      <c r="Q4140" s="266"/>
      <c r="BR4140" s="266"/>
      <c r="BS4140" s="266"/>
      <c r="BT4140" s="266"/>
      <c r="BU4140" s="266"/>
      <c r="BV4140" s="266"/>
    </row>
    <row r="4141" spans="12:74">
      <c r="L4141" s="266"/>
      <c r="M4141" s="266"/>
      <c r="N4141" s="266"/>
      <c r="O4141" s="266"/>
      <c r="P4141" s="266"/>
      <c r="Q4141" s="266"/>
      <c r="BR4141" s="266"/>
      <c r="BS4141" s="266"/>
      <c r="BT4141" s="266"/>
      <c r="BU4141" s="266"/>
      <c r="BV4141" s="266"/>
    </row>
    <row r="4142" spans="12:74">
      <c r="L4142" s="266"/>
      <c r="M4142" s="266"/>
      <c r="N4142" s="266"/>
      <c r="O4142" s="266"/>
      <c r="P4142" s="266"/>
      <c r="Q4142" s="266"/>
      <c r="BR4142" s="266"/>
      <c r="BS4142" s="266"/>
      <c r="BT4142" s="266"/>
      <c r="BU4142" s="266"/>
      <c r="BV4142" s="266"/>
    </row>
    <row r="4143" spans="12:74">
      <c r="L4143" s="266"/>
      <c r="M4143" s="266"/>
      <c r="N4143" s="266"/>
      <c r="O4143" s="266"/>
      <c r="P4143" s="266"/>
      <c r="Q4143" s="266"/>
      <c r="BR4143" s="266"/>
      <c r="BS4143" s="266"/>
      <c r="BT4143" s="266"/>
      <c r="BU4143" s="266"/>
      <c r="BV4143" s="266"/>
    </row>
    <row r="4144" spans="12:74">
      <c r="L4144" s="266"/>
      <c r="M4144" s="266"/>
      <c r="N4144" s="266"/>
      <c r="O4144" s="266"/>
      <c r="P4144" s="266"/>
      <c r="Q4144" s="266"/>
      <c r="BR4144" s="266"/>
      <c r="BS4144" s="266"/>
      <c r="BT4144" s="266"/>
      <c r="BU4144" s="266"/>
      <c r="BV4144" s="266"/>
    </row>
    <row r="4145" spans="12:74">
      <c r="L4145" s="266"/>
      <c r="M4145" s="266"/>
      <c r="N4145" s="266"/>
      <c r="O4145" s="266"/>
      <c r="P4145" s="266"/>
      <c r="Q4145" s="266"/>
      <c r="BR4145" s="266"/>
      <c r="BS4145" s="266"/>
      <c r="BT4145" s="266"/>
      <c r="BU4145" s="266"/>
      <c r="BV4145" s="266"/>
    </row>
    <row r="4146" spans="12:74">
      <c r="L4146" s="266"/>
      <c r="M4146" s="266"/>
      <c r="N4146" s="266"/>
      <c r="O4146" s="266"/>
      <c r="P4146" s="266"/>
      <c r="Q4146" s="266"/>
      <c r="BR4146" s="266"/>
      <c r="BS4146" s="266"/>
      <c r="BT4146" s="266"/>
      <c r="BU4146" s="266"/>
      <c r="BV4146" s="266"/>
    </row>
    <row r="4147" spans="12:74">
      <c r="L4147" s="266"/>
      <c r="M4147" s="266"/>
      <c r="N4147" s="266"/>
      <c r="O4147" s="266"/>
      <c r="P4147" s="266"/>
      <c r="Q4147" s="266"/>
      <c r="BR4147" s="266"/>
      <c r="BS4147" s="266"/>
      <c r="BT4147" s="266"/>
      <c r="BU4147" s="266"/>
      <c r="BV4147" s="266"/>
    </row>
    <row r="4148" spans="12:74">
      <c r="L4148" s="266"/>
      <c r="M4148" s="266"/>
      <c r="N4148" s="266"/>
      <c r="O4148" s="266"/>
      <c r="P4148" s="266"/>
      <c r="Q4148" s="266"/>
      <c r="BR4148" s="266"/>
      <c r="BS4148" s="266"/>
      <c r="BT4148" s="266"/>
      <c r="BU4148" s="266"/>
      <c r="BV4148" s="266"/>
    </row>
    <row r="4149" spans="12:74">
      <c r="L4149" s="266"/>
      <c r="M4149" s="266"/>
      <c r="N4149" s="266"/>
      <c r="O4149" s="266"/>
      <c r="P4149" s="266"/>
      <c r="Q4149" s="266"/>
      <c r="BR4149" s="266"/>
      <c r="BS4149" s="266"/>
      <c r="BT4149" s="266"/>
      <c r="BU4149" s="266"/>
      <c r="BV4149" s="266"/>
    </row>
    <row r="4150" spans="12:74">
      <c r="L4150" s="266"/>
      <c r="M4150" s="266"/>
      <c r="N4150" s="266"/>
      <c r="O4150" s="266"/>
      <c r="P4150" s="266"/>
      <c r="Q4150" s="266"/>
      <c r="BR4150" s="266"/>
      <c r="BS4150" s="266"/>
      <c r="BT4150" s="266"/>
      <c r="BU4150" s="266"/>
      <c r="BV4150" s="266"/>
    </row>
    <row r="4151" spans="12:74">
      <c r="L4151" s="266"/>
      <c r="M4151" s="266"/>
      <c r="N4151" s="266"/>
      <c r="O4151" s="266"/>
      <c r="P4151" s="266"/>
      <c r="Q4151" s="266"/>
      <c r="BR4151" s="266"/>
      <c r="BS4151" s="266"/>
      <c r="BT4151" s="266"/>
      <c r="BU4151" s="266"/>
      <c r="BV4151" s="266"/>
    </row>
    <row r="4152" spans="12:74">
      <c r="L4152" s="266"/>
      <c r="M4152" s="266"/>
      <c r="N4152" s="266"/>
      <c r="O4152" s="266"/>
      <c r="P4152" s="266"/>
      <c r="Q4152" s="266"/>
      <c r="BR4152" s="266"/>
      <c r="BS4152" s="266"/>
      <c r="BT4152" s="266"/>
      <c r="BU4152" s="266"/>
      <c r="BV4152" s="266"/>
    </row>
    <row r="4153" spans="12:74">
      <c r="L4153" s="266"/>
      <c r="M4153" s="266"/>
      <c r="N4153" s="266"/>
      <c r="O4153" s="266"/>
      <c r="P4153" s="266"/>
      <c r="Q4153" s="266"/>
      <c r="BR4153" s="266"/>
      <c r="BS4153" s="266"/>
      <c r="BT4153" s="266"/>
      <c r="BU4153" s="266"/>
      <c r="BV4153" s="266"/>
    </row>
    <row r="4154" spans="12:74">
      <c r="L4154" s="266"/>
      <c r="M4154" s="266"/>
      <c r="N4154" s="266"/>
      <c r="O4154" s="266"/>
      <c r="P4154" s="266"/>
      <c r="Q4154" s="266"/>
      <c r="BR4154" s="266"/>
      <c r="BS4154" s="266"/>
      <c r="BT4154" s="266"/>
      <c r="BU4154" s="266"/>
      <c r="BV4154" s="266"/>
    </row>
    <row r="4155" spans="12:74">
      <c r="L4155" s="266"/>
      <c r="M4155" s="266"/>
      <c r="N4155" s="266"/>
      <c r="O4155" s="266"/>
      <c r="P4155" s="266"/>
      <c r="Q4155" s="266"/>
      <c r="BR4155" s="266"/>
      <c r="BS4155" s="266"/>
      <c r="BT4155" s="266"/>
      <c r="BU4155" s="266"/>
      <c r="BV4155" s="266"/>
    </row>
    <row r="4156" spans="12:74">
      <c r="L4156" s="266"/>
      <c r="M4156" s="266"/>
      <c r="N4156" s="266"/>
      <c r="O4156" s="266"/>
      <c r="P4156" s="266"/>
      <c r="Q4156" s="266"/>
      <c r="BR4156" s="266"/>
      <c r="BS4156" s="266"/>
      <c r="BT4156" s="266"/>
      <c r="BU4156" s="266"/>
      <c r="BV4156" s="266"/>
    </row>
    <row r="4157" spans="12:74">
      <c r="L4157" s="266"/>
      <c r="M4157" s="266"/>
      <c r="N4157" s="266"/>
      <c r="O4157" s="266"/>
      <c r="P4157" s="266"/>
      <c r="Q4157" s="266"/>
      <c r="BR4157" s="266"/>
      <c r="BS4157" s="266"/>
      <c r="BT4157" s="266"/>
      <c r="BU4157" s="266"/>
      <c r="BV4157" s="266"/>
    </row>
    <row r="4158" spans="12:74">
      <c r="L4158" s="266"/>
      <c r="M4158" s="266"/>
      <c r="N4158" s="266"/>
      <c r="O4158" s="266"/>
      <c r="P4158" s="266"/>
      <c r="Q4158" s="266"/>
      <c r="BR4158" s="266"/>
      <c r="BS4158" s="266"/>
      <c r="BT4158" s="266"/>
      <c r="BU4158" s="266"/>
      <c r="BV4158" s="266"/>
    </row>
    <row r="4159" spans="12:74">
      <c r="L4159" s="266"/>
      <c r="M4159" s="266"/>
      <c r="N4159" s="266"/>
      <c r="O4159" s="266"/>
      <c r="P4159" s="266"/>
      <c r="Q4159" s="266"/>
      <c r="BR4159" s="266"/>
      <c r="BS4159" s="266"/>
      <c r="BT4159" s="266"/>
      <c r="BU4159" s="266"/>
      <c r="BV4159" s="266"/>
    </row>
    <row r="4160" spans="12:74">
      <c r="L4160" s="266"/>
      <c r="M4160" s="266"/>
      <c r="N4160" s="266"/>
      <c r="O4160" s="266"/>
      <c r="P4160" s="266"/>
      <c r="Q4160" s="266"/>
      <c r="BR4160" s="266"/>
      <c r="BS4160" s="266"/>
      <c r="BT4160" s="266"/>
      <c r="BU4160" s="266"/>
      <c r="BV4160" s="266"/>
    </row>
    <row r="4161" spans="12:74">
      <c r="L4161" s="266"/>
      <c r="M4161" s="266"/>
      <c r="N4161" s="266"/>
      <c r="O4161" s="266"/>
      <c r="P4161" s="266"/>
      <c r="Q4161" s="266"/>
      <c r="BR4161" s="266"/>
      <c r="BS4161" s="266"/>
      <c r="BT4161" s="266"/>
      <c r="BU4161" s="266"/>
      <c r="BV4161" s="266"/>
    </row>
    <row r="4162" spans="12:74">
      <c r="L4162" s="266"/>
      <c r="M4162" s="266"/>
      <c r="N4162" s="266"/>
      <c r="O4162" s="266"/>
      <c r="P4162" s="266"/>
      <c r="Q4162" s="266"/>
      <c r="BR4162" s="266"/>
      <c r="BS4162" s="266"/>
      <c r="BT4162" s="266"/>
      <c r="BU4162" s="266"/>
      <c r="BV4162" s="266"/>
    </row>
    <row r="4163" spans="12:74">
      <c r="L4163" s="266"/>
      <c r="M4163" s="266"/>
      <c r="N4163" s="266"/>
      <c r="O4163" s="266"/>
      <c r="P4163" s="266"/>
      <c r="Q4163" s="266"/>
      <c r="BR4163" s="266"/>
      <c r="BS4163" s="266"/>
      <c r="BT4163" s="266"/>
      <c r="BU4163" s="266"/>
      <c r="BV4163" s="266"/>
    </row>
    <row r="4164" spans="12:74">
      <c r="L4164" s="266"/>
      <c r="M4164" s="266"/>
      <c r="N4164" s="266"/>
      <c r="O4164" s="266"/>
      <c r="P4164" s="266"/>
      <c r="Q4164" s="266"/>
      <c r="BR4164" s="266"/>
      <c r="BS4164" s="266"/>
      <c r="BT4164" s="266"/>
      <c r="BU4164" s="266"/>
      <c r="BV4164" s="266"/>
    </row>
    <row r="4165" spans="12:74">
      <c r="L4165" s="266"/>
      <c r="M4165" s="266"/>
      <c r="N4165" s="266"/>
      <c r="O4165" s="266"/>
      <c r="P4165" s="266"/>
      <c r="Q4165" s="266"/>
      <c r="BR4165" s="266"/>
      <c r="BS4165" s="266"/>
      <c r="BT4165" s="266"/>
      <c r="BU4165" s="266"/>
      <c r="BV4165" s="266"/>
    </row>
    <row r="4166" spans="12:74">
      <c r="L4166" s="266"/>
      <c r="M4166" s="266"/>
      <c r="N4166" s="266"/>
      <c r="O4166" s="266"/>
      <c r="P4166" s="266"/>
      <c r="Q4166" s="266"/>
      <c r="BR4166" s="266"/>
      <c r="BS4166" s="266"/>
      <c r="BT4166" s="266"/>
      <c r="BU4166" s="266"/>
      <c r="BV4166" s="266"/>
    </row>
    <row r="4167" spans="12:74">
      <c r="L4167" s="266"/>
      <c r="M4167" s="266"/>
      <c r="N4167" s="266"/>
      <c r="O4167" s="266"/>
      <c r="P4167" s="266"/>
      <c r="Q4167" s="266"/>
      <c r="BR4167" s="266"/>
      <c r="BS4167" s="266"/>
      <c r="BT4167" s="266"/>
      <c r="BU4167" s="266"/>
      <c r="BV4167" s="266"/>
    </row>
    <row r="4168" spans="12:74">
      <c r="L4168" s="266"/>
      <c r="M4168" s="266"/>
      <c r="N4168" s="266"/>
      <c r="O4168" s="266"/>
      <c r="P4168" s="266"/>
      <c r="Q4168" s="266"/>
      <c r="BR4168" s="266"/>
      <c r="BS4168" s="266"/>
      <c r="BT4168" s="266"/>
      <c r="BU4168" s="266"/>
      <c r="BV4168" s="266"/>
    </row>
    <row r="4169" spans="12:74">
      <c r="L4169" s="266"/>
      <c r="M4169" s="266"/>
      <c r="N4169" s="266"/>
      <c r="O4169" s="266"/>
      <c r="P4169" s="266"/>
      <c r="Q4169" s="266"/>
      <c r="BR4169" s="266"/>
      <c r="BS4169" s="266"/>
      <c r="BT4169" s="266"/>
      <c r="BU4169" s="266"/>
      <c r="BV4169" s="266"/>
    </row>
    <row r="4170" spans="12:74">
      <c r="L4170" s="266"/>
      <c r="M4170" s="266"/>
      <c r="N4170" s="266"/>
      <c r="O4170" s="266"/>
      <c r="P4170" s="266"/>
      <c r="Q4170" s="266"/>
      <c r="BR4170" s="266"/>
      <c r="BS4170" s="266"/>
      <c r="BT4170" s="266"/>
      <c r="BU4170" s="266"/>
      <c r="BV4170" s="266"/>
    </row>
    <row r="4171" spans="12:74">
      <c r="L4171" s="266"/>
      <c r="M4171" s="266"/>
      <c r="N4171" s="266"/>
      <c r="O4171" s="266"/>
      <c r="P4171" s="266"/>
      <c r="Q4171" s="266"/>
      <c r="BR4171" s="266"/>
      <c r="BS4171" s="266"/>
      <c r="BT4171" s="266"/>
      <c r="BU4171" s="266"/>
      <c r="BV4171" s="266"/>
    </row>
    <row r="4172" spans="12:74">
      <c r="L4172" s="266"/>
      <c r="M4172" s="266"/>
      <c r="N4172" s="266"/>
      <c r="O4172" s="266"/>
      <c r="P4172" s="266"/>
      <c r="Q4172" s="266"/>
      <c r="BR4172" s="266"/>
      <c r="BS4172" s="266"/>
      <c r="BT4172" s="266"/>
      <c r="BU4172" s="266"/>
      <c r="BV4172" s="266"/>
    </row>
    <row r="4173" spans="12:74">
      <c r="L4173" s="266"/>
      <c r="M4173" s="266"/>
      <c r="N4173" s="266"/>
      <c r="O4173" s="266"/>
      <c r="P4173" s="266"/>
      <c r="Q4173" s="266"/>
      <c r="BR4173" s="266"/>
      <c r="BS4173" s="266"/>
      <c r="BT4173" s="266"/>
      <c r="BU4173" s="266"/>
      <c r="BV4173" s="266"/>
    </row>
    <row r="4174" spans="12:74">
      <c r="L4174" s="266"/>
      <c r="M4174" s="266"/>
      <c r="N4174" s="266"/>
      <c r="O4174" s="266"/>
      <c r="P4174" s="266"/>
      <c r="Q4174" s="266"/>
      <c r="BR4174" s="266"/>
      <c r="BS4174" s="266"/>
      <c r="BT4174" s="266"/>
      <c r="BU4174" s="266"/>
      <c r="BV4174" s="266"/>
    </row>
    <row r="4175" spans="12:74">
      <c r="L4175" s="266"/>
      <c r="M4175" s="266"/>
      <c r="N4175" s="266"/>
      <c r="O4175" s="266"/>
      <c r="P4175" s="266"/>
      <c r="Q4175" s="266"/>
      <c r="BR4175" s="266"/>
      <c r="BS4175" s="266"/>
      <c r="BT4175" s="266"/>
      <c r="BU4175" s="266"/>
      <c r="BV4175" s="266"/>
    </row>
    <row r="4176" spans="12:74">
      <c r="L4176" s="266"/>
      <c r="M4176" s="266"/>
      <c r="N4176" s="266"/>
      <c r="O4176" s="266"/>
      <c r="P4176" s="266"/>
      <c r="Q4176" s="266"/>
      <c r="BR4176" s="266"/>
      <c r="BS4176" s="266"/>
      <c r="BT4176" s="266"/>
      <c r="BU4176" s="266"/>
      <c r="BV4176" s="266"/>
    </row>
    <row r="4177" spans="12:74">
      <c r="L4177" s="266"/>
      <c r="M4177" s="266"/>
      <c r="N4177" s="266"/>
      <c r="O4177" s="266"/>
      <c r="P4177" s="266"/>
      <c r="Q4177" s="266"/>
      <c r="BR4177" s="266"/>
      <c r="BS4177" s="266"/>
      <c r="BT4177" s="266"/>
      <c r="BU4177" s="266"/>
      <c r="BV4177" s="266"/>
    </row>
    <row r="4178" spans="12:74">
      <c r="L4178" s="266"/>
      <c r="M4178" s="266"/>
      <c r="N4178" s="266"/>
      <c r="O4178" s="266"/>
      <c r="P4178" s="266"/>
      <c r="Q4178" s="266"/>
      <c r="BR4178" s="266"/>
      <c r="BS4178" s="266"/>
      <c r="BT4178" s="266"/>
      <c r="BU4178" s="266"/>
      <c r="BV4178" s="266"/>
    </row>
    <row r="4179" spans="12:74">
      <c r="L4179" s="266"/>
      <c r="M4179" s="266"/>
      <c r="N4179" s="266"/>
      <c r="O4179" s="266"/>
      <c r="P4179" s="266"/>
      <c r="Q4179" s="266"/>
      <c r="BR4179" s="266"/>
      <c r="BS4179" s="266"/>
      <c r="BT4179" s="266"/>
      <c r="BU4179" s="266"/>
      <c r="BV4179" s="266"/>
    </row>
    <row r="4180" spans="12:74">
      <c r="L4180" s="266"/>
      <c r="M4180" s="266"/>
      <c r="N4180" s="266"/>
      <c r="O4180" s="266"/>
      <c r="P4180" s="266"/>
      <c r="Q4180" s="266"/>
      <c r="BR4180" s="266"/>
      <c r="BS4180" s="266"/>
      <c r="BT4180" s="266"/>
      <c r="BU4180" s="266"/>
      <c r="BV4180" s="266"/>
    </row>
    <row r="4181" spans="12:74">
      <c r="L4181" s="266"/>
      <c r="M4181" s="266"/>
      <c r="N4181" s="266"/>
      <c r="O4181" s="266"/>
      <c r="P4181" s="266"/>
      <c r="Q4181" s="266"/>
      <c r="BR4181" s="266"/>
      <c r="BS4181" s="266"/>
      <c r="BT4181" s="266"/>
      <c r="BU4181" s="266"/>
      <c r="BV4181" s="266"/>
    </row>
    <row r="4182" spans="12:74">
      <c r="L4182" s="266"/>
      <c r="M4182" s="266"/>
      <c r="N4182" s="266"/>
      <c r="O4182" s="266"/>
      <c r="P4182" s="266"/>
      <c r="Q4182" s="266"/>
      <c r="BR4182" s="266"/>
      <c r="BS4182" s="266"/>
      <c r="BT4182" s="266"/>
      <c r="BU4182" s="266"/>
      <c r="BV4182" s="266"/>
    </row>
    <row r="4183" spans="12:74">
      <c r="L4183" s="266"/>
      <c r="M4183" s="266"/>
      <c r="N4183" s="266"/>
      <c r="O4183" s="266"/>
      <c r="P4183" s="266"/>
      <c r="Q4183" s="266"/>
      <c r="BR4183" s="266"/>
      <c r="BS4183" s="266"/>
      <c r="BT4183" s="266"/>
      <c r="BU4183" s="266"/>
      <c r="BV4183" s="266"/>
    </row>
    <row r="4184" spans="12:74">
      <c r="L4184" s="266"/>
      <c r="M4184" s="266"/>
      <c r="N4184" s="266"/>
      <c r="O4184" s="266"/>
      <c r="P4184" s="266"/>
      <c r="Q4184" s="266"/>
      <c r="BR4184" s="266"/>
      <c r="BS4184" s="266"/>
      <c r="BT4184" s="266"/>
      <c r="BU4184" s="266"/>
      <c r="BV4184" s="266"/>
    </row>
    <row r="4185" spans="12:74">
      <c r="L4185" s="266"/>
      <c r="M4185" s="266"/>
      <c r="N4185" s="266"/>
      <c r="O4185" s="266"/>
      <c r="P4185" s="266"/>
      <c r="Q4185" s="266"/>
      <c r="BR4185" s="266"/>
      <c r="BS4185" s="266"/>
      <c r="BT4185" s="266"/>
      <c r="BU4185" s="266"/>
      <c r="BV4185" s="266"/>
    </row>
    <row r="4186" spans="12:74">
      <c r="L4186" s="266"/>
      <c r="M4186" s="266"/>
      <c r="N4186" s="266"/>
      <c r="O4186" s="266"/>
      <c r="P4186" s="266"/>
      <c r="Q4186" s="266"/>
      <c r="BR4186" s="266"/>
      <c r="BS4186" s="266"/>
      <c r="BT4186" s="266"/>
      <c r="BU4186" s="266"/>
      <c r="BV4186" s="266"/>
    </row>
    <row r="4187" spans="12:74">
      <c r="L4187" s="266"/>
      <c r="M4187" s="266"/>
      <c r="N4187" s="266"/>
      <c r="O4187" s="266"/>
      <c r="P4187" s="266"/>
      <c r="Q4187" s="266"/>
      <c r="BR4187" s="266"/>
      <c r="BS4187" s="266"/>
      <c r="BT4187" s="266"/>
      <c r="BU4187" s="266"/>
      <c r="BV4187" s="266"/>
    </row>
    <row r="4188" spans="12:74">
      <c r="L4188" s="266"/>
      <c r="M4188" s="266"/>
      <c r="N4188" s="266"/>
      <c r="O4188" s="266"/>
      <c r="P4188" s="266"/>
      <c r="Q4188" s="266"/>
      <c r="BR4188" s="266"/>
      <c r="BS4188" s="266"/>
      <c r="BT4188" s="266"/>
      <c r="BU4188" s="266"/>
      <c r="BV4188" s="266"/>
    </row>
    <row r="4189" spans="12:74">
      <c r="L4189" s="266"/>
      <c r="M4189" s="266"/>
      <c r="N4189" s="266"/>
      <c r="O4189" s="266"/>
      <c r="P4189" s="266"/>
      <c r="Q4189" s="266"/>
      <c r="BR4189" s="266"/>
      <c r="BS4189" s="266"/>
      <c r="BT4189" s="266"/>
      <c r="BU4189" s="266"/>
      <c r="BV4189" s="266"/>
    </row>
    <row r="4190" spans="12:74">
      <c r="L4190" s="266"/>
      <c r="M4190" s="266"/>
      <c r="N4190" s="266"/>
      <c r="O4190" s="266"/>
      <c r="P4190" s="266"/>
      <c r="Q4190" s="266"/>
      <c r="BR4190" s="266"/>
      <c r="BS4190" s="266"/>
      <c r="BT4190" s="266"/>
      <c r="BU4190" s="266"/>
      <c r="BV4190" s="266"/>
    </row>
    <row r="4191" spans="12:74">
      <c r="L4191" s="266"/>
      <c r="M4191" s="266"/>
      <c r="N4191" s="266"/>
      <c r="O4191" s="266"/>
      <c r="P4191" s="266"/>
      <c r="Q4191" s="266"/>
      <c r="BR4191" s="266"/>
      <c r="BS4191" s="266"/>
      <c r="BT4191" s="266"/>
      <c r="BU4191" s="266"/>
      <c r="BV4191" s="266"/>
    </row>
    <row r="4192" spans="12:74">
      <c r="L4192" s="266"/>
      <c r="M4192" s="266"/>
      <c r="N4192" s="266"/>
      <c r="O4192" s="266"/>
      <c r="P4192" s="266"/>
      <c r="Q4192" s="266"/>
      <c r="BR4192" s="266"/>
      <c r="BS4192" s="266"/>
      <c r="BT4192" s="266"/>
      <c r="BU4192" s="266"/>
      <c r="BV4192" s="266"/>
    </row>
    <row r="4193" spans="12:74">
      <c r="L4193" s="266"/>
      <c r="M4193" s="266"/>
      <c r="N4193" s="266"/>
      <c r="O4193" s="266"/>
      <c r="P4193" s="266"/>
      <c r="Q4193" s="266"/>
      <c r="BR4193" s="266"/>
      <c r="BS4193" s="266"/>
      <c r="BT4193" s="266"/>
      <c r="BU4193" s="266"/>
      <c r="BV4193" s="266"/>
    </row>
    <row r="4194" spans="12:74">
      <c r="L4194" s="266"/>
      <c r="M4194" s="266"/>
      <c r="N4194" s="266"/>
      <c r="O4194" s="266"/>
      <c r="P4194" s="266"/>
      <c r="Q4194" s="266"/>
      <c r="BR4194" s="266"/>
      <c r="BS4194" s="266"/>
      <c r="BT4194" s="266"/>
      <c r="BU4194" s="266"/>
      <c r="BV4194" s="266"/>
    </row>
    <row r="4195" spans="12:74">
      <c r="L4195" s="266"/>
      <c r="M4195" s="266"/>
      <c r="N4195" s="266"/>
      <c r="O4195" s="266"/>
      <c r="P4195" s="266"/>
      <c r="Q4195" s="266"/>
      <c r="BR4195" s="266"/>
      <c r="BS4195" s="266"/>
      <c r="BT4195" s="266"/>
      <c r="BU4195" s="266"/>
      <c r="BV4195" s="266"/>
    </row>
    <row r="4196" spans="12:74">
      <c r="L4196" s="266"/>
      <c r="M4196" s="266"/>
      <c r="N4196" s="266"/>
      <c r="O4196" s="266"/>
      <c r="P4196" s="266"/>
      <c r="Q4196" s="266"/>
      <c r="BR4196" s="266"/>
      <c r="BS4196" s="266"/>
      <c r="BT4196" s="266"/>
      <c r="BU4196" s="266"/>
      <c r="BV4196" s="266"/>
    </row>
    <row r="4197" spans="12:74">
      <c r="L4197" s="266"/>
      <c r="M4197" s="266"/>
      <c r="N4197" s="266"/>
      <c r="O4197" s="266"/>
      <c r="P4197" s="266"/>
      <c r="Q4197" s="266"/>
      <c r="BR4197" s="266"/>
      <c r="BS4197" s="266"/>
      <c r="BT4197" s="266"/>
      <c r="BU4197" s="266"/>
      <c r="BV4197" s="266"/>
    </row>
    <row r="4198" spans="12:74">
      <c r="L4198" s="266"/>
      <c r="M4198" s="266"/>
      <c r="N4198" s="266"/>
      <c r="O4198" s="266"/>
      <c r="P4198" s="266"/>
      <c r="Q4198" s="266"/>
      <c r="BR4198" s="266"/>
      <c r="BS4198" s="266"/>
      <c r="BT4198" s="266"/>
      <c r="BU4198" s="266"/>
      <c r="BV4198" s="266"/>
    </row>
    <row r="4199" spans="12:74">
      <c r="L4199" s="266"/>
      <c r="M4199" s="266"/>
      <c r="N4199" s="266"/>
      <c r="O4199" s="266"/>
      <c r="P4199" s="266"/>
      <c r="Q4199" s="266"/>
      <c r="BR4199" s="266"/>
      <c r="BS4199" s="266"/>
      <c r="BT4199" s="266"/>
      <c r="BU4199" s="266"/>
      <c r="BV4199" s="266"/>
    </row>
    <row r="4200" spans="12:74">
      <c r="L4200" s="266"/>
      <c r="M4200" s="266"/>
      <c r="N4200" s="266"/>
      <c r="O4200" s="266"/>
      <c r="P4200" s="266"/>
      <c r="Q4200" s="266"/>
      <c r="BR4200" s="266"/>
      <c r="BS4200" s="266"/>
      <c r="BT4200" s="266"/>
      <c r="BU4200" s="266"/>
      <c r="BV4200" s="266"/>
    </row>
    <row r="4201" spans="12:74">
      <c r="L4201" s="266"/>
      <c r="M4201" s="266"/>
      <c r="N4201" s="266"/>
      <c r="O4201" s="266"/>
      <c r="P4201" s="266"/>
      <c r="Q4201" s="266"/>
      <c r="BR4201" s="266"/>
      <c r="BS4201" s="266"/>
      <c r="BT4201" s="266"/>
      <c r="BU4201" s="266"/>
      <c r="BV4201" s="266"/>
    </row>
    <row r="4202" spans="12:74">
      <c r="L4202" s="266"/>
      <c r="M4202" s="266"/>
      <c r="N4202" s="266"/>
      <c r="O4202" s="266"/>
      <c r="P4202" s="266"/>
      <c r="Q4202" s="266"/>
      <c r="BR4202" s="266"/>
      <c r="BS4202" s="266"/>
      <c r="BT4202" s="266"/>
      <c r="BU4202" s="266"/>
      <c r="BV4202" s="266"/>
    </row>
    <row r="4203" spans="12:74">
      <c r="L4203" s="266"/>
      <c r="M4203" s="266"/>
      <c r="N4203" s="266"/>
      <c r="O4203" s="266"/>
      <c r="P4203" s="266"/>
      <c r="Q4203" s="266"/>
      <c r="BR4203" s="266"/>
      <c r="BS4203" s="266"/>
      <c r="BT4203" s="266"/>
      <c r="BU4203" s="266"/>
      <c r="BV4203" s="266"/>
    </row>
    <row r="4204" spans="12:74">
      <c r="L4204" s="266"/>
      <c r="M4204" s="266"/>
      <c r="N4204" s="266"/>
      <c r="O4204" s="266"/>
      <c r="P4204" s="266"/>
      <c r="Q4204" s="266"/>
      <c r="BR4204" s="266"/>
      <c r="BS4204" s="266"/>
      <c r="BT4204" s="266"/>
      <c r="BU4204" s="266"/>
      <c r="BV4204" s="266"/>
    </row>
    <row r="4205" spans="12:74">
      <c r="L4205" s="266"/>
      <c r="M4205" s="266"/>
      <c r="N4205" s="266"/>
      <c r="O4205" s="266"/>
      <c r="P4205" s="266"/>
      <c r="Q4205" s="266"/>
      <c r="BR4205" s="266"/>
      <c r="BS4205" s="266"/>
      <c r="BT4205" s="266"/>
      <c r="BU4205" s="266"/>
      <c r="BV4205" s="266"/>
    </row>
    <row r="4206" spans="12:74">
      <c r="L4206" s="266"/>
      <c r="M4206" s="266"/>
      <c r="N4206" s="266"/>
      <c r="O4206" s="266"/>
      <c r="P4206" s="266"/>
      <c r="Q4206" s="266"/>
      <c r="BR4206" s="266"/>
      <c r="BS4206" s="266"/>
      <c r="BT4206" s="266"/>
      <c r="BU4206" s="266"/>
      <c r="BV4206" s="266"/>
    </row>
    <row r="4207" spans="12:74">
      <c r="L4207" s="266"/>
      <c r="M4207" s="266"/>
      <c r="N4207" s="266"/>
      <c r="O4207" s="266"/>
      <c r="P4207" s="266"/>
      <c r="Q4207" s="266"/>
      <c r="BR4207" s="266"/>
      <c r="BS4207" s="266"/>
      <c r="BT4207" s="266"/>
      <c r="BU4207" s="266"/>
      <c r="BV4207" s="266"/>
    </row>
    <row r="4208" spans="12:74">
      <c r="L4208" s="266"/>
      <c r="M4208" s="266"/>
      <c r="N4208" s="266"/>
      <c r="O4208" s="266"/>
      <c r="P4208" s="266"/>
      <c r="Q4208" s="266"/>
      <c r="BR4208" s="266"/>
      <c r="BS4208" s="266"/>
      <c r="BT4208" s="266"/>
      <c r="BU4208" s="266"/>
      <c r="BV4208" s="266"/>
    </row>
    <row r="4209" spans="12:74">
      <c r="L4209" s="266"/>
      <c r="M4209" s="266"/>
      <c r="N4209" s="266"/>
      <c r="O4209" s="266"/>
      <c r="P4209" s="266"/>
      <c r="Q4209" s="266"/>
      <c r="BR4209" s="266"/>
      <c r="BS4209" s="266"/>
      <c r="BT4209" s="266"/>
      <c r="BU4209" s="266"/>
      <c r="BV4209" s="266"/>
    </row>
    <row r="4210" spans="12:74">
      <c r="L4210" s="266"/>
      <c r="M4210" s="266"/>
      <c r="N4210" s="266"/>
      <c r="O4210" s="266"/>
      <c r="P4210" s="266"/>
      <c r="Q4210" s="266"/>
      <c r="BR4210" s="266"/>
      <c r="BS4210" s="266"/>
      <c r="BT4210" s="266"/>
      <c r="BU4210" s="266"/>
      <c r="BV4210" s="266"/>
    </row>
    <row r="4211" spans="12:74">
      <c r="L4211" s="266"/>
      <c r="M4211" s="266"/>
      <c r="N4211" s="266"/>
      <c r="O4211" s="266"/>
      <c r="P4211" s="266"/>
      <c r="Q4211" s="266"/>
      <c r="BR4211" s="266"/>
      <c r="BS4211" s="266"/>
      <c r="BT4211" s="266"/>
      <c r="BU4211" s="266"/>
      <c r="BV4211" s="266"/>
    </row>
    <row r="4212" spans="12:74">
      <c r="L4212" s="266"/>
      <c r="M4212" s="266"/>
      <c r="N4212" s="266"/>
      <c r="O4212" s="266"/>
      <c r="P4212" s="266"/>
      <c r="Q4212" s="266"/>
      <c r="BR4212" s="266"/>
      <c r="BS4212" s="266"/>
      <c r="BT4212" s="266"/>
      <c r="BU4212" s="266"/>
      <c r="BV4212" s="266"/>
    </row>
    <row r="4213" spans="12:74">
      <c r="L4213" s="266"/>
      <c r="M4213" s="266"/>
      <c r="N4213" s="266"/>
      <c r="O4213" s="266"/>
      <c r="P4213" s="266"/>
      <c r="Q4213" s="266"/>
      <c r="BR4213" s="266"/>
      <c r="BS4213" s="266"/>
      <c r="BT4213" s="266"/>
      <c r="BU4213" s="266"/>
      <c r="BV4213" s="266"/>
    </row>
    <row r="4214" spans="12:74">
      <c r="L4214" s="266"/>
      <c r="M4214" s="266"/>
      <c r="N4214" s="266"/>
      <c r="O4214" s="266"/>
      <c r="P4214" s="266"/>
      <c r="Q4214" s="266"/>
      <c r="BR4214" s="266"/>
      <c r="BS4214" s="266"/>
      <c r="BT4214" s="266"/>
      <c r="BU4214" s="266"/>
      <c r="BV4214" s="266"/>
    </row>
    <row r="4215" spans="12:74">
      <c r="L4215" s="266"/>
      <c r="M4215" s="266"/>
      <c r="N4215" s="266"/>
      <c r="O4215" s="266"/>
      <c r="P4215" s="266"/>
      <c r="Q4215" s="266"/>
      <c r="BR4215" s="266"/>
      <c r="BS4215" s="266"/>
      <c r="BT4215" s="266"/>
      <c r="BU4215" s="266"/>
      <c r="BV4215" s="266"/>
    </row>
    <row r="4216" spans="12:74">
      <c r="L4216" s="266"/>
      <c r="M4216" s="266"/>
      <c r="N4216" s="266"/>
      <c r="O4216" s="266"/>
      <c r="P4216" s="266"/>
      <c r="Q4216" s="266"/>
      <c r="BR4216" s="266"/>
      <c r="BS4216" s="266"/>
      <c r="BT4216" s="266"/>
      <c r="BU4216" s="266"/>
      <c r="BV4216" s="266"/>
    </row>
    <row r="4217" spans="12:74">
      <c r="L4217" s="266"/>
      <c r="M4217" s="266"/>
      <c r="N4217" s="266"/>
      <c r="O4217" s="266"/>
      <c r="P4217" s="266"/>
      <c r="Q4217" s="266"/>
      <c r="BR4217" s="266"/>
      <c r="BS4217" s="266"/>
      <c r="BT4217" s="266"/>
      <c r="BU4217" s="266"/>
      <c r="BV4217" s="266"/>
    </row>
    <row r="4218" spans="12:74">
      <c r="L4218" s="266"/>
      <c r="M4218" s="266"/>
      <c r="N4218" s="266"/>
      <c r="O4218" s="266"/>
      <c r="P4218" s="266"/>
      <c r="Q4218" s="266"/>
      <c r="BR4218" s="266"/>
      <c r="BS4218" s="266"/>
      <c r="BT4218" s="266"/>
      <c r="BU4218" s="266"/>
      <c r="BV4218" s="266"/>
    </row>
    <row r="4219" spans="12:74">
      <c r="L4219" s="266"/>
      <c r="M4219" s="266"/>
      <c r="N4219" s="266"/>
      <c r="O4219" s="266"/>
      <c r="P4219" s="266"/>
      <c r="Q4219" s="266"/>
      <c r="BR4219" s="266"/>
      <c r="BS4219" s="266"/>
      <c r="BT4219" s="266"/>
      <c r="BU4219" s="266"/>
      <c r="BV4219" s="266"/>
    </row>
    <row r="4220" spans="12:74">
      <c r="L4220" s="266"/>
      <c r="M4220" s="266"/>
      <c r="N4220" s="266"/>
      <c r="O4220" s="266"/>
      <c r="P4220" s="266"/>
      <c r="Q4220" s="266"/>
      <c r="BR4220" s="266"/>
      <c r="BS4220" s="266"/>
      <c r="BT4220" s="266"/>
      <c r="BU4220" s="266"/>
      <c r="BV4220" s="266"/>
    </row>
    <row r="4221" spans="12:74">
      <c r="L4221" s="266"/>
      <c r="M4221" s="266"/>
      <c r="N4221" s="266"/>
      <c r="O4221" s="266"/>
      <c r="P4221" s="266"/>
      <c r="Q4221" s="266"/>
      <c r="BR4221" s="266"/>
      <c r="BS4221" s="266"/>
      <c r="BT4221" s="266"/>
      <c r="BU4221" s="266"/>
      <c r="BV4221" s="266"/>
    </row>
    <row r="4222" spans="12:74">
      <c r="L4222" s="266"/>
      <c r="M4222" s="266"/>
      <c r="N4222" s="266"/>
      <c r="O4222" s="266"/>
      <c r="P4222" s="266"/>
      <c r="Q4222" s="266"/>
      <c r="BR4222" s="266"/>
      <c r="BS4222" s="266"/>
      <c r="BT4222" s="266"/>
      <c r="BU4222" s="266"/>
      <c r="BV4222" s="266"/>
    </row>
    <row r="4223" spans="12:74">
      <c r="L4223" s="266"/>
      <c r="M4223" s="266"/>
      <c r="N4223" s="266"/>
      <c r="O4223" s="266"/>
      <c r="P4223" s="266"/>
      <c r="Q4223" s="266"/>
      <c r="BR4223" s="266"/>
      <c r="BS4223" s="266"/>
      <c r="BT4223" s="266"/>
      <c r="BU4223" s="266"/>
      <c r="BV4223" s="266"/>
    </row>
    <row r="4224" spans="12:74">
      <c r="L4224" s="266"/>
      <c r="M4224" s="266"/>
      <c r="N4224" s="266"/>
      <c r="O4224" s="266"/>
      <c r="P4224" s="266"/>
      <c r="Q4224" s="266"/>
      <c r="BR4224" s="266"/>
      <c r="BS4224" s="266"/>
      <c r="BT4224" s="266"/>
      <c r="BU4224" s="266"/>
      <c r="BV4224" s="266"/>
    </row>
    <row r="4225" spans="12:74">
      <c r="L4225" s="266"/>
      <c r="M4225" s="266"/>
      <c r="N4225" s="266"/>
      <c r="O4225" s="266"/>
      <c r="P4225" s="266"/>
      <c r="Q4225" s="266"/>
      <c r="BR4225" s="266"/>
      <c r="BS4225" s="266"/>
      <c r="BT4225" s="266"/>
      <c r="BU4225" s="266"/>
      <c r="BV4225" s="266"/>
    </row>
    <row r="4226" spans="12:74">
      <c r="L4226" s="266"/>
      <c r="M4226" s="266"/>
      <c r="N4226" s="266"/>
      <c r="O4226" s="266"/>
      <c r="P4226" s="266"/>
      <c r="Q4226" s="266"/>
      <c r="BR4226" s="266"/>
      <c r="BS4226" s="266"/>
      <c r="BT4226" s="266"/>
      <c r="BU4226" s="266"/>
      <c r="BV4226" s="266"/>
    </row>
    <row r="4227" spans="12:74">
      <c r="L4227" s="266"/>
      <c r="M4227" s="266"/>
      <c r="N4227" s="266"/>
      <c r="O4227" s="266"/>
      <c r="P4227" s="266"/>
      <c r="Q4227" s="266"/>
      <c r="BR4227" s="266"/>
      <c r="BS4227" s="266"/>
      <c r="BT4227" s="266"/>
      <c r="BU4227" s="266"/>
      <c r="BV4227" s="266"/>
    </row>
    <row r="4228" spans="12:74">
      <c r="L4228" s="266"/>
      <c r="M4228" s="266"/>
      <c r="N4228" s="266"/>
      <c r="O4228" s="266"/>
      <c r="P4228" s="266"/>
      <c r="Q4228" s="266"/>
      <c r="BR4228" s="266"/>
      <c r="BS4228" s="266"/>
      <c r="BT4228" s="266"/>
      <c r="BU4228" s="266"/>
      <c r="BV4228" s="266"/>
    </row>
    <row r="4229" spans="12:74">
      <c r="L4229" s="266"/>
      <c r="M4229" s="266"/>
      <c r="N4229" s="266"/>
      <c r="O4229" s="266"/>
      <c r="P4229" s="266"/>
      <c r="Q4229" s="266"/>
      <c r="BR4229" s="266"/>
      <c r="BS4229" s="266"/>
      <c r="BT4229" s="266"/>
      <c r="BU4229" s="266"/>
      <c r="BV4229" s="266"/>
    </row>
    <row r="4230" spans="12:74">
      <c r="L4230" s="266"/>
      <c r="M4230" s="266"/>
      <c r="N4230" s="266"/>
      <c r="O4230" s="266"/>
      <c r="P4230" s="266"/>
      <c r="Q4230" s="266"/>
      <c r="BR4230" s="266"/>
      <c r="BS4230" s="266"/>
      <c r="BT4230" s="266"/>
      <c r="BU4230" s="266"/>
      <c r="BV4230" s="266"/>
    </row>
    <row r="4231" spans="12:74">
      <c r="L4231" s="266"/>
      <c r="M4231" s="266"/>
      <c r="N4231" s="266"/>
      <c r="O4231" s="266"/>
      <c r="P4231" s="266"/>
      <c r="Q4231" s="266"/>
      <c r="BR4231" s="266"/>
      <c r="BS4231" s="266"/>
      <c r="BT4231" s="266"/>
      <c r="BU4231" s="266"/>
      <c r="BV4231" s="266"/>
    </row>
    <row r="4232" spans="12:74">
      <c r="L4232" s="266"/>
      <c r="M4232" s="266"/>
      <c r="N4232" s="266"/>
      <c r="O4232" s="266"/>
      <c r="P4232" s="266"/>
      <c r="Q4232" s="266"/>
      <c r="BR4232" s="266"/>
      <c r="BS4232" s="266"/>
      <c r="BT4232" s="266"/>
      <c r="BU4232" s="266"/>
      <c r="BV4232" s="266"/>
    </row>
    <row r="4233" spans="12:74">
      <c r="L4233" s="266"/>
      <c r="M4233" s="266"/>
      <c r="N4233" s="266"/>
      <c r="O4233" s="266"/>
      <c r="P4233" s="266"/>
      <c r="Q4233" s="266"/>
      <c r="BR4233" s="266"/>
      <c r="BS4233" s="266"/>
      <c r="BT4233" s="266"/>
      <c r="BU4233" s="266"/>
      <c r="BV4233" s="266"/>
    </row>
    <row r="4234" spans="12:74">
      <c r="L4234" s="266"/>
      <c r="M4234" s="266"/>
      <c r="N4234" s="266"/>
      <c r="O4234" s="266"/>
      <c r="P4234" s="266"/>
      <c r="Q4234" s="266"/>
      <c r="BR4234" s="266"/>
      <c r="BS4234" s="266"/>
      <c r="BT4234" s="266"/>
      <c r="BU4234" s="266"/>
      <c r="BV4234" s="266"/>
    </row>
    <row r="4235" spans="12:74">
      <c r="L4235" s="266"/>
      <c r="M4235" s="266"/>
      <c r="N4235" s="266"/>
      <c r="O4235" s="266"/>
      <c r="P4235" s="266"/>
      <c r="Q4235" s="266"/>
      <c r="BR4235" s="266"/>
      <c r="BS4235" s="266"/>
      <c r="BT4235" s="266"/>
      <c r="BU4235" s="266"/>
      <c r="BV4235" s="266"/>
    </row>
    <row r="4236" spans="12:74">
      <c r="L4236" s="266"/>
      <c r="M4236" s="266"/>
      <c r="N4236" s="266"/>
      <c r="O4236" s="266"/>
      <c r="P4236" s="266"/>
      <c r="Q4236" s="266"/>
      <c r="BR4236" s="266"/>
      <c r="BS4236" s="266"/>
      <c r="BT4236" s="266"/>
      <c r="BU4236" s="266"/>
      <c r="BV4236" s="266"/>
    </row>
    <row r="4237" spans="12:74">
      <c r="L4237" s="266"/>
      <c r="M4237" s="266"/>
      <c r="N4237" s="266"/>
      <c r="O4237" s="266"/>
      <c r="P4237" s="266"/>
      <c r="Q4237" s="266"/>
      <c r="BR4237" s="266"/>
      <c r="BS4237" s="266"/>
      <c r="BT4237" s="266"/>
      <c r="BU4237" s="266"/>
      <c r="BV4237" s="266"/>
    </row>
    <row r="4238" spans="12:74">
      <c r="L4238" s="266"/>
      <c r="M4238" s="266"/>
      <c r="N4238" s="266"/>
      <c r="O4238" s="266"/>
      <c r="P4238" s="266"/>
      <c r="Q4238" s="266"/>
      <c r="BR4238" s="266"/>
      <c r="BS4238" s="266"/>
      <c r="BT4238" s="266"/>
      <c r="BU4238" s="266"/>
      <c r="BV4238" s="266"/>
    </row>
    <row r="4239" spans="12:74">
      <c r="L4239" s="266"/>
      <c r="M4239" s="266"/>
      <c r="N4239" s="266"/>
      <c r="O4239" s="266"/>
      <c r="P4239" s="266"/>
      <c r="Q4239" s="266"/>
      <c r="BR4239" s="266"/>
      <c r="BS4239" s="266"/>
      <c r="BT4239" s="266"/>
      <c r="BU4239" s="266"/>
      <c r="BV4239" s="266"/>
    </row>
    <row r="4240" spans="12:74">
      <c r="L4240" s="266"/>
      <c r="M4240" s="266"/>
      <c r="N4240" s="266"/>
      <c r="O4240" s="266"/>
      <c r="P4240" s="266"/>
      <c r="Q4240" s="266"/>
      <c r="BR4240" s="266"/>
      <c r="BS4240" s="266"/>
      <c r="BT4240" s="266"/>
      <c r="BU4240" s="266"/>
      <c r="BV4240" s="266"/>
    </row>
    <row r="4241" spans="12:74">
      <c r="L4241" s="266"/>
      <c r="M4241" s="266"/>
      <c r="N4241" s="266"/>
      <c r="O4241" s="266"/>
      <c r="P4241" s="266"/>
      <c r="Q4241" s="266"/>
      <c r="BR4241" s="266"/>
      <c r="BS4241" s="266"/>
      <c r="BT4241" s="266"/>
      <c r="BU4241" s="266"/>
      <c r="BV4241" s="266"/>
    </row>
    <row r="4242" spans="12:74">
      <c r="L4242" s="266"/>
      <c r="M4242" s="266"/>
      <c r="N4242" s="266"/>
      <c r="O4242" s="266"/>
      <c r="P4242" s="266"/>
      <c r="Q4242" s="266"/>
      <c r="BR4242" s="266"/>
      <c r="BS4242" s="266"/>
      <c r="BT4242" s="266"/>
      <c r="BU4242" s="266"/>
      <c r="BV4242" s="266"/>
    </row>
    <row r="4243" spans="12:74">
      <c r="L4243" s="266"/>
      <c r="M4243" s="266"/>
      <c r="N4243" s="266"/>
      <c r="O4243" s="266"/>
      <c r="P4243" s="266"/>
      <c r="Q4243" s="266"/>
      <c r="BR4243" s="266"/>
      <c r="BS4243" s="266"/>
      <c r="BT4243" s="266"/>
      <c r="BU4243" s="266"/>
      <c r="BV4243" s="266"/>
    </row>
    <row r="4244" spans="12:74">
      <c r="L4244" s="266"/>
      <c r="M4244" s="266"/>
      <c r="N4244" s="266"/>
      <c r="O4244" s="266"/>
      <c r="P4244" s="266"/>
      <c r="Q4244" s="266"/>
      <c r="BR4244" s="266"/>
      <c r="BS4244" s="266"/>
      <c r="BT4244" s="266"/>
      <c r="BU4244" s="266"/>
      <c r="BV4244" s="266"/>
    </row>
    <row r="4245" spans="12:74">
      <c r="L4245" s="266"/>
      <c r="M4245" s="266"/>
      <c r="N4245" s="266"/>
      <c r="O4245" s="266"/>
      <c r="P4245" s="266"/>
      <c r="Q4245" s="266"/>
      <c r="BR4245" s="266"/>
      <c r="BS4245" s="266"/>
      <c r="BT4245" s="266"/>
      <c r="BU4245" s="266"/>
      <c r="BV4245" s="266"/>
    </row>
    <row r="4246" spans="12:74">
      <c r="L4246" s="266"/>
      <c r="M4246" s="266"/>
      <c r="N4246" s="266"/>
      <c r="O4246" s="266"/>
      <c r="P4246" s="266"/>
      <c r="Q4246" s="266"/>
      <c r="BR4246" s="266"/>
      <c r="BS4246" s="266"/>
      <c r="BT4246" s="266"/>
      <c r="BU4246" s="266"/>
      <c r="BV4246" s="266"/>
    </row>
    <row r="4247" spans="12:74">
      <c r="L4247" s="266"/>
      <c r="M4247" s="266"/>
      <c r="N4247" s="266"/>
      <c r="O4247" s="266"/>
      <c r="P4247" s="266"/>
      <c r="Q4247" s="266"/>
      <c r="BR4247" s="266"/>
      <c r="BS4247" s="266"/>
      <c r="BT4247" s="266"/>
      <c r="BU4247" s="266"/>
      <c r="BV4247" s="266"/>
    </row>
    <row r="4248" spans="12:74">
      <c r="L4248" s="266"/>
      <c r="M4248" s="266"/>
      <c r="N4248" s="266"/>
      <c r="O4248" s="266"/>
      <c r="P4248" s="266"/>
      <c r="Q4248" s="266"/>
      <c r="BR4248" s="266"/>
      <c r="BS4248" s="266"/>
      <c r="BT4248" s="266"/>
      <c r="BU4248" s="266"/>
      <c r="BV4248" s="266"/>
    </row>
    <row r="4249" spans="12:74">
      <c r="L4249" s="266"/>
      <c r="M4249" s="266"/>
      <c r="N4249" s="266"/>
      <c r="O4249" s="266"/>
      <c r="P4249" s="266"/>
      <c r="Q4249" s="266"/>
      <c r="BR4249" s="266"/>
      <c r="BS4249" s="266"/>
      <c r="BT4249" s="266"/>
      <c r="BU4249" s="266"/>
      <c r="BV4249" s="266"/>
    </row>
    <row r="4250" spans="12:74">
      <c r="L4250" s="266"/>
      <c r="M4250" s="266"/>
      <c r="N4250" s="266"/>
      <c r="O4250" s="266"/>
      <c r="P4250" s="266"/>
      <c r="Q4250" s="266"/>
      <c r="BR4250" s="266"/>
      <c r="BS4250" s="266"/>
      <c r="BT4250" s="266"/>
      <c r="BU4250" s="266"/>
      <c r="BV4250" s="266"/>
    </row>
    <row r="4251" spans="12:74">
      <c r="L4251" s="266"/>
      <c r="M4251" s="266"/>
      <c r="N4251" s="266"/>
      <c r="O4251" s="266"/>
      <c r="P4251" s="266"/>
      <c r="Q4251" s="266"/>
      <c r="BR4251" s="266"/>
      <c r="BS4251" s="266"/>
      <c r="BT4251" s="266"/>
      <c r="BU4251" s="266"/>
      <c r="BV4251" s="266"/>
    </row>
    <row r="4252" spans="12:74">
      <c r="L4252" s="266"/>
      <c r="M4252" s="266"/>
      <c r="N4252" s="266"/>
      <c r="O4252" s="266"/>
      <c r="P4252" s="266"/>
      <c r="Q4252" s="266"/>
      <c r="BR4252" s="266"/>
      <c r="BS4252" s="266"/>
      <c r="BT4252" s="266"/>
      <c r="BU4252" s="266"/>
      <c r="BV4252" s="266"/>
    </row>
    <row r="4253" spans="12:74">
      <c r="L4253" s="266"/>
      <c r="M4253" s="266"/>
      <c r="N4253" s="266"/>
      <c r="O4253" s="266"/>
      <c r="P4253" s="266"/>
      <c r="Q4253" s="266"/>
      <c r="BR4253" s="266"/>
      <c r="BS4253" s="266"/>
      <c r="BT4253" s="266"/>
      <c r="BU4253" s="266"/>
      <c r="BV4253" s="266"/>
    </row>
    <row r="4254" spans="12:74">
      <c r="L4254" s="266"/>
      <c r="M4254" s="266"/>
      <c r="N4254" s="266"/>
      <c r="O4254" s="266"/>
      <c r="P4254" s="266"/>
      <c r="Q4254" s="266"/>
      <c r="BR4254" s="266"/>
      <c r="BS4254" s="266"/>
      <c r="BT4254" s="266"/>
      <c r="BU4254" s="266"/>
      <c r="BV4254" s="266"/>
    </row>
    <row r="4255" spans="12:74">
      <c r="L4255" s="266"/>
      <c r="M4255" s="266"/>
      <c r="N4255" s="266"/>
      <c r="O4255" s="266"/>
      <c r="P4255" s="266"/>
      <c r="Q4255" s="266"/>
      <c r="BR4255" s="266"/>
      <c r="BS4255" s="266"/>
      <c r="BT4255" s="266"/>
      <c r="BU4255" s="266"/>
      <c r="BV4255" s="266"/>
    </row>
    <row r="4256" spans="12:74">
      <c r="L4256" s="266"/>
      <c r="M4256" s="266"/>
      <c r="N4256" s="266"/>
      <c r="O4256" s="266"/>
      <c r="P4256" s="266"/>
      <c r="Q4256" s="266"/>
      <c r="BR4256" s="266"/>
      <c r="BS4256" s="266"/>
      <c r="BT4256" s="266"/>
      <c r="BU4256" s="266"/>
      <c r="BV4256" s="266"/>
    </row>
    <row r="4257" spans="12:74">
      <c r="L4257" s="266"/>
      <c r="M4257" s="266"/>
      <c r="N4257" s="266"/>
      <c r="O4257" s="266"/>
      <c r="P4257" s="266"/>
      <c r="Q4257" s="266"/>
      <c r="BR4257" s="266"/>
      <c r="BS4257" s="266"/>
      <c r="BT4257" s="266"/>
      <c r="BU4257" s="266"/>
      <c r="BV4257" s="266"/>
    </row>
    <row r="4258" spans="12:74">
      <c r="L4258" s="266"/>
      <c r="M4258" s="266"/>
      <c r="N4258" s="266"/>
      <c r="O4258" s="266"/>
      <c r="P4258" s="266"/>
      <c r="Q4258" s="266"/>
      <c r="BR4258" s="266"/>
      <c r="BS4258" s="266"/>
      <c r="BT4258" s="266"/>
      <c r="BU4258" s="266"/>
      <c r="BV4258" s="266"/>
    </row>
    <row r="4259" spans="12:74">
      <c r="L4259" s="266"/>
      <c r="M4259" s="266"/>
      <c r="N4259" s="266"/>
      <c r="O4259" s="266"/>
      <c r="P4259" s="266"/>
      <c r="Q4259" s="266"/>
      <c r="BR4259" s="266"/>
      <c r="BS4259" s="266"/>
      <c r="BT4259" s="266"/>
      <c r="BU4259" s="266"/>
      <c r="BV4259" s="266"/>
    </row>
    <row r="4260" spans="12:74">
      <c r="L4260" s="266"/>
      <c r="M4260" s="266"/>
      <c r="N4260" s="266"/>
      <c r="O4260" s="266"/>
      <c r="P4260" s="266"/>
      <c r="Q4260" s="266"/>
      <c r="BR4260" s="266"/>
      <c r="BS4260" s="266"/>
      <c r="BT4260" s="266"/>
      <c r="BU4260" s="266"/>
      <c r="BV4260" s="266"/>
    </row>
    <row r="4261" spans="12:74">
      <c r="L4261" s="266"/>
      <c r="M4261" s="266"/>
      <c r="N4261" s="266"/>
      <c r="O4261" s="266"/>
      <c r="P4261" s="266"/>
      <c r="Q4261" s="266"/>
      <c r="BR4261" s="266"/>
      <c r="BS4261" s="266"/>
      <c r="BT4261" s="266"/>
      <c r="BU4261" s="266"/>
      <c r="BV4261" s="266"/>
    </row>
    <row r="4262" spans="12:74">
      <c r="L4262" s="266"/>
      <c r="M4262" s="266"/>
      <c r="N4262" s="266"/>
      <c r="O4262" s="266"/>
      <c r="P4262" s="266"/>
      <c r="Q4262" s="266"/>
      <c r="BR4262" s="266"/>
      <c r="BS4262" s="266"/>
      <c r="BT4262" s="266"/>
      <c r="BU4262" s="266"/>
      <c r="BV4262" s="266"/>
    </row>
    <row r="4263" spans="12:74">
      <c r="L4263" s="266"/>
      <c r="M4263" s="266"/>
      <c r="N4263" s="266"/>
      <c r="O4263" s="266"/>
      <c r="P4263" s="266"/>
      <c r="Q4263" s="266"/>
      <c r="BR4263" s="266"/>
      <c r="BS4263" s="266"/>
      <c r="BT4263" s="266"/>
      <c r="BU4263" s="266"/>
      <c r="BV4263" s="266"/>
    </row>
    <row r="4264" spans="12:74">
      <c r="L4264" s="266"/>
      <c r="M4264" s="266"/>
      <c r="N4264" s="266"/>
      <c r="O4264" s="266"/>
      <c r="P4264" s="266"/>
      <c r="Q4264" s="266"/>
      <c r="BR4264" s="266"/>
      <c r="BS4264" s="266"/>
      <c r="BT4264" s="266"/>
      <c r="BU4264" s="266"/>
      <c r="BV4264" s="266"/>
    </row>
    <row r="4265" spans="12:74">
      <c r="L4265" s="266"/>
      <c r="M4265" s="266"/>
      <c r="N4265" s="266"/>
      <c r="O4265" s="266"/>
      <c r="P4265" s="266"/>
      <c r="Q4265" s="266"/>
      <c r="BR4265" s="266"/>
      <c r="BS4265" s="266"/>
      <c r="BT4265" s="266"/>
      <c r="BU4265" s="266"/>
      <c r="BV4265" s="266"/>
    </row>
    <row r="4266" spans="12:74">
      <c r="L4266" s="266"/>
      <c r="M4266" s="266"/>
      <c r="N4266" s="266"/>
      <c r="O4266" s="266"/>
      <c r="P4266" s="266"/>
      <c r="Q4266" s="266"/>
      <c r="BR4266" s="266"/>
      <c r="BS4266" s="266"/>
      <c r="BT4266" s="266"/>
      <c r="BU4266" s="266"/>
      <c r="BV4266" s="266"/>
    </row>
    <row r="4267" spans="12:74">
      <c r="L4267" s="266"/>
      <c r="M4267" s="266"/>
      <c r="N4267" s="266"/>
      <c r="O4267" s="266"/>
      <c r="P4267" s="266"/>
      <c r="Q4267" s="266"/>
      <c r="BR4267" s="266"/>
      <c r="BS4267" s="266"/>
      <c r="BT4267" s="266"/>
      <c r="BU4267" s="266"/>
      <c r="BV4267" s="266"/>
    </row>
    <row r="4268" spans="12:74">
      <c r="L4268" s="266"/>
      <c r="M4268" s="266"/>
      <c r="N4268" s="266"/>
      <c r="O4268" s="266"/>
      <c r="P4268" s="266"/>
      <c r="Q4268" s="266"/>
      <c r="BR4268" s="266"/>
      <c r="BS4268" s="266"/>
      <c r="BT4268" s="266"/>
      <c r="BU4268" s="266"/>
      <c r="BV4268" s="266"/>
    </row>
    <row r="4269" spans="12:74">
      <c r="L4269" s="266"/>
      <c r="M4269" s="266"/>
      <c r="N4269" s="266"/>
      <c r="O4269" s="266"/>
      <c r="P4269" s="266"/>
      <c r="Q4269" s="266"/>
      <c r="BR4269" s="266"/>
      <c r="BS4269" s="266"/>
      <c r="BT4269" s="266"/>
      <c r="BU4269" s="266"/>
      <c r="BV4269" s="266"/>
    </row>
    <row r="4270" spans="12:74">
      <c r="L4270" s="266"/>
      <c r="M4270" s="266"/>
      <c r="N4270" s="266"/>
      <c r="O4270" s="266"/>
      <c r="P4270" s="266"/>
      <c r="Q4270" s="266"/>
      <c r="BR4270" s="266"/>
      <c r="BS4270" s="266"/>
      <c r="BT4270" s="266"/>
      <c r="BU4270" s="266"/>
      <c r="BV4270" s="266"/>
    </row>
    <row r="4271" spans="12:74">
      <c r="L4271" s="266"/>
      <c r="M4271" s="266"/>
      <c r="N4271" s="266"/>
      <c r="O4271" s="266"/>
      <c r="P4271" s="266"/>
      <c r="Q4271" s="266"/>
      <c r="BR4271" s="266"/>
      <c r="BS4271" s="266"/>
      <c r="BT4271" s="266"/>
      <c r="BU4271" s="266"/>
      <c r="BV4271" s="266"/>
    </row>
    <row r="4272" spans="12:74">
      <c r="L4272" s="266"/>
      <c r="M4272" s="266"/>
      <c r="N4272" s="266"/>
      <c r="O4272" s="266"/>
      <c r="P4272" s="266"/>
      <c r="Q4272" s="266"/>
      <c r="BR4272" s="266"/>
      <c r="BS4272" s="266"/>
      <c r="BT4272" s="266"/>
      <c r="BU4272" s="266"/>
      <c r="BV4272" s="266"/>
    </row>
    <row r="4273" spans="12:74">
      <c r="L4273" s="266"/>
      <c r="M4273" s="266"/>
      <c r="N4273" s="266"/>
      <c r="O4273" s="266"/>
      <c r="P4273" s="266"/>
      <c r="Q4273" s="266"/>
      <c r="BR4273" s="266"/>
      <c r="BS4273" s="266"/>
      <c r="BT4273" s="266"/>
      <c r="BU4273" s="266"/>
      <c r="BV4273" s="266"/>
    </row>
    <row r="4274" spans="12:74">
      <c r="L4274" s="266"/>
      <c r="M4274" s="266"/>
      <c r="N4274" s="266"/>
      <c r="O4274" s="266"/>
      <c r="P4274" s="266"/>
      <c r="Q4274" s="266"/>
      <c r="BR4274" s="266"/>
      <c r="BS4274" s="266"/>
      <c r="BT4274" s="266"/>
      <c r="BU4274" s="266"/>
      <c r="BV4274" s="266"/>
    </row>
    <row r="4275" spans="12:74">
      <c r="L4275" s="266"/>
      <c r="M4275" s="266"/>
      <c r="N4275" s="266"/>
      <c r="O4275" s="266"/>
      <c r="P4275" s="266"/>
      <c r="Q4275" s="266"/>
      <c r="BR4275" s="266"/>
      <c r="BS4275" s="266"/>
      <c r="BT4275" s="266"/>
      <c r="BU4275" s="266"/>
      <c r="BV4275" s="266"/>
    </row>
    <row r="4276" spans="12:74">
      <c r="L4276" s="266"/>
      <c r="M4276" s="266"/>
      <c r="N4276" s="266"/>
      <c r="O4276" s="266"/>
      <c r="P4276" s="266"/>
      <c r="Q4276" s="266"/>
      <c r="BR4276" s="266"/>
      <c r="BS4276" s="266"/>
      <c r="BT4276" s="266"/>
      <c r="BU4276" s="266"/>
      <c r="BV4276" s="266"/>
    </row>
    <row r="4277" spans="12:74">
      <c r="L4277" s="266"/>
      <c r="M4277" s="266"/>
      <c r="N4277" s="266"/>
      <c r="O4277" s="266"/>
      <c r="P4277" s="266"/>
      <c r="Q4277" s="266"/>
      <c r="BR4277" s="266"/>
      <c r="BS4277" s="266"/>
      <c r="BT4277" s="266"/>
      <c r="BU4277" s="266"/>
      <c r="BV4277" s="266"/>
    </row>
    <row r="4278" spans="12:74">
      <c r="L4278" s="266"/>
      <c r="M4278" s="266"/>
      <c r="N4278" s="266"/>
      <c r="O4278" s="266"/>
      <c r="P4278" s="266"/>
      <c r="Q4278" s="266"/>
      <c r="BR4278" s="266"/>
      <c r="BS4278" s="266"/>
      <c r="BT4278" s="266"/>
      <c r="BU4278" s="266"/>
      <c r="BV4278" s="266"/>
    </row>
    <row r="4279" spans="12:74">
      <c r="L4279" s="266"/>
      <c r="M4279" s="266"/>
      <c r="N4279" s="266"/>
      <c r="O4279" s="266"/>
      <c r="P4279" s="266"/>
      <c r="Q4279" s="266"/>
      <c r="BR4279" s="266"/>
      <c r="BS4279" s="266"/>
      <c r="BT4279" s="266"/>
      <c r="BU4279" s="266"/>
      <c r="BV4279" s="266"/>
    </row>
    <row r="4280" spans="12:74">
      <c r="L4280" s="266"/>
      <c r="M4280" s="266"/>
      <c r="N4280" s="266"/>
      <c r="O4280" s="266"/>
      <c r="P4280" s="266"/>
      <c r="Q4280" s="266"/>
      <c r="BR4280" s="266"/>
      <c r="BS4280" s="266"/>
      <c r="BT4280" s="266"/>
      <c r="BU4280" s="266"/>
      <c r="BV4280" s="266"/>
    </row>
    <row r="4281" spans="12:74">
      <c r="L4281" s="266"/>
      <c r="M4281" s="266"/>
      <c r="N4281" s="266"/>
      <c r="O4281" s="266"/>
      <c r="P4281" s="266"/>
      <c r="Q4281" s="266"/>
      <c r="BR4281" s="266"/>
      <c r="BS4281" s="266"/>
      <c r="BT4281" s="266"/>
      <c r="BU4281" s="266"/>
      <c r="BV4281" s="266"/>
    </row>
    <row r="4282" spans="12:74">
      <c r="L4282" s="266"/>
      <c r="M4282" s="266"/>
      <c r="N4282" s="266"/>
      <c r="O4282" s="266"/>
      <c r="P4282" s="266"/>
      <c r="Q4282" s="266"/>
      <c r="BR4282" s="266"/>
      <c r="BS4282" s="266"/>
      <c r="BT4282" s="266"/>
      <c r="BU4282" s="266"/>
      <c r="BV4282" s="266"/>
    </row>
    <row r="4283" spans="12:74">
      <c r="L4283" s="266"/>
      <c r="M4283" s="266"/>
      <c r="N4283" s="266"/>
      <c r="O4283" s="266"/>
      <c r="P4283" s="266"/>
      <c r="Q4283" s="266"/>
      <c r="BR4283" s="266"/>
      <c r="BS4283" s="266"/>
      <c r="BT4283" s="266"/>
      <c r="BU4283" s="266"/>
      <c r="BV4283" s="266"/>
    </row>
    <row r="4284" spans="12:74">
      <c r="L4284" s="266"/>
      <c r="M4284" s="266"/>
      <c r="N4284" s="266"/>
      <c r="O4284" s="266"/>
      <c r="P4284" s="266"/>
      <c r="Q4284" s="266"/>
      <c r="BR4284" s="266"/>
      <c r="BS4284" s="266"/>
      <c r="BT4284" s="266"/>
      <c r="BU4284" s="266"/>
      <c r="BV4284" s="266"/>
    </row>
    <row r="4285" spans="12:74">
      <c r="L4285" s="266"/>
      <c r="M4285" s="266"/>
      <c r="N4285" s="266"/>
      <c r="O4285" s="266"/>
      <c r="P4285" s="266"/>
      <c r="Q4285" s="266"/>
      <c r="BR4285" s="266"/>
      <c r="BS4285" s="266"/>
      <c r="BT4285" s="266"/>
      <c r="BU4285" s="266"/>
      <c r="BV4285" s="266"/>
    </row>
    <row r="4286" spans="12:74">
      <c r="L4286" s="266"/>
      <c r="M4286" s="266"/>
      <c r="N4286" s="266"/>
      <c r="O4286" s="266"/>
      <c r="P4286" s="266"/>
      <c r="Q4286" s="266"/>
      <c r="BR4286" s="266"/>
      <c r="BS4286" s="266"/>
      <c r="BT4286" s="266"/>
      <c r="BU4286" s="266"/>
      <c r="BV4286" s="266"/>
    </row>
    <row r="4287" spans="12:74">
      <c r="L4287" s="266"/>
      <c r="M4287" s="266"/>
      <c r="N4287" s="266"/>
      <c r="O4287" s="266"/>
      <c r="P4287" s="266"/>
      <c r="Q4287" s="266"/>
      <c r="BR4287" s="266"/>
      <c r="BS4287" s="266"/>
      <c r="BT4287" s="266"/>
      <c r="BU4287" s="266"/>
      <c r="BV4287" s="266"/>
    </row>
    <row r="4288" spans="12:74">
      <c r="L4288" s="266"/>
      <c r="M4288" s="266"/>
      <c r="N4288" s="266"/>
      <c r="O4288" s="266"/>
      <c r="P4288" s="266"/>
      <c r="Q4288" s="266"/>
      <c r="BR4288" s="266"/>
      <c r="BS4288" s="266"/>
      <c r="BT4288" s="266"/>
      <c r="BU4288" s="266"/>
      <c r="BV4288" s="266"/>
    </row>
    <row r="4289" spans="12:74">
      <c r="L4289" s="266"/>
      <c r="M4289" s="266"/>
      <c r="N4289" s="266"/>
      <c r="O4289" s="266"/>
      <c r="P4289" s="266"/>
      <c r="Q4289" s="266"/>
      <c r="BR4289" s="266"/>
      <c r="BS4289" s="266"/>
      <c r="BT4289" s="266"/>
      <c r="BU4289" s="266"/>
      <c r="BV4289" s="266"/>
    </row>
    <row r="4290" spans="12:74">
      <c r="L4290" s="266"/>
      <c r="M4290" s="266"/>
      <c r="N4290" s="266"/>
      <c r="O4290" s="266"/>
      <c r="P4290" s="266"/>
      <c r="Q4290" s="266"/>
      <c r="BR4290" s="266"/>
      <c r="BS4290" s="266"/>
      <c r="BT4290" s="266"/>
      <c r="BU4290" s="266"/>
      <c r="BV4290" s="266"/>
    </row>
    <row r="4291" spans="12:74">
      <c r="L4291" s="266"/>
      <c r="M4291" s="266"/>
      <c r="N4291" s="266"/>
      <c r="O4291" s="266"/>
      <c r="P4291" s="266"/>
      <c r="Q4291" s="266"/>
      <c r="BR4291" s="266"/>
      <c r="BS4291" s="266"/>
      <c r="BT4291" s="266"/>
      <c r="BU4291" s="266"/>
      <c r="BV4291" s="266"/>
    </row>
    <row r="4292" spans="12:74">
      <c r="L4292" s="266"/>
      <c r="M4292" s="266"/>
      <c r="N4292" s="266"/>
      <c r="O4292" s="266"/>
      <c r="P4292" s="266"/>
      <c r="Q4292" s="266"/>
      <c r="BR4292" s="266"/>
      <c r="BS4292" s="266"/>
      <c r="BT4292" s="266"/>
      <c r="BU4292" s="266"/>
      <c r="BV4292" s="266"/>
    </row>
    <row r="4293" spans="12:74">
      <c r="L4293" s="266"/>
      <c r="M4293" s="266"/>
      <c r="N4293" s="266"/>
      <c r="O4293" s="266"/>
      <c r="P4293" s="266"/>
      <c r="Q4293" s="266"/>
      <c r="BR4293" s="266"/>
      <c r="BS4293" s="266"/>
      <c r="BT4293" s="266"/>
      <c r="BU4293" s="266"/>
      <c r="BV4293" s="266"/>
    </row>
    <row r="4294" spans="12:74">
      <c r="L4294" s="266"/>
      <c r="M4294" s="266"/>
      <c r="N4294" s="266"/>
      <c r="O4294" s="266"/>
      <c r="P4294" s="266"/>
      <c r="Q4294" s="266"/>
      <c r="BR4294" s="266"/>
      <c r="BS4294" s="266"/>
      <c r="BT4294" s="266"/>
      <c r="BU4294" s="266"/>
      <c r="BV4294" s="266"/>
    </row>
    <row r="4295" spans="12:74">
      <c r="L4295" s="266"/>
      <c r="M4295" s="266"/>
      <c r="N4295" s="266"/>
      <c r="O4295" s="266"/>
      <c r="P4295" s="266"/>
      <c r="Q4295" s="266"/>
      <c r="BR4295" s="266"/>
      <c r="BS4295" s="266"/>
      <c r="BT4295" s="266"/>
      <c r="BU4295" s="266"/>
      <c r="BV4295" s="266"/>
    </row>
    <row r="4296" spans="12:74">
      <c r="L4296" s="266"/>
      <c r="M4296" s="266"/>
      <c r="N4296" s="266"/>
      <c r="O4296" s="266"/>
      <c r="P4296" s="266"/>
      <c r="Q4296" s="266"/>
      <c r="BR4296" s="266"/>
      <c r="BS4296" s="266"/>
      <c r="BT4296" s="266"/>
      <c r="BU4296" s="266"/>
      <c r="BV4296" s="266"/>
    </row>
    <row r="4297" spans="12:74">
      <c r="L4297" s="266"/>
      <c r="M4297" s="266"/>
      <c r="N4297" s="266"/>
      <c r="O4297" s="266"/>
      <c r="P4297" s="266"/>
      <c r="Q4297" s="266"/>
      <c r="BR4297" s="266"/>
      <c r="BS4297" s="266"/>
      <c r="BT4297" s="266"/>
      <c r="BU4297" s="266"/>
      <c r="BV4297" s="266"/>
    </row>
    <row r="4298" spans="12:74">
      <c r="L4298" s="266"/>
      <c r="M4298" s="266"/>
      <c r="N4298" s="266"/>
      <c r="O4298" s="266"/>
      <c r="P4298" s="266"/>
      <c r="Q4298" s="266"/>
      <c r="BR4298" s="266"/>
      <c r="BS4298" s="266"/>
      <c r="BT4298" s="266"/>
      <c r="BU4298" s="266"/>
      <c r="BV4298" s="266"/>
    </row>
    <row r="4299" spans="12:74">
      <c r="L4299" s="266"/>
      <c r="M4299" s="266"/>
      <c r="N4299" s="266"/>
      <c r="O4299" s="266"/>
      <c r="P4299" s="266"/>
      <c r="Q4299" s="266"/>
      <c r="BR4299" s="266"/>
      <c r="BS4299" s="266"/>
      <c r="BT4299" s="266"/>
      <c r="BU4299" s="266"/>
      <c r="BV4299" s="266"/>
    </row>
    <row r="4300" spans="12:74">
      <c r="L4300" s="266"/>
      <c r="M4300" s="266"/>
      <c r="N4300" s="266"/>
      <c r="O4300" s="266"/>
      <c r="P4300" s="266"/>
      <c r="Q4300" s="266"/>
      <c r="BR4300" s="266"/>
      <c r="BS4300" s="266"/>
      <c r="BT4300" s="266"/>
      <c r="BU4300" s="266"/>
      <c r="BV4300" s="266"/>
    </row>
    <row r="4301" spans="12:74">
      <c r="L4301" s="266"/>
      <c r="M4301" s="266"/>
      <c r="N4301" s="266"/>
      <c r="O4301" s="266"/>
      <c r="P4301" s="266"/>
      <c r="Q4301" s="266"/>
      <c r="BR4301" s="266"/>
      <c r="BS4301" s="266"/>
      <c r="BT4301" s="266"/>
      <c r="BU4301" s="266"/>
      <c r="BV4301" s="266"/>
    </row>
    <row r="4302" spans="12:74">
      <c r="L4302" s="266"/>
      <c r="M4302" s="266"/>
      <c r="N4302" s="266"/>
      <c r="O4302" s="266"/>
      <c r="P4302" s="266"/>
      <c r="Q4302" s="266"/>
      <c r="BR4302" s="266"/>
      <c r="BS4302" s="266"/>
      <c r="BT4302" s="266"/>
      <c r="BU4302" s="266"/>
      <c r="BV4302" s="266"/>
    </row>
    <row r="4303" spans="12:74">
      <c r="L4303" s="266"/>
      <c r="M4303" s="266"/>
      <c r="N4303" s="266"/>
      <c r="O4303" s="266"/>
      <c r="P4303" s="266"/>
      <c r="Q4303" s="266"/>
      <c r="BR4303" s="266"/>
      <c r="BS4303" s="266"/>
      <c r="BT4303" s="266"/>
      <c r="BU4303" s="266"/>
      <c r="BV4303" s="266"/>
    </row>
    <row r="4304" spans="12:74">
      <c r="L4304" s="266"/>
      <c r="M4304" s="266"/>
      <c r="N4304" s="266"/>
      <c r="O4304" s="266"/>
      <c r="P4304" s="266"/>
      <c r="Q4304" s="266"/>
      <c r="BR4304" s="266"/>
      <c r="BS4304" s="266"/>
      <c r="BT4304" s="266"/>
      <c r="BU4304" s="266"/>
      <c r="BV4304" s="266"/>
    </row>
    <row r="4305" spans="12:74">
      <c r="L4305" s="266"/>
      <c r="M4305" s="266"/>
      <c r="N4305" s="266"/>
      <c r="O4305" s="266"/>
      <c r="P4305" s="266"/>
      <c r="Q4305" s="266"/>
      <c r="BR4305" s="266"/>
      <c r="BS4305" s="266"/>
      <c r="BT4305" s="266"/>
      <c r="BU4305" s="266"/>
      <c r="BV4305" s="266"/>
    </row>
    <row r="4306" spans="12:74">
      <c r="L4306" s="266"/>
      <c r="M4306" s="266"/>
      <c r="N4306" s="266"/>
      <c r="O4306" s="266"/>
      <c r="P4306" s="266"/>
      <c r="Q4306" s="266"/>
      <c r="BR4306" s="266"/>
      <c r="BS4306" s="266"/>
      <c r="BT4306" s="266"/>
      <c r="BU4306" s="266"/>
      <c r="BV4306" s="266"/>
    </row>
    <row r="4307" spans="12:74">
      <c r="L4307" s="266"/>
      <c r="M4307" s="266"/>
      <c r="N4307" s="266"/>
      <c r="O4307" s="266"/>
      <c r="P4307" s="266"/>
      <c r="Q4307" s="266"/>
      <c r="BR4307" s="266"/>
      <c r="BS4307" s="266"/>
      <c r="BT4307" s="266"/>
      <c r="BU4307" s="266"/>
      <c r="BV4307" s="266"/>
    </row>
    <row r="4308" spans="12:74">
      <c r="L4308" s="266"/>
      <c r="M4308" s="266"/>
      <c r="N4308" s="266"/>
      <c r="O4308" s="266"/>
      <c r="P4308" s="266"/>
      <c r="Q4308" s="266"/>
      <c r="BR4308" s="266"/>
      <c r="BS4308" s="266"/>
      <c r="BT4308" s="266"/>
      <c r="BU4308" s="266"/>
      <c r="BV4308" s="266"/>
    </row>
    <row r="4309" spans="12:74">
      <c r="L4309" s="266"/>
      <c r="M4309" s="266"/>
      <c r="N4309" s="266"/>
      <c r="O4309" s="266"/>
      <c r="P4309" s="266"/>
      <c r="Q4309" s="266"/>
      <c r="BR4309" s="266"/>
      <c r="BS4309" s="266"/>
      <c r="BT4309" s="266"/>
      <c r="BU4309" s="266"/>
      <c r="BV4309" s="266"/>
    </row>
    <row r="4310" spans="12:74">
      <c r="L4310" s="266"/>
      <c r="M4310" s="266"/>
      <c r="N4310" s="266"/>
      <c r="O4310" s="266"/>
      <c r="P4310" s="266"/>
      <c r="Q4310" s="266"/>
      <c r="BR4310" s="266"/>
      <c r="BS4310" s="266"/>
      <c r="BT4310" s="266"/>
      <c r="BU4310" s="266"/>
      <c r="BV4310" s="266"/>
    </row>
    <row r="4311" spans="12:74">
      <c r="L4311" s="266"/>
      <c r="M4311" s="266"/>
      <c r="N4311" s="266"/>
      <c r="O4311" s="266"/>
      <c r="P4311" s="266"/>
      <c r="Q4311" s="266"/>
      <c r="BR4311" s="266"/>
      <c r="BS4311" s="266"/>
      <c r="BT4311" s="266"/>
      <c r="BU4311" s="266"/>
      <c r="BV4311" s="266"/>
    </row>
    <row r="4312" spans="12:74">
      <c r="L4312" s="266"/>
      <c r="M4312" s="266"/>
      <c r="N4312" s="266"/>
      <c r="O4312" s="266"/>
      <c r="P4312" s="266"/>
      <c r="Q4312" s="266"/>
      <c r="BR4312" s="266"/>
      <c r="BS4312" s="266"/>
      <c r="BT4312" s="266"/>
      <c r="BU4312" s="266"/>
      <c r="BV4312" s="266"/>
    </row>
    <row r="4313" spans="12:74">
      <c r="L4313" s="266"/>
      <c r="M4313" s="266"/>
      <c r="N4313" s="266"/>
      <c r="O4313" s="266"/>
      <c r="P4313" s="266"/>
      <c r="Q4313" s="266"/>
      <c r="BR4313" s="266"/>
      <c r="BS4313" s="266"/>
      <c r="BT4313" s="266"/>
      <c r="BU4313" s="266"/>
      <c r="BV4313" s="266"/>
    </row>
    <row r="4314" spans="12:74">
      <c r="L4314" s="266"/>
      <c r="M4314" s="266"/>
      <c r="N4314" s="266"/>
      <c r="O4314" s="266"/>
      <c r="P4314" s="266"/>
      <c r="Q4314" s="266"/>
      <c r="BR4314" s="266"/>
      <c r="BS4314" s="266"/>
      <c r="BT4314" s="266"/>
      <c r="BU4314" s="266"/>
      <c r="BV4314" s="266"/>
    </row>
    <row r="4315" spans="12:74">
      <c r="L4315" s="266"/>
      <c r="M4315" s="266"/>
      <c r="N4315" s="266"/>
      <c r="O4315" s="266"/>
      <c r="P4315" s="266"/>
      <c r="Q4315" s="266"/>
      <c r="BR4315" s="266"/>
      <c r="BS4315" s="266"/>
      <c r="BT4315" s="266"/>
      <c r="BU4315" s="266"/>
      <c r="BV4315" s="266"/>
    </row>
    <row r="4316" spans="12:74">
      <c r="L4316" s="266"/>
      <c r="M4316" s="266"/>
      <c r="N4316" s="266"/>
      <c r="O4316" s="266"/>
      <c r="P4316" s="266"/>
      <c r="Q4316" s="266"/>
      <c r="BR4316" s="266"/>
      <c r="BS4316" s="266"/>
      <c r="BT4316" s="266"/>
      <c r="BU4316" s="266"/>
      <c r="BV4316" s="266"/>
    </row>
    <row r="4317" spans="12:74">
      <c r="L4317" s="266"/>
      <c r="M4317" s="266"/>
      <c r="N4317" s="266"/>
      <c r="O4317" s="266"/>
      <c r="P4317" s="266"/>
      <c r="Q4317" s="266"/>
      <c r="BR4317" s="266"/>
      <c r="BS4317" s="266"/>
      <c r="BT4317" s="266"/>
      <c r="BU4317" s="266"/>
      <c r="BV4317" s="266"/>
    </row>
    <row r="4318" spans="12:74">
      <c r="L4318" s="266"/>
      <c r="M4318" s="266"/>
      <c r="N4318" s="266"/>
      <c r="O4318" s="266"/>
      <c r="P4318" s="266"/>
      <c r="Q4318" s="266"/>
      <c r="BR4318" s="266"/>
      <c r="BS4318" s="266"/>
      <c r="BT4318" s="266"/>
      <c r="BU4318" s="266"/>
      <c r="BV4318" s="266"/>
    </row>
    <row r="4319" spans="12:74">
      <c r="L4319" s="266"/>
      <c r="M4319" s="266"/>
      <c r="N4319" s="266"/>
      <c r="O4319" s="266"/>
      <c r="P4319" s="266"/>
      <c r="Q4319" s="266"/>
      <c r="BR4319" s="266"/>
      <c r="BS4319" s="266"/>
      <c r="BT4319" s="266"/>
      <c r="BU4319" s="266"/>
      <c r="BV4319" s="266"/>
    </row>
    <row r="4320" spans="12:74">
      <c r="L4320" s="266"/>
      <c r="M4320" s="266"/>
      <c r="N4320" s="266"/>
      <c r="O4320" s="266"/>
      <c r="P4320" s="266"/>
      <c r="Q4320" s="266"/>
      <c r="BR4320" s="266"/>
      <c r="BS4320" s="266"/>
      <c r="BT4320" s="266"/>
      <c r="BU4320" s="266"/>
      <c r="BV4320" s="266"/>
    </row>
    <row r="4321" spans="12:74">
      <c r="L4321" s="266"/>
      <c r="M4321" s="266"/>
      <c r="N4321" s="266"/>
      <c r="O4321" s="266"/>
      <c r="P4321" s="266"/>
      <c r="Q4321" s="266"/>
      <c r="BR4321" s="266"/>
      <c r="BS4321" s="266"/>
      <c r="BT4321" s="266"/>
      <c r="BU4321" s="266"/>
      <c r="BV4321" s="266"/>
    </row>
    <row r="4322" spans="12:74">
      <c r="L4322" s="266"/>
      <c r="M4322" s="266"/>
      <c r="N4322" s="266"/>
      <c r="O4322" s="266"/>
      <c r="P4322" s="266"/>
      <c r="Q4322" s="266"/>
      <c r="BR4322" s="266"/>
      <c r="BS4322" s="266"/>
      <c r="BT4322" s="266"/>
      <c r="BU4322" s="266"/>
      <c r="BV4322" s="266"/>
    </row>
    <row r="4323" spans="12:74">
      <c r="L4323" s="266"/>
      <c r="M4323" s="266"/>
      <c r="N4323" s="266"/>
      <c r="O4323" s="266"/>
      <c r="P4323" s="266"/>
      <c r="Q4323" s="266"/>
      <c r="BR4323" s="266"/>
      <c r="BS4323" s="266"/>
      <c r="BT4323" s="266"/>
      <c r="BU4323" s="266"/>
      <c r="BV4323" s="266"/>
    </row>
    <row r="4324" spans="12:74">
      <c r="L4324" s="266"/>
      <c r="M4324" s="266"/>
      <c r="N4324" s="266"/>
      <c r="O4324" s="266"/>
      <c r="P4324" s="266"/>
      <c r="Q4324" s="266"/>
      <c r="BR4324" s="266"/>
      <c r="BS4324" s="266"/>
      <c r="BT4324" s="266"/>
      <c r="BU4324" s="266"/>
      <c r="BV4324" s="266"/>
    </row>
    <row r="4325" spans="12:74">
      <c r="L4325" s="266"/>
      <c r="M4325" s="266"/>
      <c r="N4325" s="266"/>
      <c r="O4325" s="266"/>
      <c r="P4325" s="266"/>
      <c r="Q4325" s="266"/>
      <c r="BR4325" s="266"/>
      <c r="BS4325" s="266"/>
      <c r="BT4325" s="266"/>
      <c r="BU4325" s="266"/>
      <c r="BV4325" s="266"/>
    </row>
    <row r="4326" spans="12:74">
      <c r="L4326" s="266"/>
      <c r="M4326" s="266"/>
      <c r="N4326" s="266"/>
      <c r="O4326" s="266"/>
      <c r="P4326" s="266"/>
      <c r="Q4326" s="266"/>
      <c r="BR4326" s="266"/>
      <c r="BS4326" s="266"/>
      <c r="BT4326" s="266"/>
      <c r="BU4326" s="266"/>
      <c r="BV4326" s="266"/>
    </row>
    <row r="4327" spans="12:74">
      <c r="L4327" s="266"/>
      <c r="M4327" s="266"/>
      <c r="N4327" s="266"/>
      <c r="O4327" s="266"/>
      <c r="P4327" s="266"/>
      <c r="Q4327" s="266"/>
      <c r="BR4327" s="266"/>
      <c r="BS4327" s="266"/>
      <c r="BT4327" s="266"/>
      <c r="BU4327" s="266"/>
      <c r="BV4327" s="266"/>
    </row>
    <row r="4328" spans="12:74">
      <c r="L4328" s="266"/>
      <c r="M4328" s="266"/>
      <c r="N4328" s="266"/>
      <c r="O4328" s="266"/>
      <c r="P4328" s="266"/>
      <c r="Q4328" s="266"/>
      <c r="BR4328" s="266"/>
      <c r="BS4328" s="266"/>
      <c r="BT4328" s="266"/>
      <c r="BU4328" s="266"/>
      <c r="BV4328" s="266"/>
    </row>
    <row r="4329" spans="12:74">
      <c r="L4329" s="266"/>
      <c r="M4329" s="266"/>
      <c r="N4329" s="266"/>
      <c r="O4329" s="266"/>
      <c r="P4329" s="266"/>
      <c r="Q4329" s="266"/>
      <c r="BR4329" s="266"/>
      <c r="BS4329" s="266"/>
      <c r="BT4329" s="266"/>
      <c r="BU4329" s="266"/>
      <c r="BV4329" s="266"/>
    </row>
    <row r="4330" spans="12:74">
      <c r="L4330" s="266"/>
      <c r="M4330" s="266"/>
      <c r="N4330" s="266"/>
      <c r="O4330" s="266"/>
      <c r="P4330" s="266"/>
      <c r="Q4330" s="266"/>
      <c r="BR4330" s="266"/>
      <c r="BS4330" s="266"/>
      <c r="BT4330" s="266"/>
      <c r="BU4330" s="266"/>
      <c r="BV4330" s="266"/>
    </row>
    <row r="4331" spans="12:74">
      <c r="L4331" s="266"/>
      <c r="M4331" s="266"/>
      <c r="N4331" s="266"/>
      <c r="O4331" s="266"/>
      <c r="P4331" s="266"/>
      <c r="Q4331" s="266"/>
      <c r="BR4331" s="266"/>
      <c r="BS4331" s="266"/>
      <c r="BT4331" s="266"/>
      <c r="BU4331" s="266"/>
      <c r="BV4331" s="266"/>
    </row>
    <row r="4332" spans="12:74">
      <c r="L4332" s="266"/>
      <c r="M4332" s="266"/>
      <c r="N4332" s="266"/>
      <c r="O4332" s="266"/>
      <c r="P4332" s="266"/>
      <c r="Q4332" s="266"/>
      <c r="BR4332" s="266"/>
      <c r="BS4332" s="266"/>
      <c r="BT4332" s="266"/>
      <c r="BU4332" s="266"/>
      <c r="BV4332" s="266"/>
    </row>
    <row r="4333" spans="12:74">
      <c r="L4333" s="266"/>
      <c r="M4333" s="266"/>
      <c r="N4333" s="266"/>
      <c r="O4333" s="266"/>
      <c r="P4333" s="266"/>
      <c r="Q4333" s="266"/>
      <c r="BR4333" s="266"/>
      <c r="BS4333" s="266"/>
      <c r="BT4333" s="266"/>
      <c r="BU4333" s="266"/>
      <c r="BV4333" s="266"/>
    </row>
    <row r="4334" spans="12:74">
      <c r="L4334" s="266"/>
      <c r="M4334" s="266"/>
      <c r="N4334" s="266"/>
      <c r="O4334" s="266"/>
      <c r="P4334" s="266"/>
      <c r="Q4334" s="266"/>
      <c r="BR4334" s="266"/>
      <c r="BS4334" s="266"/>
      <c r="BT4334" s="266"/>
      <c r="BU4334" s="266"/>
      <c r="BV4334" s="266"/>
    </row>
    <row r="4335" spans="12:74">
      <c r="L4335" s="266"/>
      <c r="M4335" s="266"/>
      <c r="N4335" s="266"/>
      <c r="O4335" s="266"/>
      <c r="P4335" s="266"/>
      <c r="Q4335" s="266"/>
      <c r="BR4335" s="266"/>
      <c r="BS4335" s="266"/>
      <c r="BT4335" s="266"/>
      <c r="BU4335" s="266"/>
      <c r="BV4335" s="266"/>
    </row>
    <row r="4336" spans="12:74">
      <c r="L4336" s="266"/>
      <c r="M4336" s="266"/>
      <c r="N4336" s="266"/>
      <c r="O4336" s="266"/>
      <c r="P4336" s="266"/>
      <c r="Q4336" s="266"/>
      <c r="BR4336" s="266"/>
      <c r="BS4336" s="266"/>
      <c r="BT4336" s="266"/>
      <c r="BU4336" s="266"/>
      <c r="BV4336" s="266"/>
    </row>
    <row r="4337" spans="12:74">
      <c r="L4337" s="266"/>
      <c r="M4337" s="266"/>
      <c r="N4337" s="266"/>
      <c r="O4337" s="266"/>
      <c r="P4337" s="266"/>
      <c r="Q4337" s="266"/>
      <c r="BR4337" s="266"/>
      <c r="BS4337" s="266"/>
      <c r="BT4337" s="266"/>
      <c r="BU4337" s="266"/>
      <c r="BV4337" s="266"/>
    </row>
    <row r="4338" spans="12:74">
      <c r="L4338" s="266"/>
      <c r="M4338" s="266"/>
      <c r="N4338" s="266"/>
      <c r="O4338" s="266"/>
      <c r="P4338" s="266"/>
      <c r="Q4338" s="266"/>
      <c r="BR4338" s="266"/>
      <c r="BS4338" s="266"/>
      <c r="BT4338" s="266"/>
      <c r="BU4338" s="266"/>
      <c r="BV4338" s="266"/>
    </row>
    <row r="4339" spans="12:74">
      <c r="L4339" s="266"/>
      <c r="M4339" s="266"/>
      <c r="N4339" s="266"/>
      <c r="O4339" s="266"/>
      <c r="P4339" s="266"/>
      <c r="Q4339" s="266"/>
      <c r="BR4339" s="266"/>
      <c r="BS4339" s="266"/>
      <c r="BT4339" s="266"/>
      <c r="BU4339" s="266"/>
      <c r="BV4339" s="266"/>
    </row>
    <row r="4340" spans="12:74">
      <c r="L4340" s="266"/>
      <c r="M4340" s="266"/>
      <c r="N4340" s="266"/>
      <c r="O4340" s="266"/>
      <c r="P4340" s="266"/>
      <c r="Q4340" s="266"/>
      <c r="BR4340" s="266"/>
      <c r="BS4340" s="266"/>
      <c r="BT4340" s="266"/>
      <c r="BU4340" s="266"/>
      <c r="BV4340" s="266"/>
    </row>
    <row r="4341" spans="12:74">
      <c r="L4341" s="266"/>
      <c r="M4341" s="266"/>
      <c r="N4341" s="266"/>
      <c r="O4341" s="266"/>
      <c r="P4341" s="266"/>
      <c r="Q4341" s="266"/>
      <c r="BR4341" s="266"/>
      <c r="BS4341" s="266"/>
      <c r="BT4341" s="266"/>
      <c r="BU4341" s="266"/>
      <c r="BV4341" s="266"/>
    </row>
    <row r="4342" spans="12:74">
      <c r="L4342" s="266"/>
      <c r="M4342" s="266"/>
      <c r="N4342" s="266"/>
      <c r="O4342" s="266"/>
      <c r="P4342" s="266"/>
      <c r="Q4342" s="266"/>
      <c r="BR4342" s="266"/>
      <c r="BS4342" s="266"/>
      <c r="BT4342" s="266"/>
      <c r="BU4342" s="266"/>
      <c r="BV4342" s="266"/>
    </row>
    <row r="4343" spans="12:74">
      <c r="L4343" s="266"/>
      <c r="M4343" s="266"/>
      <c r="N4343" s="266"/>
      <c r="O4343" s="266"/>
      <c r="P4343" s="266"/>
      <c r="Q4343" s="266"/>
      <c r="BR4343" s="266"/>
      <c r="BS4343" s="266"/>
      <c r="BT4343" s="266"/>
      <c r="BU4343" s="266"/>
      <c r="BV4343" s="266"/>
    </row>
    <row r="4344" spans="12:74">
      <c r="L4344" s="266"/>
      <c r="M4344" s="266"/>
      <c r="N4344" s="266"/>
      <c r="O4344" s="266"/>
      <c r="P4344" s="266"/>
      <c r="Q4344" s="266"/>
      <c r="BR4344" s="266"/>
      <c r="BS4344" s="266"/>
      <c r="BT4344" s="266"/>
      <c r="BU4344" s="266"/>
      <c r="BV4344" s="266"/>
    </row>
    <row r="4345" spans="12:74">
      <c r="L4345" s="266"/>
      <c r="M4345" s="266"/>
      <c r="N4345" s="266"/>
      <c r="O4345" s="266"/>
      <c r="P4345" s="266"/>
      <c r="Q4345" s="266"/>
      <c r="BR4345" s="266"/>
      <c r="BS4345" s="266"/>
      <c r="BT4345" s="266"/>
      <c r="BU4345" s="266"/>
      <c r="BV4345" s="266"/>
    </row>
    <row r="4346" spans="12:74">
      <c r="L4346" s="266"/>
      <c r="M4346" s="266"/>
      <c r="N4346" s="266"/>
      <c r="O4346" s="266"/>
      <c r="P4346" s="266"/>
      <c r="Q4346" s="266"/>
      <c r="BR4346" s="266"/>
      <c r="BS4346" s="266"/>
      <c r="BT4346" s="266"/>
      <c r="BU4346" s="266"/>
      <c r="BV4346" s="266"/>
    </row>
    <row r="4347" spans="12:74">
      <c r="L4347" s="266"/>
      <c r="M4347" s="266"/>
      <c r="N4347" s="266"/>
      <c r="O4347" s="266"/>
      <c r="P4347" s="266"/>
      <c r="Q4347" s="266"/>
      <c r="BR4347" s="266"/>
      <c r="BS4347" s="266"/>
      <c r="BT4347" s="266"/>
      <c r="BU4347" s="266"/>
      <c r="BV4347" s="266"/>
    </row>
    <row r="4348" spans="12:74">
      <c r="L4348" s="266"/>
      <c r="M4348" s="266"/>
      <c r="N4348" s="266"/>
      <c r="O4348" s="266"/>
      <c r="P4348" s="266"/>
      <c r="Q4348" s="266"/>
      <c r="BR4348" s="266"/>
      <c r="BS4348" s="266"/>
      <c r="BT4348" s="266"/>
      <c r="BU4348" s="266"/>
      <c r="BV4348" s="266"/>
    </row>
    <row r="4349" spans="12:74">
      <c r="L4349" s="266"/>
      <c r="M4349" s="266"/>
      <c r="N4349" s="266"/>
      <c r="O4349" s="266"/>
      <c r="P4349" s="266"/>
      <c r="Q4349" s="266"/>
      <c r="BR4349" s="266"/>
      <c r="BS4349" s="266"/>
      <c r="BT4349" s="266"/>
      <c r="BU4349" s="266"/>
      <c r="BV4349" s="266"/>
    </row>
    <row r="4350" spans="12:74">
      <c r="L4350" s="266"/>
      <c r="M4350" s="266"/>
      <c r="N4350" s="266"/>
      <c r="O4350" s="266"/>
      <c r="P4350" s="266"/>
      <c r="Q4350" s="266"/>
      <c r="BR4350" s="266"/>
      <c r="BS4350" s="266"/>
      <c r="BT4350" s="266"/>
      <c r="BU4350" s="266"/>
      <c r="BV4350" s="266"/>
    </row>
    <row r="4351" spans="12:74">
      <c r="L4351" s="266"/>
      <c r="M4351" s="266"/>
      <c r="N4351" s="266"/>
      <c r="O4351" s="266"/>
      <c r="P4351" s="266"/>
      <c r="Q4351" s="266"/>
      <c r="BR4351" s="266"/>
      <c r="BS4351" s="266"/>
      <c r="BT4351" s="266"/>
      <c r="BU4351" s="266"/>
      <c r="BV4351" s="266"/>
    </row>
    <row r="4352" spans="12:74">
      <c r="L4352" s="266"/>
      <c r="M4352" s="266"/>
      <c r="N4352" s="266"/>
      <c r="O4352" s="266"/>
      <c r="P4352" s="266"/>
      <c r="Q4352" s="266"/>
      <c r="BR4352" s="266"/>
      <c r="BS4352" s="266"/>
      <c r="BT4352" s="266"/>
      <c r="BU4352" s="266"/>
      <c r="BV4352" s="266"/>
    </row>
    <row r="4353" spans="12:74">
      <c r="L4353" s="266"/>
      <c r="M4353" s="266"/>
      <c r="N4353" s="266"/>
      <c r="O4353" s="266"/>
      <c r="P4353" s="266"/>
      <c r="Q4353" s="266"/>
      <c r="BR4353" s="266"/>
      <c r="BS4353" s="266"/>
      <c r="BT4353" s="266"/>
      <c r="BU4353" s="266"/>
      <c r="BV4353" s="266"/>
    </row>
    <row r="4354" spans="12:74">
      <c r="L4354" s="266"/>
      <c r="M4354" s="266"/>
      <c r="N4354" s="266"/>
      <c r="O4354" s="266"/>
      <c r="P4354" s="266"/>
      <c r="Q4354" s="266"/>
      <c r="BR4354" s="266"/>
      <c r="BS4354" s="266"/>
      <c r="BT4354" s="266"/>
      <c r="BU4354" s="266"/>
      <c r="BV4354" s="266"/>
    </row>
    <row r="4355" spans="12:74">
      <c r="L4355" s="266"/>
      <c r="M4355" s="266"/>
      <c r="N4355" s="266"/>
      <c r="O4355" s="266"/>
      <c r="P4355" s="266"/>
      <c r="Q4355" s="266"/>
      <c r="BR4355" s="266"/>
      <c r="BS4355" s="266"/>
      <c r="BT4355" s="266"/>
      <c r="BU4355" s="266"/>
      <c r="BV4355" s="266"/>
    </row>
    <row r="4356" spans="12:74">
      <c r="L4356" s="266"/>
      <c r="M4356" s="266"/>
      <c r="N4356" s="266"/>
      <c r="O4356" s="266"/>
      <c r="P4356" s="266"/>
      <c r="Q4356" s="266"/>
      <c r="BR4356" s="266"/>
      <c r="BS4356" s="266"/>
      <c r="BT4356" s="266"/>
      <c r="BU4356" s="266"/>
      <c r="BV4356" s="266"/>
    </row>
    <row r="4357" spans="12:74">
      <c r="L4357" s="266"/>
      <c r="M4357" s="266"/>
      <c r="N4357" s="266"/>
      <c r="O4357" s="266"/>
      <c r="P4357" s="266"/>
      <c r="Q4357" s="266"/>
      <c r="BR4357" s="266"/>
      <c r="BS4357" s="266"/>
      <c r="BT4357" s="266"/>
      <c r="BU4357" s="266"/>
      <c r="BV4357" s="266"/>
    </row>
    <row r="4358" spans="12:74">
      <c r="L4358" s="266"/>
      <c r="M4358" s="266"/>
      <c r="N4358" s="266"/>
      <c r="O4358" s="266"/>
      <c r="P4358" s="266"/>
      <c r="Q4358" s="266"/>
      <c r="BR4358" s="266"/>
      <c r="BS4358" s="266"/>
      <c r="BT4358" s="266"/>
      <c r="BU4358" s="266"/>
      <c r="BV4358" s="266"/>
    </row>
    <row r="4359" spans="12:74">
      <c r="L4359" s="266"/>
      <c r="M4359" s="266"/>
      <c r="N4359" s="266"/>
      <c r="O4359" s="266"/>
      <c r="P4359" s="266"/>
      <c r="Q4359" s="266"/>
      <c r="BR4359" s="266"/>
      <c r="BS4359" s="266"/>
      <c r="BT4359" s="266"/>
      <c r="BU4359" s="266"/>
      <c r="BV4359" s="266"/>
    </row>
    <row r="4360" spans="12:74">
      <c r="L4360" s="266"/>
      <c r="M4360" s="266"/>
      <c r="N4360" s="266"/>
      <c r="O4360" s="266"/>
      <c r="P4360" s="266"/>
      <c r="Q4360" s="266"/>
      <c r="BR4360" s="266"/>
      <c r="BS4360" s="266"/>
      <c r="BT4360" s="266"/>
      <c r="BU4360" s="266"/>
      <c r="BV4360" s="266"/>
    </row>
    <row r="4361" spans="12:74">
      <c r="L4361" s="266"/>
      <c r="M4361" s="266"/>
      <c r="N4361" s="266"/>
      <c r="O4361" s="266"/>
      <c r="P4361" s="266"/>
      <c r="Q4361" s="266"/>
      <c r="BR4361" s="266"/>
      <c r="BS4361" s="266"/>
      <c r="BT4361" s="266"/>
      <c r="BU4361" s="266"/>
      <c r="BV4361" s="266"/>
    </row>
    <row r="4362" spans="12:74">
      <c r="L4362" s="266"/>
      <c r="M4362" s="266"/>
      <c r="N4362" s="266"/>
      <c r="O4362" s="266"/>
      <c r="P4362" s="266"/>
      <c r="Q4362" s="266"/>
      <c r="BR4362" s="266"/>
      <c r="BS4362" s="266"/>
      <c r="BT4362" s="266"/>
      <c r="BU4362" s="266"/>
      <c r="BV4362" s="266"/>
    </row>
    <row r="4363" spans="12:74">
      <c r="L4363" s="266"/>
      <c r="M4363" s="266"/>
      <c r="N4363" s="266"/>
      <c r="O4363" s="266"/>
      <c r="P4363" s="266"/>
      <c r="Q4363" s="266"/>
      <c r="BR4363" s="266"/>
      <c r="BS4363" s="266"/>
      <c r="BT4363" s="266"/>
      <c r="BU4363" s="266"/>
      <c r="BV4363" s="266"/>
    </row>
    <row r="4364" spans="12:74">
      <c r="L4364" s="266"/>
      <c r="M4364" s="266"/>
      <c r="N4364" s="266"/>
      <c r="O4364" s="266"/>
      <c r="P4364" s="266"/>
      <c r="Q4364" s="266"/>
      <c r="BR4364" s="266"/>
      <c r="BS4364" s="266"/>
      <c r="BT4364" s="266"/>
      <c r="BU4364" s="266"/>
      <c r="BV4364" s="266"/>
    </row>
    <row r="4365" spans="12:74">
      <c r="L4365" s="266"/>
      <c r="M4365" s="266"/>
      <c r="N4365" s="266"/>
      <c r="O4365" s="266"/>
      <c r="P4365" s="266"/>
      <c r="Q4365" s="266"/>
      <c r="BR4365" s="266"/>
      <c r="BS4365" s="266"/>
      <c r="BT4365" s="266"/>
      <c r="BU4365" s="266"/>
      <c r="BV4365" s="266"/>
    </row>
    <row r="4366" spans="12:74">
      <c r="L4366" s="266"/>
      <c r="M4366" s="266"/>
      <c r="N4366" s="266"/>
      <c r="O4366" s="266"/>
      <c r="P4366" s="266"/>
      <c r="Q4366" s="266"/>
      <c r="BR4366" s="266"/>
      <c r="BS4366" s="266"/>
      <c r="BT4366" s="266"/>
      <c r="BU4366" s="266"/>
      <c r="BV4366" s="266"/>
    </row>
    <row r="4367" spans="12:74">
      <c r="L4367" s="266"/>
      <c r="M4367" s="266"/>
      <c r="N4367" s="266"/>
      <c r="O4367" s="266"/>
      <c r="P4367" s="266"/>
      <c r="Q4367" s="266"/>
      <c r="BR4367" s="266"/>
      <c r="BS4367" s="266"/>
      <c r="BT4367" s="266"/>
      <c r="BU4367" s="266"/>
      <c r="BV4367" s="266"/>
    </row>
    <row r="4368" spans="12:74">
      <c r="L4368" s="266"/>
      <c r="M4368" s="266"/>
      <c r="N4368" s="266"/>
      <c r="O4368" s="266"/>
      <c r="P4368" s="266"/>
      <c r="Q4368" s="266"/>
      <c r="BR4368" s="266"/>
      <c r="BS4368" s="266"/>
      <c r="BT4368" s="266"/>
      <c r="BU4368" s="266"/>
      <c r="BV4368" s="266"/>
    </row>
    <row r="4369" spans="12:74">
      <c r="L4369" s="266"/>
      <c r="M4369" s="266"/>
      <c r="N4369" s="266"/>
      <c r="O4369" s="266"/>
      <c r="P4369" s="266"/>
      <c r="Q4369" s="266"/>
      <c r="BR4369" s="266"/>
      <c r="BS4369" s="266"/>
      <c r="BT4369" s="266"/>
      <c r="BU4369" s="266"/>
      <c r="BV4369" s="266"/>
    </row>
    <row r="4370" spans="12:74">
      <c r="L4370" s="266"/>
      <c r="M4370" s="266"/>
      <c r="N4370" s="266"/>
      <c r="O4370" s="266"/>
      <c r="P4370" s="266"/>
      <c r="Q4370" s="266"/>
      <c r="BR4370" s="266"/>
      <c r="BS4370" s="266"/>
      <c r="BT4370" s="266"/>
      <c r="BU4370" s="266"/>
      <c r="BV4370" s="266"/>
    </row>
    <row r="4371" spans="12:74">
      <c r="L4371" s="266"/>
      <c r="M4371" s="266"/>
      <c r="N4371" s="266"/>
      <c r="O4371" s="266"/>
      <c r="P4371" s="266"/>
      <c r="Q4371" s="266"/>
      <c r="BR4371" s="266"/>
      <c r="BS4371" s="266"/>
      <c r="BT4371" s="266"/>
      <c r="BU4371" s="266"/>
      <c r="BV4371" s="266"/>
    </row>
    <row r="4372" spans="12:74">
      <c r="L4372" s="266"/>
      <c r="M4372" s="266"/>
      <c r="N4372" s="266"/>
      <c r="O4372" s="266"/>
      <c r="P4372" s="266"/>
      <c r="Q4372" s="266"/>
      <c r="BR4372" s="266"/>
      <c r="BS4372" s="266"/>
      <c r="BT4372" s="266"/>
      <c r="BU4372" s="266"/>
      <c r="BV4372" s="266"/>
    </row>
    <row r="4373" spans="12:74">
      <c r="L4373" s="266"/>
      <c r="M4373" s="266"/>
      <c r="N4373" s="266"/>
      <c r="O4373" s="266"/>
      <c r="P4373" s="266"/>
      <c r="Q4373" s="266"/>
      <c r="BR4373" s="266"/>
      <c r="BS4373" s="266"/>
      <c r="BT4373" s="266"/>
      <c r="BU4373" s="266"/>
      <c r="BV4373" s="266"/>
    </row>
    <row r="4374" spans="12:74">
      <c r="L4374" s="266"/>
      <c r="M4374" s="266"/>
      <c r="N4374" s="266"/>
      <c r="O4374" s="266"/>
      <c r="P4374" s="266"/>
      <c r="Q4374" s="266"/>
      <c r="BR4374" s="266"/>
      <c r="BS4374" s="266"/>
      <c r="BT4374" s="266"/>
      <c r="BU4374" s="266"/>
      <c r="BV4374" s="266"/>
    </row>
    <row r="4375" spans="12:74">
      <c r="L4375" s="266"/>
      <c r="M4375" s="266"/>
      <c r="N4375" s="266"/>
      <c r="O4375" s="266"/>
      <c r="P4375" s="266"/>
      <c r="Q4375" s="266"/>
      <c r="BR4375" s="266"/>
      <c r="BS4375" s="266"/>
      <c r="BT4375" s="266"/>
      <c r="BU4375" s="266"/>
      <c r="BV4375" s="266"/>
    </row>
    <row r="4376" spans="12:74">
      <c r="L4376" s="266"/>
      <c r="M4376" s="266"/>
      <c r="N4376" s="266"/>
      <c r="O4376" s="266"/>
      <c r="P4376" s="266"/>
      <c r="Q4376" s="266"/>
      <c r="BR4376" s="266"/>
      <c r="BS4376" s="266"/>
      <c r="BT4376" s="266"/>
      <c r="BU4376" s="266"/>
      <c r="BV4376" s="266"/>
    </row>
    <row r="4377" spans="12:74">
      <c r="L4377" s="266"/>
      <c r="M4377" s="266"/>
      <c r="N4377" s="266"/>
      <c r="O4377" s="266"/>
      <c r="P4377" s="266"/>
      <c r="Q4377" s="266"/>
      <c r="BR4377" s="266"/>
      <c r="BS4377" s="266"/>
      <c r="BT4377" s="266"/>
      <c r="BU4377" s="266"/>
      <c r="BV4377" s="266"/>
    </row>
    <row r="4378" spans="12:74">
      <c r="L4378" s="266"/>
      <c r="M4378" s="266"/>
      <c r="N4378" s="266"/>
      <c r="O4378" s="266"/>
      <c r="P4378" s="266"/>
      <c r="Q4378" s="266"/>
      <c r="BR4378" s="266"/>
      <c r="BS4378" s="266"/>
      <c r="BT4378" s="266"/>
      <c r="BU4378" s="266"/>
      <c r="BV4378" s="266"/>
    </row>
    <row r="4379" spans="12:74">
      <c r="L4379" s="266"/>
      <c r="M4379" s="266"/>
      <c r="N4379" s="266"/>
      <c r="O4379" s="266"/>
      <c r="P4379" s="266"/>
      <c r="Q4379" s="266"/>
      <c r="BR4379" s="266"/>
      <c r="BS4379" s="266"/>
      <c r="BT4379" s="266"/>
      <c r="BU4379" s="266"/>
      <c r="BV4379" s="266"/>
    </row>
    <row r="4380" spans="12:74">
      <c r="L4380" s="266"/>
      <c r="M4380" s="266"/>
      <c r="N4380" s="266"/>
      <c r="O4380" s="266"/>
      <c r="P4380" s="266"/>
      <c r="Q4380" s="266"/>
      <c r="BR4380" s="266"/>
      <c r="BS4380" s="266"/>
      <c r="BT4380" s="266"/>
      <c r="BU4380" s="266"/>
      <c r="BV4380" s="266"/>
    </row>
    <row r="4381" spans="12:74">
      <c r="L4381" s="266"/>
      <c r="M4381" s="266"/>
      <c r="N4381" s="266"/>
      <c r="O4381" s="266"/>
      <c r="P4381" s="266"/>
      <c r="Q4381" s="266"/>
      <c r="BR4381" s="266"/>
      <c r="BS4381" s="266"/>
      <c r="BT4381" s="266"/>
      <c r="BU4381" s="266"/>
      <c r="BV4381" s="266"/>
    </row>
    <row r="4382" spans="12:74">
      <c r="L4382" s="266"/>
      <c r="M4382" s="266"/>
      <c r="N4382" s="266"/>
      <c r="O4382" s="266"/>
      <c r="P4382" s="266"/>
      <c r="Q4382" s="266"/>
      <c r="BR4382" s="266"/>
      <c r="BS4382" s="266"/>
      <c r="BT4382" s="266"/>
      <c r="BU4382" s="266"/>
      <c r="BV4382" s="266"/>
    </row>
    <row r="4383" spans="12:74">
      <c r="L4383" s="266"/>
      <c r="M4383" s="266"/>
      <c r="N4383" s="266"/>
      <c r="O4383" s="266"/>
      <c r="P4383" s="266"/>
      <c r="Q4383" s="266"/>
      <c r="BR4383" s="266"/>
      <c r="BS4383" s="266"/>
      <c r="BT4383" s="266"/>
      <c r="BU4383" s="266"/>
      <c r="BV4383" s="266"/>
    </row>
    <row r="4384" spans="12:74">
      <c r="L4384" s="266"/>
      <c r="M4384" s="266"/>
      <c r="N4384" s="266"/>
      <c r="O4384" s="266"/>
      <c r="P4384" s="266"/>
      <c r="Q4384" s="266"/>
      <c r="BR4384" s="266"/>
      <c r="BS4384" s="266"/>
      <c r="BT4384" s="266"/>
      <c r="BU4384" s="266"/>
      <c r="BV4384" s="266"/>
    </row>
    <row r="4385" spans="12:74">
      <c r="L4385" s="266"/>
      <c r="M4385" s="266"/>
      <c r="N4385" s="266"/>
      <c r="O4385" s="266"/>
      <c r="P4385" s="266"/>
      <c r="Q4385" s="266"/>
      <c r="BR4385" s="266"/>
      <c r="BS4385" s="266"/>
      <c r="BT4385" s="266"/>
      <c r="BU4385" s="266"/>
      <c r="BV4385" s="266"/>
    </row>
    <row r="4386" spans="12:74">
      <c r="L4386" s="266"/>
      <c r="M4386" s="266"/>
      <c r="N4386" s="266"/>
      <c r="O4386" s="266"/>
      <c r="P4386" s="266"/>
      <c r="Q4386" s="266"/>
      <c r="BR4386" s="266"/>
      <c r="BS4386" s="266"/>
      <c r="BT4386" s="266"/>
      <c r="BU4386" s="266"/>
      <c r="BV4386" s="266"/>
    </row>
    <row r="4387" spans="12:74">
      <c r="L4387" s="266"/>
      <c r="M4387" s="266"/>
      <c r="N4387" s="266"/>
      <c r="O4387" s="266"/>
      <c r="P4387" s="266"/>
      <c r="Q4387" s="266"/>
      <c r="BR4387" s="266"/>
      <c r="BS4387" s="266"/>
      <c r="BT4387" s="266"/>
      <c r="BU4387" s="266"/>
      <c r="BV4387" s="266"/>
    </row>
    <row r="4388" spans="12:74">
      <c r="L4388" s="266"/>
      <c r="M4388" s="266"/>
      <c r="N4388" s="266"/>
      <c r="O4388" s="266"/>
      <c r="P4388" s="266"/>
      <c r="Q4388" s="266"/>
      <c r="BR4388" s="266"/>
      <c r="BS4388" s="266"/>
      <c r="BT4388" s="266"/>
      <c r="BU4388" s="266"/>
      <c r="BV4388" s="266"/>
    </row>
    <row r="4389" spans="12:74">
      <c r="L4389" s="266"/>
      <c r="M4389" s="266"/>
      <c r="N4389" s="266"/>
      <c r="O4389" s="266"/>
      <c r="P4389" s="266"/>
      <c r="Q4389" s="266"/>
      <c r="BR4389" s="266"/>
      <c r="BS4389" s="266"/>
      <c r="BT4389" s="266"/>
      <c r="BU4389" s="266"/>
      <c r="BV4389" s="266"/>
    </row>
    <row r="4390" spans="12:74">
      <c r="L4390" s="266"/>
      <c r="M4390" s="266"/>
      <c r="N4390" s="266"/>
      <c r="O4390" s="266"/>
      <c r="P4390" s="266"/>
      <c r="Q4390" s="266"/>
      <c r="BR4390" s="266"/>
      <c r="BS4390" s="266"/>
      <c r="BT4390" s="266"/>
      <c r="BU4390" s="266"/>
      <c r="BV4390" s="266"/>
    </row>
    <row r="4391" spans="12:74">
      <c r="L4391" s="266"/>
      <c r="M4391" s="266"/>
      <c r="N4391" s="266"/>
      <c r="O4391" s="266"/>
      <c r="P4391" s="266"/>
      <c r="Q4391" s="266"/>
      <c r="BR4391" s="266"/>
      <c r="BS4391" s="266"/>
      <c r="BT4391" s="266"/>
      <c r="BU4391" s="266"/>
      <c r="BV4391" s="266"/>
    </row>
    <row r="4392" spans="12:74">
      <c r="L4392" s="266"/>
      <c r="M4392" s="266"/>
      <c r="N4392" s="266"/>
      <c r="O4392" s="266"/>
      <c r="P4392" s="266"/>
      <c r="Q4392" s="266"/>
      <c r="BR4392" s="266"/>
      <c r="BS4392" s="266"/>
      <c r="BT4392" s="266"/>
      <c r="BU4392" s="266"/>
      <c r="BV4392" s="266"/>
    </row>
    <row r="4393" spans="12:74">
      <c r="L4393" s="266"/>
      <c r="M4393" s="266"/>
      <c r="N4393" s="266"/>
      <c r="O4393" s="266"/>
      <c r="P4393" s="266"/>
      <c r="Q4393" s="266"/>
      <c r="BR4393" s="266"/>
      <c r="BS4393" s="266"/>
      <c r="BT4393" s="266"/>
      <c r="BU4393" s="266"/>
      <c r="BV4393" s="266"/>
    </row>
    <row r="4394" spans="12:74">
      <c r="L4394" s="266"/>
      <c r="M4394" s="266"/>
      <c r="N4394" s="266"/>
      <c r="O4394" s="266"/>
      <c r="P4394" s="266"/>
      <c r="Q4394" s="266"/>
      <c r="BR4394" s="266"/>
      <c r="BS4394" s="266"/>
      <c r="BT4394" s="266"/>
      <c r="BU4394" s="266"/>
      <c r="BV4394" s="266"/>
    </row>
    <row r="4395" spans="12:74">
      <c r="L4395" s="266"/>
      <c r="M4395" s="266"/>
      <c r="N4395" s="266"/>
      <c r="O4395" s="266"/>
      <c r="P4395" s="266"/>
      <c r="Q4395" s="266"/>
      <c r="BR4395" s="266"/>
      <c r="BS4395" s="266"/>
      <c r="BT4395" s="266"/>
      <c r="BU4395" s="266"/>
      <c r="BV4395" s="266"/>
    </row>
    <row r="4396" spans="12:74">
      <c r="L4396" s="266"/>
      <c r="M4396" s="266"/>
      <c r="N4396" s="266"/>
      <c r="O4396" s="266"/>
      <c r="P4396" s="266"/>
      <c r="Q4396" s="266"/>
      <c r="BR4396" s="266"/>
      <c r="BS4396" s="266"/>
      <c r="BT4396" s="266"/>
      <c r="BU4396" s="266"/>
      <c r="BV4396" s="266"/>
    </row>
    <row r="4397" spans="12:74">
      <c r="L4397" s="266"/>
      <c r="M4397" s="266"/>
      <c r="N4397" s="266"/>
      <c r="O4397" s="266"/>
      <c r="P4397" s="266"/>
      <c r="Q4397" s="266"/>
      <c r="BR4397" s="266"/>
      <c r="BS4397" s="266"/>
      <c r="BT4397" s="266"/>
      <c r="BU4397" s="266"/>
      <c r="BV4397" s="266"/>
    </row>
    <row r="4398" spans="12:74">
      <c r="L4398" s="266"/>
      <c r="M4398" s="266"/>
      <c r="N4398" s="266"/>
      <c r="O4398" s="266"/>
      <c r="P4398" s="266"/>
      <c r="Q4398" s="266"/>
      <c r="BR4398" s="266"/>
      <c r="BS4398" s="266"/>
      <c r="BT4398" s="266"/>
      <c r="BU4398" s="266"/>
      <c r="BV4398" s="266"/>
    </row>
    <row r="4399" spans="12:74">
      <c r="L4399" s="266"/>
      <c r="M4399" s="266"/>
      <c r="N4399" s="266"/>
      <c r="O4399" s="266"/>
      <c r="P4399" s="266"/>
      <c r="Q4399" s="266"/>
      <c r="BR4399" s="266"/>
      <c r="BS4399" s="266"/>
      <c r="BT4399" s="266"/>
      <c r="BU4399" s="266"/>
      <c r="BV4399" s="266"/>
    </row>
    <row r="4400" spans="12:74">
      <c r="L4400" s="266"/>
      <c r="M4400" s="266"/>
      <c r="N4400" s="266"/>
      <c r="O4400" s="266"/>
      <c r="P4400" s="266"/>
      <c r="Q4400" s="266"/>
      <c r="BR4400" s="266"/>
      <c r="BS4400" s="266"/>
      <c r="BT4400" s="266"/>
      <c r="BU4400" s="266"/>
      <c r="BV4400" s="266"/>
    </row>
    <row r="4401" spans="12:74">
      <c r="L4401" s="266"/>
      <c r="M4401" s="266"/>
      <c r="N4401" s="266"/>
      <c r="O4401" s="266"/>
      <c r="P4401" s="266"/>
      <c r="Q4401" s="266"/>
      <c r="BR4401" s="266"/>
      <c r="BS4401" s="266"/>
      <c r="BT4401" s="266"/>
      <c r="BU4401" s="266"/>
      <c r="BV4401" s="266"/>
    </row>
    <row r="4402" spans="12:74">
      <c r="L4402" s="266"/>
      <c r="M4402" s="266"/>
      <c r="N4402" s="266"/>
      <c r="O4402" s="266"/>
      <c r="P4402" s="266"/>
      <c r="Q4402" s="266"/>
      <c r="BR4402" s="266"/>
      <c r="BS4402" s="266"/>
      <c r="BT4402" s="266"/>
      <c r="BU4402" s="266"/>
      <c r="BV4402" s="266"/>
    </row>
    <row r="4403" spans="12:74">
      <c r="L4403" s="266"/>
      <c r="M4403" s="266"/>
      <c r="N4403" s="266"/>
      <c r="O4403" s="266"/>
      <c r="P4403" s="266"/>
      <c r="Q4403" s="266"/>
      <c r="BR4403" s="266"/>
      <c r="BS4403" s="266"/>
      <c r="BT4403" s="266"/>
      <c r="BU4403" s="266"/>
      <c r="BV4403" s="266"/>
    </row>
    <row r="4404" spans="12:74">
      <c r="L4404" s="266"/>
      <c r="M4404" s="266"/>
      <c r="N4404" s="266"/>
      <c r="O4404" s="266"/>
      <c r="P4404" s="266"/>
      <c r="Q4404" s="266"/>
      <c r="BR4404" s="266"/>
      <c r="BS4404" s="266"/>
      <c r="BT4404" s="266"/>
      <c r="BU4404" s="266"/>
      <c r="BV4404" s="266"/>
    </row>
    <row r="4405" spans="12:74">
      <c r="L4405" s="266"/>
      <c r="M4405" s="266"/>
      <c r="N4405" s="266"/>
      <c r="O4405" s="266"/>
      <c r="P4405" s="266"/>
      <c r="Q4405" s="266"/>
      <c r="BR4405" s="266"/>
      <c r="BS4405" s="266"/>
      <c r="BT4405" s="266"/>
      <c r="BU4405" s="266"/>
      <c r="BV4405" s="266"/>
    </row>
    <row r="4406" spans="12:74">
      <c r="L4406" s="266"/>
      <c r="M4406" s="266"/>
      <c r="N4406" s="266"/>
      <c r="O4406" s="266"/>
      <c r="P4406" s="266"/>
      <c r="Q4406" s="266"/>
      <c r="BR4406" s="266"/>
      <c r="BS4406" s="266"/>
      <c r="BT4406" s="266"/>
      <c r="BU4406" s="266"/>
      <c r="BV4406" s="266"/>
    </row>
    <row r="4407" spans="12:74">
      <c r="L4407" s="266"/>
      <c r="M4407" s="266"/>
      <c r="N4407" s="266"/>
      <c r="O4407" s="266"/>
      <c r="P4407" s="266"/>
      <c r="Q4407" s="266"/>
      <c r="BR4407" s="266"/>
      <c r="BS4407" s="266"/>
      <c r="BT4407" s="266"/>
      <c r="BU4407" s="266"/>
      <c r="BV4407" s="266"/>
    </row>
    <row r="4408" spans="12:74">
      <c r="L4408" s="266"/>
      <c r="M4408" s="266"/>
      <c r="N4408" s="266"/>
      <c r="O4408" s="266"/>
      <c r="P4408" s="266"/>
      <c r="Q4408" s="266"/>
      <c r="BR4408" s="266"/>
      <c r="BS4408" s="266"/>
      <c r="BT4408" s="266"/>
      <c r="BU4408" s="266"/>
      <c r="BV4408" s="266"/>
    </row>
    <row r="4409" spans="12:74">
      <c r="L4409" s="266"/>
      <c r="M4409" s="266"/>
      <c r="N4409" s="266"/>
      <c r="O4409" s="266"/>
      <c r="P4409" s="266"/>
      <c r="Q4409" s="266"/>
      <c r="BR4409" s="266"/>
      <c r="BS4409" s="266"/>
      <c r="BT4409" s="266"/>
      <c r="BU4409" s="266"/>
      <c r="BV4409" s="266"/>
    </row>
    <row r="4410" spans="12:74">
      <c r="L4410" s="266"/>
      <c r="M4410" s="266"/>
      <c r="N4410" s="266"/>
      <c r="O4410" s="266"/>
      <c r="P4410" s="266"/>
      <c r="Q4410" s="266"/>
      <c r="BR4410" s="266"/>
      <c r="BS4410" s="266"/>
      <c r="BT4410" s="266"/>
      <c r="BU4410" s="266"/>
      <c r="BV4410" s="266"/>
    </row>
    <row r="4411" spans="12:74">
      <c r="L4411" s="266"/>
      <c r="M4411" s="266"/>
      <c r="N4411" s="266"/>
      <c r="O4411" s="266"/>
      <c r="P4411" s="266"/>
      <c r="Q4411" s="266"/>
      <c r="BR4411" s="266"/>
      <c r="BS4411" s="266"/>
      <c r="BT4411" s="266"/>
      <c r="BU4411" s="266"/>
      <c r="BV4411" s="266"/>
    </row>
    <row r="4412" spans="12:74">
      <c r="L4412" s="266"/>
      <c r="M4412" s="266"/>
      <c r="N4412" s="266"/>
      <c r="O4412" s="266"/>
      <c r="P4412" s="266"/>
      <c r="Q4412" s="266"/>
      <c r="BR4412" s="266"/>
      <c r="BS4412" s="266"/>
      <c r="BT4412" s="266"/>
      <c r="BU4412" s="266"/>
      <c r="BV4412" s="266"/>
    </row>
    <row r="4413" spans="12:74">
      <c r="L4413" s="266"/>
      <c r="M4413" s="266"/>
      <c r="N4413" s="266"/>
      <c r="O4413" s="266"/>
      <c r="P4413" s="266"/>
      <c r="Q4413" s="266"/>
      <c r="BR4413" s="266"/>
      <c r="BS4413" s="266"/>
      <c r="BT4413" s="266"/>
      <c r="BU4413" s="266"/>
      <c r="BV4413" s="266"/>
    </row>
    <row r="4414" spans="12:74">
      <c r="L4414" s="266"/>
      <c r="M4414" s="266"/>
      <c r="N4414" s="266"/>
      <c r="O4414" s="266"/>
      <c r="P4414" s="266"/>
      <c r="Q4414" s="266"/>
      <c r="BR4414" s="266"/>
      <c r="BS4414" s="266"/>
      <c r="BT4414" s="266"/>
      <c r="BU4414" s="266"/>
      <c r="BV4414" s="266"/>
    </row>
    <row r="4415" spans="12:74">
      <c r="L4415" s="266"/>
      <c r="M4415" s="266"/>
      <c r="N4415" s="266"/>
      <c r="O4415" s="266"/>
      <c r="P4415" s="266"/>
      <c r="Q4415" s="266"/>
      <c r="BR4415" s="266"/>
      <c r="BS4415" s="266"/>
      <c r="BT4415" s="266"/>
      <c r="BU4415" s="266"/>
      <c r="BV4415" s="266"/>
    </row>
    <row r="4416" spans="12:74">
      <c r="L4416" s="266"/>
      <c r="M4416" s="266"/>
      <c r="N4416" s="266"/>
      <c r="O4416" s="266"/>
      <c r="P4416" s="266"/>
      <c r="Q4416" s="266"/>
      <c r="BR4416" s="266"/>
      <c r="BS4416" s="266"/>
      <c r="BT4416" s="266"/>
      <c r="BU4416" s="266"/>
      <c r="BV4416" s="266"/>
    </row>
    <row r="4417" spans="12:74">
      <c r="L4417" s="266"/>
      <c r="M4417" s="266"/>
      <c r="N4417" s="266"/>
      <c r="O4417" s="266"/>
      <c r="P4417" s="266"/>
      <c r="Q4417" s="266"/>
      <c r="BR4417" s="266"/>
      <c r="BS4417" s="266"/>
      <c r="BT4417" s="266"/>
      <c r="BU4417" s="266"/>
      <c r="BV4417" s="266"/>
    </row>
    <row r="4418" spans="12:74">
      <c r="L4418" s="266"/>
      <c r="M4418" s="266"/>
      <c r="N4418" s="266"/>
      <c r="O4418" s="266"/>
      <c r="P4418" s="266"/>
      <c r="Q4418" s="266"/>
      <c r="BR4418" s="266"/>
      <c r="BS4418" s="266"/>
      <c r="BT4418" s="266"/>
      <c r="BU4418" s="266"/>
      <c r="BV4418" s="266"/>
    </row>
    <row r="4419" spans="12:74">
      <c r="L4419" s="266"/>
      <c r="M4419" s="266"/>
      <c r="N4419" s="266"/>
      <c r="O4419" s="266"/>
      <c r="P4419" s="266"/>
      <c r="Q4419" s="266"/>
      <c r="BR4419" s="266"/>
      <c r="BS4419" s="266"/>
      <c r="BT4419" s="266"/>
      <c r="BU4419" s="266"/>
      <c r="BV4419" s="266"/>
    </row>
    <row r="4420" spans="12:74">
      <c r="L4420" s="266"/>
      <c r="M4420" s="266"/>
      <c r="N4420" s="266"/>
      <c r="O4420" s="266"/>
      <c r="P4420" s="266"/>
      <c r="Q4420" s="266"/>
      <c r="BR4420" s="266"/>
      <c r="BS4420" s="266"/>
      <c r="BT4420" s="266"/>
      <c r="BU4420" s="266"/>
      <c r="BV4420" s="266"/>
    </row>
    <row r="4421" spans="12:74">
      <c r="L4421" s="266"/>
      <c r="M4421" s="266"/>
      <c r="N4421" s="266"/>
      <c r="O4421" s="266"/>
      <c r="P4421" s="266"/>
      <c r="Q4421" s="266"/>
      <c r="BR4421" s="266"/>
      <c r="BS4421" s="266"/>
      <c r="BT4421" s="266"/>
      <c r="BU4421" s="266"/>
      <c r="BV4421" s="266"/>
    </row>
    <row r="4422" spans="12:74">
      <c r="L4422" s="266"/>
      <c r="M4422" s="266"/>
      <c r="N4422" s="266"/>
      <c r="O4422" s="266"/>
      <c r="P4422" s="266"/>
      <c r="Q4422" s="266"/>
      <c r="BR4422" s="266"/>
      <c r="BS4422" s="266"/>
      <c r="BT4422" s="266"/>
      <c r="BU4422" s="266"/>
      <c r="BV4422" s="266"/>
    </row>
    <row r="4423" spans="12:74">
      <c r="L4423" s="266"/>
      <c r="M4423" s="266"/>
      <c r="N4423" s="266"/>
      <c r="O4423" s="266"/>
      <c r="P4423" s="266"/>
      <c r="Q4423" s="266"/>
      <c r="BR4423" s="266"/>
      <c r="BS4423" s="266"/>
      <c r="BT4423" s="266"/>
      <c r="BU4423" s="266"/>
      <c r="BV4423" s="266"/>
    </row>
    <row r="4424" spans="12:74">
      <c r="L4424" s="266"/>
      <c r="M4424" s="266"/>
      <c r="N4424" s="266"/>
      <c r="O4424" s="266"/>
      <c r="P4424" s="266"/>
      <c r="Q4424" s="266"/>
      <c r="BR4424" s="266"/>
      <c r="BS4424" s="266"/>
      <c r="BT4424" s="266"/>
      <c r="BU4424" s="266"/>
      <c r="BV4424" s="266"/>
    </row>
    <row r="4425" spans="12:74">
      <c r="L4425" s="266"/>
      <c r="M4425" s="266"/>
      <c r="N4425" s="266"/>
      <c r="O4425" s="266"/>
      <c r="P4425" s="266"/>
      <c r="Q4425" s="266"/>
      <c r="BR4425" s="266"/>
      <c r="BS4425" s="266"/>
      <c r="BT4425" s="266"/>
      <c r="BU4425" s="266"/>
      <c r="BV4425" s="266"/>
    </row>
    <row r="4426" spans="12:74">
      <c r="L4426" s="266"/>
      <c r="M4426" s="266"/>
      <c r="N4426" s="266"/>
      <c r="O4426" s="266"/>
      <c r="P4426" s="266"/>
      <c r="Q4426" s="266"/>
      <c r="BR4426" s="266"/>
      <c r="BS4426" s="266"/>
      <c r="BT4426" s="266"/>
      <c r="BU4426" s="266"/>
      <c r="BV4426" s="266"/>
    </row>
    <row r="4427" spans="12:74">
      <c r="L4427" s="266"/>
      <c r="M4427" s="266"/>
      <c r="N4427" s="266"/>
      <c r="O4427" s="266"/>
      <c r="P4427" s="266"/>
      <c r="Q4427" s="266"/>
      <c r="BR4427" s="266"/>
      <c r="BS4427" s="266"/>
      <c r="BT4427" s="266"/>
      <c r="BU4427" s="266"/>
      <c r="BV4427" s="266"/>
    </row>
    <row r="4428" spans="12:74">
      <c r="L4428" s="266"/>
      <c r="M4428" s="266"/>
      <c r="N4428" s="266"/>
      <c r="O4428" s="266"/>
      <c r="P4428" s="266"/>
      <c r="Q4428" s="266"/>
      <c r="BR4428" s="266"/>
      <c r="BS4428" s="266"/>
      <c r="BT4428" s="266"/>
      <c r="BU4428" s="266"/>
      <c r="BV4428" s="266"/>
    </row>
    <row r="4429" spans="12:74">
      <c r="L4429" s="266"/>
      <c r="M4429" s="266"/>
      <c r="N4429" s="266"/>
      <c r="O4429" s="266"/>
      <c r="P4429" s="266"/>
      <c r="Q4429" s="266"/>
      <c r="BR4429" s="266"/>
      <c r="BS4429" s="266"/>
      <c r="BT4429" s="266"/>
      <c r="BU4429" s="266"/>
      <c r="BV4429" s="266"/>
    </row>
    <row r="4430" spans="12:74">
      <c r="L4430" s="266"/>
      <c r="M4430" s="266"/>
      <c r="N4430" s="266"/>
      <c r="O4430" s="266"/>
      <c r="P4430" s="266"/>
      <c r="Q4430" s="266"/>
      <c r="BR4430" s="266"/>
      <c r="BS4430" s="266"/>
      <c r="BT4430" s="266"/>
      <c r="BU4430" s="266"/>
      <c r="BV4430" s="266"/>
    </row>
    <row r="4431" spans="12:74">
      <c r="L4431" s="266"/>
      <c r="M4431" s="266"/>
      <c r="N4431" s="266"/>
      <c r="O4431" s="266"/>
      <c r="P4431" s="266"/>
      <c r="Q4431" s="266"/>
      <c r="BR4431" s="266"/>
      <c r="BS4431" s="266"/>
      <c r="BT4431" s="266"/>
      <c r="BU4431" s="266"/>
      <c r="BV4431" s="266"/>
    </row>
    <row r="4432" spans="12:74">
      <c r="L4432" s="266"/>
      <c r="M4432" s="266"/>
      <c r="N4432" s="266"/>
      <c r="O4432" s="266"/>
      <c r="P4432" s="266"/>
      <c r="Q4432" s="266"/>
      <c r="BR4432" s="266"/>
      <c r="BS4432" s="266"/>
      <c r="BT4432" s="266"/>
      <c r="BU4432" s="266"/>
      <c r="BV4432" s="266"/>
    </row>
    <row r="4433" spans="12:74">
      <c r="L4433" s="266"/>
      <c r="M4433" s="266"/>
      <c r="N4433" s="266"/>
      <c r="O4433" s="266"/>
      <c r="P4433" s="266"/>
      <c r="Q4433" s="266"/>
      <c r="BR4433" s="266"/>
      <c r="BS4433" s="266"/>
      <c r="BT4433" s="266"/>
      <c r="BU4433" s="266"/>
      <c r="BV4433" s="266"/>
    </row>
    <row r="4434" spans="12:74">
      <c r="L4434" s="266"/>
      <c r="M4434" s="266"/>
      <c r="N4434" s="266"/>
      <c r="O4434" s="266"/>
      <c r="P4434" s="266"/>
      <c r="Q4434" s="266"/>
      <c r="BR4434" s="266"/>
      <c r="BS4434" s="266"/>
      <c r="BT4434" s="266"/>
      <c r="BU4434" s="266"/>
      <c r="BV4434" s="266"/>
    </row>
    <row r="4435" spans="12:74">
      <c r="L4435" s="266"/>
      <c r="M4435" s="266"/>
      <c r="N4435" s="266"/>
      <c r="O4435" s="266"/>
      <c r="P4435" s="266"/>
      <c r="Q4435" s="266"/>
      <c r="BR4435" s="266"/>
      <c r="BS4435" s="266"/>
      <c r="BT4435" s="266"/>
      <c r="BU4435" s="266"/>
      <c r="BV4435" s="266"/>
    </row>
    <row r="4436" spans="12:74">
      <c r="L4436" s="266"/>
      <c r="M4436" s="266"/>
      <c r="N4436" s="266"/>
      <c r="O4436" s="266"/>
      <c r="P4436" s="266"/>
      <c r="Q4436" s="266"/>
      <c r="BR4436" s="266"/>
      <c r="BS4436" s="266"/>
      <c r="BT4436" s="266"/>
      <c r="BU4436" s="266"/>
      <c r="BV4436" s="266"/>
    </row>
    <row r="4437" spans="12:74">
      <c r="L4437" s="266"/>
      <c r="M4437" s="266"/>
      <c r="N4437" s="266"/>
      <c r="O4437" s="266"/>
      <c r="P4437" s="266"/>
      <c r="Q4437" s="266"/>
      <c r="BR4437" s="266"/>
      <c r="BS4437" s="266"/>
      <c r="BT4437" s="266"/>
      <c r="BU4437" s="266"/>
      <c r="BV4437" s="266"/>
    </row>
    <row r="4438" spans="12:74">
      <c r="L4438" s="266"/>
      <c r="M4438" s="266"/>
      <c r="N4438" s="266"/>
      <c r="O4438" s="266"/>
      <c r="P4438" s="266"/>
      <c r="Q4438" s="266"/>
      <c r="BR4438" s="266"/>
      <c r="BS4438" s="266"/>
      <c r="BT4438" s="266"/>
      <c r="BU4438" s="266"/>
      <c r="BV4438" s="266"/>
    </row>
    <row r="4439" spans="12:74">
      <c r="L4439" s="266"/>
      <c r="M4439" s="266"/>
      <c r="N4439" s="266"/>
      <c r="O4439" s="266"/>
      <c r="P4439" s="266"/>
      <c r="Q4439" s="266"/>
      <c r="BR4439" s="266"/>
      <c r="BS4439" s="266"/>
      <c r="BT4439" s="266"/>
      <c r="BU4439" s="266"/>
      <c r="BV4439" s="266"/>
    </row>
    <row r="4440" spans="12:74">
      <c r="L4440" s="266"/>
      <c r="M4440" s="266"/>
      <c r="N4440" s="266"/>
      <c r="O4440" s="266"/>
      <c r="P4440" s="266"/>
      <c r="Q4440" s="266"/>
      <c r="BR4440" s="266"/>
      <c r="BS4440" s="266"/>
      <c r="BT4440" s="266"/>
      <c r="BU4440" s="266"/>
      <c r="BV4440" s="266"/>
    </row>
    <row r="4441" spans="12:74">
      <c r="L4441" s="266"/>
      <c r="M4441" s="266"/>
      <c r="N4441" s="266"/>
      <c r="O4441" s="266"/>
      <c r="P4441" s="266"/>
      <c r="Q4441" s="266"/>
      <c r="BR4441" s="266"/>
      <c r="BS4441" s="266"/>
      <c r="BT4441" s="266"/>
      <c r="BU4441" s="266"/>
      <c r="BV4441" s="266"/>
    </row>
    <row r="4442" spans="12:74">
      <c r="L4442" s="266"/>
      <c r="M4442" s="266"/>
      <c r="N4442" s="266"/>
      <c r="O4442" s="266"/>
      <c r="P4442" s="266"/>
      <c r="Q4442" s="266"/>
      <c r="BR4442" s="266"/>
      <c r="BS4442" s="266"/>
      <c r="BT4442" s="266"/>
      <c r="BU4442" s="266"/>
      <c r="BV4442" s="266"/>
    </row>
    <row r="4443" spans="12:74">
      <c r="L4443" s="266"/>
      <c r="M4443" s="266"/>
      <c r="N4443" s="266"/>
      <c r="O4443" s="266"/>
      <c r="P4443" s="266"/>
      <c r="Q4443" s="266"/>
      <c r="BR4443" s="266"/>
      <c r="BS4443" s="266"/>
      <c r="BT4443" s="266"/>
      <c r="BU4443" s="266"/>
      <c r="BV4443" s="266"/>
    </row>
    <row r="4444" spans="12:74">
      <c r="L4444" s="266"/>
      <c r="M4444" s="266"/>
      <c r="N4444" s="266"/>
      <c r="O4444" s="266"/>
      <c r="P4444" s="266"/>
      <c r="Q4444" s="266"/>
      <c r="BR4444" s="266"/>
      <c r="BS4444" s="266"/>
      <c r="BT4444" s="266"/>
      <c r="BU4444" s="266"/>
      <c r="BV4444" s="266"/>
    </row>
    <row r="4445" spans="12:74">
      <c r="L4445" s="266"/>
      <c r="M4445" s="266"/>
      <c r="N4445" s="266"/>
      <c r="O4445" s="266"/>
      <c r="P4445" s="266"/>
      <c r="Q4445" s="266"/>
      <c r="BR4445" s="266"/>
      <c r="BS4445" s="266"/>
      <c r="BT4445" s="266"/>
      <c r="BU4445" s="266"/>
      <c r="BV4445" s="266"/>
    </row>
    <row r="4446" spans="12:74">
      <c r="L4446" s="266"/>
      <c r="M4446" s="266"/>
      <c r="N4446" s="266"/>
      <c r="O4446" s="266"/>
      <c r="P4446" s="266"/>
      <c r="Q4446" s="266"/>
      <c r="BR4446" s="266"/>
      <c r="BS4446" s="266"/>
      <c r="BT4446" s="266"/>
      <c r="BU4446" s="266"/>
      <c r="BV4446" s="266"/>
    </row>
    <row r="4447" spans="12:74">
      <c r="L4447" s="266"/>
      <c r="M4447" s="266"/>
      <c r="N4447" s="266"/>
      <c r="O4447" s="266"/>
      <c r="P4447" s="266"/>
      <c r="Q4447" s="266"/>
      <c r="BR4447" s="266"/>
      <c r="BS4447" s="266"/>
      <c r="BT4447" s="266"/>
      <c r="BU4447" s="266"/>
      <c r="BV4447" s="266"/>
    </row>
    <row r="4448" spans="12:74">
      <c r="L4448" s="266"/>
      <c r="M4448" s="266"/>
      <c r="N4448" s="266"/>
      <c r="O4448" s="266"/>
      <c r="P4448" s="266"/>
      <c r="Q4448" s="266"/>
      <c r="BR4448" s="266"/>
      <c r="BS4448" s="266"/>
      <c r="BT4448" s="266"/>
      <c r="BU4448" s="266"/>
      <c r="BV4448" s="266"/>
    </row>
    <row r="4449" spans="12:74">
      <c r="L4449" s="266"/>
      <c r="M4449" s="266"/>
      <c r="N4449" s="266"/>
      <c r="O4449" s="266"/>
      <c r="P4449" s="266"/>
      <c r="Q4449" s="266"/>
      <c r="BR4449" s="266"/>
      <c r="BS4449" s="266"/>
      <c r="BT4449" s="266"/>
      <c r="BU4449" s="266"/>
      <c r="BV4449" s="266"/>
    </row>
    <row r="4450" spans="12:74">
      <c r="L4450" s="266"/>
      <c r="M4450" s="266"/>
      <c r="N4450" s="266"/>
      <c r="O4450" s="266"/>
      <c r="P4450" s="266"/>
      <c r="Q4450" s="266"/>
      <c r="BR4450" s="266"/>
      <c r="BS4450" s="266"/>
      <c r="BT4450" s="266"/>
      <c r="BU4450" s="266"/>
      <c r="BV4450" s="266"/>
    </row>
    <row r="4451" spans="12:74">
      <c r="L4451" s="266"/>
      <c r="M4451" s="266"/>
      <c r="N4451" s="266"/>
      <c r="O4451" s="266"/>
      <c r="P4451" s="266"/>
      <c r="Q4451" s="266"/>
      <c r="BR4451" s="266"/>
      <c r="BS4451" s="266"/>
      <c r="BT4451" s="266"/>
      <c r="BU4451" s="266"/>
      <c r="BV4451" s="266"/>
    </row>
    <row r="4452" spans="12:74">
      <c r="L4452" s="266"/>
      <c r="M4452" s="266"/>
      <c r="N4452" s="266"/>
      <c r="O4452" s="266"/>
      <c r="P4452" s="266"/>
      <c r="Q4452" s="266"/>
      <c r="BR4452" s="266"/>
      <c r="BS4452" s="266"/>
      <c r="BT4452" s="266"/>
      <c r="BU4452" s="266"/>
      <c r="BV4452" s="266"/>
    </row>
    <row r="4453" spans="12:74">
      <c r="L4453" s="266"/>
      <c r="M4453" s="266"/>
      <c r="N4453" s="266"/>
      <c r="O4453" s="266"/>
      <c r="P4453" s="266"/>
      <c r="Q4453" s="266"/>
      <c r="BR4453" s="266"/>
      <c r="BS4453" s="266"/>
      <c r="BT4453" s="266"/>
      <c r="BU4453" s="266"/>
      <c r="BV4453" s="266"/>
    </row>
    <row r="4454" spans="12:74">
      <c r="L4454" s="266"/>
      <c r="M4454" s="266"/>
      <c r="N4454" s="266"/>
      <c r="O4454" s="266"/>
      <c r="P4454" s="266"/>
      <c r="Q4454" s="266"/>
      <c r="BR4454" s="266"/>
      <c r="BS4454" s="266"/>
      <c r="BT4454" s="266"/>
      <c r="BU4454" s="266"/>
      <c r="BV4454" s="266"/>
    </row>
    <row r="4455" spans="12:74">
      <c r="L4455" s="266"/>
      <c r="M4455" s="266"/>
      <c r="N4455" s="266"/>
      <c r="O4455" s="266"/>
      <c r="P4455" s="266"/>
      <c r="Q4455" s="266"/>
      <c r="BR4455" s="266"/>
      <c r="BS4455" s="266"/>
      <c r="BT4455" s="266"/>
      <c r="BU4455" s="266"/>
      <c r="BV4455" s="266"/>
    </row>
    <row r="4456" spans="12:74">
      <c r="L4456" s="266"/>
      <c r="M4456" s="266"/>
      <c r="N4456" s="266"/>
      <c r="O4456" s="266"/>
      <c r="P4456" s="266"/>
      <c r="Q4456" s="266"/>
      <c r="BR4456" s="266"/>
      <c r="BS4456" s="266"/>
      <c r="BT4456" s="266"/>
      <c r="BU4456" s="266"/>
      <c r="BV4456" s="266"/>
    </row>
    <row r="4457" spans="12:74">
      <c r="L4457" s="266"/>
      <c r="M4457" s="266"/>
      <c r="N4457" s="266"/>
      <c r="O4457" s="266"/>
      <c r="P4457" s="266"/>
      <c r="Q4457" s="266"/>
      <c r="BR4457" s="266"/>
      <c r="BS4457" s="266"/>
      <c r="BT4457" s="266"/>
      <c r="BU4457" s="266"/>
      <c r="BV4457" s="266"/>
    </row>
    <row r="4458" spans="12:74">
      <c r="L4458" s="266"/>
      <c r="M4458" s="266"/>
      <c r="N4458" s="266"/>
      <c r="O4458" s="266"/>
      <c r="P4458" s="266"/>
      <c r="Q4458" s="266"/>
      <c r="BR4458" s="266"/>
      <c r="BS4458" s="266"/>
      <c r="BT4458" s="266"/>
      <c r="BU4458" s="266"/>
      <c r="BV4458" s="266"/>
    </row>
    <row r="4459" spans="12:74">
      <c r="L4459" s="266"/>
      <c r="M4459" s="266"/>
      <c r="N4459" s="266"/>
      <c r="O4459" s="266"/>
      <c r="P4459" s="266"/>
      <c r="Q4459" s="266"/>
      <c r="BR4459" s="266"/>
      <c r="BS4459" s="266"/>
      <c r="BT4459" s="266"/>
      <c r="BU4459" s="266"/>
      <c r="BV4459" s="266"/>
    </row>
    <row r="4460" spans="12:74">
      <c r="L4460" s="266"/>
      <c r="M4460" s="266"/>
      <c r="N4460" s="266"/>
      <c r="O4460" s="266"/>
      <c r="P4460" s="266"/>
      <c r="Q4460" s="266"/>
      <c r="BR4460" s="266"/>
      <c r="BS4460" s="266"/>
      <c r="BT4460" s="266"/>
      <c r="BU4460" s="266"/>
      <c r="BV4460" s="266"/>
    </row>
    <row r="4461" spans="12:74">
      <c r="L4461" s="266"/>
      <c r="M4461" s="266"/>
      <c r="N4461" s="266"/>
      <c r="O4461" s="266"/>
      <c r="P4461" s="266"/>
      <c r="Q4461" s="266"/>
      <c r="BR4461" s="266"/>
      <c r="BS4461" s="266"/>
      <c r="BT4461" s="266"/>
      <c r="BU4461" s="266"/>
      <c r="BV4461" s="266"/>
    </row>
    <row r="4462" spans="12:74">
      <c r="L4462" s="266"/>
      <c r="M4462" s="266"/>
      <c r="N4462" s="266"/>
      <c r="O4462" s="266"/>
      <c r="P4462" s="266"/>
      <c r="Q4462" s="266"/>
      <c r="BR4462" s="266"/>
      <c r="BS4462" s="266"/>
      <c r="BT4462" s="266"/>
      <c r="BU4462" s="266"/>
      <c r="BV4462" s="266"/>
    </row>
    <row r="4463" spans="12:74">
      <c r="L4463" s="266"/>
      <c r="M4463" s="266"/>
      <c r="N4463" s="266"/>
      <c r="O4463" s="266"/>
      <c r="P4463" s="266"/>
      <c r="Q4463" s="266"/>
      <c r="BR4463" s="266"/>
      <c r="BS4463" s="266"/>
      <c r="BT4463" s="266"/>
      <c r="BU4463" s="266"/>
      <c r="BV4463" s="266"/>
    </row>
    <row r="4464" spans="12:74">
      <c r="L4464" s="266"/>
      <c r="M4464" s="266"/>
      <c r="N4464" s="266"/>
      <c r="O4464" s="266"/>
      <c r="P4464" s="266"/>
      <c r="Q4464" s="266"/>
      <c r="BR4464" s="266"/>
      <c r="BS4464" s="266"/>
      <c r="BT4464" s="266"/>
      <c r="BU4464" s="266"/>
      <c r="BV4464" s="266"/>
    </row>
    <row r="4465" spans="12:74">
      <c r="L4465" s="266"/>
      <c r="M4465" s="266"/>
      <c r="N4465" s="266"/>
      <c r="O4465" s="266"/>
      <c r="P4465" s="266"/>
      <c r="Q4465" s="266"/>
      <c r="BR4465" s="266"/>
      <c r="BS4465" s="266"/>
      <c r="BT4465" s="266"/>
      <c r="BU4465" s="266"/>
      <c r="BV4465" s="266"/>
    </row>
    <row r="4466" spans="12:74">
      <c r="L4466" s="266"/>
      <c r="M4466" s="266"/>
      <c r="N4466" s="266"/>
      <c r="O4466" s="266"/>
      <c r="P4466" s="266"/>
      <c r="Q4466" s="266"/>
      <c r="BR4466" s="266"/>
      <c r="BS4466" s="266"/>
      <c r="BT4466" s="266"/>
      <c r="BU4466" s="266"/>
      <c r="BV4466" s="266"/>
    </row>
    <row r="4467" spans="12:74">
      <c r="L4467" s="266"/>
      <c r="M4467" s="266"/>
      <c r="N4467" s="266"/>
      <c r="O4467" s="266"/>
      <c r="P4467" s="266"/>
      <c r="Q4467" s="266"/>
      <c r="BR4467" s="266"/>
      <c r="BS4467" s="266"/>
      <c r="BT4467" s="266"/>
      <c r="BU4467" s="266"/>
      <c r="BV4467" s="266"/>
    </row>
    <row r="4468" spans="12:74">
      <c r="L4468" s="266"/>
      <c r="M4468" s="266"/>
      <c r="N4468" s="266"/>
      <c r="O4468" s="266"/>
      <c r="P4468" s="266"/>
      <c r="Q4468" s="266"/>
      <c r="BR4468" s="266"/>
      <c r="BS4468" s="266"/>
      <c r="BT4468" s="266"/>
      <c r="BU4468" s="266"/>
      <c r="BV4468" s="266"/>
    </row>
    <row r="4469" spans="12:74">
      <c r="L4469" s="266"/>
      <c r="M4469" s="266"/>
      <c r="N4469" s="266"/>
      <c r="O4469" s="266"/>
      <c r="P4469" s="266"/>
      <c r="Q4469" s="266"/>
      <c r="BR4469" s="266"/>
      <c r="BS4469" s="266"/>
      <c r="BT4469" s="266"/>
      <c r="BU4469" s="266"/>
      <c r="BV4469" s="266"/>
    </row>
    <row r="4470" spans="12:74">
      <c r="L4470" s="266"/>
      <c r="M4470" s="266"/>
      <c r="N4470" s="266"/>
      <c r="O4470" s="266"/>
      <c r="P4470" s="266"/>
      <c r="Q4470" s="266"/>
      <c r="BR4470" s="266"/>
      <c r="BS4470" s="266"/>
      <c r="BT4470" s="266"/>
      <c r="BU4470" s="266"/>
      <c r="BV4470" s="266"/>
    </row>
    <row r="4471" spans="12:74">
      <c r="L4471" s="266"/>
      <c r="M4471" s="266"/>
      <c r="N4471" s="266"/>
      <c r="O4471" s="266"/>
      <c r="P4471" s="266"/>
      <c r="Q4471" s="266"/>
      <c r="BR4471" s="266"/>
      <c r="BS4471" s="266"/>
      <c r="BT4471" s="266"/>
      <c r="BU4471" s="266"/>
      <c r="BV4471" s="266"/>
    </row>
    <row r="4472" spans="12:74">
      <c r="L4472" s="266"/>
      <c r="M4472" s="266"/>
      <c r="N4472" s="266"/>
      <c r="O4472" s="266"/>
      <c r="P4472" s="266"/>
      <c r="Q4472" s="266"/>
      <c r="BR4472" s="266"/>
      <c r="BS4472" s="266"/>
      <c r="BT4472" s="266"/>
      <c r="BU4472" s="266"/>
      <c r="BV4472" s="266"/>
    </row>
    <row r="4473" spans="12:74">
      <c r="L4473" s="266"/>
      <c r="M4473" s="266"/>
      <c r="N4473" s="266"/>
      <c r="O4473" s="266"/>
      <c r="P4473" s="266"/>
      <c r="Q4473" s="266"/>
      <c r="BR4473" s="266"/>
      <c r="BS4473" s="266"/>
      <c r="BT4473" s="266"/>
      <c r="BU4473" s="266"/>
      <c r="BV4473" s="266"/>
    </row>
    <row r="4474" spans="12:74">
      <c r="L4474" s="266"/>
      <c r="M4474" s="266"/>
      <c r="N4474" s="266"/>
      <c r="O4474" s="266"/>
      <c r="P4474" s="266"/>
      <c r="Q4474" s="266"/>
      <c r="BR4474" s="266"/>
      <c r="BS4474" s="266"/>
      <c r="BT4474" s="266"/>
      <c r="BU4474" s="266"/>
      <c r="BV4474" s="266"/>
    </row>
    <row r="4475" spans="12:74">
      <c r="L4475" s="266"/>
      <c r="M4475" s="266"/>
      <c r="N4475" s="266"/>
      <c r="O4475" s="266"/>
      <c r="P4475" s="266"/>
      <c r="Q4475" s="266"/>
      <c r="BR4475" s="266"/>
      <c r="BS4475" s="266"/>
      <c r="BT4475" s="266"/>
      <c r="BU4475" s="266"/>
      <c r="BV4475" s="266"/>
    </row>
    <row r="4476" spans="12:74">
      <c r="L4476" s="266"/>
      <c r="M4476" s="266"/>
      <c r="N4476" s="266"/>
      <c r="O4476" s="266"/>
      <c r="P4476" s="266"/>
      <c r="Q4476" s="266"/>
      <c r="BR4476" s="266"/>
      <c r="BS4476" s="266"/>
      <c r="BT4476" s="266"/>
      <c r="BU4476" s="266"/>
      <c r="BV4476" s="266"/>
    </row>
    <row r="4477" spans="12:74">
      <c r="L4477" s="266"/>
      <c r="M4477" s="266"/>
      <c r="N4477" s="266"/>
      <c r="O4477" s="266"/>
      <c r="P4477" s="266"/>
      <c r="Q4477" s="266"/>
      <c r="BR4477" s="266"/>
      <c r="BS4477" s="266"/>
      <c r="BT4477" s="266"/>
      <c r="BU4477" s="266"/>
      <c r="BV4477" s="266"/>
    </row>
    <row r="4478" spans="12:74">
      <c r="L4478" s="266"/>
      <c r="M4478" s="266"/>
      <c r="N4478" s="266"/>
      <c r="O4478" s="266"/>
      <c r="P4478" s="266"/>
      <c r="Q4478" s="266"/>
      <c r="BR4478" s="266"/>
      <c r="BS4478" s="266"/>
      <c r="BT4478" s="266"/>
      <c r="BU4478" s="266"/>
      <c r="BV4478" s="266"/>
    </row>
    <row r="4479" spans="12:74">
      <c r="L4479" s="266"/>
      <c r="M4479" s="266"/>
      <c r="N4479" s="266"/>
      <c r="O4479" s="266"/>
      <c r="P4479" s="266"/>
      <c r="Q4479" s="266"/>
      <c r="BR4479" s="266"/>
      <c r="BS4479" s="266"/>
      <c r="BT4479" s="266"/>
      <c r="BU4479" s="266"/>
      <c r="BV4479" s="266"/>
    </row>
    <row r="4480" spans="12:74">
      <c r="L4480" s="266"/>
      <c r="M4480" s="266"/>
      <c r="N4480" s="266"/>
      <c r="O4480" s="266"/>
      <c r="P4480" s="266"/>
      <c r="Q4480" s="266"/>
      <c r="BR4480" s="266"/>
      <c r="BS4480" s="266"/>
      <c r="BT4480" s="266"/>
      <c r="BU4480" s="266"/>
      <c r="BV4480" s="266"/>
    </row>
    <row r="4481" spans="12:74">
      <c r="L4481" s="266"/>
      <c r="M4481" s="266"/>
      <c r="N4481" s="266"/>
      <c r="O4481" s="266"/>
      <c r="P4481" s="266"/>
      <c r="Q4481" s="266"/>
      <c r="BR4481" s="266"/>
      <c r="BS4481" s="266"/>
      <c r="BT4481" s="266"/>
      <c r="BU4481" s="266"/>
      <c r="BV4481" s="266"/>
    </row>
    <row r="4482" spans="12:74">
      <c r="L4482" s="266"/>
      <c r="M4482" s="266"/>
      <c r="N4482" s="266"/>
      <c r="O4482" s="266"/>
      <c r="P4482" s="266"/>
      <c r="Q4482" s="266"/>
      <c r="BR4482" s="266"/>
      <c r="BS4482" s="266"/>
      <c r="BT4482" s="266"/>
      <c r="BU4482" s="266"/>
      <c r="BV4482" s="266"/>
    </row>
    <row r="4483" spans="12:74">
      <c r="L4483" s="266"/>
      <c r="M4483" s="266"/>
      <c r="N4483" s="266"/>
      <c r="O4483" s="266"/>
      <c r="P4483" s="266"/>
      <c r="Q4483" s="266"/>
      <c r="BR4483" s="266"/>
      <c r="BS4483" s="266"/>
      <c r="BT4483" s="266"/>
      <c r="BU4483" s="266"/>
      <c r="BV4483" s="266"/>
    </row>
    <row r="4484" spans="12:74">
      <c r="L4484" s="266"/>
      <c r="M4484" s="266"/>
      <c r="N4484" s="266"/>
      <c r="O4484" s="266"/>
      <c r="P4484" s="266"/>
      <c r="Q4484" s="266"/>
      <c r="BR4484" s="266"/>
      <c r="BS4484" s="266"/>
      <c r="BT4484" s="266"/>
      <c r="BU4484" s="266"/>
      <c r="BV4484" s="266"/>
    </row>
    <row r="4485" spans="12:74">
      <c r="L4485" s="266"/>
      <c r="M4485" s="266"/>
      <c r="N4485" s="266"/>
      <c r="O4485" s="266"/>
      <c r="P4485" s="266"/>
      <c r="Q4485" s="266"/>
      <c r="BR4485" s="266"/>
      <c r="BS4485" s="266"/>
      <c r="BT4485" s="266"/>
      <c r="BU4485" s="266"/>
      <c r="BV4485" s="266"/>
    </row>
    <row r="4486" spans="12:74">
      <c r="L4486" s="266"/>
      <c r="M4486" s="266"/>
      <c r="N4486" s="266"/>
      <c r="O4486" s="266"/>
      <c r="P4486" s="266"/>
      <c r="Q4486" s="266"/>
      <c r="BR4486" s="266"/>
      <c r="BS4486" s="266"/>
      <c r="BT4486" s="266"/>
      <c r="BU4486" s="266"/>
      <c r="BV4486" s="266"/>
    </row>
    <row r="4487" spans="12:74">
      <c r="L4487" s="266"/>
      <c r="M4487" s="266"/>
      <c r="N4487" s="266"/>
      <c r="O4487" s="266"/>
      <c r="P4487" s="266"/>
      <c r="Q4487" s="266"/>
      <c r="BR4487" s="266"/>
      <c r="BS4487" s="266"/>
      <c r="BT4487" s="266"/>
      <c r="BU4487" s="266"/>
      <c r="BV4487" s="266"/>
    </row>
    <row r="4488" spans="12:74">
      <c r="L4488" s="266"/>
      <c r="M4488" s="266"/>
      <c r="N4488" s="266"/>
      <c r="O4488" s="266"/>
      <c r="P4488" s="266"/>
      <c r="Q4488" s="266"/>
      <c r="BR4488" s="266"/>
      <c r="BS4488" s="266"/>
      <c r="BT4488" s="266"/>
      <c r="BU4488" s="266"/>
      <c r="BV4488" s="266"/>
    </row>
    <row r="4489" spans="12:74">
      <c r="L4489" s="266"/>
      <c r="M4489" s="266"/>
      <c r="N4489" s="266"/>
      <c r="O4489" s="266"/>
      <c r="P4489" s="266"/>
      <c r="Q4489" s="266"/>
      <c r="BR4489" s="266"/>
      <c r="BS4489" s="266"/>
      <c r="BT4489" s="266"/>
      <c r="BU4489" s="266"/>
      <c r="BV4489" s="266"/>
    </row>
    <row r="4490" spans="12:74">
      <c r="L4490" s="266"/>
      <c r="M4490" s="266"/>
      <c r="N4490" s="266"/>
      <c r="O4490" s="266"/>
      <c r="P4490" s="266"/>
      <c r="Q4490" s="266"/>
      <c r="BR4490" s="266"/>
      <c r="BS4490" s="266"/>
      <c r="BT4490" s="266"/>
      <c r="BU4490" s="266"/>
      <c r="BV4490" s="266"/>
    </row>
    <row r="4491" spans="12:74">
      <c r="L4491" s="266"/>
      <c r="M4491" s="266"/>
      <c r="N4491" s="266"/>
      <c r="O4491" s="266"/>
      <c r="P4491" s="266"/>
      <c r="Q4491" s="266"/>
      <c r="BR4491" s="266"/>
      <c r="BS4491" s="266"/>
      <c r="BT4491" s="266"/>
      <c r="BU4491" s="266"/>
      <c r="BV4491" s="266"/>
    </row>
    <row r="4492" spans="12:74">
      <c r="L4492" s="266"/>
      <c r="M4492" s="266"/>
      <c r="N4492" s="266"/>
      <c r="O4492" s="266"/>
      <c r="P4492" s="266"/>
      <c r="Q4492" s="266"/>
      <c r="BR4492" s="266"/>
      <c r="BS4492" s="266"/>
      <c r="BT4492" s="266"/>
      <c r="BU4492" s="266"/>
      <c r="BV4492" s="266"/>
    </row>
    <row r="4493" spans="12:74">
      <c r="L4493" s="266"/>
      <c r="M4493" s="266"/>
      <c r="N4493" s="266"/>
      <c r="O4493" s="266"/>
      <c r="P4493" s="266"/>
      <c r="Q4493" s="266"/>
      <c r="BR4493" s="266"/>
      <c r="BS4493" s="266"/>
      <c r="BT4493" s="266"/>
      <c r="BU4493" s="266"/>
      <c r="BV4493" s="266"/>
    </row>
    <row r="4494" spans="12:74">
      <c r="L4494" s="266"/>
      <c r="M4494" s="266"/>
      <c r="N4494" s="266"/>
      <c r="O4494" s="266"/>
      <c r="P4494" s="266"/>
      <c r="Q4494" s="266"/>
      <c r="BR4494" s="266"/>
      <c r="BS4494" s="266"/>
      <c r="BT4494" s="266"/>
      <c r="BU4494" s="266"/>
      <c r="BV4494" s="266"/>
    </row>
    <row r="4495" spans="12:74">
      <c r="L4495" s="266"/>
      <c r="M4495" s="266"/>
      <c r="N4495" s="266"/>
      <c r="O4495" s="266"/>
      <c r="P4495" s="266"/>
      <c r="Q4495" s="266"/>
      <c r="BR4495" s="266"/>
      <c r="BS4495" s="266"/>
      <c r="BT4495" s="266"/>
      <c r="BU4495" s="266"/>
      <c r="BV4495" s="266"/>
    </row>
    <row r="4496" spans="12:74">
      <c r="L4496" s="266"/>
      <c r="M4496" s="266"/>
      <c r="N4496" s="266"/>
      <c r="O4496" s="266"/>
      <c r="P4496" s="266"/>
      <c r="Q4496" s="266"/>
      <c r="BR4496" s="266"/>
      <c r="BS4496" s="266"/>
      <c r="BT4496" s="266"/>
      <c r="BU4496" s="266"/>
      <c r="BV4496" s="266"/>
    </row>
    <row r="4497" spans="12:74">
      <c r="L4497" s="266"/>
      <c r="M4497" s="266"/>
      <c r="N4497" s="266"/>
      <c r="O4497" s="266"/>
      <c r="P4497" s="266"/>
      <c r="Q4497" s="266"/>
      <c r="BR4497" s="266"/>
      <c r="BS4497" s="266"/>
      <c r="BT4497" s="266"/>
      <c r="BU4497" s="266"/>
      <c r="BV4497" s="266"/>
    </row>
    <row r="4498" spans="12:74">
      <c r="L4498" s="266"/>
      <c r="M4498" s="266"/>
      <c r="N4498" s="266"/>
      <c r="O4498" s="266"/>
      <c r="P4498" s="266"/>
      <c r="Q4498" s="266"/>
      <c r="BR4498" s="266"/>
      <c r="BS4498" s="266"/>
      <c r="BT4498" s="266"/>
      <c r="BU4498" s="266"/>
      <c r="BV4498" s="266"/>
    </row>
    <row r="4499" spans="12:74">
      <c r="L4499" s="266"/>
      <c r="M4499" s="266"/>
      <c r="N4499" s="266"/>
      <c r="O4499" s="266"/>
      <c r="P4499" s="266"/>
      <c r="Q4499" s="266"/>
      <c r="BR4499" s="266"/>
      <c r="BS4499" s="266"/>
      <c r="BT4499" s="266"/>
      <c r="BU4499" s="266"/>
      <c r="BV4499" s="266"/>
    </row>
    <row r="4500" spans="12:74">
      <c r="L4500" s="266"/>
      <c r="M4500" s="266"/>
      <c r="N4500" s="266"/>
      <c r="O4500" s="266"/>
      <c r="P4500" s="266"/>
      <c r="Q4500" s="266"/>
      <c r="BR4500" s="266"/>
      <c r="BS4500" s="266"/>
      <c r="BT4500" s="266"/>
      <c r="BU4500" s="266"/>
      <c r="BV4500" s="266"/>
    </row>
    <row r="4501" spans="12:74">
      <c r="L4501" s="266"/>
      <c r="M4501" s="266"/>
      <c r="N4501" s="266"/>
      <c r="O4501" s="266"/>
      <c r="P4501" s="266"/>
      <c r="Q4501" s="266"/>
      <c r="BR4501" s="266"/>
      <c r="BS4501" s="266"/>
      <c r="BT4501" s="266"/>
      <c r="BU4501" s="266"/>
      <c r="BV4501" s="266"/>
    </row>
    <row r="4502" spans="12:74">
      <c r="L4502" s="266"/>
      <c r="M4502" s="266"/>
      <c r="N4502" s="266"/>
      <c r="O4502" s="266"/>
      <c r="P4502" s="266"/>
      <c r="Q4502" s="266"/>
      <c r="BR4502" s="266"/>
      <c r="BS4502" s="266"/>
      <c r="BT4502" s="266"/>
      <c r="BU4502" s="266"/>
      <c r="BV4502" s="266"/>
    </row>
    <row r="4503" spans="12:74">
      <c r="L4503" s="266"/>
      <c r="M4503" s="266"/>
      <c r="N4503" s="266"/>
      <c r="O4503" s="266"/>
      <c r="P4503" s="266"/>
      <c r="Q4503" s="266"/>
      <c r="BR4503" s="266"/>
      <c r="BS4503" s="266"/>
      <c r="BT4503" s="266"/>
      <c r="BU4503" s="266"/>
      <c r="BV4503" s="266"/>
    </row>
    <row r="4504" spans="12:74">
      <c r="L4504" s="266"/>
      <c r="M4504" s="266"/>
      <c r="N4504" s="266"/>
      <c r="O4504" s="266"/>
      <c r="P4504" s="266"/>
      <c r="Q4504" s="266"/>
      <c r="BR4504" s="266"/>
      <c r="BS4504" s="266"/>
      <c r="BT4504" s="266"/>
      <c r="BU4504" s="266"/>
      <c r="BV4504" s="266"/>
    </row>
    <row r="4505" spans="12:74">
      <c r="L4505" s="266"/>
      <c r="M4505" s="266"/>
      <c r="N4505" s="266"/>
      <c r="O4505" s="266"/>
      <c r="P4505" s="266"/>
      <c r="Q4505" s="266"/>
      <c r="BR4505" s="266"/>
      <c r="BS4505" s="266"/>
      <c r="BT4505" s="266"/>
      <c r="BU4505" s="266"/>
      <c r="BV4505" s="266"/>
    </row>
    <row r="4506" spans="12:74">
      <c r="L4506" s="266"/>
      <c r="M4506" s="266"/>
      <c r="N4506" s="266"/>
      <c r="O4506" s="266"/>
      <c r="P4506" s="266"/>
      <c r="Q4506" s="266"/>
      <c r="BR4506" s="266"/>
      <c r="BS4506" s="266"/>
      <c r="BT4506" s="266"/>
      <c r="BU4506" s="266"/>
      <c r="BV4506" s="266"/>
    </row>
    <row r="4507" spans="12:74">
      <c r="L4507" s="266"/>
      <c r="M4507" s="266"/>
      <c r="N4507" s="266"/>
      <c r="O4507" s="266"/>
      <c r="P4507" s="266"/>
      <c r="Q4507" s="266"/>
      <c r="BR4507" s="266"/>
      <c r="BS4507" s="266"/>
      <c r="BT4507" s="266"/>
      <c r="BU4507" s="266"/>
      <c r="BV4507" s="266"/>
    </row>
    <row r="4508" spans="12:74">
      <c r="L4508" s="266"/>
      <c r="M4508" s="266"/>
      <c r="N4508" s="266"/>
      <c r="O4508" s="266"/>
      <c r="P4508" s="266"/>
      <c r="Q4508" s="266"/>
      <c r="BR4508" s="266"/>
      <c r="BS4508" s="266"/>
      <c r="BT4508" s="266"/>
      <c r="BU4508" s="266"/>
      <c r="BV4508" s="266"/>
    </row>
    <row r="4509" spans="12:74">
      <c r="L4509" s="266"/>
      <c r="M4509" s="266"/>
      <c r="N4509" s="266"/>
      <c r="O4509" s="266"/>
      <c r="P4509" s="266"/>
      <c r="Q4509" s="266"/>
      <c r="BR4509" s="266"/>
      <c r="BS4509" s="266"/>
      <c r="BT4509" s="266"/>
      <c r="BU4509" s="266"/>
      <c r="BV4509" s="266"/>
    </row>
    <row r="4510" spans="12:74">
      <c r="L4510" s="266"/>
      <c r="M4510" s="266"/>
      <c r="N4510" s="266"/>
      <c r="O4510" s="266"/>
      <c r="P4510" s="266"/>
      <c r="Q4510" s="266"/>
      <c r="BR4510" s="266"/>
      <c r="BS4510" s="266"/>
      <c r="BT4510" s="266"/>
      <c r="BU4510" s="266"/>
      <c r="BV4510" s="266"/>
    </row>
    <row r="4511" spans="12:74">
      <c r="L4511" s="266"/>
      <c r="M4511" s="266"/>
      <c r="N4511" s="266"/>
      <c r="O4511" s="266"/>
      <c r="P4511" s="266"/>
      <c r="Q4511" s="266"/>
      <c r="BR4511" s="266"/>
      <c r="BS4511" s="266"/>
      <c r="BT4511" s="266"/>
      <c r="BU4511" s="266"/>
      <c r="BV4511" s="266"/>
    </row>
    <row r="4512" spans="12:74">
      <c r="L4512" s="266"/>
      <c r="M4512" s="266"/>
      <c r="N4512" s="266"/>
      <c r="O4512" s="266"/>
      <c r="P4512" s="266"/>
      <c r="Q4512" s="266"/>
      <c r="BR4512" s="266"/>
      <c r="BS4512" s="266"/>
      <c r="BT4512" s="266"/>
      <c r="BU4512" s="266"/>
      <c r="BV4512" s="266"/>
    </row>
    <row r="4513" spans="12:74">
      <c r="L4513" s="266"/>
      <c r="M4513" s="266"/>
      <c r="N4513" s="266"/>
      <c r="O4513" s="266"/>
      <c r="P4513" s="266"/>
      <c r="Q4513" s="266"/>
      <c r="BR4513" s="266"/>
      <c r="BS4513" s="266"/>
      <c r="BT4513" s="266"/>
      <c r="BU4513" s="266"/>
      <c r="BV4513" s="266"/>
    </row>
    <row r="4514" spans="12:74">
      <c r="L4514" s="266"/>
      <c r="M4514" s="266"/>
      <c r="N4514" s="266"/>
      <c r="O4514" s="266"/>
      <c r="P4514" s="266"/>
      <c r="Q4514" s="266"/>
      <c r="BR4514" s="266"/>
      <c r="BS4514" s="266"/>
      <c r="BT4514" s="266"/>
      <c r="BU4514" s="266"/>
      <c r="BV4514" s="266"/>
    </row>
    <row r="4515" spans="12:74">
      <c r="L4515" s="266"/>
      <c r="M4515" s="266"/>
      <c r="N4515" s="266"/>
      <c r="O4515" s="266"/>
      <c r="P4515" s="266"/>
      <c r="Q4515" s="266"/>
      <c r="BR4515" s="266"/>
      <c r="BS4515" s="266"/>
      <c r="BT4515" s="266"/>
      <c r="BU4515" s="266"/>
      <c r="BV4515" s="266"/>
    </row>
    <row r="4516" spans="12:74">
      <c r="L4516" s="266"/>
      <c r="M4516" s="266"/>
      <c r="N4516" s="266"/>
      <c r="O4516" s="266"/>
      <c r="P4516" s="266"/>
      <c r="Q4516" s="266"/>
      <c r="BR4516" s="266"/>
      <c r="BS4516" s="266"/>
      <c r="BT4516" s="266"/>
      <c r="BU4516" s="266"/>
      <c r="BV4516" s="266"/>
    </row>
    <row r="4517" spans="12:74">
      <c r="L4517" s="266"/>
      <c r="M4517" s="266"/>
      <c r="N4517" s="266"/>
      <c r="O4517" s="266"/>
      <c r="P4517" s="266"/>
      <c r="Q4517" s="266"/>
      <c r="BR4517" s="266"/>
      <c r="BS4517" s="266"/>
      <c r="BT4517" s="266"/>
      <c r="BU4517" s="266"/>
      <c r="BV4517" s="266"/>
    </row>
    <row r="4518" spans="12:74">
      <c r="L4518" s="266"/>
      <c r="M4518" s="266"/>
      <c r="N4518" s="266"/>
      <c r="O4518" s="266"/>
      <c r="P4518" s="266"/>
      <c r="Q4518" s="266"/>
      <c r="BR4518" s="266"/>
      <c r="BS4518" s="266"/>
      <c r="BT4518" s="266"/>
      <c r="BU4518" s="266"/>
      <c r="BV4518" s="266"/>
    </row>
    <row r="4519" spans="12:74">
      <c r="L4519" s="266"/>
      <c r="M4519" s="266"/>
      <c r="N4519" s="266"/>
      <c r="O4519" s="266"/>
      <c r="P4519" s="266"/>
      <c r="Q4519" s="266"/>
      <c r="BR4519" s="266"/>
      <c r="BS4519" s="266"/>
      <c r="BT4519" s="266"/>
      <c r="BU4519" s="266"/>
      <c r="BV4519" s="266"/>
    </row>
    <row r="4520" spans="12:74">
      <c r="L4520" s="266"/>
      <c r="M4520" s="266"/>
      <c r="N4520" s="266"/>
      <c r="O4520" s="266"/>
      <c r="P4520" s="266"/>
      <c r="Q4520" s="266"/>
      <c r="BR4520" s="266"/>
      <c r="BS4520" s="266"/>
      <c r="BT4520" s="266"/>
      <c r="BU4520" s="266"/>
      <c r="BV4520" s="266"/>
    </row>
    <row r="4521" spans="12:74">
      <c r="L4521" s="266"/>
      <c r="M4521" s="266"/>
      <c r="N4521" s="266"/>
      <c r="O4521" s="266"/>
      <c r="P4521" s="266"/>
      <c r="Q4521" s="266"/>
      <c r="BR4521" s="266"/>
      <c r="BS4521" s="266"/>
      <c r="BT4521" s="266"/>
      <c r="BU4521" s="266"/>
      <c r="BV4521" s="266"/>
    </row>
    <row r="4522" spans="12:74">
      <c r="L4522" s="266"/>
      <c r="M4522" s="266"/>
      <c r="N4522" s="266"/>
      <c r="O4522" s="266"/>
      <c r="P4522" s="266"/>
      <c r="Q4522" s="266"/>
      <c r="BR4522" s="266"/>
      <c r="BS4522" s="266"/>
      <c r="BT4522" s="266"/>
      <c r="BU4522" s="266"/>
      <c r="BV4522" s="266"/>
    </row>
    <row r="4523" spans="12:74">
      <c r="L4523" s="266"/>
      <c r="M4523" s="266"/>
      <c r="N4523" s="266"/>
      <c r="O4523" s="266"/>
      <c r="P4523" s="266"/>
      <c r="Q4523" s="266"/>
      <c r="BR4523" s="266"/>
      <c r="BS4523" s="266"/>
      <c r="BT4523" s="266"/>
      <c r="BU4523" s="266"/>
      <c r="BV4523" s="266"/>
    </row>
    <row r="4524" spans="12:74">
      <c r="L4524" s="266"/>
      <c r="M4524" s="266"/>
      <c r="N4524" s="266"/>
      <c r="O4524" s="266"/>
      <c r="P4524" s="266"/>
      <c r="Q4524" s="266"/>
      <c r="BR4524" s="266"/>
      <c r="BS4524" s="266"/>
      <c r="BT4524" s="266"/>
      <c r="BU4524" s="266"/>
      <c r="BV4524" s="266"/>
    </row>
    <row r="4525" spans="12:74">
      <c r="L4525" s="266"/>
      <c r="M4525" s="266"/>
      <c r="N4525" s="266"/>
      <c r="O4525" s="266"/>
      <c r="P4525" s="266"/>
      <c r="Q4525" s="266"/>
      <c r="BR4525" s="266"/>
      <c r="BS4525" s="266"/>
      <c r="BT4525" s="266"/>
      <c r="BU4525" s="266"/>
      <c r="BV4525" s="266"/>
    </row>
    <row r="4526" spans="12:74">
      <c r="L4526" s="266"/>
      <c r="M4526" s="266"/>
      <c r="N4526" s="266"/>
      <c r="O4526" s="266"/>
      <c r="P4526" s="266"/>
      <c r="Q4526" s="266"/>
      <c r="BR4526" s="266"/>
      <c r="BS4526" s="266"/>
      <c r="BT4526" s="266"/>
      <c r="BU4526" s="266"/>
      <c r="BV4526" s="266"/>
    </row>
    <row r="4527" spans="12:74">
      <c r="L4527" s="266"/>
      <c r="M4527" s="266"/>
      <c r="N4527" s="266"/>
      <c r="O4527" s="266"/>
      <c r="P4527" s="266"/>
      <c r="Q4527" s="266"/>
      <c r="BR4527" s="266"/>
      <c r="BS4527" s="266"/>
      <c r="BT4527" s="266"/>
      <c r="BU4527" s="266"/>
      <c r="BV4527" s="266"/>
    </row>
    <row r="4528" spans="12:74">
      <c r="L4528" s="266"/>
      <c r="M4528" s="266"/>
      <c r="N4528" s="266"/>
      <c r="O4528" s="266"/>
      <c r="P4528" s="266"/>
      <c r="Q4528" s="266"/>
      <c r="BR4528" s="266"/>
      <c r="BS4528" s="266"/>
      <c r="BT4528" s="266"/>
      <c r="BU4528" s="266"/>
      <c r="BV4528" s="266"/>
    </row>
    <row r="4529" spans="12:74">
      <c r="L4529" s="266"/>
      <c r="M4529" s="266"/>
      <c r="N4529" s="266"/>
      <c r="O4529" s="266"/>
      <c r="P4529" s="266"/>
      <c r="Q4529" s="266"/>
      <c r="BR4529" s="266"/>
      <c r="BS4529" s="266"/>
      <c r="BT4529" s="266"/>
      <c r="BU4529" s="266"/>
      <c r="BV4529" s="266"/>
    </row>
    <row r="4530" spans="12:74">
      <c r="L4530" s="266"/>
      <c r="M4530" s="266"/>
      <c r="N4530" s="266"/>
      <c r="O4530" s="266"/>
      <c r="P4530" s="266"/>
      <c r="Q4530" s="266"/>
      <c r="BR4530" s="266"/>
      <c r="BS4530" s="266"/>
      <c r="BT4530" s="266"/>
      <c r="BU4530" s="266"/>
      <c r="BV4530" s="266"/>
    </row>
    <row r="4531" spans="12:74">
      <c r="L4531" s="266"/>
      <c r="M4531" s="266"/>
      <c r="N4531" s="266"/>
      <c r="O4531" s="266"/>
      <c r="P4531" s="266"/>
      <c r="Q4531" s="266"/>
      <c r="BR4531" s="266"/>
      <c r="BS4531" s="266"/>
      <c r="BT4531" s="266"/>
      <c r="BU4531" s="266"/>
      <c r="BV4531" s="266"/>
    </row>
    <row r="4532" spans="12:74">
      <c r="L4532" s="266"/>
      <c r="M4532" s="266"/>
      <c r="N4532" s="266"/>
      <c r="O4532" s="266"/>
      <c r="P4532" s="266"/>
      <c r="Q4532" s="266"/>
      <c r="BR4532" s="266"/>
      <c r="BS4532" s="266"/>
      <c r="BT4532" s="266"/>
      <c r="BU4532" s="266"/>
      <c r="BV4532" s="266"/>
    </row>
    <row r="4533" spans="12:74">
      <c r="L4533" s="266"/>
      <c r="M4533" s="266"/>
      <c r="N4533" s="266"/>
      <c r="O4533" s="266"/>
      <c r="P4533" s="266"/>
      <c r="Q4533" s="266"/>
      <c r="BR4533" s="266"/>
      <c r="BS4533" s="266"/>
      <c r="BT4533" s="266"/>
      <c r="BU4533" s="266"/>
      <c r="BV4533" s="266"/>
    </row>
    <row r="4534" spans="12:74">
      <c r="L4534" s="266"/>
      <c r="M4534" s="266"/>
      <c r="N4534" s="266"/>
      <c r="O4534" s="266"/>
      <c r="P4534" s="266"/>
      <c r="Q4534" s="266"/>
      <c r="BR4534" s="266"/>
      <c r="BS4534" s="266"/>
      <c r="BT4534" s="266"/>
      <c r="BU4534" s="266"/>
      <c r="BV4534" s="266"/>
    </row>
    <row r="4535" spans="12:74">
      <c r="L4535" s="266"/>
      <c r="M4535" s="266"/>
      <c r="N4535" s="266"/>
      <c r="O4535" s="266"/>
      <c r="P4535" s="266"/>
      <c r="Q4535" s="266"/>
      <c r="BR4535" s="266"/>
      <c r="BS4535" s="266"/>
      <c r="BT4535" s="266"/>
      <c r="BU4535" s="266"/>
      <c r="BV4535" s="266"/>
    </row>
    <row r="4536" spans="12:74">
      <c r="L4536" s="266"/>
      <c r="M4536" s="266"/>
      <c r="N4536" s="266"/>
      <c r="O4536" s="266"/>
      <c r="P4536" s="266"/>
      <c r="Q4536" s="266"/>
      <c r="BR4536" s="266"/>
      <c r="BS4536" s="266"/>
      <c r="BT4536" s="266"/>
      <c r="BU4536" s="266"/>
      <c r="BV4536" s="266"/>
    </row>
    <row r="4537" spans="12:74">
      <c r="L4537" s="266"/>
      <c r="M4537" s="266"/>
      <c r="N4537" s="266"/>
      <c r="O4537" s="266"/>
      <c r="P4537" s="266"/>
      <c r="Q4537" s="266"/>
      <c r="BR4537" s="266"/>
      <c r="BS4537" s="266"/>
      <c r="BT4537" s="266"/>
      <c r="BU4537" s="266"/>
      <c r="BV4537" s="266"/>
    </row>
    <row r="4538" spans="12:74">
      <c r="L4538" s="266"/>
      <c r="M4538" s="266"/>
      <c r="N4538" s="266"/>
      <c r="O4538" s="266"/>
      <c r="P4538" s="266"/>
      <c r="Q4538" s="266"/>
      <c r="BR4538" s="266"/>
      <c r="BS4538" s="266"/>
      <c r="BT4538" s="266"/>
      <c r="BU4538" s="266"/>
      <c r="BV4538" s="266"/>
    </row>
    <row r="4539" spans="12:74">
      <c r="L4539" s="266"/>
      <c r="M4539" s="266"/>
      <c r="N4539" s="266"/>
      <c r="O4539" s="266"/>
      <c r="P4539" s="266"/>
      <c r="Q4539" s="266"/>
      <c r="BR4539" s="266"/>
      <c r="BS4539" s="266"/>
      <c r="BT4539" s="266"/>
      <c r="BU4539" s="266"/>
      <c r="BV4539" s="266"/>
    </row>
    <row r="4540" spans="12:74">
      <c r="L4540" s="266"/>
      <c r="M4540" s="266"/>
      <c r="N4540" s="266"/>
      <c r="O4540" s="266"/>
      <c r="P4540" s="266"/>
      <c r="Q4540" s="266"/>
      <c r="BR4540" s="266"/>
      <c r="BS4540" s="266"/>
      <c r="BT4540" s="266"/>
      <c r="BU4540" s="266"/>
      <c r="BV4540" s="266"/>
    </row>
    <row r="4541" spans="12:74">
      <c r="L4541" s="266"/>
      <c r="M4541" s="266"/>
      <c r="N4541" s="266"/>
      <c r="O4541" s="266"/>
      <c r="P4541" s="266"/>
      <c r="Q4541" s="266"/>
      <c r="BR4541" s="266"/>
      <c r="BS4541" s="266"/>
      <c r="BT4541" s="266"/>
      <c r="BU4541" s="266"/>
      <c r="BV4541" s="266"/>
    </row>
    <row r="4542" spans="12:74">
      <c r="L4542" s="266"/>
      <c r="M4542" s="266"/>
      <c r="N4542" s="266"/>
      <c r="O4542" s="266"/>
      <c r="P4542" s="266"/>
      <c r="Q4542" s="266"/>
      <c r="BR4542" s="266"/>
      <c r="BS4542" s="266"/>
      <c r="BT4542" s="266"/>
      <c r="BU4542" s="266"/>
      <c r="BV4542" s="266"/>
    </row>
    <row r="4543" spans="12:74">
      <c r="L4543" s="266"/>
      <c r="M4543" s="266"/>
      <c r="N4543" s="266"/>
      <c r="O4543" s="266"/>
      <c r="P4543" s="266"/>
      <c r="Q4543" s="266"/>
      <c r="BR4543" s="266"/>
      <c r="BS4543" s="266"/>
      <c r="BT4543" s="266"/>
      <c r="BU4543" s="266"/>
      <c r="BV4543" s="266"/>
    </row>
    <row r="4544" spans="12:74">
      <c r="L4544" s="266"/>
      <c r="M4544" s="266"/>
      <c r="N4544" s="266"/>
      <c r="O4544" s="266"/>
      <c r="P4544" s="266"/>
      <c r="Q4544" s="266"/>
      <c r="BR4544" s="266"/>
      <c r="BS4544" s="266"/>
      <c r="BT4544" s="266"/>
      <c r="BU4544" s="266"/>
      <c r="BV4544" s="266"/>
    </row>
    <row r="4545" spans="12:74">
      <c r="L4545" s="266"/>
      <c r="M4545" s="266"/>
      <c r="N4545" s="266"/>
      <c r="O4545" s="266"/>
      <c r="P4545" s="266"/>
      <c r="Q4545" s="266"/>
      <c r="BR4545" s="266"/>
      <c r="BS4545" s="266"/>
      <c r="BT4545" s="266"/>
      <c r="BU4545" s="266"/>
      <c r="BV4545" s="266"/>
    </row>
    <row r="4546" spans="12:74">
      <c r="L4546" s="266"/>
      <c r="M4546" s="266"/>
      <c r="N4546" s="266"/>
      <c r="O4546" s="266"/>
      <c r="P4546" s="266"/>
      <c r="Q4546" s="266"/>
      <c r="BR4546" s="266"/>
      <c r="BS4546" s="266"/>
      <c r="BT4546" s="266"/>
      <c r="BU4546" s="266"/>
      <c r="BV4546" s="266"/>
    </row>
    <row r="4547" spans="12:74">
      <c r="L4547" s="266"/>
      <c r="M4547" s="266"/>
      <c r="N4547" s="266"/>
      <c r="O4547" s="266"/>
      <c r="P4547" s="266"/>
      <c r="Q4547" s="266"/>
      <c r="BR4547" s="266"/>
      <c r="BS4547" s="266"/>
      <c r="BT4547" s="266"/>
      <c r="BU4547" s="266"/>
      <c r="BV4547" s="266"/>
    </row>
    <row r="4548" spans="12:74">
      <c r="L4548" s="266"/>
      <c r="M4548" s="266"/>
      <c r="N4548" s="266"/>
      <c r="O4548" s="266"/>
      <c r="P4548" s="266"/>
      <c r="Q4548" s="266"/>
      <c r="BR4548" s="266"/>
      <c r="BS4548" s="266"/>
      <c r="BT4548" s="266"/>
      <c r="BU4548" s="266"/>
      <c r="BV4548" s="266"/>
    </row>
    <row r="4549" spans="12:74">
      <c r="L4549" s="266"/>
      <c r="M4549" s="266"/>
      <c r="N4549" s="266"/>
      <c r="O4549" s="266"/>
      <c r="P4549" s="266"/>
      <c r="Q4549" s="266"/>
      <c r="BR4549" s="266"/>
      <c r="BS4549" s="266"/>
      <c r="BT4549" s="266"/>
      <c r="BU4549" s="266"/>
      <c r="BV4549" s="266"/>
    </row>
    <row r="4550" spans="12:74">
      <c r="L4550" s="266"/>
      <c r="M4550" s="266"/>
      <c r="N4550" s="266"/>
      <c r="O4550" s="266"/>
      <c r="P4550" s="266"/>
      <c r="Q4550" s="266"/>
      <c r="BR4550" s="266"/>
      <c r="BS4550" s="266"/>
      <c r="BT4550" s="266"/>
      <c r="BU4550" s="266"/>
      <c r="BV4550" s="266"/>
    </row>
    <row r="4551" spans="12:74">
      <c r="L4551" s="266"/>
      <c r="M4551" s="266"/>
      <c r="N4551" s="266"/>
      <c r="O4551" s="266"/>
      <c r="P4551" s="266"/>
      <c r="Q4551" s="266"/>
      <c r="BR4551" s="266"/>
      <c r="BS4551" s="266"/>
      <c r="BT4551" s="266"/>
      <c r="BU4551" s="266"/>
      <c r="BV4551" s="266"/>
    </row>
    <row r="4552" spans="12:74">
      <c r="L4552" s="266"/>
      <c r="M4552" s="266"/>
      <c r="N4552" s="266"/>
      <c r="O4552" s="266"/>
      <c r="P4552" s="266"/>
      <c r="Q4552" s="266"/>
      <c r="BR4552" s="266"/>
      <c r="BS4552" s="266"/>
      <c r="BT4552" s="266"/>
      <c r="BU4552" s="266"/>
      <c r="BV4552" s="266"/>
    </row>
    <row r="4553" spans="12:74">
      <c r="L4553" s="266"/>
      <c r="M4553" s="266"/>
      <c r="N4553" s="266"/>
      <c r="O4553" s="266"/>
      <c r="P4553" s="266"/>
      <c r="Q4553" s="266"/>
      <c r="BR4553" s="266"/>
      <c r="BS4553" s="266"/>
      <c r="BT4553" s="266"/>
      <c r="BU4553" s="266"/>
      <c r="BV4553" s="266"/>
    </row>
    <row r="4554" spans="12:74">
      <c r="L4554" s="266"/>
      <c r="M4554" s="266"/>
      <c r="N4554" s="266"/>
      <c r="O4554" s="266"/>
      <c r="P4554" s="266"/>
      <c r="Q4554" s="266"/>
      <c r="BR4554" s="266"/>
      <c r="BS4554" s="266"/>
      <c r="BT4554" s="266"/>
      <c r="BU4554" s="266"/>
      <c r="BV4554" s="266"/>
    </row>
    <row r="4555" spans="12:74">
      <c r="L4555" s="266"/>
      <c r="M4555" s="266"/>
      <c r="N4555" s="266"/>
      <c r="O4555" s="266"/>
      <c r="P4555" s="266"/>
      <c r="Q4555" s="266"/>
      <c r="BR4555" s="266"/>
      <c r="BS4555" s="266"/>
      <c r="BT4555" s="266"/>
      <c r="BU4555" s="266"/>
      <c r="BV4555" s="266"/>
    </row>
    <row r="4556" spans="12:74">
      <c r="L4556" s="266"/>
      <c r="M4556" s="266"/>
      <c r="N4556" s="266"/>
      <c r="O4556" s="266"/>
      <c r="P4556" s="266"/>
      <c r="Q4556" s="266"/>
      <c r="BR4556" s="266"/>
      <c r="BS4556" s="266"/>
      <c r="BT4556" s="266"/>
      <c r="BU4556" s="266"/>
      <c r="BV4556" s="266"/>
    </row>
    <row r="4557" spans="12:74">
      <c r="L4557" s="266"/>
      <c r="M4557" s="266"/>
      <c r="N4557" s="266"/>
      <c r="O4557" s="266"/>
      <c r="P4557" s="266"/>
      <c r="Q4557" s="266"/>
      <c r="BR4557" s="266"/>
      <c r="BS4557" s="266"/>
      <c r="BT4557" s="266"/>
      <c r="BU4557" s="266"/>
      <c r="BV4557" s="266"/>
    </row>
    <row r="4558" spans="12:74">
      <c r="L4558" s="266"/>
      <c r="M4558" s="266"/>
      <c r="N4558" s="266"/>
      <c r="O4558" s="266"/>
      <c r="P4558" s="266"/>
      <c r="Q4558" s="266"/>
      <c r="BR4558" s="266"/>
      <c r="BS4558" s="266"/>
      <c r="BT4558" s="266"/>
      <c r="BU4558" s="266"/>
      <c r="BV4558" s="266"/>
    </row>
    <row r="4559" spans="12:74">
      <c r="L4559" s="266"/>
      <c r="M4559" s="266"/>
      <c r="N4559" s="266"/>
      <c r="O4559" s="266"/>
      <c r="P4559" s="266"/>
      <c r="Q4559" s="266"/>
      <c r="BR4559" s="266"/>
      <c r="BS4559" s="266"/>
      <c r="BT4559" s="266"/>
      <c r="BU4559" s="266"/>
      <c r="BV4559" s="266"/>
    </row>
    <row r="4560" spans="12:74">
      <c r="L4560" s="266"/>
      <c r="M4560" s="266"/>
      <c r="N4560" s="266"/>
      <c r="O4560" s="266"/>
      <c r="P4560" s="266"/>
      <c r="Q4560" s="266"/>
      <c r="BR4560" s="266"/>
      <c r="BS4560" s="266"/>
      <c r="BT4560" s="266"/>
      <c r="BU4560" s="266"/>
      <c r="BV4560" s="266"/>
    </row>
    <row r="4561" spans="12:74">
      <c r="L4561" s="266"/>
      <c r="M4561" s="266"/>
      <c r="N4561" s="266"/>
      <c r="O4561" s="266"/>
      <c r="P4561" s="266"/>
      <c r="Q4561" s="266"/>
      <c r="BR4561" s="266"/>
      <c r="BS4561" s="266"/>
      <c r="BT4561" s="266"/>
      <c r="BU4561" s="266"/>
      <c r="BV4561" s="266"/>
    </row>
    <row r="4562" spans="12:74">
      <c r="L4562" s="266"/>
      <c r="M4562" s="266"/>
      <c r="N4562" s="266"/>
      <c r="O4562" s="266"/>
      <c r="P4562" s="266"/>
      <c r="Q4562" s="266"/>
      <c r="BR4562" s="266"/>
      <c r="BS4562" s="266"/>
      <c r="BT4562" s="266"/>
      <c r="BU4562" s="266"/>
      <c r="BV4562" s="266"/>
    </row>
    <row r="4563" spans="12:74">
      <c r="L4563" s="266"/>
      <c r="M4563" s="266"/>
      <c r="N4563" s="266"/>
      <c r="O4563" s="266"/>
      <c r="P4563" s="266"/>
      <c r="Q4563" s="266"/>
      <c r="BR4563" s="266"/>
      <c r="BS4563" s="266"/>
      <c r="BT4563" s="266"/>
      <c r="BU4563" s="266"/>
      <c r="BV4563" s="266"/>
    </row>
    <row r="4564" spans="12:74">
      <c r="L4564" s="266"/>
      <c r="M4564" s="266"/>
      <c r="N4564" s="266"/>
      <c r="O4564" s="266"/>
      <c r="P4564" s="266"/>
      <c r="Q4564" s="266"/>
      <c r="BR4564" s="266"/>
      <c r="BS4564" s="266"/>
      <c r="BT4564" s="266"/>
      <c r="BU4564" s="266"/>
      <c r="BV4564" s="266"/>
    </row>
    <row r="4565" spans="12:74">
      <c r="L4565" s="266"/>
      <c r="M4565" s="266"/>
      <c r="N4565" s="266"/>
      <c r="O4565" s="266"/>
      <c r="P4565" s="266"/>
      <c r="Q4565" s="266"/>
      <c r="BR4565" s="266"/>
      <c r="BS4565" s="266"/>
      <c r="BT4565" s="266"/>
      <c r="BU4565" s="266"/>
      <c r="BV4565" s="266"/>
    </row>
    <row r="4566" spans="12:74">
      <c r="L4566" s="266"/>
      <c r="M4566" s="266"/>
      <c r="N4566" s="266"/>
      <c r="O4566" s="266"/>
      <c r="P4566" s="266"/>
      <c r="Q4566" s="266"/>
      <c r="BR4566" s="266"/>
      <c r="BS4566" s="266"/>
      <c r="BT4566" s="266"/>
      <c r="BU4566" s="266"/>
      <c r="BV4566" s="266"/>
    </row>
    <row r="4567" spans="12:74">
      <c r="L4567" s="266"/>
      <c r="M4567" s="266"/>
      <c r="N4567" s="266"/>
      <c r="O4567" s="266"/>
      <c r="P4567" s="266"/>
      <c r="Q4567" s="266"/>
      <c r="BR4567" s="266"/>
      <c r="BS4567" s="266"/>
      <c r="BT4567" s="266"/>
      <c r="BU4567" s="266"/>
      <c r="BV4567" s="266"/>
    </row>
    <row r="4568" spans="12:74">
      <c r="L4568" s="266"/>
      <c r="M4568" s="266"/>
      <c r="N4568" s="266"/>
      <c r="O4568" s="266"/>
      <c r="P4568" s="266"/>
      <c r="Q4568" s="266"/>
      <c r="BR4568" s="266"/>
      <c r="BS4568" s="266"/>
      <c r="BT4568" s="266"/>
      <c r="BU4568" s="266"/>
      <c r="BV4568" s="266"/>
    </row>
    <row r="4569" spans="12:74">
      <c r="L4569" s="266"/>
      <c r="M4569" s="266"/>
      <c r="N4569" s="266"/>
      <c r="O4569" s="266"/>
      <c r="P4569" s="266"/>
      <c r="Q4569" s="266"/>
      <c r="BR4569" s="266"/>
      <c r="BS4569" s="266"/>
      <c r="BT4569" s="266"/>
      <c r="BU4569" s="266"/>
      <c r="BV4569" s="266"/>
    </row>
    <row r="4570" spans="12:74">
      <c r="L4570" s="266"/>
      <c r="M4570" s="266"/>
      <c r="N4570" s="266"/>
      <c r="O4570" s="266"/>
      <c r="P4570" s="266"/>
      <c r="Q4570" s="266"/>
      <c r="BR4570" s="266"/>
      <c r="BS4570" s="266"/>
      <c r="BT4570" s="266"/>
      <c r="BU4570" s="266"/>
      <c r="BV4570" s="266"/>
    </row>
    <row r="4571" spans="12:74">
      <c r="L4571" s="266"/>
      <c r="M4571" s="266"/>
      <c r="N4571" s="266"/>
      <c r="O4571" s="266"/>
      <c r="P4571" s="266"/>
      <c r="Q4571" s="266"/>
      <c r="BR4571" s="266"/>
      <c r="BS4571" s="266"/>
      <c r="BT4571" s="266"/>
      <c r="BU4571" s="266"/>
      <c r="BV4571" s="266"/>
    </row>
    <row r="4572" spans="12:74">
      <c r="L4572" s="266"/>
      <c r="M4572" s="266"/>
      <c r="N4572" s="266"/>
      <c r="O4572" s="266"/>
      <c r="P4572" s="266"/>
      <c r="Q4572" s="266"/>
      <c r="BR4572" s="266"/>
      <c r="BS4572" s="266"/>
      <c r="BT4572" s="266"/>
      <c r="BU4572" s="266"/>
      <c r="BV4572" s="266"/>
    </row>
    <row r="4573" spans="12:74">
      <c r="L4573" s="266"/>
      <c r="M4573" s="266"/>
      <c r="N4573" s="266"/>
      <c r="O4573" s="266"/>
      <c r="P4573" s="266"/>
      <c r="Q4573" s="266"/>
      <c r="BR4573" s="266"/>
      <c r="BS4573" s="266"/>
      <c r="BT4573" s="266"/>
      <c r="BU4573" s="266"/>
      <c r="BV4573" s="266"/>
    </row>
    <row r="4574" spans="12:74">
      <c r="L4574" s="266"/>
      <c r="M4574" s="266"/>
      <c r="N4574" s="266"/>
      <c r="O4574" s="266"/>
      <c r="P4574" s="266"/>
      <c r="Q4574" s="266"/>
      <c r="BR4574" s="266"/>
      <c r="BS4574" s="266"/>
      <c r="BT4574" s="266"/>
      <c r="BU4574" s="266"/>
      <c r="BV4574" s="266"/>
    </row>
    <row r="4575" spans="12:74">
      <c r="L4575" s="266"/>
      <c r="M4575" s="266"/>
      <c r="N4575" s="266"/>
      <c r="O4575" s="266"/>
      <c r="P4575" s="266"/>
      <c r="Q4575" s="266"/>
      <c r="BR4575" s="266"/>
      <c r="BS4575" s="266"/>
      <c r="BT4575" s="266"/>
      <c r="BU4575" s="266"/>
      <c r="BV4575" s="266"/>
    </row>
    <row r="4576" spans="12:74">
      <c r="L4576" s="266"/>
      <c r="M4576" s="266"/>
      <c r="N4576" s="266"/>
      <c r="O4576" s="266"/>
      <c r="P4576" s="266"/>
      <c r="Q4576" s="266"/>
      <c r="BR4576" s="266"/>
      <c r="BS4576" s="266"/>
      <c r="BT4576" s="266"/>
      <c r="BU4576" s="266"/>
      <c r="BV4576" s="266"/>
    </row>
    <row r="4577" spans="12:74">
      <c r="L4577" s="266"/>
      <c r="M4577" s="266"/>
      <c r="N4577" s="266"/>
      <c r="O4577" s="266"/>
      <c r="P4577" s="266"/>
      <c r="Q4577" s="266"/>
      <c r="BR4577" s="266"/>
      <c r="BS4577" s="266"/>
      <c r="BT4577" s="266"/>
      <c r="BU4577" s="266"/>
      <c r="BV4577" s="266"/>
    </row>
    <row r="4578" spans="12:74">
      <c r="L4578" s="266"/>
      <c r="M4578" s="266"/>
      <c r="N4578" s="266"/>
      <c r="O4578" s="266"/>
      <c r="P4578" s="266"/>
      <c r="Q4578" s="266"/>
      <c r="BR4578" s="266"/>
      <c r="BS4578" s="266"/>
      <c r="BT4578" s="266"/>
      <c r="BU4578" s="266"/>
      <c r="BV4578" s="266"/>
    </row>
    <row r="4579" spans="12:74">
      <c r="L4579" s="266"/>
      <c r="M4579" s="266"/>
      <c r="N4579" s="266"/>
      <c r="O4579" s="266"/>
      <c r="P4579" s="266"/>
      <c r="Q4579" s="266"/>
      <c r="BR4579" s="266"/>
      <c r="BS4579" s="266"/>
      <c r="BT4579" s="266"/>
      <c r="BU4579" s="266"/>
      <c r="BV4579" s="266"/>
    </row>
    <row r="4580" spans="12:74">
      <c r="L4580" s="266"/>
      <c r="M4580" s="266"/>
      <c r="N4580" s="266"/>
      <c r="O4580" s="266"/>
      <c r="P4580" s="266"/>
      <c r="Q4580" s="266"/>
      <c r="BR4580" s="266"/>
      <c r="BS4580" s="266"/>
      <c r="BT4580" s="266"/>
      <c r="BU4580" s="266"/>
      <c r="BV4580" s="266"/>
    </row>
    <row r="4581" spans="12:74">
      <c r="L4581" s="266"/>
      <c r="M4581" s="266"/>
      <c r="N4581" s="266"/>
      <c r="O4581" s="266"/>
      <c r="P4581" s="266"/>
      <c r="Q4581" s="266"/>
      <c r="BR4581" s="266"/>
      <c r="BS4581" s="266"/>
      <c r="BT4581" s="266"/>
      <c r="BU4581" s="266"/>
      <c r="BV4581" s="266"/>
    </row>
    <row r="4582" spans="12:74">
      <c r="L4582" s="266"/>
      <c r="M4582" s="266"/>
      <c r="N4582" s="266"/>
      <c r="O4582" s="266"/>
      <c r="P4582" s="266"/>
      <c r="Q4582" s="266"/>
      <c r="BR4582" s="266"/>
      <c r="BS4582" s="266"/>
      <c r="BT4582" s="266"/>
      <c r="BU4582" s="266"/>
      <c r="BV4582" s="266"/>
    </row>
    <row r="4583" spans="12:74">
      <c r="L4583" s="266"/>
      <c r="M4583" s="266"/>
      <c r="N4583" s="266"/>
      <c r="O4583" s="266"/>
      <c r="P4583" s="266"/>
      <c r="Q4583" s="266"/>
      <c r="BR4583" s="266"/>
      <c r="BS4583" s="266"/>
      <c r="BT4583" s="266"/>
      <c r="BU4583" s="266"/>
      <c r="BV4583" s="266"/>
    </row>
    <row r="4584" spans="12:74">
      <c r="L4584" s="266"/>
      <c r="M4584" s="266"/>
      <c r="N4584" s="266"/>
      <c r="O4584" s="266"/>
      <c r="P4584" s="266"/>
      <c r="Q4584" s="266"/>
      <c r="BR4584" s="266"/>
      <c r="BS4584" s="266"/>
      <c r="BT4584" s="266"/>
      <c r="BU4584" s="266"/>
      <c r="BV4584" s="266"/>
    </row>
    <row r="4585" spans="12:74">
      <c r="L4585" s="266"/>
      <c r="M4585" s="266"/>
      <c r="N4585" s="266"/>
      <c r="O4585" s="266"/>
      <c r="P4585" s="266"/>
      <c r="Q4585" s="266"/>
      <c r="BR4585" s="266"/>
      <c r="BS4585" s="266"/>
      <c r="BT4585" s="266"/>
      <c r="BU4585" s="266"/>
      <c r="BV4585" s="266"/>
    </row>
    <row r="4586" spans="12:74">
      <c r="L4586" s="266"/>
      <c r="M4586" s="266"/>
      <c r="N4586" s="266"/>
      <c r="O4586" s="266"/>
      <c r="P4586" s="266"/>
      <c r="Q4586" s="266"/>
      <c r="BR4586" s="266"/>
      <c r="BS4586" s="266"/>
      <c r="BT4586" s="266"/>
      <c r="BU4586" s="266"/>
      <c r="BV4586" s="266"/>
    </row>
    <row r="4587" spans="12:74">
      <c r="L4587" s="266"/>
      <c r="M4587" s="266"/>
      <c r="N4587" s="266"/>
      <c r="O4587" s="266"/>
      <c r="P4587" s="266"/>
      <c r="Q4587" s="266"/>
      <c r="BR4587" s="266"/>
      <c r="BS4587" s="266"/>
      <c r="BT4587" s="266"/>
      <c r="BU4587" s="266"/>
      <c r="BV4587" s="266"/>
    </row>
    <row r="4588" spans="12:74">
      <c r="L4588" s="266"/>
      <c r="M4588" s="266"/>
      <c r="N4588" s="266"/>
      <c r="O4588" s="266"/>
      <c r="P4588" s="266"/>
      <c r="Q4588" s="266"/>
      <c r="BR4588" s="266"/>
      <c r="BS4588" s="266"/>
      <c r="BT4588" s="266"/>
      <c r="BU4588" s="266"/>
      <c r="BV4588" s="266"/>
    </row>
    <row r="4589" spans="12:74">
      <c r="L4589" s="266"/>
      <c r="M4589" s="266"/>
      <c r="N4589" s="266"/>
      <c r="O4589" s="266"/>
      <c r="P4589" s="266"/>
      <c r="Q4589" s="266"/>
      <c r="BR4589" s="266"/>
      <c r="BS4589" s="266"/>
      <c r="BT4589" s="266"/>
      <c r="BU4589" s="266"/>
      <c r="BV4589" s="266"/>
    </row>
    <row r="4590" spans="12:74">
      <c r="L4590" s="266"/>
      <c r="M4590" s="266"/>
      <c r="N4590" s="266"/>
      <c r="O4590" s="266"/>
      <c r="P4590" s="266"/>
      <c r="Q4590" s="266"/>
      <c r="BR4590" s="266"/>
      <c r="BS4590" s="266"/>
      <c r="BT4590" s="266"/>
      <c r="BU4590" s="266"/>
      <c r="BV4590" s="266"/>
    </row>
    <row r="4591" spans="12:74">
      <c r="L4591" s="266"/>
      <c r="M4591" s="266"/>
      <c r="N4591" s="266"/>
      <c r="O4591" s="266"/>
      <c r="P4591" s="266"/>
      <c r="Q4591" s="266"/>
      <c r="BR4591" s="266"/>
      <c r="BS4591" s="266"/>
      <c r="BT4591" s="266"/>
      <c r="BU4591" s="266"/>
      <c r="BV4591" s="266"/>
    </row>
    <row r="4592" spans="12:74">
      <c r="L4592" s="266"/>
      <c r="M4592" s="266"/>
      <c r="N4592" s="266"/>
      <c r="O4592" s="266"/>
      <c r="P4592" s="266"/>
      <c r="Q4592" s="266"/>
      <c r="BR4592" s="266"/>
      <c r="BS4592" s="266"/>
      <c r="BT4592" s="266"/>
      <c r="BU4592" s="266"/>
      <c r="BV4592" s="266"/>
    </row>
    <row r="4593" spans="12:74">
      <c r="L4593" s="266"/>
      <c r="M4593" s="266"/>
      <c r="N4593" s="266"/>
      <c r="O4593" s="266"/>
      <c r="P4593" s="266"/>
      <c r="Q4593" s="266"/>
      <c r="BR4593" s="266"/>
      <c r="BS4593" s="266"/>
      <c r="BT4593" s="266"/>
      <c r="BU4593" s="266"/>
      <c r="BV4593" s="266"/>
    </row>
    <row r="4594" spans="12:74">
      <c r="L4594" s="266"/>
      <c r="M4594" s="266"/>
      <c r="N4594" s="266"/>
      <c r="O4594" s="266"/>
      <c r="P4594" s="266"/>
      <c r="Q4594" s="266"/>
      <c r="BR4594" s="266"/>
      <c r="BS4594" s="266"/>
      <c r="BT4594" s="266"/>
      <c r="BU4594" s="266"/>
      <c r="BV4594" s="266"/>
    </row>
    <row r="4595" spans="12:74">
      <c r="L4595" s="266"/>
      <c r="M4595" s="266"/>
      <c r="N4595" s="266"/>
      <c r="O4595" s="266"/>
      <c r="P4595" s="266"/>
      <c r="Q4595" s="266"/>
      <c r="BR4595" s="266"/>
      <c r="BS4595" s="266"/>
      <c r="BT4595" s="266"/>
      <c r="BU4595" s="266"/>
      <c r="BV4595" s="266"/>
    </row>
    <row r="4596" spans="12:74">
      <c r="L4596" s="266"/>
      <c r="M4596" s="266"/>
      <c r="N4596" s="266"/>
      <c r="O4596" s="266"/>
      <c r="P4596" s="266"/>
      <c r="Q4596" s="266"/>
      <c r="BR4596" s="266"/>
      <c r="BS4596" s="266"/>
      <c r="BT4596" s="266"/>
      <c r="BU4596" s="266"/>
      <c r="BV4596" s="266"/>
    </row>
    <row r="4597" spans="12:74">
      <c r="L4597" s="266"/>
      <c r="M4597" s="266"/>
      <c r="N4597" s="266"/>
      <c r="O4597" s="266"/>
      <c r="P4597" s="266"/>
      <c r="Q4597" s="266"/>
      <c r="BR4597" s="266"/>
      <c r="BS4597" s="266"/>
      <c r="BT4597" s="266"/>
      <c r="BU4597" s="266"/>
      <c r="BV4597" s="266"/>
    </row>
    <row r="4598" spans="12:74">
      <c r="L4598" s="266"/>
      <c r="M4598" s="266"/>
      <c r="N4598" s="266"/>
      <c r="O4598" s="266"/>
      <c r="P4598" s="266"/>
      <c r="Q4598" s="266"/>
      <c r="BR4598" s="266"/>
      <c r="BS4598" s="266"/>
      <c r="BT4598" s="266"/>
      <c r="BU4598" s="266"/>
      <c r="BV4598" s="266"/>
    </row>
    <row r="4599" spans="12:74">
      <c r="L4599" s="266"/>
      <c r="M4599" s="266"/>
      <c r="N4599" s="266"/>
      <c r="O4599" s="266"/>
      <c r="P4599" s="266"/>
      <c r="Q4599" s="266"/>
      <c r="BR4599" s="266"/>
      <c r="BS4599" s="266"/>
      <c r="BT4599" s="266"/>
      <c r="BU4599" s="266"/>
      <c r="BV4599" s="266"/>
    </row>
    <row r="4600" spans="12:74">
      <c r="L4600" s="266"/>
      <c r="M4600" s="266"/>
      <c r="N4600" s="266"/>
      <c r="O4600" s="266"/>
      <c r="P4600" s="266"/>
      <c r="Q4600" s="266"/>
      <c r="BR4600" s="266"/>
      <c r="BS4600" s="266"/>
      <c r="BT4600" s="266"/>
      <c r="BU4600" s="266"/>
      <c r="BV4600" s="266"/>
    </row>
    <row r="4601" spans="12:74">
      <c r="L4601" s="266"/>
      <c r="M4601" s="266"/>
      <c r="N4601" s="266"/>
      <c r="O4601" s="266"/>
      <c r="P4601" s="266"/>
      <c r="Q4601" s="266"/>
      <c r="BR4601" s="266"/>
      <c r="BS4601" s="266"/>
      <c r="BT4601" s="266"/>
      <c r="BU4601" s="266"/>
      <c r="BV4601" s="266"/>
    </row>
    <row r="4602" spans="12:74">
      <c r="L4602" s="266"/>
      <c r="M4602" s="266"/>
      <c r="N4602" s="266"/>
      <c r="O4602" s="266"/>
      <c r="P4602" s="266"/>
      <c r="Q4602" s="266"/>
      <c r="BR4602" s="266"/>
      <c r="BS4602" s="266"/>
      <c r="BT4602" s="266"/>
      <c r="BU4602" s="266"/>
      <c r="BV4602" s="266"/>
    </row>
    <row r="4603" spans="12:74">
      <c r="L4603" s="266"/>
      <c r="M4603" s="266"/>
      <c r="N4603" s="266"/>
      <c r="O4603" s="266"/>
      <c r="P4603" s="266"/>
      <c r="Q4603" s="266"/>
      <c r="BR4603" s="266"/>
      <c r="BS4603" s="266"/>
      <c r="BT4603" s="266"/>
      <c r="BU4603" s="266"/>
      <c r="BV4603" s="266"/>
    </row>
    <row r="4604" spans="12:74">
      <c r="L4604" s="266"/>
      <c r="M4604" s="266"/>
      <c r="N4604" s="266"/>
      <c r="O4604" s="266"/>
      <c r="P4604" s="266"/>
      <c r="Q4604" s="266"/>
      <c r="BR4604" s="266"/>
      <c r="BS4604" s="266"/>
      <c r="BT4604" s="266"/>
      <c r="BU4604" s="266"/>
      <c r="BV4604" s="266"/>
    </row>
    <row r="4605" spans="12:74">
      <c r="L4605" s="266"/>
      <c r="M4605" s="266"/>
      <c r="N4605" s="266"/>
      <c r="O4605" s="266"/>
      <c r="P4605" s="266"/>
      <c r="Q4605" s="266"/>
      <c r="BR4605" s="266"/>
      <c r="BS4605" s="266"/>
      <c r="BT4605" s="266"/>
      <c r="BU4605" s="266"/>
      <c r="BV4605" s="266"/>
    </row>
    <row r="4606" spans="12:74">
      <c r="L4606" s="266"/>
      <c r="M4606" s="266"/>
      <c r="N4606" s="266"/>
      <c r="O4606" s="266"/>
      <c r="P4606" s="266"/>
      <c r="Q4606" s="266"/>
      <c r="BR4606" s="266"/>
      <c r="BS4606" s="266"/>
      <c r="BT4606" s="266"/>
      <c r="BU4606" s="266"/>
      <c r="BV4606" s="266"/>
    </row>
    <row r="4607" spans="12:74">
      <c r="L4607" s="266"/>
      <c r="M4607" s="266"/>
      <c r="N4607" s="266"/>
      <c r="O4607" s="266"/>
      <c r="P4607" s="266"/>
      <c r="Q4607" s="266"/>
      <c r="BR4607" s="266"/>
      <c r="BS4607" s="266"/>
      <c r="BT4607" s="266"/>
      <c r="BU4607" s="266"/>
      <c r="BV4607" s="266"/>
    </row>
    <row r="4608" spans="12:74">
      <c r="L4608" s="266"/>
      <c r="M4608" s="266"/>
      <c r="N4608" s="266"/>
      <c r="O4608" s="266"/>
      <c r="P4608" s="266"/>
      <c r="Q4608" s="266"/>
      <c r="BR4608" s="266"/>
      <c r="BS4608" s="266"/>
      <c r="BT4608" s="266"/>
      <c r="BU4608" s="266"/>
      <c r="BV4608" s="266"/>
    </row>
    <row r="4609" spans="12:74">
      <c r="L4609" s="266"/>
      <c r="M4609" s="266"/>
      <c r="N4609" s="266"/>
      <c r="O4609" s="266"/>
      <c r="P4609" s="266"/>
      <c r="Q4609" s="266"/>
      <c r="BR4609" s="266"/>
      <c r="BS4609" s="266"/>
      <c r="BT4609" s="266"/>
      <c r="BU4609" s="266"/>
      <c r="BV4609" s="266"/>
    </row>
    <row r="4610" spans="12:74">
      <c r="L4610" s="266"/>
      <c r="M4610" s="266"/>
      <c r="N4610" s="266"/>
      <c r="O4610" s="266"/>
      <c r="P4610" s="266"/>
      <c r="Q4610" s="266"/>
      <c r="BR4610" s="266"/>
      <c r="BS4610" s="266"/>
      <c r="BT4610" s="266"/>
      <c r="BU4610" s="266"/>
      <c r="BV4610" s="266"/>
    </row>
    <row r="4611" spans="12:74">
      <c r="L4611" s="266"/>
      <c r="M4611" s="266"/>
      <c r="N4611" s="266"/>
      <c r="O4611" s="266"/>
      <c r="P4611" s="266"/>
      <c r="Q4611" s="266"/>
      <c r="BR4611" s="266"/>
      <c r="BS4611" s="266"/>
      <c r="BT4611" s="266"/>
      <c r="BU4611" s="266"/>
      <c r="BV4611" s="266"/>
    </row>
    <row r="4612" spans="12:74">
      <c r="L4612" s="266"/>
      <c r="M4612" s="266"/>
      <c r="N4612" s="266"/>
      <c r="O4612" s="266"/>
      <c r="P4612" s="266"/>
      <c r="Q4612" s="266"/>
      <c r="BR4612" s="266"/>
      <c r="BS4612" s="266"/>
      <c r="BT4612" s="266"/>
      <c r="BU4612" s="266"/>
      <c r="BV4612" s="266"/>
    </row>
    <row r="4613" spans="12:74">
      <c r="L4613" s="266"/>
      <c r="M4613" s="266"/>
      <c r="N4613" s="266"/>
      <c r="O4613" s="266"/>
      <c r="P4613" s="266"/>
      <c r="Q4613" s="266"/>
      <c r="BR4613" s="266"/>
      <c r="BS4613" s="266"/>
      <c r="BT4613" s="266"/>
      <c r="BU4613" s="266"/>
      <c r="BV4613" s="266"/>
    </row>
    <row r="4614" spans="12:74">
      <c r="L4614" s="266"/>
      <c r="M4614" s="266"/>
      <c r="N4614" s="266"/>
      <c r="O4614" s="266"/>
      <c r="P4614" s="266"/>
      <c r="Q4614" s="266"/>
      <c r="BR4614" s="266"/>
      <c r="BS4614" s="266"/>
      <c r="BT4614" s="266"/>
      <c r="BU4614" s="266"/>
      <c r="BV4614" s="266"/>
    </row>
    <row r="4615" spans="12:74">
      <c r="L4615" s="266"/>
      <c r="M4615" s="266"/>
      <c r="N4615" s="266"/>
      <c r="O4615" s="266"/>
      <c r="P4615" s="266"/>
      <c r="Q4615" s="266"/>
      <c r="BR4615" s="266"/>
      <c r="BS4615" s="266"/>
      <c r="BT4615" s="266"/>
      <c r="BU4615" s="266"/>
      <c r="BV4615" s="266"/>
    </row>
    <row r="4616" spans="12:74">
      <c r="L4616" s="266"/>
      <c r="M4616" s="266"/>
      <c r="N4616" s="266"/>
      <c r="O4616" s="266"/>
      <c r="P4616" s="266"/>
      <c r="Q4616" s="266"/>
      <c r="BR4616" s="266"/>
      <c r="BS4616" s="266"/>
      <c r="BT4616" s="266"/>
      <c r="BU4616" s="266"/>
      <c r="BV4616" s="266"/>
    </row>
    <row r="4617" spans="12:74">
      <c r="L4617" s="266"/>
      <c r="M4617" s="266"/>
      <c r="N4617" s="266"/>
      <c r="O4617" s="266"/>
      <c r="P4617" s="266"/>
      <c r="Q4617" s="266"/>
      <c r="BR4617" s="266"/>
      <c r="BS4617" s="266"/>
      <c r="BT4617" s="266"/>
      <c r="BU4617" s="266"/>
      <c r="BV4617" s="266"/>
    </row>
    <row r="4618" spans="12:74">
      <c r="L4618" s="266"/>
      <c r="M4618" s="266"/>
      <c r="N4618" s="266"/>
      <c r="O4618" s="266"/>
      <c r="P4618" s="266"/>
      <c r="Q4618" s="266"/>
      <c r="BR4618" s="266"/>
      <c r="BS4618" s="266"/>
      <c r="BT4618" s="266"/>
      <c r="BU4618" s="266"/>
      <c r="BV4618" s="266"/>
    </row>
    <row r="4619" spans="12:74">
      <c r="L4619" s="266"/>
      <c r="M4619" s="266"/>
      <c r="N4619" s="266"/>
      <c r="O4619" s="266"/>
      <c r="P4619" s="266"/>
      <c r="Q4619" s="266"/>
      <c r="BR4619" s="266"/>
      <c r="BS4619" s="266"/>
      <c r="BT4619" s="266"/>
      <c r="BU4619" s="266"/>
      <c r="BV4619" s="266"/>
    </row>
    <row r="4620" spans="12:74">
      <c r="L4620" s="266"/>
      <c r="M4620" s="266"/>
      <c r="N4620" s="266"/>
      <c r="O4620" s="266"/>
      <c r="P4620" s="266"/>
      <c r="Q4620" s="266"/>
      <c r="BR4620" s="266"/>
      <c r="BS4620" s="266"/>
      <c r="BT4620" s="266"/>
      <c r="BU4620" s="266"/>
      <c r="BV4620" s="266"/>
    </row>
    <row r="4621" spans="12:74">
      <c r="L4621" s="266"/>
      <c r="M4621" s="266"/>
      <c r="N4621" s="266"/>
      <c r="O4621" s="266"/>
      <c r="P4621" s="266"/>
      <c r="Q4621" s="266"/>
      <c r="BR4621" s="266"/>
      <c r="BS4621" s="266"/>
      <c r="BT4621" s="266"/>
      <c r="BU4621" s="266"/>
      <c r="BV4621" s="266"/>
    </row>
    <row r="4622" spans="12:74">
      <c r="L4622" s="266"/>
      <c r="M4622" s="266"/>
      <c r="N4622" s="266"/>
      <c r="O4622" s="266"/>
      <c r="P4622" s="266"/>
      <c r="Q4622" s="266"/>
      <c r="BR4622" s="266"/>
      <c r="BS4622" s="266"/>
      <c r="BT4622" s="266"/>
      <c r="BU4622" s="266"/>
      <c r="BV4622" s="266"/>
    </row>
    <row r="4623" spans="12:74">
      <c r="L4623" s="266"/>
      <c r="M4623" s="266"/>
      <c r="N4623" s="266"/>
      <c r="O4623" s="266"/>
      <c r="P4623" s="266"/>
      <c r="Q4623" s="266"/>
      <c r="BR4623" s="266"/>
      <c r="BS4623" s="266"/>
      <c r="BT4623" s="266"/>
      <c r="BU4623" s="266"/>
      <c r="BV4623" s="266"/>
    </row>
    <row r="4624" spans="12:74">
      <c r="L4624" s="266"/>
      <c r="M4624" s="266"/>
      <c r="N4624" s="266"/>
      <c r="O4624" s="266"/>
      <c r="P4624" s="266"/>
      <c r="Q4624" s="266"/>
      <c r="BR4624" s="266"/>
      <c r="BS4624" s="266"/>
      <c r="BT4624" s="266"/>
      <c r="BU4624" s="266"/>
      <c r="BV4624" s="266"/>
    </row>
    <row r="4625" spans="12:74">
      <c r="L4625" s="266"/>
      <c r="M4625" s="266"/>
      <c r="N4625" s="266"/>
      <c r="O4625" s="266"/>
      <c r="P4625" s="266"/>
      <c r="Q4625" s="266"/>
      <c r="BR4625" s="266"/>
      <c r="BS4625" s="266"/>
      <c r="BT4625" s="266"/>
      <c r="BU4625" s="266"/>
      <c r="BV4625" s="266"/>
    </row>
    <row r="4626" spans="12:74">
      <c r="L4626" s="266"/>
      <c r="M4626" s="266"/>
      <c r="N4626" s="266"/>
      <c r="O4626" s="266"/>
      <c r="P4626" s="266"/>
      <c r="Q4626" s="266"/>
      <c r="BR4626" s="266"/>
      <c r="BS4626" s="266"/>
      <c r="BT4626" s="266"/>
      <c r="BU4626" s="266"/>
      <c r="BV4626" s="266"/>
    </row>
    <row r="4627" spans="12:74">
      <c r="L4627" s="266"/>
      <c r="M4627" s="266"/>
      <c r="N4627" s="266"/>
      <c r="O4627" s="266"/>
      <c r="P4627" s="266"/>
      <c r="Q4627" s="266"/>
      <c r="BR4627" s="266"/>
      <c r="BS4627" s="266"/>
      <c r="BT4627" s="266"/>
      <c r="BU4627" s="266"/>
      <c r="BV4627" s="266"/>
    </row>
    <row r="4628" spans="12:74">
      <c r="L4628" s="266"/>
      <c r="M4628" s="266"/>
      <c r="N4628" s="266"/>
      <c r="O4628" s="266"/>
      <c r="P4628" s="266"/>
      <c r="Q4628" s="266"/>
      <c r="BR4628" s="266"/>
      <c r="BS4628" s="266"/>
      <c r="BT4628" s="266"/>
      <c r="BU4628" s="266"/>
      <c r="BV4628" s="266"/>
    </row>
    <row r="4629" spans="12:74">
      <c r="L4629" s="266"/>
      <c r="M4629" s="266"/>
      <c r="N4629" s="266"/>
      <c r="O4629" s="266"/>
      <c r="P4629" s="266"/>
      <c r="Q4629" s="266"/>
      <c r="BR4629" s="266"/>
      <c r="BS4629" s="266"/>
      <c r="BT4629" s="266"/>
      <c r="BU4629" s="266"/>
      <c r="BV4629" s="266"/>
    </row>
    <row r="4630" spans="12:74">
      <c r="L4630" s="266"/>
      <c r="M4630" s="266"/>
      <c r="N4630" s="266"/>
      <c r="O4630" s="266"/>
      <c r="P4630" s="266"/>
      <c r="Q4630" s="266"/>
      <c r="BR4630" s="266"/>
      <c r="BS4630" s="266"/>
      <c r="BT4630" s="266"/>
      <c r="BU4630" s="266"/>
      <c r="BV4630" s="266"/>
    </row>
    <row r="4631" spans="12:74">
      <c r="L4631" s="266"/>
      <c r="M4631" s="266"/>
      <c r="N4631" s="266"/>
      <c r="O4631" s="266"/>
      <c r="P4631" s="266"/>
      <c r="Q4631" s="266"/>
      <c r="BR4631" s="266"/>
      <c r="BS4631" s="266"/>
      <c r="BT4631" s="266"/>
      <c r="BU4631" s="266"/>
      <c r="BV4631" s="266"/>
    </row>
    <row r="4632" spans="12:74">
      <c r="L4632" s="266"/>
      <c r="M4632" s="266"/>
      <c r="N4632" s="266"/>
      <c r="O4632" s="266"/>
      <c r="P4632" s="266"/>
      <c r="Q4632" s="266"/>
      <c r="BR4632" s="266"/>
      <c r="BS4632" s="266"/>
      <c r="BT4632" s="266"/>
      <c r="BU4632" s="266"/>
      <c r="BV4632" s="266"/>
    </row>
    <row r="4633" spans="12:74">
      <c r="L4633" s="266"/>
      <c r="M4633" s="266"/>
      <c r="N4633" s="266"/>
      <c r="O4633" s="266"/>
      <c r="P4633" s="266"/>
      <c r="Q4633" s="266"/>
      <c r="BR4633" s="266"/>
      <c r="BS4633" s="266"/>
      <c r="BT4633" s="266"/>
      <c r="BU4633" s="266"/>
      <c r="BV4633" s="266"/>
    </row>
    <row r="4634" spans="12:74">
      <c r="L4634" s="266"/>
      <c r="M4634" s="266"/>
      <c r="N4634" s="266"/>
      <c r="O4634" s="266"/>
      <c r="P4634" s="266"/>
      <c r="Q4634" s="266"/>
      <c r="BR4634" s="266"/>
      <c r="BS4634" s="266"/>
      <c r="BT4634" s="266"/>
      <c r="BU4634" s="266"/>
      <c r="BV4634" s="266"/>
    </row>
    <row r="4635" spans="12:74">
      <c r="L4635" s="266"/>
      <c r="M4635" s="266"/>
      <c r="N4635" s="266"/>
      <c r="O4635" s="266"/>
      <c r="P4635" s="266"/>
      <c r="Q4635" s="266"/>
      <c r="BR4635" s="266"/>
      <c r="BS4635" s="266"/>
      <c r="BT4635" s="266"/>
      <c r="BU4635" s="266"/>
      <c r="BV4635" s="266"/>
    </row>
    <row r="4636" spans="12:74">
      <c r="L4636" s="266"/>
      <c r="M4636" s="266"/>
      <c r="N4636" s="266"/>
      <c r="O4636" s="266"/>
      <c r="P4636" s="266"/>
      <c r="Q4636" s="266"/>
      <c r="BR4636" s="266"/>
      <c r="BS4636" s="266"/>
      <c r="BT4636" s="266"/>
      <c r="BU4636" s="266"/>
      <c r="BV4636" s="266"/>
    </row>
    <row r="4637" spans="12:74">
      <c r="L4637" s="266"/>
      <c r="M4637" s="266"/>
      <c r="N4637" s="266"/>
      <c r="O4637" s="266"/>
      <c r="P4637" s="266"/>
      <c r="Q4637" s="266"/>
      <c r="BR4637" s="266"/>
      <c r="BS4637" s="266"/>
      <c r="BT4637" s="266"/>
      <c r="BU4637" s="266"/>
      <c r="BV4637" s="266"/>
    </row>
    <row r="4638" spans="12:74">
      <c r="L4638" s="266"/>
      <c r="M4638" s="266"/>
      <c r="N4638" s="266"/>
      <c r="O4638" s="266"/>
      <c r="P4638" s="266"/>
      <c r="Q4638" s="266"/>
      <c r="BR4638" s="266"/>
      <c r="BS4638" s="266"/>
      <c r="BT4638" s="266"/>
      <c r="BU4638" s="266"/>
      <c r="BV4638" s="266"/>
    </row>
    <row r="4639" spans="12:74">
      <c r="L4639" s="266"/>
      <c r="M4639" s="266"/>
      <c r="N4639" s="266"/>
      <c r="O4639" s="266"/>
      <c r="P4639" s="266"/>
      <c r="Q4639" s="266"/>
      <c r="BR4639" s="266"/>
      <c r="BS4639" s="266"/>
      <c r="BT4639" s="266"/>
      <c r="BU4639" s="266"/>
      <c r="BV4639" s="266"/>
    </row>
    <row r="4640" spans="12:74">
      <c r="L4640" s="266"/>
      <c r="M4640" s="266"/>
      <c r="N4640" s="266"/>
      <c r="O4640" s="266"/>
      <c r="P4640" s="266"/>
      <c r="Q4640" s="266"/>
      <c r="BR4640" s="266"/>
      <c r="BS4640" s="266"/>
      <c r="BT4640" s="266"/>
      <c r="BU4640" s="266"/>
      <c r="BV4640" s="266"/>
    </row>
    <row r="4641" spans="12:74">
      <c r="L4641" s="266"/>
      <c r="M4641" s="266"/>
      <c r="N4641" s="266"/>
      <c r="O4641" s="266"/>
      <c r="P4641" s="266"/>
      <c r="Q4641" s="266"/>
      <c r="BR4641" s="266"/>
      <c r="BS4641" s="266"/>
      <c r="BT4641" s="266"/>
      <c r="BU4641" s="266"/>
      <c r="BV4641" s="266"/>
    </row>
    <row r="4642" spans="12:74">
      <c r="L4642" s="266"/>
      <c r="M4642" s="266"/>
      <c r="N4642" s="266"/>
      <c r="O4642" s="266"/>
      <c r="P4642" s="266"/>
      <c r="Q4642" s="266"/>
      <c r="BR4642" s="266"/>
      <c r="BS4642" s="266"/>
      <c r="BT4642" s="266"/>
      <c r="BU4642" s="266"/>
      <c r="BV4642" s="266"/>
    </row>
    <row r="4643" spans="12:74">
      <c r="L4643" s="266"/>
      <c r="M4643" s="266"/>
      <c r="N4643" s="266"/>
      <c r="O4643" s="266"/>
      <c r="P4643" s="266"/>
      <c r="Q4643" s="266"/>
      <c r="BR4643" s="266"/>
      <c r="BS4643" s="266"/>
      <c r="BT4643" s="266"/>
      <c r="BU4643" s="266"/>
      <c r="BV4643" s="266"/>
    </row>
    <row r="4644" spans="12:74">
      <c r="L4644" s="266"/>
      <c r="M4644" s="266"/>
      <c r="N4644" s="266"/>
      <c r="O4644" s="266"/>
      <c r="P4644" s="266"/>
      <c r="Q4644" s="266"/>
      <c r="BR4644" s="266"/>
      <c r="BS4644" s="266"/>
      <c r="BT4644" s="266"/>
      <c r="BU4644" s="266"/>
      <c r="BV4644" s="266"/>
    </row>
    <row r="4645" spans="12:74">
      <c r="L4645" s="266"/>
      <c r="M4645" s="266"/>
      <c r="N4645" s="266"/>
      <c r="O4645" s="266"/>
      <c r="P4645" s="266"/>
      <c r="Q4645" s="266"/>
      <c r="BR4645" s="266"/>
      <c r="BS4645" s="266"/>
      <c r="BT4645" s="266"/>
      <c r="BU4645" s="266"/>
      <c r="BV4645" s="266"/>
    </row>
    <row r="4646" spans="12:74">
      <c r="L4646" s="266"/>
      <c r="M4646" s="266"/>
      <c r="N4646" s="266"/>
      <c r="O4646" s="266"/>
      <c r="P4646" s="266"/>
      <c r="Q4646" s="266"/>
      <c r="BR4646" s="266"/>
      <c r="BS4646" s="266"/>
      <c r="BT4646" s="266"/>
      <c r="BU4646" s="266"/>
      <c r="BV4646" s="266"/>
    </row>
    <row r="4647" spans="12:74">
      <c r="L4647" s="266"/>
      <c r="M4647" s="266"/>
      <c r="N4647" s="266"/>
      <c r="O4647" s="266"/>
      <c r="P4647" s="266"/>
      <c r="Q4647" s="266"/>
      <c r="BR4647" s="266"/>
      <c r="BS4647" s="266"/>
      <c r="BT4647" s="266"/>
      <c r="BU4647" s="266"/>
      <c r="BV4647" s="266"/>
    </row>
    <row r="4648" spans="12:74">
      <c r="L4648" s="266"/>
      <c r="M4648" s="266"/>
      <c r="N4648" s="266"/>
      <c r="O4648" s="266"/>
      <c r="P4648" s="266"/>
      <c r="Q4648" s="266"/>
      <c r="BR4648" s="266"/>
      <c r="BS4648" s="266"/>
      <c r="BT4648" s="266"/>
      <c r="BU4648" s="266"/>
      <c r="BV4648" s="266"/>
    </row>
    <row r="4649" spans="12:74">
      <c r="L4649" s="266"/>
      <c r="M4649" s="266"/>
      <c r="N4649" s="266"/>
      <c r="O4649" s="266"/>
      <c r="P4649" s="266"/>
      <c r="Q4649" s="266"/>
      <c r="BR4649" s="266"/>
      <c r="BS4649" s="266"/>
      <c r="BT4649" s="266"/>
      <c r="BU4649" s="266"/>
      <c r="BV4649" s="266"/>
    </row>
    <row r="4650" spans="12:74">
      <c r="L4650" s="266"/>
      <c r="M4650" s="266"/>
      <c r="N4650" s="266"/>
      <c r="O4650" s="266"/>
      <c r="P4650" s="266"/>
      <c r="Q4650" s="266"/>
      <c r="BR4650" s="266"/>
      <c r="BS4650" s="266"/>
      <c r="BT4650" s="266"/>
      <c r="BU4650" s="266"/>
      <c r="BV4650" s="266"/>
    </row>
    <row r="4651" spans="12:74">
      <c r="L4651" s="266"/>
      <c r="M4651" s="266"/>
      <c r="N4651" s="266"/>
      <c r="O4651" s="266"/>
      <c r="P4651" s="266"/>
      <c r="Q4651" s="266"/>
      <c r="BR4651" s="266"/>
      <c r="BS4651" s="266"/>
      <c r="BT4651" s="266"/>
      <c r="BU4651" s="266"/>
      <c r="BV4651" s="266"/>
    </row>
    <row r="4652" spans="12:74">
      <c r="L4652" s="266"/>
      <c r="M4652" s="266"/>
      <c r="N4652" s="266"/>
      <c r="O4652" s="266"/>
      <c r="P4652" s="266"/>
      <c r="Q4652" s="266"/>
      <c r="BR4652" s="266"/>
      <c r="BS4652" s="266"/>
      <c r="BT4652" s="266"/>
      <c r="BU4652" s="266"/>
      <c r="BV4652" s="266"/>
    </row>
    <row r="4653" spans="12:74">
      <c r="L4653" s="266"/>
      <c r="M4653" s="266"/>
      <c r="N4653" s="266"/>
      <c r="O4653" s="266"/>
      <c r="P4653" s="266"/>
      <c r="Q4653" s="266"/>
      <c r="BR4653" s="266"/>
      <c r="BS4653" s="266"/>
      <c r="BT4653" s="266"/>
      <c r="BU4653" s="266"/>
      <c r="BV4653" s="266"/>
    </row>
    <row r="4654" spans="12:74">
      <c r="L4654" s="266"/>
      <c r="M4654" s="266"/>
      <c r="N4654" s="266"/>
      <c r="O4654" s="266"/>
      <c r="P4654" s="266"/>
      <c r="Q4654" s="266"/>
      <c r="BR4654" s="266"/>
      <c r="BS4654" s="266"/>
      <c r="BT4654" s="266"/>
      <c r="BU4654" s="266"/>
      <c r="BV4654" s="266"/>
    </row>
    <row r="4655" spans="12:74">
      <c r="L4655" s="266"/>
      <c r="M4655" s="266"/>
      <c r="N4655" s="266"/>
      <c r="O4655" s="266"/>
      <c r="P4655" s="266"/>
      <c r="Q4655" s="266"/>
      <c r="BR4655" s="266"/>
      <c r="BS4655" s="266"/>
      <c r="BT4655" s="266"/>
      <c r="BU4655" s="266"/>
      <c r="BV4655" s="266"/>
    </row>
    <row r="4656" spans="12:74">
      <c r="L4656" s="266"/>
      <c r="M4656" s="266"/>
      <c r="N4656" s="266"/>
      <c r="O4656" s="266"/>
      <c r="P4656" s="266"/>
      <c r="Q4656" s="266"/>
      <c r="BR4656" s="266"/>
      <c r="BS4656" s="266"/>
      <c r="BT4656" s="266"/>
      <c r="BU4656" s="266"/>
      <c r="BV4656" s="266"/>
    </row>
    <row r="4657" spans="12:74">
      <c r="L4657" s="266"/>
      <c r="M4657" s="266"/>
      <c r="N4657" s="266"/>
      <c r="O4657" s="266"/>
      <c r="P4657" s="266"/>
      <c r="Q4657" s="266"/>
      <c r="BR4657" s="266"/>
      <c r="BS4657" s="266"/>
      <c r="BT4657" s="266"/>
      <c r="BU4657" s="266"/>
      <c r="BV4657" s="266"/>
    </row>
    <row r="4658" spans="12:74">
      <c r="L4658" s="266"/>
      <c r="M4658" s="266"/>
      <c r="N4658" s="266"/>
      <c r="O4658" s="266"/>
      <c r="P4658" s="266"/>
      <c r="Q4658" s="266"/>
      <c r="BR4658" s="266"/>
      <c r="BS4658" s="266"/>
      <c r="BT4658" s="266"/>
      <c r="BU4658" s="266"/>
      <c r="BV4658" s="266"/>
    </row>
    <row r="4659" spans="12:74">
      <c r="L4659" s="266"/>
      <c r="M4659" s="266"/>
      <c r="N4659" s="266"/>
      <c r="O4659" s="266"/>
      <c r="P4659" s="266"/>
      <c r="Q4659" s="266"/>
      <c r="BR4659" s="266"/>
      <c r="BS4659" s="266"/>
      <c r="BT4659" s="266"/>
      <c r="BU4659" s="266"/>
      <c r="BV4659" s="266"/>
    </row>
    <row r="4660" spans="12:74">
      <c r="L4660" s="266"/>
      <c r="M4660" s="266"/>
      <c r="N4660" s="266"/>
      <c r="O4660" s="266"/>
      <c r="P4660" s="266"/>
      <c r="Q4660" s="266"/>
      <c r="BR4660" s="266"/>
      <c r="BS4660" s="266"/>
      <c r="BT4660" s="266"/>
      <c r="BU4660" s="266"/>
      <c r="BV4660" s="266"/>
    </row>
    <row r="4661" spans="12:74">
      <c r="L4661" s="266"/>
      <c r="M4661" s="266"/>
      <c r="N4661" s="266"/>
      <c r="O4661" s="266"/>
      <c r="P4661" s="266"/>
      <c r="Q4661" s="266"/>
      <c r="BR4661" s="266"/>
      <c r="BS4661" s="266"/>
      <c r="BT4661" s="266"/>
      <c r="BU4661" s="266"/>
      <c r="BV4661" s="266"/>
    </row>
    <row r="4662" spans="12:74">
      <c r="L4662" s="266"/>
      <c r="M4662" s="266"/>
      <c r="N4662" s="266"/>
      <c r="O4662" s="266"/>
      <c r="P4662" s="266"/>
      <c r="Q4662" s="266"/>
      <c r="BR4662" s="266"/>
      <c r="BS4662" s="266"/>
      <c r="BT4662" s="266"/>
      <c r="BU4662" s="266"/>
      <c r="BV4662" s="266"/>
    </row>
    <row r="4663" spans="12:74">
      <c r="L4663" s="266"/>
      <c r="M4663" s="266"/>
      <c r="N4663" s="266"/>
      <c r="O4663" s="266"/>
      <c r="P4663" s="266"/>
      <c r="Q4663" s="266"/>
      <c r="BR4663" s="266"/>
      <c r="BS4663" s="266"/>
      <c r="BT4663" s="266"/>
      <c r="BU4663" s="266"/>
      <c r="BV4663" s="266"/>
    </row>
    <row r="4664" spans="12:74">
      <c r="L4664" s="266"/>
      <c r="M4664" s="266"/>
      <c r="N4664" s="266"/>
      <c r="O4664" s="266"/>
      <c r="P4664" s="266"/>
      <c r="Q4664" s="266"/>
      <c r="BR4664" s="266"/>
      <c r="BS4664" s="266"/>
      <c r="BT4664" s="266"/>
      <c r="BU4664" s="266"/>
      <c r="BV4664" s="266"/>
    </row>
    <row r="4665" spans="12:74">
      <c r="L4665" s="266"/>
      <c r="M4665" s="266"/>
      <c r="N4665" s="266"/>
      <c r="O4665" s="266"/>
      <c r="P4665" s="266"/>
      <c r="Q4665" s="266"/>
      <c r="BR4665" s="266"/>
      <c r="BS4665" s="266"/>
      <c r="BT4665" s="266"/>
      <c r="BU4665" s="266"/>
      <c r="BV4665" s="266"/>
    </row>
    <row r="4666" spans="12:74">
      <c r="L4666" s="266"/>
      <c r="M4666" s="266"/>
      <c r="N4666" s="266"/>
      <c r="O4666" s="266"/>
      <c r="P4666" s="266"/>
      <c r="Q4666" s="266"/>
      <c r="BR4666" s="266"/>
      <c r="BS4666" s="266"/>
      <c r="BT4666" s="266"/>
      <c r="BU4666" s="266"/>
      <c r="BV4666" s="266"/>
    </row>
    <row r="4667" spans="12:74">
      <c r="L4667" s="266"/>
      <c r="M4667" s="266"/>
      <c r="N4667" s="266"/>
      <c r="O4667" s="266"/>
      <c r="P4667" s="266"/>
      <c r="Q4667" s="266"/>
      <c r="BR4667" s="266"/>
      <c r="BS4667" s="266"/>
      <c r="BT4667" s="266"/>
      <c r="BU4667" s="266"/>
      <c r="BV4667" s="266"/>
    </row>
    <row r="4668" spans="12:74">
      <c r="L4668" s="266"/>
      <c r="M4668" s="266"/>
      <c r="N4668" s="266"/>
      <c r="O4668" s="266"/>
      <c r="P4668" s="266"/>
      <c r="Q4668" s="266"/>
      <c r="BR4668" s="266"/>
      <c r="BS4668" s="266"/>
      <c r="BT4668" s="266"/>
      <c r="BU4668" s="266"/>
      <c r="BV4668" s="266"/>
    </row>
    <row r="4669" spans="12:74">
      <c r="L4669" s="266"/>
      <c r="M4669" s="266"/>
      <c r="N4669" s="266"/>
      <c r="O4669" s="266"/>
      <c r="P4669" s="266"/>
      <c r="Q4669" s="266"/>
      <c r="BR4669" s="266"/>
      <c r="BS4669" s="266"/>
      <c r="BT4669" s="266"/>
      <c r="BU4669" s="266"/>
      <c r="BV4669" s="266"/>
    </row>
    <row r="4670" spans="12:74">
      <c r="L4670" s="266"/>
      <c r="M4670" s="266"/>
      <c r="N4670" s="266"/>
      <c r="O4670" s="266"/>
      <c r="P4670" s="266"/>
      <c r="Q4670" s="266"/>
      <c r="BR4670" s="266"/>
      <c r="BS4670" s="266"/>
      <c r="BT4670" s="266"/>
      <c r="BU4670" s="266"/>
      <c r="BV4670" s="266"/>
    </row>
    <row r="4671" spans="12:74">
      <c r="L4671" s="266"/>
      <c r="M4671" s="266"/>
      <c r="N4671" s="266"/>
      <c r="O4671" s="266"/>
      <c r="P4671" s="266"/>
      <c r="Q4671" s="266"/>
      <c r="BR4671" s="266"/>
      <c r="BS4671" s="266"/>
      <c r="BT4671" s="266"/>
      <c r="BU4671" s="266"/>
      <c r="BV4671" s="266"/>
    </row>
    <row r="4672" spans="12:74">
      <c r="L4672" s="266"/>
      <c r="M4672" s="266"/>
      <c r="N4672" s="266"/>
      <c r="O4672" s="266"/>
      <c r="P4672" s="266"/>
      <c r="Q4672" s="266"/>
      <c r="BR4672" s="266"/>
      <c r="BS4672" s="266"/>
      <c r="BT4672" s="266"/>
      <c r="BU4672" s="266"/>
      <c r="BV4672" s="266"/>
    </row>
    <row r="4673" spans="12:74">
      <c r="L4673" s="266"/>
      <c r="M4673" s="266"/>
      <c r="N4673" s="266"/>
      <c r="O4673" s="266"/>
      <c r="P4673" s="266"/>
      <c r="Q4673" s="266"/>
      <c r="BR4673" s="266"/>
      <c r="BS4673" s="266"/>
      <c r="BT4673" s="266"/>
      <c r="BU4673" s="266"/>
      <c r="BV4673" s="266"/>
    </row>
    <row r="4674" spans="12:74">
      <c r="L4674" s="266"/>
      <c r="M4674" s="266"/>
      <c r="N4674" s="266"/>
      <c r="O4674" s="266"/>
      <c r="P4674" s="266"/>
      <c r="Q4674" s="266"/>
      <c r="BR4674" s="266"/>
      <c r="BS4674" s="266"/>
      <c r="BT4674" s="266"/>
      <c r="BU4674" s="266"/>
      <c r="BV4674" s="266"/>
    </row>
    <row r="4675" spans="12:74">
      <c r="L4675" s="266"/>
      <c r="M4675" s="266"/>
      <c r="N4675" s="266"/>
      <c r="O4675" s="266"/>
      <c r="P4675" s="266"/>
      <c r="Q4675" s="266"/>
      <c r="BR4675" s="266"/>
      <c r="BS4675" s="266"/>
      <c r="BT4675" s="266"/>
      <c r="BU4675" s="266"/>
      <c r="BV4675" s="266"/>
    </row>
    <row r="4676" spans="12:74">
      <c r="L4676" s="266"/>
      <c r="M4676" s="266"/>
      <c r="N4676" s="266"/>
      <c r="O4676" s="266"/>
      <c r="P4676" s="266"/>
      <c r="Q4676" s="266"/>
      <c r="BR4676" s="266"/>
      <c r="BS4676" s="266"/>
      <c r="BT4676" s="266"/>
      <c r="BU4676" s="266"/>
      <c r="BV4676" s="266"/>
    </row>
    <row r="4677" spans="12:74">
      <c r="L4677" s="266"/>
      <c r="M4677" s="266"/>
      <c r="N4677" s="266"/>
      <c r="O4677" s="266"/>
      <c r="P4677" s="266"/>
      <c r="Q4677" s="266"/>
      <c r="BR4677" s="266"/>
      <c r="BS4677" s="266"/>
      <c r="BT4677" s="266"/>
      <c r="BU4677" s="266"/>
      <c r="BV4677" s="266"/>
    </row>
    <row r="4678" spans="12:74">
      <c r="L4678" s="266"/>
      <c r="M4678" s="266"/>
      <c r="N4678" s="266"/>
      <c r="O4678" s="266"/>
      <c r="P4678" s="266"/>
      <c r="Q4678" s="266"/>
      <c r="BR4678" s="266"/>
      <c r="BS4678" s="266"/>
      <c r="BT4678" s="266"/>
      <c r="BU4678" s="266"/>
      <c r="BV4678" s="266"/>
    </row>
    <row r="4679" spans="12:74">
      <c r="L4679" s="266"/>
      <c r="M4679" s="266"/>
      <c r="N4679" s="266"/>
      <c r="O4679" s="266"/>
      <c r="P4679" s="266"/>
      <c r="Q4679" s="266"/>
      <c r="BR4679" s="266"/>
      <c r="BS4679" s="266"/>
      <c r="BT4679" s="266"/>
      <c r="BU4679" s="266"/>
      <c r="BV4679" s="266"/>
    </row>
    <row r="4680" spans="12:74">
      <c r="L4680" s="266"/>
      <c r="M4680" s="266"/>
      <c r="N4680" s="266"/>
      <c r="O4680" s="266"/>
      <c r="P4680" s="266"/>
      <c r="Q4680" s="266"/>
      <c r="BR4680" s="266"/>
      <c r="BS4680" s="266"/>
      <c r="BT4680" s="266"/>
      <c r="BU4680" s="266"/>
      <c r="BV4680" s="266"/>
    </row>
    <row r="4681" spans="12:74">
      <c r="L4681" s="266"/>
      <c r="M4681" s="266"/>
      <c r="N4681" s="266"/>
      <c r="O4681" s="266"/>
      <c r="P4681" s="266"/>
      <c r="Q4681" s="266"/>
      <c r="BR4681" s="266"/>
      <c r="BS4681" s="266"/>
      <c r="BT4681" s="266"/>
      <c r="BU4681" s="266"/>
      <c r="BV4681" s="266"/>
    </row>
    <row r="4682" spans="12:74">
      <c r="L4682" s="266"/>
      <c r="M4682" s="266"/>
      <c r="N4682" s="266"/>
      <c r="O4682" s="266"/>
      <c r="P4682" s="266"/>
      <c r="Q4682" s="266"/>
      <c r="BR4682" s="266"/>
      <c r="BS4682" s="266"/>
      <c r="BT4682" s="266"/>
      <c r="BU4682" s="266"/>
      <c r="BV4682" s="266"/>
    </row>
    <row r="4683" spans="12:74">
      <c r="L4683" s="266"/>
      <c r="M4683" s="266"/>
      <c r="N4683" s="266"/>
      <c r="O4683" s="266"/>
      <c r="P4683" s="266"/>
      <c r="Q4683" s="266"/>
      <c r="BR4683" s="266"/>
      <c r="BS4683" s="266"/>
      <c r="BT4683" s="266"/>
      <c r="BU4683" s="266"/>
      <c r="BV4683" s="266"/>
    </row>
    <row r="4684" spans="12:74">
      <c r="L4684" s="266"/>
      <c r="M4684" s="266"/>
      <c r="N4684" s="266"/>
      <c r="O4684" s="266"/>
      <c r="P4684" s="266"/>
      <c r="Q4684" s="266"/>
      <c r="BR4684" s="266"/>
      <c r="BS4684" s="266"/>
      <c r="BT4684" s="266"/>
      <c r="BU4684" s="266"/>
      <c r="BV4684" s="266"/>
    </row>
    <row r="4685" spans="12:74">
      <c r="L4685" s="266"/>
      <c r="M4685" s="266"/>
      <c r="N4685" s="266"/>
      <c r="O4685" s="266"/>
      <c r="P4685" s="266"/>
      <c r="Q4685" s="266"/>
      <c r="BR4685" s="266"/>
      <c r="BS4685" s="266"/>
      <c r="BT4685" s="266"/>
      <c r="BU4685" s="266"/>
      <c r="BV4685" s="266"/>
    </row>
    <row r="4686" spans="12:74">
      <c r="L4686" s="266"/>
      <c r="M4686" s="266"/>
      <c r="N4686" s="266"/>
      <c r="O4686" s="266"/>
      <c r="P4686" s="266"/>
      <c r="Q4686" s="266"/>
      <c r="BR4686" s="266"/>
      <c r="BS4686" s="266"/>
      <c r="BT4686" s="266"/>
      <c r="BU4686" s="266"/>
      <c r="BV4686" s="266"/>
    </row>
    <row r="4687" spans="12:74">
      <c r="L4687" s="266"/>
      <c r="M4687" s="266"/>
      <c r="N4687" s="266"/>
      <c r="O4687" s="266"/>
      <c r="P4687" s="266"/>
      <c r="Q4687" s="266"/>
      <c r="BR4687" s="266"/>
      <c r="BS4687" s="266"/>
      <c r="BT4687" s="266"/>
      <c r="BU4687" s="266"/>
      <c r="BV4687" s="266"/>
    </row>
    <row r="4688" spans="12:74">
      <c r="L4688" s="266"/>
      <c r="M4688" s="266"/>
      <c r="N4688" s="266"/>
      <c r="O4688" s="266"/>
      <c r="P4688" s="266"/>
      <c r="Q4688" s="266"/>
      <c r="BR4688" s="266"/>
      <c r="BS4688" s="266"/>
      <c r="BT4688" s="266"/>
      <c r="BU4688" s="266"/>
      <c r="BV4688" s="266"/>
    </row>
    <row r="4689" spans="12:74">
      <c r="L4689" s="266"/>
      <c r="M4689" s="266"/>
      <c r="N4689" s="266"/>
      <c r="O4689" s="266"/>
      <c r="P4689" s="266"/>
      <c r="Q4689" s="266"/>
      <c r="BR4689" s="266"/>
      <c r="BS4689" s="266"/>
      <c r="BT4689" s="266"/>
      <c r="BU4689" s="266"/>
      <c r="BV4689" s="266"/>
    </row>
    <row r="4690" spans="12:74">
      <c r="L4690" s="266"/>
      <c r="M4690" s="266"/>
      <c r="N4690" s="266"/>
      <c r="O4690" s="266"/>
      <c r="P4690" s="266"/>
      <c r="Q4690" s="266"/>
      <c r="BR4690" s="266"/>
      <c r="BS4690" s="266"/>
      <c r="BT4690" s="266"/>
      <c r="BU4690" s="266"/>
      <c r="BV4690" s="266"/>
    </row>
    <row r="4691" spans="12:74">
      <c r="L4691" s="266"/>
      <c r="M4691" s="266"/>
      <c r="N4691" s="266"/>
      <c r="O4691" s="266"/>
      <c r="P4691" s="266"/>
      <c r="Q4691" s="266"/>
      <c r="BR4691" s="266"/>
      <c r="BS4691" s="266"/>
      <c r="BT4691" s="266"/>
      <c r="BU4691" s="266"/>
      <c r="BV4691" s="266"/>
    </row>
    <row r="4692" spans="12:74">
      <c r="L4692" s="266"/>
      <c r="M4692" s="266"/>
      <c r="N4692" s="266"/>
      <c r="O4692" s="266"/>
      <c r="P4692" s="266"/>
      <c r="Q4692" s="266"/>
      <c r="BR4692" s="266"/>
      <c r="BS4692" s="266"/>
      <c r="BT4692" s="266"/>
      <c r="BU4692" s="266"/>
      <c r="BV4692" s="266"/>
    </row>
    <row r="4693" spans="12:74">
      <c r="L4693" s="266"/>
      <c r="M4693" s="266"/>
      <c r="N4693" s="266"/>
      <c r="O4693" s="266"/>
      <c r="P4693" s="266"/>
      <c r="Q4693" s="266"/>
      <c r="BR4693" s="266"/>
      <c r="BS4693" s="266"/>
      <c r="BT4693" s="266"/>
      <c r="BU4693" s="266"/>
      <c r="BV4693" s="266"/>
    </row>
    <row r="4694" spans="12:74">
      <c r="L4694" s="266"/>
      <c r="M4694" s="266"/>
      <c r="N4694" s="266"/>
      <c r="O4694" s="266"/>
      <c r="P4694" s="266"/>
      <c r="Q4694" s="266"/>
      <c r="BR4694" s="266"/>
      <c r="BS4694" s="266"/>
      <c r="BT4694" s="266"/>
      <c r="BU4694" s="266"/>
      <c r="BV4694" s="266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W96"/>
  <sheetViews>
    <sheetView showGridLines="0" topLeftCell="C16" zoomScale="95" zoomScaleNormal="95" workbookViewId="0">
      <selection activeCell="E65" sqref="E65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1038" t="s">
        <v>1159</v>
      </c>
      <c r="C1" s="1135"/>
      <c r="D1" s="1039"/>
      <c r="E1" s="1039"/>
      <c r="F1" s="1248" t="s">
        <v>952</v>
      </c>
      <c r="G1" s="1249">
        <f ca="1">LnkTXTIRTEco</f>
        <v>0.1024</v>
      </c>
    </row>
    <row r="2" spans="2:19" ht="23.25" customHeight="1">
      <c r="B2" s="138" t="str">
        <f>CAPA!C9</f>
        <v>Cerfox</v>
      </c>
      <c r="C2" s="70"/>
      <c r="D2" s="70"/>
      <c r="E2" s="70"/>
      <c r="F2" s="121" t="s">
        <v>956</v>
      </c>
      <c r="G2" s="122">
        <f ca="1">LnkTXTIRTTotal</f>
        <v>-0.24399999999999999</v>
      </c>
    </row>
    <row r="3" spans="2:19" ht="16.5">
      <c r="B3" s="71" t="s">
        <v>760</v>
      </c>
      <c r="K3" s="71" t="s">
        <v>1160</v>
      </c>
      <c r="O3" s="9" t="s">
        <v>1161</v>
      </c>
    </row>
    <row r="4" spans="2:19">
      <c r="B4" s="1296" t="s">
        <v>854</v>
      </c>
      <c r="C4" s="1296" t="s">
        <v>772</v>
      </c>
      <c r="K4" s="1296" t="s">
        <v>974</v>
      </c>
      <c r="L4" s="1296" t="s">
        <v>771</v>
      </c>
      <c r="M4" s="1296" t="s">
        <v>977</v>
      </c>
      <c r="P4" s="68" t="s">
        <v>1162</v>
      </c>
    </row>
    <row r="5" spans="2:19">
      <c r="B5" s="1297" t="s">
        <v>1163</v>
      </c>
      <c r="C5" s="1298">
        <f ca="1">SUM(C6,C9)</f>
        <v>68450.052945069459</v>
      </c>
      <c r="K5" s="68" t="s">
        <v>857</v>
      </c>
      <c r="L5" s="93">
        <f ca="1">M5</f>
        <v>62056.817999999977</v>
      </c>
      <c r="M5" s="141">
        <f ca="1">FornecimentoE</f>
        <v>62056.817999999977</v>
      </c>
      <c r="P5" s="68" t="s">
        <v>1164</v>
      </c>
    </row>
    <row r="6" spans="2:19">
      <c r="B6" s="1299" t="s">
        <v>1165</v>
      </c>
      <c r="C6" s="1300">
        <f ca="1">SUM(C7:C8)</f>
        <v>62056.817999999977</v>
      </c>
      <c r="E6" s="1614">
        <f ca="1">C23/LnkTXTEV-1</f>
        <v>0.10302228105007716</v>
      </c>
      <c r="K6" s="68" t="s">
        <v>866</v>
      </c>
      <c r="L6" s="93">
        <f t="shared" ref="L6:L9" ca="1" si="0">M6</f>
        <v>0</v>
      </c>
      <c r="M6" s="141">
        <f ca="1">DSUM(MercadoBase,"TUSD_E",INDIRECT("Mercado_Criterio"&amp;Calc_Mercado!B17))</f>
        <v>0</v>
      </c>
      <c r="P6" s="68" t="s">
        <v>1166</v>
      </c>
    </row>
    <row r="7" spans="2:19">
      <c r="B7" s="145" t="s">
        <v>857</v>
      </c>
      <c r="C7" s="146">
        <f ca="1">M5</f>
        <v>62056.817999999977</v>
      </c>
      <c r="K7" s="68" t="s">
        <v>1167</v>
      </c>
      <c r="L7" s="93">
        <f t="shared" ca="1" si="0"/>
        <v>2888.5129999999999</v>
      </c>
      <c r="M7" s="141">
        <f ca="1">LivreE</f>
        <v>2888.5129999999999</v>
      </c>
      <c r="P7" s="68" t="s">
        <v>1168</v>
      </c>
    </row>
    <row r="8" spans="2:19">
      <c r="B8" s="145" t="s">
        <v>866</v>
      </c>
      <c r="C8" s="146">
        <f ca="1">M6</f>
        <v>0</v>
      </c>
      <c r="K8" s="68" t="s">
        <v>957</v>
      </c>
      <c r="L8" s="93">
        <f t="shared" ca="1" si="0"/>
        <v>0</v>
      </c>
      <c r="M8" s="141">
        <f ca="1">LivreE_A1</f>
        <v>0</v>
      </c>
      <c r="P8" s="68" t="s">
        <v>1169</v>
      </c>
    </row>
    <row r="9" spans="2:19">
      <c r="B9" s="1299" t="s">
        <v>1170</v>
      </c>
      <c r="C9" s="1300">
        <f ca="1">SUM(C10:C12)</f>
        <v>6393.2349450694883</v>
      </c>
      <c r="K9" s="824" t="s">
        <v>1171</v>
      </c>
      <c r="L9" s="93">
        <f t="shared" ca="1" si="0"/>
        <v>55219.881999999976</v>
      </c>
      <c r="M9" s="1301">
        <f ca="1">FornecimentoE_BT</f>
        <v>55219.881999999976</v>
      </c>
      <c r="P9" s="68" t="s">
        <v>1172</v>
      </c>
    </row>
    <row r="10" spans="2:19">
      <c r="B10" s="145" t="s">
        <v>1173</v>
      </c>
      <c r="C10" s="146">
        <f ca="1">N16+N17</f>
        <v>6393.2349450694883</v>
      </c>
      <c r="J10" s="125"/>
      <c r="P10" s="79"/>
    </row>
    <row r="11" spans="2:19">
      <c r="B11" s="145" t="s">
        <v>1174</v>
      </c>
      <c r="C11" s="146">
        <f ca="1">N18</f>
        <v>0</v>
      </c>
      <c r="K11" s="71" t="s">
        <v>1175</v>
      </c>
      <c r="L11" s="71"/>
      <c r="M11" s="126"/>
      <c r="P11" s="68" t="s">
        <v>1176</v>
      </c>
      <c r="Q11" s="505">
        <f ca="1">M20/(C6+M20)</f>
        <v>0.10852340125450445</v>
      </c>
      <c r="R11" s="69">
        <f ca="1">Q11*($M$24+LnkTXTGPM)</f>
        <v>7569.272437355964</v>
      </c>
    </row>
    <row r="12" spans="2:19">
      <c r="B12" s="145" t="s">
        <v>1177</v>
      </c>
      <c r="C12" s="146">
        <f ca="1">N19</f>
        <v>0</v>
      </c>
      <c r="D12" s="72"/>
      <c r="F12" s="72"/>
      <c r="G12" s="127"/>
      <c r="K12" s="147" t="s">
        <v>854</v>
      </c>
      <c r="L12" s="147" t="s">
        <v>771</v>
      </c>
      <c r="M12" s="1302" t="s">
        <v>1178</v>
      </c>
      <c r="N12" s="1303" t="s">
        <v>29</v>
      </c>
      <c r="P12" s="68" t="s">
        <v>1179</v>
      </c>
      <c r="Q12" s="398">
        <v>0.1389</v>
      </c>
      <c r="R12" s="69"/>
      <c r="S12" s="142"/>
    </row>
    <row r="13" spans="2:19">
      <c r="B13" s="1304" t="s">
        <v>1180</v>
      </c>
      <c r="C13" s="1305">
        <f ca="1">IFERROR(E23,0)</f>
        <v>226.09207101150452</v>
      </c>
      <c r="D13" s="92"/>
      <c r="E13" s="92"/>
      <c r="F13" s="92"/>
      <c r="G13" s="92"/>
      <c r="K13" s="68" t="s">
        <v>1181</v>
      </c>
      <c r="M13" s="398">
        <f>CAPA!H30</f>
        <v>0</v>
      </c>
      <c r="N13" s="476">
        <f ca="1">IFERROR(IF($M$21&lt;$M$20,M13,($M$20/$M$21)*M13),0)</f>
        <v>0</v>
      </c>
      <c r="P13" s="68" t="s">
        <v>1182</v>
      </c>
      <c r="Q13" s="505">
        <f ca="1">IF(Q11&lt;Q12,Q11,(IF(Q11=0,0,Q11*0.75+Q12*0.25)))</f>
        <v>0.10852340125450445</v>
      </c>
      <c r="R13" s="69">
        <f ca="1">($M$5+$M$6-$M$8)*Q13/(1-Q13)</f>
        <v>7554.4517600000327</v>
      </c>
    </row>
    <row r="14" spans="2:19">
      <c r="B14" s="1306" t="s">
        <v>1183</v>
      </c>
      <c r="C14" s="1307">
        <f ca="1">C13*C5</f>
        <v>15476014.231197888</v>
      </c>
      <c r="D14" s="128"/>
      <c r="E14" s="128"/>
      <c r="F14" s="128"/>
      <c r="G14" s="129"/>
      <c r="K14" s="68" t="s">
        <v>1184</v>
      </c>
      <c r="L14" s="398">
        <f>CAPA!K34</f>
        <v>0.12435816358744038</v>
      </c>
      <c r="M14" s="398">
        <f>IF(CAPA!P1="verdadeiro",IF(CAPA!H29=0,CAPA!K34,CAPA!H29),CAPA!H41)</f>
        <v>9.3399999999999997E-2</v>
      </c>
      <c r="N14" s="398">
        <f ca="1">IFERROR(N17/((M5+M6-M8+N16)+N17),0)</f>
        <v>9.3400000000000011E-2</v>
      </c>
      <c r="P14" s="68" t="s">
        <v>1185</v>
      </c>
      <c r="Q14" s="505">
        <f ca="1">(M17+M16)/(M16+M17+M5+M6)</f>
        <v>9.3400000000000011E-2</v>
      </c>
      <c r="R14" s="69">
        <f ca="1">IF(CAPA!H33="",(M5+M6-M8)/(1-M14)*M14,CAPA!H33)+IF(CAPA!H34="",M13*M9,CAPA!H34)</f>
        <v>6393.2349450694883</v>
      </c>
    </row>
    <row r="15" spans="2:19">
      <c r="E15" s="79"/>
      <c r="F15" s="72"/>
      <c r="G15" s="127"/>
      <c r="K15" s="824" t="s">
        <v>1186</v>
      </c>
      <c r="L15" s="824"/>
      <c r="M15" s="1623">
        <f>IF(CAPA!H31=0,0,CAPA!H31)</f>
        <v>0</v>
      </c>
      <c r="N15" s="1624">
        <f ca="1">IFERROR(M22/(LnkTXTEV+N17+N16),0)</f>
        <v>0</v>
      </c>
      <c r="P15" s="68" t="s">
        <v>1187</v>
      </c>
      <c r="Q15" s="79">
        <f ca="1">IF(Q14&lt;Q13,Q14,Q13)</f>
        <v>9.3400000000000011E-2</v>
      </c>
      <c r="R15" s="69">
        <f ca="1">IF(R14&lt;R13,R14,R13)</f>
        <v>6393.2349450694883</v>
      </c>
      <c r="S15" s="79">
        <f ca="1">R15/(M5+R15)</f>
        <v>9.3400000000000011E-2</v>
      </c>
    </row>
    <row r="16" spans="2:19">
      <c r="B16" s="130" t="s">
        <v>1188</v>
      </c>
      <c r="C16" s="131"/>
      <c r="D16" s="132"/>
      <c r="E16" s="132"/>
      <c r="F16" s="132"/>
      <c r="K16" s="1308" t="s">
        <v>1189</v>
      </c>
      <c r="L16" s="1308"/>
      <c r="M16" s="1308">
        <f ca="1">IF(CAPA!H34="",M13*M9,CAPA!H34)</f>
        <v>0</v>
      </c>
      <c r="N16" s="477">
        <f ca="1">IF(CAPA!P1="verdadeiro",IF($M$21&lt;$M$20,M16,($M$20/$M$21)*M16),M16)</f>
        <v>0</v>
      </c>
      <c r="P16" s="142" t="s">
        <v>1190</v>
      </c>
      <c r="Q16" s="79">
        <f ca="1">IF(Q15&gt;Q12,Q12,Q15)</f>
        <v>9.3400000000000011E-2</v>
      </c>
      <c r="R16" s="69">
        <f ca="1">($M$5+$M$6-$M$8+R15)*Q16</f>
        <v>6393.2349450694883</v>
      </c>
    </row>
    <row r="17" spans="1:23">
      <c r="B17" s="1296" t="s">
        <v>1191</v>
      </c>
      <c r="C17" s="1296" t="s">
        <v>1192</v>
      </c>
      <c r="D17" s="1296"/>
      <c r="E17" s="1296" t="s">
        <v>1193</v>
      </c>
      <c r="F17" s="1296" t="s">
        <v>1194</v>
      </c>
      <c r="K17" s="141" t="s">
        <v>1195</v>
      </c>
      <c r="L17" s="141">
        <f ca="1">IF(CAPA!G33="",(L5+L6-L8+L16)/(1-L14)*L14,CAPA!G33)</f>
        <v>8813.2745646063559</v>
      </c>
      <c r="M17" s="141">
        <f ca="1">IF(CAPA!H33="",(M5+M6-M8+M16)/(1-M14)*M14,CAPA!H33)</f>
        <v>6393.2349450694883</v>
      </c>
      <c r="N17" s="477">
        <f ca="1">IF(CAPA!P1="verdadeiro",IF($M$21&lt;$M$20,M17,($M$20/$M$21)*M17),M17)+M23</f>
        <v>6393.2349450694883</v>
      </c>
      <c r="O17" s="142"/>
      <c r="P17" s="68" t="s">
        <v>1196</v>
      </c>
      <c r="Q17" s="398">
        <f ca="1">Q15-Q16</f>
        <v>0</v>
      </c>
      <c r="R17" s="69">
        <f ca="1">R15-R16</f>
        <v>0</v>
      </c>
    </row>
    <row r="18" spans="1:23">
      <c r="B18" s="78" t="s">
        <v>270</v>
      </c>
      <c r="C18" s="798">
        <f ca="1">IFERROR(C70*O30,0)</f>
        <v>0</v>
      </c>
      <c r="D18" s="123"/>
      <c r="E18" s="123">
        <f>CAPA!E58</f>
        <v>0</v>
      </c>
      <c r="F18" s="77">
        <f ca="1">C18*E18</f>
        <v>0</v>
      </c>
      <c r="G18" s="799"/>
      <c r="H18" s="801"/>
      <c r="I18" s="134"/>
      <c r="K18" s="141" t="s">
        <v>1174</v>
      </c>
      <c r="L18" s="141"/>
      <c r="M18" s="477"/>
      <c r="N18" s="1673">
        <f ca="1">(N16+N17)*N15</f>
        <v>0</v>
      </c>
      <c r="P18" s="68" t="s">
        <v>1197</v>
      </c>
      <c r="Q18" s="79">
        <f ca="1">R17/M9</f>
        <v>0</v>
      </c>
    </row>
    <row r="19" spans="1:23">
      <c r="B19" s="78" t="s">
        <v>47</v>
      </c>
      <c r="C19" s="256" cm="1">
        <f t="array" ref="C19">TabEnergiaProinfa[MWh]</f>
        <v>1118.7514856640885</v>
      </c>
      <c r="D19" s="89"/>
      <c r="E19" s="89">
        <v>0</v>
      </c>
      <c r="F19" s="77">
        <v>0</v>
      </c>
      <c r="G19" s="800"/>
      <c r="H19" s="801"/>
      <c r="K19" s="1301" t="s">
        <v>1177</v>
      </c>
      <c r="L19" s="1301"/>
      <c r="M19" s="1625"/>
      <c r="N19" s="1674">
        <f ca="1">(M5+M6)*N15</f>
        <v>0</v>
      </c>
      <c r="Q19" s="142"/>
    </row>
    <row r="20" spans="1:23">
      <c r="B20" s="78" t="str">
        <f>B63</f>
        <v>Angra</v>
      </c>
      <c r="C20" s="256">
        <f ca="1">C63*O30</f>
        <v>702.51081413948702</v>
      </c>
      <c r="D20" s="89"/>
      <c r="E20" s="89">
        <f>E63</f>
        <v>349.15</v>
      </c>
      <c r="F20" s="77">
        <f ca="1">E20*C20</f>
        <v>245281.65075680189</v>
      </c>
      <c r="G20" s="800"/>
      <c r="H20" s="801"/>
      <c r="J20" s="134"/>
      <c r="K20" s="141" t="s">
        <v>1198</v>
      </c>
      <c r="L20" s="141"/>
      <c r="M20" s="141">
        <f ca="1">IF(M25-LnkTXTEV+LnkTXTGPM&lt;0,0,M25-LnkTXTEV+LnkTXTGPM)</f>
        <v>7554.4517600000327</v>
      </c>
      <c r="N20" s="399"/>
      <c r="O20" s="142"/>
    </row>
    <row r="21" spans="1:23">
      <c r="B21" s="78" t="str">
        <f>B64</f>
        <v>CCGF</v>
      </c>
      <c r="C21" s="256">
        <f ca="1">(C64+C65)*O30</f>
        <v>3376.752809037554</v>
      </c>
      <c r="D21" s="89"/>
      <c r="E21" s="89">
        <f>E64</f>
        <v>153</v>
      </c>
      <c r="F21" s="77">
        <f ca="1">E21*C21</f>
        <v>516643.17978274578</v>
      </c>
      <c r="G21" s="800"/>
      <c r="H21" s="801"/>
      <c r="K21" s="1301" t="s">
        <v>1199</v>
      </c>
      <c r="L21" s="1301"/>
      <c r="M21" s="1301">
        <f ca="1">M16+M17</f>
        <v>6393.2349450694883</v>
      </c>
      <c r="N21" s="1309"/>
    </row>
    <row r="22" spans="1:23">
      <c r="B22" s="78" t="s">
        <v>1200</v>
      </c>
      <c r="C22" s="256">
        <f ca="1">IF(J60=0,E35,(J48+J60))*O30</f>
        <v>63252.03783622833</v>
      </c>
      <c r="D22" s="89"/>
      <c r="E22" s="89">
        <f ca="1">IF(K60=0,H35,(N48+N60)/(M48+M60))</f>
        <v>232.62632958571143</v>
      </c>
      <c r="F22" s="77">
        <f ca="1">E22*C22</f>
        <v>14714089.400658341</v>
      </c>
      <c r="G22" s="800"/>
      <c r="H22" s="801"/>
      <c r="K22" s="68" t="s">
        <v>2196</v>
      </c>
      <c r="M22" s="1622">
        <f>SUMIFS(TabPerdaDIT[Valor],TabPerdaDIT[Dados de perda],"Perdas RB")</f>
        <v>0</v>
      </c>
    </row>
    <row r="23" spans="1:23">
      <c r="B23" s="1310" t="s">
        <v>1201</v>
      </c>
      <c r="C23" s="1311">
        <f ca="1">SUM(C18:C22)</f>
        <v>68450.052945069459</v>
      </c>
      <c r="D23" s="1312"/>
      <c r="E23" s="1312">
        <f ca="1">IF(SUM(C18:C22)=0,0,SUM(F18:F22)/SUM(C18:C22))</f>
        <v>226.09207101150452</v>
      </c>
      <c r="F23" s="1313">
        <f ca="1">SUM(F18:F22)</f>
        <v>15476014.231197888</v>
      </c>
      <c r="G23" s="800"/>
      <c r="H23" s="801"/>
      <c r="K23" s="68" t="s">
        <v>2297</v>
      </c>
      <c r="M23" s="1622">
        <f>SUMIFS(TabPerdaDIT[Valor],TabPerdaDIT[Dados de perda],"Perdas DITs")</f>
        <v>0</v>
      </c>
    </row>
    <row r="24" spans="1:23" ht="27.75" customHeight="1">
      <c r="F24" s="135"/>
      <c r="G24" s="800"/>
      <c r="H24" s="849"/>
      <c r="J24" s="72"/>
      <c r="K24" s="1314" t="s">
        <v>1202</v>
      </c>
      <c r="L24" s="1314"/>
      <c r="M24" s="1315">
        <f ca="1">SUMIF(CUSD!F6:F30,"Energia",CUSD!G6:G30)/1000-M7</f>
        <v>69747.836409999989</v>
      </c>
      <c r="N24" s="68">
        <f ca="1">LnkTXTEV</f>
        <v>62056.817999999977</v>
      </c>
    </row>
    <row r="25" spans="1:23">
      <c r="E25" s="93"/>
      <c r="F25" s="135"/>
      <c r="G25" s="127"/>
      <c r="H25" s="72"/>
      <c r="I25" s="72"/>
      <c r="J25" s="72"/>
      <c r="K25" s="1314" t="s">
        <v>878</v>
      </c>
      <c r="L25" s="1314"/>
      <c r="M25" s="1316">
        <f>E35+M26+C70</f>
        <v>69611.26976000001</v>
      </c>
      <c r="N25" s="783">
        <f ca="1">M24/M25-1</f>
        <v>1.9618468456445992E-3</v>
      </c>
    </row>
    <row r="26" spans="1:23">
      <c r="A26" s="74"/>
      <c r="B26" s="898" t="s">
        <v>2195</v>
      </c>
      <c r="F26" s="91"/>
      <c r="G26" s="72"/>
      <c r="H26" s="72"/>
      <c r="I26" s="72"/>
      <c r="K26" s="1314" t="s">
        <v>1203</v>
      </c>
      <c r="L26" s="1314"/>
      <c r="M26" s="1317">
        <f>SUMIFS(Faturas!V:V,Faturas!U:U,"Proinfa*")/1000</f>
        <v>1118.0901799999999</v>
      </c>
    </row>
    <row r="27" spans="1:23" ht="24" customHeight="1">
      <c r="B27" s="1318" t="s">
        <v>27</v>
      </c>
      <c r="C27" s="1318" t="s">
        <v>954</v>
      </c>
      <c r="D27" s="1318" t="s">
        <v>1204</v>
      </c>
      <c r="E27" s="1318" t="s">
        <v>977</v>
      </c>
      <c r="F27" s="1318" t="s">
        <v>1205</v>
      </c>
      <c r="G27" s="1319" t="s">
        <v>1206</v>
      </c>
      <c r="H27" s="1319" t="s">
        <v>1207</v>
      </c>
      <c r="I27" s="1319" t="s">
        <v>1208</v>
      </c>
      <c r="K27" s="130"/>
      <c r="L27" s="130"/>
      <c r="M27" s="845"/>
      <c r="N27" s="101"/>
      <c r="O27" s="101"/>
    </row>
    <row r="28" spans="1:23">
      <c r="A28" s="74" t="s">
        <v>2312</v>
      </c>
      <c r="B28" s="525" t="s">
        <v>2313</v>
      </c>
      <c r="C28" s="525" t="s">
        <v>2179</v>
      </c>
      <c r="D28" s="525">
        <f>IF(B28="","",SUMIFS(Faturas!V:V,Faturas!U:U,"Consumo*",Faturas!S:S,Energia!C28,Faturas!R:R,Energia!B28))</f>
        <v>68493179.580000013</v>
      </c>
      <c r="E28" s="525">
        <f>IF(B28="","",D28/1000)</f>
        <v>68493.179580000011</v>
      </c>
      <c r="F28" s="617">
        <f>I28</f>
        <v>0.1401</v>
      </c>
      <c r="G28" s="526">
        <f>IFERROR(VLOOKUP(CONCATENATE(A28,A78),BD!$H$43:$S$59,12,FALSE),"")</f>
        <v>273.92</v>
      </c>
      <c r="H28" s="526">
        <f>IF(B28="","",IFERROR(G28*(1-F28),0))</f>
        <v>235.54380800000001</v>
      </c>
      <c r="I28" s="524">
        <f>IF(A78="","",_xlfn.IFNA(VLOOKUP(CONCATENATE($B$2,A28,A78),DescontosTE[[#All],[chave]:[2021]],8,FALSE),0))</f>
        <v>0.1401</v>
      </c>
      <c r="K28" s="71" t="s">
        <v>1209</v>
      </c>
      <c r="L28" s="71"/>
      <c r="Q28" s="68" t="s">
        <v>977</v>
      </c>
      <c r="R28" s="68" t="s">
        <v>1205</v>
      </c>
      <c r="S28" s="68" t="s">
        <v>1206</v>
      </c>
      <c r="T28" s="68" t="s">
        <v>1207</v>
      </c>
      <c r="U28" s="68" t="s">
        <v>1208</v>
      </c>
    </row>
    <row r="29" spans="1:23" ht="16.5">
      <c r="A29" s="74"/>
      <c r="B29" s="525"/>
      <c r="C29" s="525"/>
      <c r="D29" s="525" t="str">
        <f>IF(B29="","",SUMIFS(Faturas!V:V,Faturas!U:U,"Consumo*",Faturas!S:S,Energia!C29,Faturas!R:R,Energia!B29))</f>
        <v/>
      </c>
      <c r="E29" s="525" t="str">
        <f>IF(B29="","",D29/1000)</f>
        <v/>
      </c>
      <c r="F29" s="617" t="str">
        <f>I29</f>
        <v/>
      </c>
      <c r="G29" s="526" t="str">
        <f>IFERROR(VLOOKUP(CONCATENATE(A29,A79),BD!$H$43:$S$59,12,FALSE),"")</f>
        <v/>
      </c>
      <c r="H29" s="526" t="str">
        <f t="shared" ref="H29:H34" si="1">IF(B29="","",IFERROR(G29*(1-F29),0))</f>
        <v/>
      </c>
      <c r="I29" s="524" t="str">
        <f>IF(A79="","",_xlfn.IFNA(VLOOKUP(CONCATENATE($B$2,A29,A79),DescontosTE[[#All],[chave]:[2021]],8,FALSE),0))</f>
        <v/>
      </c>
      <c r="K29" s="1320" t="s">
        <v>22</v>
      </c>
      <c r="L29" s="1321"/>
      <c r="M29" s="1321" t="s">
        <v>1210</v>
      </c>
      <c r="N29" s="1321" t="s">
        <v>1211</v>
      </c>
      <c r="O29" s="1322" t="s">
        <v>1212</v>
      </c>
      <c r="P29" s="130"/>
      <c r="Q29" s="68">
        <v>88939.902920000008</v>
      </c>
      <c r="R29" s="68">
        <f>R30</f>
        <v>0.63819999999999999</v>
      </c>
      <c r="S29" s="68">
        <v>273.60000000000002</v>
      </c>
      <c r="T29" s="526">
        <f ca="1">IF(N30="","",IFERROR(S29*(1-R29),0))</f>
        <v>98.98848000000001</v>
      </c>
      <c r="U29" s="142">
        <f ca="1">T29*Q29</f>
        <v>8804025.801398363</v>
      </c>
      <c r="V29" s="68">
        <f>S29*Q29</f>
        <v>24333957.438912004</v>
      </c>
      <c r="W29" s="142">
        <f ca="1">V29-U29</f>
        <v>15529931.637513641</v>
      </c>
    </row>
    <row r="30" spans="1:23">
      <c r="A30" s="74"/>
      <c r="B30" s="525"/>
      <c r="C30" s="525"/>
      <c r="D30" s="525" t="str">
        <f>IF(B30="","",SUMIFS(Faturas!V:V,Faturas!U:U,"Consumo*",Faturas!S:S,Energia!C30,Faturas!R:R,Energia!B30))</f>
        <v/>
      </c>
      <c r="E30" s="525" t="str">
        <f>IF(B30="","",D30/1000)</f>
        <v/>
      </c>
      <c r="F30" s="617" t="str">
        <f t="shared" ref="F30:F32" si="2">I30</f>
        <v/>
      </c>
      <c r="G30" s="526" t="str">
        <f>IFERROR(VLOOKUP(CONCATENATE(A30,A80),BD!$H$43:$S$59,12,FALSE),"")</f>
        <v/>
      </c>
      <c r="H30" s="526" t="str">
        <f t="shared" si="1"/>
        <v/>
      </c>
      <c r="I30" s="524" t="str">
        <f>IF(A80="","",_xlfn.IFNA(VLOOKUP(CONCATENATE($B$2,A30,A80),DescontosTE[[#All],[chave]:[2021]],8,FALSE),0))</f>
        <v/>
      </c>
      <c r="K30" s="68" t="s">
        <v>1213</v>
      </c>
      <c r="M30" s="142">
        <f>IF(J60=0,E35,(J48+J60))+C63+C64+C65+C70</f>
        <v>69707.323822445775</v>
      </c>
      <c r="N30" s="93">
        <f ca="1">LnkTXTER-LnkTXTProinfa</f>
        <v>67331.301459405367</v>
      </c>
      <c r="O30" s="212">
        <f ca="1">N30/M30</f>
        <v>0.96591430809921108</v>
      </c>
      <c r="P30" s="130"/>
      <c r="Q30" s="68">
        <v>121096.97702999999</v>
      </c>
      <c r="R30" s="68">
        <v>0.63819999999999999</v>
      </c>
      <c r="S30" s="68">
        <v>273.60000000000002</v>
      </c>
      <c r="T30" s="526" t="str">
        <f>IF(J28="","",IFERROR(S30*(1-R30),0))</f>
        <v/>
      </c>
      <c r="U30" s="142" t="e">
        <f t="shared" ref="U30" si="3">T30*Q30</f>
        <v>#VALUE!</v>
      </c>
      <c r="V30" s="68">
        <f t="shared" ref="V30" si="4">S30*Q30</f>
        <v>33132132.915408</v>
      </c>
      <c r="W30" s="142" t="e">
        <f t="shared" ref="V30:W31" si="5">V30-U30</f>
        <v>#VALUE!</v>
      </c>
    </row>
    <row r="31" spans="1:23" ht="15.75">
      <c r="A31" s="74"/>
      <c r="B31" s="525"/>
      <c r="C31" s="525"/>
      <c r="D31" s="525" t="str">
        <f>IF(B31="","",SUMIFS(Faturas!V:V,Faturas!U:U,"Consumo*",Faturas!S:S,Energia!C31,Faturas!R:R,Energia!B31))</f>
        <v/>
      </c>
      <c r="E31" s="525" t="str">
        <f t="shared" ref="E31:E34" si="6">IF(B31="","",D31/1000)</f>
        <v/>
      </c>
      <c r="F31" s="617" t="str">
        <f t="shared" si="2"/>
        <v/>
      </c>
      <c r="G31" s="526" t="str">
        <f>IFERROR(VLOOKUP(CONCATENATE(A31,A81),BD!$H$43:$S$59,12,FALSE),"")</f>
        <v/>
      </c>
      <c r="H31" s="526" t="str">
        <f t="shared" si="1"/>
        <v/>
      </c>
      <c r="I31" s="524" t="str">
        <f>IF(A81="","",_xlfn.IFNA(VLOOKUP(CONCATENATE($B$2,A31,A81),DescontosTE[[#All],[chave]:[2021]],8,FALSE),0))</f>
        <v/>
      </c>
      <c r="K31" s="832"/>
      <c r="L31" s="834"/>
      <c r="M31" s="833"/>
      <c r="N31" s="835"/>
      <c r="O31" s="130"/>
      <c r="P31" s="68">
        <v>252593.90320000003</v>
      </c>
      <c r="Q31" s="68">
        <v>0.53600000000000003</v>
      </c>
      <c r="R31" s="68">
        <v>273.60000000000002</v>
      </c>
      <c r="S31" s="526" t="str">
        <f>IF(J29="","",IFERROR(R31*(1-Q31),0))</f>
        <v/>
      </c>
      <c r="T31" s="142" t="e">
        <f>S31*P31</f>
        <v>#VALUE!</v>
      </c>
      <c r="U31" s="68">
        <f>R31*P31</f>
        <v>69109691.915520012</v>
      </c>
      <c r="V31" s="142" t="e">
        <f t="shared" si="5"/>
        <v>#VALUE!</v>
      </c>
    </row>
    <row r="32" spans="1:23" ht="15.75">
      <c r="A32" s="74"/>
      <c r="B32" s="525"/>
      <c r="C32" s="525"/>
      <c r="D32" s="525" t="str">
        <f>IF(B32="","",SUMIFS(Faturas!V:V,Faturas!U:U,"Consumo*",Faturas!S:S,Energia!C32,Faturas!R:R,Energia!B32))</f>
        <v/>
      </c>
      <c r="E32" s="525" t="str">
        <f t="shared" si="6"/>
        <v/>
      </c>
      <c r="F32" s="617" t="str">
        <f t="shared" si="2"/>
        <v/>
      </c>
      <c r="G32" s="526" t="str">
        <f>IFERROR(VLOOKUP(CONCATENATE(A32,A82),BD!$H$43:$S$59,12,FALSE),"")</f>
        <v/>
      </c>
      <c r="H32" s="526" t="str">
        <f t="shared" si="1"/>
        <v/>
      </c>
      <c r="I32" s="524" t="str">
        <f>IF(A82="","",_xlfn.IFNA(VLOOKUP(CONCATENATE($B$2,A32,A82),DescontosTE[[#All],[chave]:[2021]],8,FALSE),0))</f>
        <v/>
      </c>
      <c r="K32" s="1747"/>
      <c r="L32" s="1747"/>
      <c r="M32" s="836"/>
      <c r="N32" s="836"/>
      <c r="P32" s="68" t="s">
        <v>138</v>
      </c>
      <c r="Q32" s="68" t="s">
        <v>138</v>
      </c>
      <c r="R32" s="68" t="s">
        <v>138</v>
      </c>
      <c r="S32" s="68" t="s">
        <v>138</v>
      </c>
      <c r="T32" s="142" t="e">
        <f ca="1">SUM(T29:T31)</f>
        <v>#VALUE!</v>
      </c>
      <c r="V32" s="142" t="e">
        <f>SUM(V29:V31)</f>
        <v>#VALUE!</v>
      </c>
    </row>
    <row r="33" spans="1:22" ht="16.5" customHeight="1">
      <c r="A33" s="74"/>
      <c r="B33" s="525"/>
      <c r="C33" s="525"/>
      <c r="D33" s="525"/>
      <c r="E33" s="525" t="str">
        <f t="shared" si="6"/>
        <v/>
      </c>
      <c r="F33" s="617" t="str">
        <f t="shared" ref="F33:F34" si="7">IF(B33="","",I33)</f>
        <v/>
      </c>
      <c r="G33" s="526" t="str">
        <f>IFERROR(VLOOKUP(CONCATENATE(A33,A83),BD!$H$43:$S$59,12,FALSE),"")</f>
        <v/>
      </c>
      <c r="H33" s="526" t="str">
        <f t="shared" si="1"/>
        <v/>
      </c>
      <c r="I33" s="524" t="str">
        <f>IF(A83="","",_xlfn.IFNA(VLOOKUP(CONCATENATE($B$2,A33,A83),DescontosTE[[#All],[chave]:[2021]],8,FALSE),0))</f>
        <v/>
      </c>
      <c r="K33" s="837"/>
      <c r="L33" s="838"/>
      <c r="M33" s="836"/>
      <c r="N33" s="834"/>
      <c r="O33" s="130"/>
      <c r="P33" s="68" t="s">
        <v>138</v>
      </c>
      <c r="Q33" s="68" t="s">
        <v>138</v>
      </c>
      <c r="R33" s="68" t="s">
        <v>138</v>
      </c>
      <c r="S33" s="68" t="s">
        <v>138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25"/>
      <c r="C34" s="525"/>
      <c r="D34" s="525" t="str">
        <f>IF(B34="","",SUMIFS(Faturas!V:V,Faturas!U:U,"Consumo*",Faturas!S:S,Energia!C34,Faturas!R:R,Energia!B34))</f>
        <v/>
      </c>
      <c r="E34" s="525" t="str">
        <f t="shared" si="6"/>
        <v/>
      </c>
      <c r="F34" s="617" t="str">
        <f t="shared" si="7"/>
        <v/>
      </c>
      <c r="G34" s="526" t="str">
        <f>IFERROR(VLOOKUP(CONCATENATE(A34,A84),BD!$H$43:$S$59,12,FALSE),"")</f>
        <v/>
      </c>
      <c r="H34" s="526" t="str">
        <f t="shared" si="1"/>
        <v/>
      </c>
      <c r="I34" s="524" t="str">
        <f>IF(A84="","",_xlfn.IFNA(VLOOKUP(CONCATENATE($B$2,A34,A84),DescontosTE[[#All],[chave]:[2021]],8,FALSE),0))</f>
        <v/>
      </c>
      <c r="K34" s="1700" t="s">
        <v>2353</v>
      </c>
      <c r="L34" s="1701"/>
      <c r="M34" s="781"/>
      <c r="N34" s="101"/>
      <c r="O34" s="130"/>
      <c r="V34" s="142" t="e">
        <f>V32+V33</f>
        <v>#VALUE!</v>
      </c>
    </row>
    <row r="35" spans="1:22" ht="14.25" customHeight="1">
      <c r="A35" s="74"/>
      <c r="B35" s="762"/>
      <c r="C35" s="763"/>
      <c r="D35" s="764">
        <f>SUM(D28:D34)</f>
        <v>68493179.580000013</v>
      </c>
      <c r="E35" s="764">
        <f>SUM(E28:E34)</f>
        <v>68493.179580000011</v>
      </c>
      <c r="F35" s="761"/>
      <c r="G35" s="757">
        <f>IFERROR(SUMPRODUCT(G28:G34,E28:E34)/SUM(E28:E34),0)</f>
        <v>273.92</v>
      </c>
      <c r="H35" s="758">
        <f>IFERROR(SUMPRODUCT(H28:H34,E28:E34)/SUM(E28:E34),0)</f>
        <v>235.54380800000001</v>
      </c>
      <c r="I35" s="757"/>
      <c r="K35" s="1702" t="s">
        <v>2354</v>
      </c>
      <c r="L35" s="1703">
        <f ca="1">(L16+L17+L18+L19)/LnkTXTEV</f>
        <v>0.14201944038778075</v>
      </c>
      <c r="M35" s="781"/>
      <c r="N35" s="782"/>
      <c r="O35" s="130"/>
      <c r="P35" s="68" t="s">
        <v>138</v>
      </c>
      <c r="Q35" s="68" t="s">
        <v>138</v>
      </c>
      <c r="R35" s="68" t="s">
        <v>138</v>
      </c>
      <c r="S35" s="68" t="s">
        <v>138</v>
      </c>
      <c r="T35" s="68" t="s">
        <v>138</v>
      </c>
    </row>
    <row r="36" spans="1:22" ht="24" customHeight="1">
      <c r="A36" s="74"/>
      <c r="C36" s="68"/>
      <c r="J36" s="74"/>
      <c r="O36" s="130"/>
    </row>
    <row r="37" spans="1:22" ht="24" customHeight="1">
      <c r="A37" s="74"/>
      <c r="B37" s="898" t="s">
        <v>2192</v>
      </c>
      <c r="C37" s="68"/>
      <c r="J37" s="74"/>
      <c r="O37" s="130"/>
    </row>
    <row r="38" spans="1:22" ht="24" customHeight="1">
      <c r="A38" s="74"/>
      <c r="C38" s="68"/>
      <c r="J38" s="74"/>
      <c r="O38" s="130"/>
    </row>
    <row r="39" spans="1:22" ht="24" customHeight="1">
      <c r="A39" s="74"/>
      <c r="B39" s="898" t="s">
        <v>2193</v>
      </c>
      <c r="C39" s="69"/>
      <c r="G39" s="137"/>
      <c r="O39" s="130"/>
    </row>
    <row r="40" spans="1:22" ht="24" customHeight="1">
      <c r="A40" s="74"/>
      <c r="B40" s="1323" t="s">
        <v>854</v>
      </c>
      <c r="C40" s="1324" t="s">
        <v>1214</v>
      </c>
      <c r="D40" s="1325"/>
      <c r="E40" s="1324" t="s">
        <v>62</v>
      </c>
      <c r="F40" s="1324" t="s">
        <v>61</v>
      </c>
      <c r="G40" s="1324" t="s">
        <v>1215</v>
      </c>
      <c r="H40" s="1324" t="s">
        <v>1216</v>
      </c>
      <c r="I40" s="1324" t="s">
        <v>1217</v>
      </c>
      <c r="J40" s="1324" t="s">
        <v>977</v>
      </c>
      <c r="K40" s="1324" t="s">
        <v>1218</v>
      </c>
      <c r="L40" s="1324" t="s">
        <v>1219</v>
      </c>
      <c r="M40" s="1324" t="s">
        <v>1220</v>
      </c>
      <c r="N40" s="1324" t="s">
        <v>1221</v>
      </c>
      <c r="O40" s="130"/>
    </row>
    <row r="41" spans="1:22" ht="24" customHeight="1">
      <c r="A41" s="74"/>
      <c r="B41" s="1615" t="s">
        <v>2349</v>
      </c>
      <c r="C41" s="1615"/>
      <c r="D41" s="1615"/>
      <c r="E41" s="1616"/>
      <c r="F41" s="1617"/>
      <c r="G41" s="1618"/>
      <c r="H41" s="1619"/>
      <c r="I41" s="1616"/>
      <c r="J41" s="1615">
        <f>SUM(F90:F95,G84:G89)</f>
        <v>55636.453000000009</v>
      </c>
      <c r="K41" s="1620">
        <f>H28</f>
        <v>235.54380800000001</v>
      </c>
      <c r="L41" s="830">
        <f>IFERROR(J41*K41,0)</f>
        <v>13104822.003233027</v>
      </c>
      <c r="M41" s="839">
        <f t="shared" ref="M41:M47" ca="1" si="8">IFERROR(J41*$O$30,0)</f>
        <v>53740.046004589283</v>
      </c>
      <c r="N41" s="830">
        <f ca="1">IFERROR(K41*M41,0)</f>
        <v>12658135.078016145</v>
      </c>
      <c r="O41" s="130"/>
    </row>
    <row r="42" spans="1:22" ht="24" customHeight="1">
      <c r="A42" s="74"/>
      <c r="B42" s="1615"/>
      <c r="C42" s="1615"/>
      <c r="D42" s="1615"/>
      <c r="E42" s="1616"/>
      <c r="F42" s="1617"/>
      <c r="G42" s="1618"/>
      <c r="H42" s="1619"/>
      <c r="I42" s="1621"/>
      <c r="J42" s="1615"/>
      <c r="K42" s="1620">
        <f>H8</f>
        <v>0</v>
      </c>
      <c r="L42" s="830">
        <f>IFERROR(J42*K42,0)</f>
        <v>0</v>
      </c>
      <c r="M42" s="839">
        <f t="shared" ca="1" si="8"/>
        <v>0</v>
      </c>
      <c r="N42" s="830">
        <f ca="1">IFERROR(K42*M42,0)</f>
        <v>0</v>
      </c>
      <c r="O42" s="130"/>
    </row>
    <row r="43" spans="1:22" ht="24" customHeight="1">
      <c r="A43" s="74"/>
      <c r="B43" s="1615"/>
      <c r="C43" s="1615"/>
      <c r="D43" s="1615" t="s">
        <v>138</v>
      </c>
      <c r="E43" s="1616" t="str">
        <f t="shared" ref="E43:E47" si="9">IF(B43="","",D43/1000)</f>
        <v/>
      </c>
      <c r="F43" s="1617" t="str">
        <f>IF(B43="","",I43)</f>
        <v/>
      </c>
      <c r="G43" s="1618" t="s">
        <v>138</v>
      </c>
      <c r="H43" s="1619">
        <v>0</v>
      </c>
      <c r="I43" s="1616">
        <v>0</v>
      </c>
      <c r="J43" s="1615"/>
      <c r="K43" s="1620">
        <f>IFERROR(E43*(VLOOKUP(EDATE(G43,-1),Índices!#REF!,3,FALSE)/VLOOKUP(EDATE(F43,-1),Índices!#REF!,3,FALSE)),0)</f>
        <v>0</v>
      </c>
      <c r="L43" s="830">
        <f t="shared" ref="L43:L47" si="10">J43*K43</f>
        <v>0</v>
      </c>
      <c r="M43" s="839">
        <f t="shared" ca="1" si="8"/>
        <v>0</v>
      </c>
      <c r="N43" s="830">
        <f t="shared" ref="N43:N47" ca="1" si="11">K43*M43</f>
        <v>0</v>
      </c>
      <c r="O43" s="130"/>
    </row>
    <row r="44" spans="1:22" ht="24" customHeight="1">
      <c r="A44" s="74"/>
      <c r="B44" s="1615"/>
      <c r="C44" s="1615"/>
      <c r="D44" s="1615" t="s">
        <v>138</v>
      </c>
      <c r="E44" s="1616" t="str">
        <f t="shared" si="9"/>
        <v/>
      </c>
      <c r="F44" s="1617" t="str">
        <f>IF(B44="","",I44)</f>
        <v/>
      </c>
      <c r="G44" s="1618" t="s">
        <v>138</v>
      </c>
      <c r="H44" s="1619">
        <v>0</v>
      </c>
      <c r="I44" s="1616">
        <v>0</v>
      </c>
      <c r="J44" s="1615"/>
      <c r="K44" s="1620">
        <f>IFERROR(E44*(VLOOKUP(EDATE(G44,-1),Índices!#REF!,3,FALSE)/VLOOKUP(EDATE(F44,-1),Índices!#REF!,3,FALSE)),0)</f>
        <v>0</v>
      </c>
      <c r="L44" s="830">
        <f t="shared" si="10"/>
        <v>0</v>
      </c>
      <c r="M44" s="839">
        <f t="shared" ca="1" si="8"/>
        <v>0</v>
      </c>
      <c r="N44" s="830">
        <f ca="1">K44*M44</f>
        <v>0</v>
      </c>
      <c r="O44" s="130"/>
    </row>
    <row r="45" spans="1:22" ht="24" customHeight="1">
      <c r="A45" s="74"/>
      <c r="B45" s="1615"/>
      <c r="C45" s="1615"/>
      <c r="D45" s="1615" t="s">
        <v>138</v>
      </c>
      <c r="E45" s="1616" t="str">
        <f t="shared" si="9"/>
        <v/>
      </c>
      <c r="F45" s="1617" t="str">
        <f>IF(B45="","",I45)</f>
        <v/>
      </c>
      <c r="G45" s="1618" t="s">
        <v>138</v>
      </c>
      <c r="H45" s="1619">
        <v>0</v>
      </c>
      <c r="I45" s="1616">
        <v>0</v>
      </c>
      <c r="J45" s="1615"/>
      <c r="K45" s="1620">
        <f>IFERROR(E45*(VLOOKUP(EDATE(G45,-1),Índices!#REF!,3,FALSE)/VLOOKUP(EDATE(F45,-1),Índices!#REF!,3,FALSE)),0)</f>
        <v>0</v>
      </c>
      <c r="L45" s="830">
        <f t="shared" si="10"/>
        <v>0</v>
      </c>
      <c r="M45" s="839">
        <f t="shared" ca="1" si="8"/>
        <v>0</v>
      </c>
      <c r="N45" s="830">
        <f t="shared" ca="1" si="11"/>
        <v>0</v>
      </c>
      <c r="O45" s="130"/>
    </row>
    <row r="46" spans="1:22" ht="24" customHeight="1">
      <c r="A46" s="74"/>
      <c r="B46" s="1615"/>
      <c r="C46" s="1615"/>
      <c r="D46" s="1615" t="s">
        <v>138</v>
      </c>
      <c r="E46" s="1616" t="str">
        <f t="shared" si="9"/>
        <v/>
      </c>
      <c r="F46" s="1617" t="str">
        <f>IF(B46="","",I46)</f>
        <v/>
      </c>
      <c r="G46" s="1618" t="s">
        <v>138</v>
      </c>
      <c r="H46" s="1619">
        <v>0</v>
      </c>
      <c r="I46" s="1616">
        <v>0</v>
      </c>
      <c r="J46" s="1615"/>
      <c r="K46" s="1620">
        <f>IFERROR(E46*(VLOOKUP(EDATE(G46,-1),Índices!#REF!,3,FALSE)/VLOOKUP(EDATE(F46,-1),Índices!#REF!,3,FALSE)),0)</f>
        <v>0</v>
      </c>
      <c r="L46" s="830">
        <f t="shared" si="10"/>
        <v>0</v>
      </c>
      <c r="M46" s="839">
        <f t="shared" ca="1" si="8"/>
        <v>0</v>
      </c>
      <c r="N46" s="830">
        <f t="shared" ca="1" si="11"/>
        <v>0</v>
      </c>
      <c r="O46" s="130"/>
    </row>
    <row r="47" spans="1:22" ht="24" customHeight="1">
      <c r="A47" s="74"/>
      <c r="B47" s="1615"/>
      <c r="C47" s="1615"/>
      <c r="D47" s="1615" t="s">
        <v>138</v>
      </c>
      <c r="E47" s="1616" t="str">
        <f t="shared" si="9"/>
        <v/>
      </c>
      <c r="F47" s="1617" t="str">
        <f>IF(B47="","",I47)</f>
        <v/>
      </c>
      <c r="G47" s="1618" t="s">
        <v>138</v>
      </c>
      <c r="H47" s="1619">
        <v>0</v>
      </c>
      <c r="I47" s="1616">
        <v>0</v>
      </c>
      <c r="J47" s="1615"/>
      <c r="K47" s="1620">
        <f>IFERROR(E47*(VLOOKUP(EDATE(G47,-1),Índices!#REF!,3,FALSE)/VLOOKUP(EDATE(F47,-1),Índices!#REF!,3,FALSE)),0)</f>
        <v>0</v>
      </c>
      <c r="L47" s="830">
        <f t="shared" si="10"/>
        <v>0</v>
      </c>
      <c r="M47" s="839">
        <f t="shared" ca="1" si="8"/>
        <v>0</v>
      </c>
      <c r="N47" s="830">
        <f t="shared" ca="1" si="11"/>
        <v>0</v>
      </c>
      <c r="O47" s="130"/>
    </row>
    <row r="48" spans="1:22" ht="24" customHeight="1">
      <c r="A48" s="74"/>
      <c r="B48" s="1326" t="s">
        <v>845</v>
      </c>
      <c r="C48" s="1327"/>
      <c r="D48" s="1327"/>
      <c r="E48" s="1326"/>
      <c r="F48" s="1326"/>
      <c r="G48" s="1328"/>
      <c r="H48" s="1326"/>
      <c r="I48" s="1326"/>
      <c r="J48" s="1329">
        <f>SUM(J41:J47)</f>
        <v>55636.453000000009</v>
      </c>
      <c r="K48" s="1330">
        <f ca="1">IFERROR(SUMPRODUCT(K41:K47,M41:M47)/SUM(M41:M47),0)</f>
        <v>235.54380799999998</v>
      </c>
      <c r="L48" s="1326"/>
      <c r="M48" s="1331">
        <f ca="1">SUM(M41:M47)</f>
        <v>53740.046004589283</v>
      </c>
      <c r="N48" s="1331">
        <f ca="1">SUM(N41:N47)</f>
        <v>12658135.078016145</v>
      </c>
      <c r="O48" s="130"/>
    </row>
    <row r="49" spans="1:22" ht="24" customHeight="1">
      <c r="A49" s="74"/>
      <c r="C49" s="68"/>
      <c r="J49" s="74"/>
      <c r="O49" s="130"/>
    </row>
    <row r="50" spans="1:22" ht="24" customHeight="1">
      <c r="A50" s="74"/>
      <c r="C50" s="68"/>
      <c r="J50" s="74"/>
      <c r="O50" s="130"/>
    </row>
    <row r="51" spans="1:22" ht="18" customHeight="1">
      <c r="A51" s="74"/>
      <c r="B51" s="898" t="s">
        <v>2194</v>
      </c>
      <c r="C51" s="69"/>
      <c r="G51" s="137"/>
      <c r="O51" s="130"/>
      <c r="V51" s="68">
        <v>59464827.420289896</v>
      </c>
    </row>
    <row r="52" spans="1:22" ht="14.25" customHeight="1">
      <c r="A52" s="74"/>
      <c r="B52" s="1323" t="s">
        <v>854</v>
      </c>
      <c r="C52" s="1324" t="s">
        <v>1214</v>
      </c>
      <c r="D52" s="1325"/>
      <c r="E52" s="1324" t="s">
        <v>62</v>
      </c>
      <c r="F52" s="1324" t="s">
        <v>61</v>
      </c>
      <c r="G52" s="1324" t="s">
        <v>1215</v>
      </c>
      <c r="H52" s="1324" t="s">
        <v>1216</v>
      </c>
      <c r="I52" s="1324" t="s">
        <v>1217</v>
      </c>
      <c r="J52" s="1324" t="s">
        <v>977</v>
      </c>
      <c r="K52" s="1324" t="s">
        <v>1218</v>
      </c>
      <c r="L52" s="1324" t="s">
        <v>1219</v>
      </c>
      <c r="M52" s="1324" t="s">
        <v>1220</v>
      </c>
      <c r="N52" s="1324" t="s">
        <v>1221</v>
      </c>
      <c r="O52" s="130"/>
      <c r="V52" s="142" t="e">
        <f>V34-V51</f>
        <v>#VALUE!</v>
      </c>
    </row>
    <row r="53" spans="1:22" ht="18" customHeight="1">
      <c r="A53" s="74"/>
      <c r="B53" s="989" t="s">
        <v>2327</v>
      </c>
      <c r="C53" s="989" t="s">
        <v>2328</v>
      </c>
      <c r="D53" s="1615"/>
      <c r="E53" s="1616">
        <v>200.24</v>
      </c>
      <c r="F53" s="1617">
        <v>44621</v>
      </c>
      <c r="G53" s="1618">
        <v>44986</v>
      </c>
      <c r="H53" s="1619">
        <v>4.5090000000000003</v>
      </c>
      <c r="I53" s="1616">
        <f>30+31+30</f>
        <v>91</v>
      </c>
      <c r="J53" s="1615">
        <f>H53*I53*24</f>
        <v>9847.6560000000009</v>
      </c>
      <c r="K53" s="1620">
        <f>IFERROR(E53*(VLOOKUP(EDATE(G53,-1),Índices!B5:D499,3,FALSE)/VLOOKUP(EDATE(F53,-1),Índices!B5:D499,3,FALSE)),0)</f>
        <v>216.14340708363778</v>
      </c>
      <c r="L53" s="830">
        <f>IFERROR(J53*K53,0)</f>
        <v>2128505.9196276283</v>
      </c>
      <c r="M53" s="839">
        <f t="shared" ref="M53:M59" ca="1" si="12">IFERROR(J53*$O$30,0)</f>
        <v>9511.9918316390449</v>
      </c>
      <c r="N53" s="830">
        <f ca="1">IFERROR(K53*M53,0)</f>
        <v>2055954.3226421955</v>
      </c>
      <c r="O53" s="136"/>
    </row>
    <row r="54" spans="1:22">
      <c r="B54" s="1615"/>
      <c r="C54" s="1615"/>
      <c r="D54" s="1615"/>
      <c r="E54" s="1616"/>
      <c r="F54" s="1617"/>
      <c r="G54" s="1618"/>
      <c r="H54" s="1619"/>
      <c r="I54" s="1621"/>
      <c r="J54" s="1615"/>
      <c r="K54" s="1620">
        <f>IFERROR(E54*(VLOOKUP(EDATE(G54,-1),Índices!B6:D500,3,FALSE)/VLOOKUP(EDATE(F54,-1),Índices!B6:D500,3,FALSE)),0)</f>
        <v>0</v>
      </c>
      <c r="L54" s="830">
        <f>IFERROR(J54*K54,0)</f>
        <v>0</v>
      </c>
      <c r="M54" s="839">
        <f t="shared" ca="1" si="12"/>
        <v>0</v>
      </c>
      <c r="N54" s="830">
        <f ca="1">IFERROR(K54*M54,0)</f>
        <v>0</v>
      </c>
      <c r="V54" s="68">
        <v>7728827.6146981604</v>
      </c>
    </row>
    <row r="55" spans="1:22">
      <c r="B55" s="1615"/>
      <c r="C55" s="1615"/>
      <c r="D55" s="1615" t="s">
        <v>138</v>
      </c>
      <c r="E55" s="1616" t="str">
        <f t="shared" ref="E55:E59" si="13">IF(B55="","",D55/1000)</f>
        <v/>
      </c>
      <c r="F55" s="1617" t="str">
        <f>IF(B55="","",I55)</f>
        <v/>
      </c>
      <c r="G55" s="1618" t="s">
        <v>138</v>
      </c>
      <c r="H55" s="1619">
        <v>0</v>
      </c>
      <c r="I55" s="1616">
        <v>0</v>
      </c>
      <c r="J55" s="1615"/>
      <c r="K55" s="1620">
        <f>IFERROR(E55*(VLOOKUP(EDATE(G55,-1),Índices!B7:D501,3,FALSE)/VLOOKUP(EDATE(F55,-1),Índices!B7:D501,3,FALSE)),0)</f>
        <v>0</v>
      </c>
      <c r="L55" s="830">
        <f t="shared" ref="L55:L59" si="14">J55*K55</f>
        <v>0</v>
      </c>
      <c r="M55" s="839">
        <f t="shared" ca="1" si="12"/>
        <v>0</v>
      </c>
      <c r="N55" s="830">
        <f t="shared" ref="N55:N59" ca="1" si="15">K55*M55</f>
        <v>0</v>
      </c>
    </row>
    <row r="56" spans="1:22">
      <c r="B56" s="1615"/>
      <c r="C56" s="1615"/>
      <c r="D56" s="1615" t="s">
        <v>138</v>
      </c>
      <c r="E56" s="1616" t="str">
        <f t="shared" si="13"/>
        <v/>
      </c>
      <c r="F56" s="1617" t="str">
        <f>IF(B56="","",I56)</f>
        <v/>
      </c>
      <c r="G56" s="1618" t="s">
        <v>138</v>
      </c>
      <c r="H56" s="1619">
        <v>0</v>
      </c>
      <c r="I56" s="1616">
        <v>0</v>
      </c>
      <c r="J56" s="1615"/>
      <c r="K56" s="1620">
        <f>IFERROR(E56*(VLOOKUP(EDATE(G56,-1),Índices!B8:D502,3,FALSE)/VLOOKUP(EDATE(F56,-1),Índices!B8:D502,3,FALSE)),0)</f>
        <v>0</v>
      </c>
      <c r="L56" s="830">
        <f t="shared" si="14"/>
        <v>0</v>
      </c>
      <c r="M56" s="839">
        <f t="shared" ca="1" si="12"/>
        <v>0</v>
      </c>
      <c r="N56" s="830">
        <f t="shared" ca="1" si="15"/>
        <v>0</v>
      </c>
      <c r="V56" s="142" t="e">
        <f>V52+V54</f>
        <v>#VALUE!</v>
      </c>
    </row>
    <row r="57" spans="1:22">
      <c r="B57" s="1615"/>
      <c r="C57" s="1615"/>
      <c r="D57" s="1615" t="s">
        <v>138</v>
      </c>
      <c r="E57" s="1616" t="str">
        <f t="shared" si="13"/>
        <v/>
      </c>
      <c r="F57" s="1617" t="str">
        <f>IF(B57="","",I57)</f>
        <v/>
      </c>
      <c r="G57" s="1618" t="s">
        <v>138</v>
      </c>
      <c r="H57" s="1619">
        <v>0</v>
      </c>
      <c r="I57" s="1616">
        <v>0</v>
      </c>
      <c r="J57" s="1615"/>
      <c r="K57" s="1620">
        <f>IFERROR(E57*(VLOOKUP(EDATE(G57,-1),Índices!B9:D503,3,FALSE)/VLOOKUP(EDATE(F57,-1),Índices!B9:D503,3,FALSE)),0)</f>
        <v>0</v>
      </c>
      <c r="L57" s="830">
        <f t="shared" si="14"/>
        <v>0</v>
      </c>
      <c r="M57" s="839">
        <f t="shared" ca="1" si="12"/>
        <v>0</v>
      </c>
      <c r="N57" s="830">
        <f t="shared" ca="1" si="15"/>
        <v>0</v>
      </c>
    </row>
    <row r="58" spans="1:22">
      <c r="B58" s="1615"/>
      <c r="C58" s="1615"/>
      <c r="D58" s="1615" t="s">
        <v>138</v>
      </c>
      <c r="E58" s="1616" t="str">
        <f t="shared" si="13"/>
        <v/>
      </c>
      <c r="F58" s="1617" t="str">
        <f>IF(B58="","",I58)</f>
        <v/>
      </c>
      <c r="G58" s="1618" t="s">
        <v>138</v>
      </c>
      <c r="H58" s="1619">
        <v>0</v>
      </c>
      <c r="I58" s="1616">
        <v>0</v>
      </c>
      <c r="J58" s="1615"/>
      <c r="K58" s="1620">
        <f>IFERROR(E58*(VLOOKUP(EDATE(G58,-1),Índices!B10:D504,3,FALSE)/VLOOKUP(EDATE(F58,-1),Índices!B10:D504,3,FALSE)),0)</f>
        <v>0</v>
      </c>
      <c r="L58" s="830">
        <f t="shared" si="14"/>
        <v>0</v>
      </c>
      <c r="M58" s="839">
        <f t="shared" ca="1" si="12"/>
        <v>0</v>
      </c>
      <c r="N58" s="830">
        <f t="shared" ca="1" si="15"/>
        <v>0</v>
      </c>
    </row>
    <row r="59" spans="1:22">
      <c r="B59" s="1615"/>
      <c r="C59" s="1615"/>
      <c r="D59" s="1615" t="s">
        <v>138</v>
      </c>
      <c r="E59" s="1616" t="str">
        <f t="shared" si="13"/>
        <v/>
      </c>
      <c r="F59" s="1617" t="str">
        <f>IF(B59="","",I59)</f>
        <v/>
      </c>
      <c r="G59" s="1618" t="s">
        <v>138</v>
      </c>
      <c r="H59" s="1619">
        <v>0</v>
      </c>
      <c r="I59" s="1616">
        <v>0</v>
      </c>
      <c r="J59" s="1615"/>
      <c r="K59" s="1620">
        <f>IFERROR(E59*(VLOOKUP(EDATE(G59,-1),Índices!B11:D505,3,FALSE)/VLOOKUP(EDATE(F59,-1),Índices!B11:D505,3,FALSE)),0)</f>
        <v>0</v>
      </c>
      <c r="L59" s="830">
        <f t="shared" si="14"/>
        <v>0</v>
      </c>
      <c r="M59" s="839">
        <f t="shared" ca="1" si="12"/>
        <v>0</v>
      </c>
      <c r="N59" s="830">
        <f t="shared" ca="1" si="15"/>
        <v>0</v>
      </c>
    </row>
    <row r="60" spans="1:22">
      <c r="B60" s="1326" t="s">
        <v>845</v>
      </c>
      <c r="C60" s="1327"/>
      <c r="D60" s="1327"/>
      <c r="E60" s="1326"/>
      <c r="F60" s="1326"/>
      <c r="G60" s="1328"/>
      <c r="H60" s="1326"/>
      <c r="I60" s="1326"/>
      <c r="J60" s="1329">
        <f>SUM(J53:J59)</f>
        <v>9847.6560000000009</v>
      </c>
      <c r="K60" s="1330">
        <f ca="1">IFERROR(SUMPRODUCT(K53:K59,M53:M59)/SUM(M53:M59),0)</f>
        <v>216.14340708363778</v>
      </c>
      <c r="L60" s="1326"/>
      <c r="M60" s="1331">
        <f ca="1">SUM(M53:M59)</f>
        <v>9511.9918316390449</v>
      </c>
      <c r="N60" s="1331">
        <f ca="1">SUM(N53:N59)</f>
        <v>2055954.3226421955</v>
      </c>
    </row>
    <row r="61" spans="1:22">
      <c r="C61" s="424"/>
      <c r="D61" s="424"/>
      <c r="E61" s="424"/>
      <c r="K61" s="68" t="s">
        <v>2197</v>
      </c>
    </row>
    <row r="62" spans="1:22" ht="15.75">
      <c r="B62" s="1332" t="s">
        <v>1222</v>
      </c>
      <c r="C62" s="1333" t="s">
        <v>1223</v>
      </c>
      <c r="D62" s="1334"/>
      <c r="E62" s="1335" t="s">
        <v>1224</v>
      </c>
      <c r="F62" s="1335" t="s">
        <v>1225</v>
      </c>
      <c r="H62" s="1336" t="s">
        <v>1226</v>
      </c>
      <c r="I62" s="1337" t="s">
        <v>42</v>
      </c>
      <c r="J62" s="1338" t="s">
        <v>43</v>
      </c>
      <c r="K62" s="1339" t="s">
        <v>1194</v>
      </c>
      <c r="N62" s="142">
        <f ca="1">N60+N48</f>
        <v>14714089.400658341</v>
      </c>
    </row>
    <row r="63" spans="1:22" ht="15.75">
      <c r="B63" s="78" t="s">
        <v>1227</v>
      </c>
      <c r="C63" s="846">
        <f>13378118*C67*3/12</f>
        <v>727.30138507000004</v>
      </c>
      <c r="D63" s="847">
        <f t="shared" ref="D63:D65" si="16">E63</f>
        <v>349.15</v>
      </c>
      <c r="E63" s="829">
        <v>349.15</v>
      </c>
      <c r="F63" s="108">
        <f>C63*E63</f>
        <v>253937.27859719051</v>
      </c>
      <c r="H63" s="1340" t="s">
        <v>1228</v>
      </c>
      <c r="I63" s="1341">
        <v>0.88500000000000001</v>
      </c>
      <c r="J63" s="1342">
        <v>195.04</v>
      </c>
      <c r="K63" s="1343">
        <f>(J63*(1-I63)*(C64+C65))</f>
        <v>78411.940034963613</v>
      </c>
      <c r="N63" s="142">
        <f ca="1">M60+M48</f>
        <v>63252.03783622833</v>
      </c>
    </row>
    <row r="64" spans="1:22" ht="15.75">
      <c r="B64" s="78" t="s">
        <v>1228</v>
      </c>
      <c r="C64" s="846">
        <v>3495.9134373757724</v>
      </c>
      <c r="D64" s="847"/>
      <c r="E64" s="829">
        <v>153</v>
      </c>
      <c r="F64" s="108">
        <f>C64*E64</f>
        <v>534874.75591849315</v>
      </c>
      <c r="H64" s="840" t="s">
        <v>1229</v>
      </c>
      <c r="I64" s="841">
        <f>I63</f>
        <v>0.88500000000000001</v>
      </c>
      <c r="J64" s="842">
        <f>J63</f>
        <v>195.04</v>
      </c>
      <c r="K64" s="843"/>
      <c r="N64" s="68">
        <f ca="1">N62/N63</f>
        <v>232.62632958571143</v>
      </c>
    </row>
    <row r="65" spans="1:11" ht="15.75">
      <c r="B65" s="78" t="s">
        <v>1228</v>
      </c>
      <c r="C65" s="846">
        <f>BD!AE23</f>
        <v>0</v>
      </c>
      <c r="D65" s="847">
        <f t="shared" si="16"/>
        <v>0</v>
      </c>
      <c r="E65" s="829">
        <f>BD!AG23</f>
        <v>0</v>
      </c>
      <c r="F65" s="108">
        <f>C65*E65</f>
        <v>0</v>
      </c>
      <c r="H65" s="844" t="s">
        <v>1230</v>
      </c>
      <c r="I65" s="841">
        <f>I64</f>
        <v>0.88500000000000001</v>
      </c>
      <c r="J65" s="842">
        <f>J64</f>
        <v>195.04</v>
      </c>
      <c r="K65" s="843">
        <f ca="1">(J65*(1-I65)*I68*K68*365*24)*3/12</f>
        <v>136289.35888614543</v>
      </c>
    </row>
    <row r="66" spans="1:11" ht="15.75">
      <c r="B66" s="831"/>
      <c r="C66" s="831">
        <f>SUM(C63:C65)</f>
        <v>4223.2148224457724</v>
      </c>
      <c r="D66" s="831"/>
      <c r="E66" s="831"/>
      <c r="F66" s="831">
        <f>SUM(F63:F65)</f>
        <v>788812.03451568366</v>
      </c>
      <c r="H66" s="825" t="s">
        <v>1231</v>
      </c>
      <c r="I66" s="1344"/>
      <c r="J66" s="1345"/>
      <c r="K66" s="1346">
        <f ca="1">SUM(K63:K65)</f>
        <v>214701.29892110906</v>
      </c>
    </row>
    <row r="67" spans="1:11" ht="15.75">
      <c r="C67" s="124">
        <v>2.1745999999999999E-4</v>
      </c>
      <c r="H67" s="1748" t="s">
        <v>45</v>
      </c>
      <c r="I67" s="1748"/>
      <c r="J67" s="1347"/>
      <c r="K67" s="1347" t="s">
        <v>44</v>
      </c>
    </row>
    <row r="68" spans="1:11" ht="15.75">
      <c r="C68" s="124">
        <f ca="1">+C64*O30</f>
        <v>3376.752809037554</v>
      </c>
      <c r="H68" s="826" t="str">
        <f>CAPA!C9</f>
        <v>Cerfox</v>
      </c>
      <c r="I68" s="848">
        <f ca="1">0.000000275%*LnkTXTER</f>
        <v>1.8823764559894104E-4</v>
      </c>
      <c r="J68" s="992">
        <f>J63</f>
        <v>195.04</v>
      </c>
      <c r="K68" s="827" cm="1">
        <f t="array" ref="K68">GSFRH[MWm repactuado]</f>
        <v>14739.74</v>
      </c>
    </row>
    <row r="69" spans="1:11" ht="15">
      <c r="B69" s="1332" t="s">
        <v>1232</v>
      </c>
      <c r="C69" s="1333" t="s">
        <v>1223</v>
      </c>
      <c r="D69" s="1334"/>
      <c r="E69" s="1335" t="s">
        <v>1224</v>
      </c>
      <c r="F69" s="1335" t="s">
        <v>1225</v>
      </c>
    </row>
    <row r="70" spans="1:11">
      <c r="B70" s="78" t="s">
        <v>1233</v>
      </c>
      <c r="C70" s="846">
        <f>CAPA!D58</f>
        <v>0</v>
      </c>
      <c r="D70" s="847">
        <f t="shared" ref="D70" si="17">E70</f>
        <v>0</v>
      </c>
      <c r="E70" s="829">
        <v>0</v>
      </c>
      <c r="F70" s="108">
        <f>C70*E70</f>
        <v>0</v>
      </c>
    </row>
    <row r="71" spans="1:11">
      <c r="B71" s="78"/>
      <c r="C71" s="846"/>
      <c r="D71" s="847"/>
      <c r="E71" s="829"/>
      <c r="F71" s="108"/>
      <c r="J71" s="142"/>
    </row>
    <row r="72" spans="1:11">
      <c r="B72" s="831"/>
      <c r="C72" s="831">
        <f>SUM(C70:C71)</f>
        <v>0</v>
      </c>
      <c r="D72" s="831"/>
      <c r="E72" s="831"/>
      <c r="F72" s="831">
        <f>SUM(F70:F71)</f>
        <v>0</v>
      </c>
      <c r="J72" s="142"/>
    </row>
    <row r="77" spans="1:11">
      <c r="A77" s="68" t="s">
        <v>1234</v>
      </c>
    </row>
    <row r="78" spans="1:11">
      <c r="A78" s="68" t="str">
        <f>TRIM(LEFT(C28,3))</f>
        <v>A4</v>
      </c>
    </row>
    <row r="79" spans="1:11">
      <c r="A79" s="68" t="str">
        <f t="shared" ref="A79:A84" si="18">TRIM(LEFT(C29,3))</f>
        <v/>
      </c>
    </row>
    <row r="80" spans="1:11">
      <c r="A80" s="68" t="str">
        <f t="shared" si="18"/>
        <v/>
      </c>
    </row>
    <row r="81" spans="1:10">
      <c r="A81" s="68" t="str">
        <f t="shared" si="18"/>
        <v/>
      </c>
      <c r="E81" s="68" t="s">
        <v>2329</v>
      </c>
      <c r="F81" s="68" t="s">
        <v>2330</v>
      </c>
      <c r="G81" s="125" t="s">
        <v>2331</v>
      </c>
      <c r="H81" s="68" t="s">
        <v>2332</v>
      </c>
      <c r="I81" s="68" t="s">
        <v>120</v>
      </c>
      <c r="J81" s="68" t="s">
        <v>2333</v>
      </c>
    </row>
    <row r="82" spans="1:10">
      <c r="A82" s="68" t="str">
        <f t="shared" si="18"/>
        <v/>
      </c>
      <c r="E82" s="68" t="s">
        <v>2331</v>
      </c>
      <c r="F82" s="68" t="s">
        <v>2332</v>
      </c>
      <c r="G82" s="125" t="s">
        <v>120</v>
      </c>
      <c r="H82" s="68" t="s">
        <v>2334</v>
      </c>
    </row>
    <row r="83" spans="1:10">
      <c r="A83" s="68" t="str">
        <f t="shared" si="18"/>
        <v/>
      </c>
      <c r="E83" s="68" t="s">
        <v>2335</v>
      </c>
      <c r="F83" s="68">
        <v>2022</v>
      </c>
      <c r="G83" s="125">
        <v>2023</v>
      </c>
      <c r="H83" s="68" t="s">
        <v>2336</v>
      </c>
    </row>
    <row r="84" spans="1:10">
      <c r="A84" s="68" t="str">
        <f t="shared" si="18"/>
        <v/>
      </c>
      <c r="E84" s="68" t="s">
        <v>2337</v>
      </c>
      <c r="F84" s="896">
        <v>7118.2606999999998</v>
      </c>
      <c r="G84" s="1698">
        <v>6124.8334000000004</v>
      </c>
    </row>
    <row r="85" spans="1:10">
      <c r="E85" s="68" t="s">
        <v>2338</v>
      </c>
      <c r="F85" s="896">
        <v>6213.6855999999998</v>
      </c>
      <c r="G85" s="1698">
        <v>5532.1076000000003</v>
      </c>
      <c r="H85" s="68">
        <v>2024</v>
      </c>
      <c r="I85" s="896">
        <v>9767.6455000000005</v>
      </c>
    </row>
    <row r="86" spans="1:10">
      <c r="E86" s="68" t="s">
        <v>2339</v>
      </c>
      <c r="F86" s="896">
        <v>6343.5998</v>
      </c>
      <c r="G86" s="1698">
        <v>6124.8334000000004</v>
      </c>
    </row>
    <row r="87" spans="1:10">
      <c r="E87" s="68" t="s">
        <v>2340</v>
      </c>
      <c r="F87" s="896">
        <v>5553.7889999999998</v>
      </c>
      <c r="G87" s="125">
        <v>945.71630000000005</v>
      </c>
    </row>
    <row r="88" spans="1:10">
      <c r="E88" s="68" t="s">
        <v>2341</v>
      </c>
      <c r="F88" s="896">
        <v>5523.1009999999997</v>
      </c>
      <c r="G88" s="125">
        <v>977.24019999999996</v>
      </c>
      <c r="H88" s="68">
        <v>2025</v>
      </c>
      <c r="I88" s="896">
        <v>20583.2778</v>
      </c>
    </row>
    <row r="89" spans="1:10">
      <c r="E89" s="68" t="s">
        <v>2342</v>
      </c>
      <c r="F89" s="896">
        <v>5591.5906000000004</v>
      </c>
      <c r="G89" s="125">
        <v>945.71630000000005</v>
      </c>
    </row>
    <row r="90" spans="1:10">
      <c r="E90" s="68" t="s">
        <v>2343</v>
      </c>
      <c r="F90" s="896">
        <v>5629.7335000000003</v>
      </c>
      <c r="G90" s="125">
        <v>977.24019999999996</v>
      </c>
    </row>
    <row r="91" spans="1:10">
      <c r="E91" s="68" t="s">
        <v>2344</v>
      </c>
      <c r="F91" s="896">
        <v>5561.5460000000003</v>
      </c>
      <c r="G91" s="125">
        <v>977.24019999999996</v>
      </c>
      <c r="H91" s="68">
        <v>2026</v>
      </c>
      <c r="I91" s="896">
        <v>20121.537199999999</v>
      </c>
    </row>
    <row r="92" spans="1:10">
      <c r="E92" s="68" t="s">
        <v>2345</v>
      </c>
      <c r="F92" s="896">
        <v>5452.3523999999998</v>
      </c>
      <c r="G92" s="125">
        <v>945.71630000000005</v>
      </c>
    </row>
    <row r="93" spans="1:10">
      <c r="E93" s="68" t="s">
        <v>2346</v>
      </c>
      <c r="F93" s="896">
        <v>5856.7183999999997</v>
      </c>
      <c r="G93" s="125">
        <v>977.24019999999996</v>
      </c>
    </row>
    <row r="94" spans="1:10">
      <c r="E94" s="68" t="s">
        <v>2347</v>
      </c>
      <c r="F94" s="896">
        <v>5900.9951000000001</v>
      </c>
      <c r="G94" s="125">
        <v>945.71630000000005</v>
      </c>
      <c r="H94" s="68">
        <v>2027</v>
      </c>
      <c r="I94" s="896">
        <v>18784.347900000001</v>
      </c>
    </row>
    <row r="95" spans="1:10">
      <c r="E95" s="68" t="s">
        <v>2348</v>
      </c>
      <c r="F95" s="896">
        <v>6584.6603999999998</v>
      </c>
      <c r="G95" s="125">
        <v>977.24019999999996</v>
      </c>
    </row>
    <row r="96" spans="1:10">
      <c r="E96" s="68" t="s">
        <v>2336</v>
      </c>
      <c r="F96" s="896">
        <v>71330.032500000001</v>
      </c>
      <c r="G96" s="1698">
        <v>26450.840800000002</v>
      </c>
    </row>
  </sheetData>
  <mergeCells count="2">
    <mergeCell ref="K32:L32"/>
    <mergeCell ref="H67:I67"/>
  </mergeCells>
  <conditionalFormatting sqref="K13:N21">
    <cfRule type="cellIs" dxfId="50" priority="15" operator="lessThan">
      <formula>0</formula>
    </cfRule>
  </conditionalFormatting>
  <conditionalFormatting sqref="I6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K62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J62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62:N1048576 M27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9 U4:V6 T2:AC3 W4:AD11 T20:AC20 U12:AB19 O88:AC1048576 P32:AC33 P34:U34 W34:AC34 P35:AC87 Q22:AB28 P23:P29 T21:AA21 N62:N1048576 U29:AB29 P31:R31 Q29:S30 T31:AC31 U30:AD30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N27 O63:O1048576 N62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U12:AB19 W4:AD11 U4:V6 T19 T20:AC20 T2:AC3 O88:AC1048576 P32:AC33 P34:U34 W34:AC34 P35:AC87 Q22:AB28 P23:P29 T21:AA21 N62:N1048576 U29:AB29 P31:R31 Q29:S30 T31:AC31 U30:AD30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20:AC20 T2:AC3 U4:AD11 O88:AC1048576 P32:AC33 P34:U34 W34:AC34 P35:AC87 Q22:AB28 P23:P29 T15:AB19 T21:AA21 U12:AB14 N62:N1048576 U29:AB29 P31:R31 Q29:S30 T31:AC31 U30:AD30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5:AB19 T2:AC3 U4:AD11 O88:AC1048576 P32:AC33 P34:U34 W34:AC34 P35:AC87 Q22:AB28 P23:P29 T21:AA21 T20:AC20 U12:AB14 N62:N1048576 U29:AB29 P31:R31 Q29:S30 T31:AC31 U30:AD30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D13" sqref="D13"/>
    </sheetView>
  </sheetViews>
  <sheetFormatPr defaultColWidth="9.140625" defaultRowHeight="14.25"/>
  <cols>
    <col min="1" max="1" width="3.5703125" style="151" customWidth="1"/>
    <col min="2" max="2" width="25.42578125" style="151" customWidth="1"/>
    <col min="3" max="3" width="28" style="151" bestFit="1" customWidth="1"/>
    <col min="4" max="4" width="16.85546875" style="151" customWidth="1"/>
    <col min="5" max="5" width="15.28515625" style="151" customWidth="1"/>
    <col min="6" max="7" width="15.28515625" style="154" customWidth="1"/>
    <col min="8" max="8" width="15.28515625" style="151" customWidth="1"/>
    <col min="9" max="9" width="17.85546875" style="151" customWidth="1"/>
    <col min="10" max="25" width="15.28515625" style="151" customWidth="1"/>
    <col min="26" max="26" width="3.42578125" style="151" customWidth="1"/>
    <col min="27" max="27" width="6.85546875" style="151" customWidth="1"/>
    <col min="28" max="16384" width="9.140625" style="151"/>
  </cols>
  <sheetData>
    <row r="1" spans="2:27" ht="30.75" customHeight="1">
      <c r="B1" s="1348" t="s">
        <v>704</v>
      </c>
      <c r="C1" s="1135">
        <f>Resultado!C1</f>
        <v>0</v>
      </c>
      <c r="D1" s="1349"/>
      <c r="E1" s="1350"/>
      <c r="F1" s="1351"/>
      <c r="G1" s="1248" t="s">
        <v>952</v>
      </c>
      <c r="H1" s="1352">
        <f ca="1">LnkTXTIRTEco</f>
        <v>0.1024</v>
      </c>
    </row>
    <row r="2" spans="2:27">
      <c r="B2" s="138" t="str">
        <f>CAPA!C9</f>
        <v>Cerfox</v>
      </c>
      <c r="C2" s="70"/>
      <c r="D2" s="70"/>
      <c r="G2" s="121" t="s">
        <v>956</v>
      </c>
      <c r="H2" s="148">
        <f ca="1">LnkTXTIRTTotal</f>
        <v>-0.24399999999999999</v>
      </c>
    </row>
    <row r="3" spans="2:27">
      <c r="D3" s="153"/>
      <c r="G3" s="152"/>
      <c r="H3" s="152"/>
    </row>
    <row r="4" spans="2:27">
      <c r="D4" s="153"/>
      <c r="G4" s="152"/>
      <c r="H4" s="152"/>
    </row>
    <row r="5" spans="2:27">
      <c r="D5" s="153"/>
      <c r="F5" s="155"/>
      <c r="G5" s="152"/>
      <c r="H5" s="152"/>
    </row>
    <row r="6" spans="2:27">
      <c r="B6" s="1353" t="s">
        <v>1235</v>
      </c>
      <c r="C6" s="1353"/>
      <c r="D6" s="1353"/>
      <c r="E6" s="1353"/>
      <c r="F6" s="1353"/>
      <c r="G6" s="1353"/>
      <c r="H6" s="1353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 spans="2:27">
      <c r="D7" s="153"/>
      <c r="G7" s="152"/>
      <c r="H7" s="152"/>
    </row>
    <row r="8" spans="2:27" ht="28.5">
      <c r="B8" s="1354" t="s">
        <v>854</v>
      </c>
      <c r="C8" s="1354" t="s">
        <v>1236</v>
      </c>
      <c r="D8" s="1354" t="s">
        <v>1237</v>
      </c>
      <c r="E8" s="1354" t="s">
        <v>1238</v>
      </c>
      <c r="H8" s="152"/>
    </row>
    <row r="9" spans="2:27">
      <c r="B9" s="158" t="s">
        <v>972</v>
      </c>
      <c r="C9" s="181">
        <f>SUMIFS($M$18:$M$63,$D$18:$D$63,"Ponta")</f>
        <v>0</v>
      </c>
      <c r="D9" s="181">
        <f>SUMIFS($J$18:$J$63,$D$18:$D$63,"Ponta")</f>
        <v>0</v>
      </c>
      <c r="E9" s="181">
        <f>SUMIFS($L$18:$L$63,$D$18:$D$63,"Ponta")</f>
        <v>0</v>
      </c>
    </row>
    <row r="10" spans="2:27">
      <c r="B10" s="1355" t="s">
        <v>1239</v>
      </c>
      <c r="C10" s="1356">
        <f>SUMIFS($M$18:$M$63,$D$18:$D$63,"Fora Ponta")</f>
        <v>0</v>
      </c>
      <c r="D10" s="1356">
        <f>SUMIFS($J$18:$J$63,$D$18:$D$63,"Fora Ponta")</f>
        <v>0</v>
      </c>
      <c r="E10" s="1356">
        <f>SUMIFS($L$18:$L$63,$D$18:$D$63,"Fora Ponta")</f>
        <v>0</v>
      </c>
    </row>
    <row r="11" spans="2:27">
      <c r="D11" s="68"/>
      <c r="E11" s="68"/>
      <c r="G11" s="151"/>
    </row>
    <row r="12" spans="2:27">
      <c r="B12" s="156"/>
      <c r="C12" s="156"/>
      <c r="D12" s="156"/>
      <c r="E12" s="156"/>
      <c r="F12" s="156"/>
      <c r="G12" s="156"/>
      <c r="H12" s="156"/>
    </row>
    <row r="13" spans="2:27">
      <c r="B13" s="157"/>
    </row>
    <row r="14" spans="2:27">
      <c r="B14" s="158"/>
      <c r="F14" s="1357" t="s">
        <v>1240</v>
      </c>
      <c r="G14" s="1358"/>
      <c r="H14" s="1358"/>
      <c r="I14" s="1358"/>
      <c r="J14" s="1358"/>
      <c r="K14" s="1358"/>
      <c r="L14" s="1358"/>
      <c r="M14" s="1358"/>
      <c r="N14" s="1358"/>
      <c r="O14" s="1358"/>
      <c r="P14" s="1358"/>
      <c r="Q14" s="1358"/>
      <c r="R14" s="1359"/>
    </row>
    <row r="15" spans="2:27">
      <c r="B15" s="1759" t="s">
        <v>1241</v>
      </c>
      <c r="C15" s="1760" t="s">
        <v>1242</v>
      </c>
      <c r="D15" s="1761" t="s">
        <v>78</v>
      </c>
      <c r="E15" s="1762" t="s">
        <v>1243</v>
      </c>
      <c r="F15" s="1762"/>
      <c r="G15" s="1762"/>
      <c r="H15" s="1763"/>
      <c r="I15" s="1764" t="s">
        <v>1244</v>
      </c>
      <c r="J15" s="1765"/>
      <c r="K15" s="1765"/>
      <c r="L15" s="1765"/>
      <c r="M15" s="1749" t="s">
        <v>1245</v>
      </c>
      <c r="N15" s="1750"/>
      <c r="O15" s="1750"/>
      <c r="P15" s="1750"/>
      <c r="Q15" s="1750"/>
      <c r="R15" s="1750"/>
      <c r="S15" s="1750"/>
      <c r="T15" s="1750"/>
      <c r="U15" s="1750"/>
      <c r="V15" s="1750"/>
      <c r="W15" s="1750"/>
      <c r="X15" s="1750"/>
      <c r="Y15" s="1750"/>
      <c r="Z15" s="65"/>
      <c r="AA15" s="387"/>
    </row>
    <row r="16" spans="2:27">
      <c r="B16" s="1759"/>
      <c r="C16" s="1760"/>
      <c r="D16" s="1761"/>
      <c r="E16" s="1753" t="s">
        <v>123</v>
      </c>
      <c r="F16" s="1754"/>
      <c r="G16" s="1754" t="s">
        <v>1246</v>
      </c>
      <c r="H16" s="1755"/>
      <c r="I16" s="1756" t="s">
        <v>123</v>
      </c>
      <c r="J16" s="1757"/>
      <c r="K16" s="1757" t="s">
        <v>1246</v>
      </c>
      <c r="L16" s="1758"/>
      <c r="M16" s="1751"/>
      <c r="N16" s="1752"/>
      <c r="O16" s="1752"/>
      <c r="P16" s="1752"/>
      <c r="Q16" s="1752"/>
      <c r="R16" s="1752"/>
      <c r="S16" s="1752"/>
      <c r="T16" s="1752"/>
      <c r="U16" s="1752"/>
      <c r="V16" s="1752"/>
      <c r="W16" s="1752"/>
      <c r="X16" s="1752"/>
      <c r="Y16" s="1752"/>
      <c r="Z16" s="65"/>
      <c r="AA16" s="387"/>
    </row>
    <row r="17" spans="2:27">
      <c r="B17" s="1759"/>
      <c r="C17" s="1760"/>
      <c r="D17" s="1761"/>
      <c r="E17" s="388" t="s">
        <v>771</v>
      </c>
      <c r="F17" s="389" t="s">
        <v>772</v>
      </c>
      <c r="G17" s="389" t="s">
        <v>771</v>
      </c>
      <c r="H17" s="390" t="s">
        <v>772</v>
      </c>
      <c r="I17" s="391" t="s">
        <v>771</v>
      </c>
      <c r="J17" s="392" t="s">
        <v>772</v>
      </c>
      <c r="K17" s="392" t="s">
        <v>771</v>
      </c>
      <c r="L17" s="392" t="s">
        <v>772</v>
      </c>
      <c r="M17" s="393" t="s">
        <v>845</v>
      </c>
      <c r="N17" s="393">
        <f>SAS_RA0_DataInicio</f>
        <v>44378</v>
      </c>
      <c r="O17" s="393">
        <f>EDATE(N17,1)</f>
        <v>44409</v>
      </c>
      <c r="P17" s="393">
        <f t="shared" ref="P17:Y17" si="0">EDATE(O17,1)</f>
        <v>44440</v>
      </c>
      <c r="Q17" s="393">
        <f t="shared" si="0"/>
        <v>44470</v>
      </c>
      <c r="R17" s="393">
        <f t="shared" si="0"/>
        <v>44501</v>
      </c>
      <c r="S17" s="393">
        <f t="shared" si="0"/>
        <v>44531</v>
      </c>
      <c r="T17" s="393">
        <f t="shared" si="0"/>
        <v>44562</v>
      </c>
      <c r="U17" s="393">
        <f t="shared" si="0"/>
        <v>44593</v>
      </c>
      <c r="V17" s="393">
        <f t="shared" si="0"/>
        <v>44621</v>
      </c>
      <c r="W17" s="393">
        <f t="shared" si="0"/>
        <v>44652</v>
      </c>
      <c r="X17" s="393">
        <f t="shared" si="0"/>
        <v>44682</v>
      </c>
      <c r="Y17" s="393">
        <f t="shared" si="0"/>
        <v>44713</v>
      </c>
      <c r="Z17" s="65"/>
      <c r="AA17" s="329" t="s">
        <v>858</v>
      </c>
    </row>
    <row r="18" spans="2:27" hidden="1">
      <c r="B18" s="1360">
        <f>RBBD!B3</f>
        <v>0</v>
      </c>
      <c r="C18" s="1360">
        <f>RBBD!C3</f>
        <v>0</v>
      </c>
      <c r="D18" s="1360">
        <f>RBBD!D3</f>
        <v>0</v>
      </c>
      <c r="E18" s="1360">
        <f>RBBD!E3</f>
        <v>0</v>
      </c>
      <c r="F18" s="1360">
        <f>RBBD!F3</f>
        <v>0</v>
      </c>
      <c r="G18" s="1360">
        <f>RBBD!G3</f>
        <v>0</v>
      </c>
      <c r="H18" s="1360">
        <f>RBBD!H3</f>
        <v>0</v>
      </c>
      <c r="I18" s="1360">
        <f>E18*$M18</f>
        <v>0</v>
      </c>
      <c r="J18" s="1360">
        <f>F18*$M18</f>
        <v>0</v>
      </c>
      <c r="K18" s="1360">
        <f>G18*$M18</f>
        <v>0</v>
      </c>
      <c r="L18" s="1360">
        <f>H18*$M18</f>
        <v>0</v>
      </c>
      <c r="M18" s="1360">
        <f>SUM(N18:Y18)</f>
        <v>0</v>
      </c>
      <c r="N18" s="1360">
        <f>RBBD!I3</f>
        <v>0</v>
      </c>
      <c r="O18" s="1360">
        <f>RBBD!J3</f>
        <v>0</v>
      </c>
      <c r="P18" s="1360">
        <f>RBBD!K3</f>
        <v>0</v>
      </c>
      <c r="Q18" s="1360">
        <f>RBBD!L3</f>
        <v>0</v>
      </c>
      <c r="R18" s="1360">
        <f>RBBD!M3</f>
        <v>0</v>
      </c>
      <c r="S18" s="1360">
        <f>RBBD!N3</f>
        <v>0</v>
      </c>
      <c r="T18" s="1360">
        <f>RBBD!O3</f>
        <v>0</v>
      </c>
      <c r="U18" s="1360">
        <f>RBBD!P3</f>
        <v>0</v>
      </c>
      <c r="V18" s="1360">
        <f>RBBD!Q3</f>
        <v>0</v>
      </c>
      <c r="W18" s="1360">
        <f>RBBD!R3</f>
        <v>0</v>
      </c>
      <c r="X18" s="1360">
        <f>RBBD!S3</f>
        <v>0</v>
      </c>
      <c r="Y18" s="1360">
        <f>RBBD!T3</f>
        <v>0</v>
      </c>
      <c r="Z18" s="65"/>
      <c r="AA18" s="329">
        <f t="shared" ref="AA18:AA23" si="1">IF(B18=0,0,1)</f>
        <v>0</v>
      </c>
    </row>
    <row r="19" spans="2:27" hidden="1">
      <c r="B19" s="1360">
        <f>RBBD!B4</f>
        <v>0</v>
      </c>
      <c r="C19" s="1360">
        <f>RBBD!C4</f>
        <v>0</v>
      </c>
      <c r="D19" s="1360">
        <f>RBBD!D4</f>
        <v>0</v>
      </c>
      <c r="E19" s="1360">
        <f>RBBD!E4</f>
        <v>0</v>
      </c>
      <c r="F19" s="1360">
        <f>RBBD!F4</f>
        <v>0</v>
      </c>
      <c r="G19" s="1360">
        <f>RBBD!G4</f>
        <v>0</v>
      </c>
      <c r="H19" s="1360">
        <f>RBBD!H4</f>
        <v>0</v>
      </c>
      <c r="I19" s="1360">
        <f t="shared" ref="I19:L60" si="2">E19*$M19</f>
        <v>0</v>
      </c>
      <c r="J19" s="1360">
        <f t="shared" si="2"/>
        <v>0</v>
      </c>
      <c r="K19" s="1360">
        <f t="shared" si="2"/>
        <v>0</v>
      </c>
      <c r="L19" s="1360">
        <f t="shared" si="2"/>
        <v>0</v>
      </c>
      <c r="M19" s="1360">
        <f t="shared" ref="M19:M60" si="3">SUM(N19:Y19)</f>
        <v>0</v>
      </c>
      <c r="N19" s="1360">
        <f>RBBD!I4</f>
        <v>0</v>
      </c>
      <c r="O19" s="1360">
        <f>RBBD!J4</f>
        <v>0</v>
      </c>
      <c r="P19" s="1360">
        <f>RBBD!K4</f>
        <v>0</v>
      </c>
      <c r="Q19" s="1360">
        <f>RBBD!L4</f>
        <v>0</v>
      </c>
      <c r="R19" s="1360">
        <f>RBBD!M4</f>
        <v>0</v>
      </c>
      <c r="S19" s="1360">
        <f>RBBD!N4</f>
        <v>0</v>
      </c>
      <c r="T19" s="1360">
        <f>RBBD!O4</f>
        <v>0</v>
      </c>
      <c r="U19" s="1360">
        <f>RBBD!P4</f>
        <v>0</v>
      </c>
      <c r="V19" s="1360">
        <f>RBBD!Q4</f>
        <v>0</v>
      </c>
      <c r="W19" s="1360">
        <f>RBBD!R4</f>
        <v>0</v>
      </c>
      <c r="X19" s="1360">
        <f>RBBD!S4</f>
        <v>0</v>
      </c>
      <c r="Y19" s="1360">
        <f>RBBD!T4</f>
        <v>0</v>
      </c>
      <c r="Z19" s="65"/>
      <c r="AA19" s="329">
        <f t="shared" si="1"/>
        <v>0</v>
      </c>
    </row>
    <row r="20" spans="2:27" hidden="1">
      <c r="B20" s="1360">
        <f>RBBD!B5</f>
        <v>0</v>
      </c>
      <c r="C20" s="1360">
        <f>RBBD!C5</f>
        <v>0</v>
      </c>
      <c r="D20" s="1360">
        <f>RBBD!D5</f>
        <v>0</v>
      </c>
      <c r="E20" s="1360">
        <f>RBBD!E5</f>
        <v>0</v>
      </c>
      <c r="F20" s="1360">
        <f>RBBD!F5</f>
        <v>0</v>
      </c>
      <c r="G20" s="1360">
        <f>RBBD!G5</f>
        <v>0</v>
      </c>
      <c r="H20" s="1360">
        <f>RBBD!H5</f>
        <v>0</v>
      </c>
      <c r="I20" s="1360">
        <f t="shared" si="2"/>
        <v>0</v>
      </c>
      <c r="J20" s="1360">
        <f t="shared" si="2"/>
        <v>0</v>
      </c>
      <c r="K20" s="1360">
        <f t="shared" si="2"/>
        <v>0</v>
      </c>
      <c r="L20" s="1360">
        <f t="shared" si="2"/>
        <v>0</v>
      </c>
      <c r="M20" s="1360">
        <f t="shared" si="3"/>
        <v>0</v>
      </c>
      <c r="N20" s="1360">
        <f>RBBD!I5</f>
        <v>0</v>
      </c>
      <c r="O20" s="1360">
        <f>RBBD!J5</f>
        <v>0</v>
      </c>
      <c r="P20" s="1360">
        <f>RBBD!K5</f>
        <v>0</v>
      </c>
      <c r="Q20" s="1360">
        <f>RBBD!L5</f>
        <v>0</v>
      </c>
      <c r="R20" s="1360">
        <f>RBBD!M5</f>
        <v>0</v>
      </c>
      <c r="S20" s="1360">
        <f>RBBD!N5</f>
        <v>0</v>
      </c>
      <c r="T20" s="1360">
        <f>RBBD!O5</f>
        <v>0</v>
      </c>
      <c r="U20" s="1360">
        <f>RBBD!P5</f>
        <v>0</v>
      </c>
      <c r="V20" s="1360">
        <f>RBBD!Q5</f>
        <v>0</v>
      </c>
      <c r="W20" s="1360">
        <f>RBBD!R5</f>
        <v>0</v>
      </c>
      <c r="X20" s="1360">
        <f>RBBD!S5</f>
        <v>0</v>
      </c>
      <c r="Y20" s="1360">
        <f>RBBD!T5</f>
        <v>0</v>
      </c>
      <c r="Z20" s="65"/>
      <c r="AA20" s="329">
        <f t="shared" si="1"/>
        <v>0</v>
      </c>
    </row>
    <row r="21" spans="2:27" hidden="1">
      <c r="B21" s="1360">
        <f>RBBD!B6</f>
        <v>0</v>
      </c>
      <c r="C21" s="1360">
        <f>RBBD!C6</f>
        <v>0</v>
      </c>
      <c r="D21" s="1360">
        <f>RBBD!D6</f>
        <v>0</v>
      </c>
      <c r="E21" s="1360">
        <f>RBBD!E6</f>
        <v>0</v>
      </c>
      <c r="F21" s="1360">
        <f>RBBD!F6</f>
        <v>0</v>
      </c>
      <c r="G21" s="1360">
        <f>RBBD!G6</f>
        <v>0</v>
      </c>
      <c r="H21" s="1360">
        <f>RBBD!H6</f>
        <v>0</v>
      </c>
      <c r="I21" s="1360">
        <f t="shared" si="2"/>
        <v>0</v>
      </c>
      <c r="J21" s="1360">
        <f t="shared" si="2"/>
        <v>0</v>
      </c>
      <c r="K21" s="1360">
        <f t="shared" si="2"/>
        <v>0</v>
      </c>
      <c r="L21" s="1360">
        <f t="shared" si="2"/>
        <v>0</v>
      </c>
      <c r="M21" s="1360">
        <f t="shared" si="3"/>
        <v>0</v>
      </c>
      <c r="N21" s="1360">
        <f>RBBD!I6</f>
        <v>0</v>
      </c>
      <c r="O21" s="1360">
        <f>RBBD!J6</f>
        <v>0</v>
      </c>
      <c r="P21" s="1360">
        <f>RBBD!K6</f>
        <v>0</v>
      </c>
      <c r="Q21" s="1360">
        <f>RBBD!L6</f>
        <v>0</v>
      </c>
      <c r="R21" s="1360">
        <f>RBBD!M6</f>
        <v>0</v>
      </c>
      <c r="S21" s="1360">
        <f>RBBD!N6</f>
        <v>0</v>
      </c>
      <c r="T21" s="1360">
        <f>RBBD!O6</f>
        <v>0</v>
      </c>
      <c r="U21" s="1360">
        <f>RBBD!P6</f>
        <v>0</v>
      </c>
      <c r="V21" s="1360">
        <f>RBBD!Q6</f>
        <v>0</v>
      </c>
      <c r="W21" s="1360">
        <f>RBBD!R6</f>
        <v>0</v>
      </c>
      <c r="X21" s="1360">
        <f>RBBD!S6</f>
        <v>0</v>
      </c>
      <c r="Y21" s="1360">
        <f>RBBD!T6</f>
        <v>0</v>
      </c>
      <c r="Z21" s="65"/>
      <c r="AA21" s="329">
        <f t="shared" si="1"/>
        <v>0</v>
      </c>
    </row>
    <row r="22" spans="2:27" hidden="1">
      <c r="B22" s="1360">
        <f>RBBD!B7</f>
        <v>0</v>
      </c>
      <c r="C22" s="1360">
        <f>RBBD!C7</f>
        <v>0</v>
      </c>
      <c r="D22" s="1360">
        <f>RBBD!D7</f>
        <v>0</v>
      </c>
      <c r="E22" s="1360">
        <f>RBBD!E7</f>
        <v>0</v>
      </c>
      <c r="F22" s="1360">
        <f>RBBD!F7</f>
        <v>0</v>
      </c>
      <c r="G22" s="1360">
        <f>RBBD!G7</f>
        <v>0</v>
      </c>
      <c r="H22" s="1360">
        <f>RBBD!H7</f>
        <v>0</v>
      </c>
      <c r="I22" s="1360">
        <f t="shared" si="2"/>
        <v>0</v>
      </c>
      <c r="J22" s="1360">
        <f t="shared" si="2"/>
        <v>0</v>
      </c>
      <c r="K22" s="1360">
        <f t="shared" si="2"/>
        <v>0</v>
      </c>
      <c r="L22" s="1360">
        <f t="shared" si="2"/>
        <v>0</v>
      </c>
      <c r="M22" s="1360">
        <f t="shared" si="3"/>
        <v>0</v>
      </c>
      <c r="N22" s="1360">
        <f>RBBD!I7</f>
        <v>0</v>
      </c>
      <c r="O22" s="1360">
        <f>RBBD!J7</f>
        <v>0</v>
      </c>
      <c r="P22" s="1360">
        <f>RBBD!K7</f>
        <v>0</v>
      </c>
      <c r="Q22" s="1360">
        <f>RBBD!L7</f>
        <v>0</v>
      </c>
      <c r="R22" s="1360">
        <f>RBBD!M7</f>
        <v>0</v>
      </c>
      <c r="S22" s="1360">
        <f>RBBD!N7</f>
        <v>0</v>
      </c>
      <c r="T22" s="1360">
        <f>RBBD!O7</f>
        <v>0</v>
      </c>
      <c r="U22" s="1360">
        <f>RBBD!P7</f>
        <v>0</v>
      </c>
      <c r="V22" s="1360">
        <f>RBBD!Q7</f>
        <v>0</v>
      </c>
      <c r="W22" s="1360">
        <f>RBBD!R7</f>
        <v>0</v>
      </c>
      <c r="X22" s="1360">
        <f>RBBD!S7</f>
        <v>0</v>
      </c>
      <c r="Y22" s="1360">
        <f>RBBD!T7</f>
        <v>0</v>
      </c>
      <c r="Z22" s="65"/>
      <c r="AA22" s="329">
        <f t="shared" si="1"/>
        <v>0</v>
      </c>
    </row>
    <row r="23" spans="2:27" hidden="1">
      <c r="B23" s="1360">
        <f>RBBD!B8</f>
        <v>0</v>
      </c>
      <c r="C23" s="1360">
        <f>RBBD!C8</f>
        <v>0</v>
      </c>
      <c r="D23" s="1360">
        <f>RBBD!D8</f>
        <v>0</v>
      </c>
      <c r="E23" s="1360">
        <f>RBBD!E8</f>
        <v>0</v>
      </c>
      <c r="F23" s="1360">
        <f>RBBD!F8</f>
        <v>0</v>
      </c>
      <c r="G23" s="1360">
        <f>RBBD!G8</f>
        <v>0</v>
      </c>
      <c r="H23" s="1360">
        <f>RBBD!H8</f>
        <v>0</v>
      </c>
      <c r="I23" s="1360">
        <f t="shared" si="2"/>
        <v>0</v>
      </c>
      <c r="J23" s="1360">
        <f t="shared" si="2"/>
        <v>0</v>
      </c>
      <c r="K23" s="1360">
        <f t="shared" si="2"/>
        <v>0</v>
      </c>
      <c r="L23" s="1360">
        <f t="shared" si="2"/>
        <v>0</v>
      </c>
      <c r="M23" s="1360">
        <f t="shared" si="3"/>
        <v>0</v>
      </c>
      <c r="N23" s="1360">
        <f>RBBD!I8</f>
        <v>0</v>
      </c>
      <c r="O23" s="1360">
        <f>RBBD!J8</f>
        <v>0</v>
      </c>
      <c r="P23" s="1360">
        <f>RBBD!K8</f>
        <v>0</v>
      </c>
      <c r="Q23" s="1360">
        <f>RBBD!L8</f>
        <v>0</v>
      </c>
      <c r="R23" s="1360">
        <f>RBBD!M8</f>
        <v>0</v>
      </c>
      <c r="S23" s="1360">
        <f>RBBD!N8</f>
        <v>0</v>
      </c>
      <c r="T23" s="1360">
        <f>RBBD!O8</f>
        <v>0</v>
      </c>
      <c r="U23" s="1360">
        <f>RBBD!P8</f>
        <v>0</v>
      </c>
      <c r="V23" s="1360">
        <f>RBBD!Q8</f>
        <v>0</v>
      </c>
      <c r="W23" s="1360">
        <f>RBBD!R8</f>
        <v>0</v>
      </c>
      <c r="X23" s="1360">
        <f>RBBD!S8</f>
        <v>0</v>
      </c>
      <c r="Y23" s="1360">
        <f>RBBD!T8</f>
        <v>0</v>
      </c>
      <c r="Z23" s="65"/>
      <c r="AA23" s="329">
        <f t="shared" si="1"/>
        <v>0</v>
      </c>
    </row>
    <row r="24" spans="2:27" hidden="1">
      <c r="B24" s="1360">
        <f>RBBD!B9</f>
        <v>0</v>
      </c>
      <c r="C24" s="1360">
        <f>RBBD!C9</f>
        <v>0</v>
      </c>
      <c r="D24" s="1360">
        <f>RBBD!D9</f>
        <v>0</v>
      </c>
      <c r="E24" s="1360">
        <f>RBBD!E9</f>
        <v>0</v>
      </c>
      <c r="F24" s="1360">
        <f>RBBD!F9</f>
        <v>0</v>
      </c>
      <c r="G24" s="1360">
        <f>RBBD!G9</f>
        <v>0</v>
      </c>
      <c r="H24" s="1360">
        <f>RBBD!H9</f>
        <v>0</v>
      </c>
      <c r="I24" s="1360">
        <f t="shared" si="2"/>
        <v>0</v>
      </c>
      <c r="J24" s="1360">
        <f t="shared" si="2"/>
        <v>0</v>
      </c>
      <c r="K24" s="1360">
        <f t="shared" si="2"/>
        <v>0</v>
      </c>
      <c r="L24" s="1360">
        <f t="shared" si="2"/>
        <v>0</v>
      </c>
      <c r="M24" s="1360">
        <f t="shared" si="3"/>
        <v>0</v>
      </c>
      <c r="N24" s="1360">
        <f>RBBD!I9</f>
        <v>0</v>
      </c>
      <c r="O24" s="1360">
        <f>RBBD!J9</f>
        <v>0</v>
      </c>
      <c r="P24" s="1360">
        <f>RBBD!K9</f>
        <v>0</v>
      </c>
      <c r="Q24" s="1360">
        <f>RBBD!L9</f>
        <v>0</v>
      </c>
      <c r="R24" s="1360">
        <f>RBBD!M9</f>
        <v>0</v>
      </c>
      <c r="S24" s="1360">
        <f>RBBD!N9</f>
        <v>0</v>
      </c>
      <c r="T24" s="1360">
        <f>RBBD!O9</f>
        <v>0</v>
      </c>
      <c r="U24" s="1360">
        <f>RBBD!P9</f>
        <v>0</v>
      </c>
      <c r="V24" s="1360">
        <f>RBBD!Q9</f>
        <v>0</v>
      </c>
      <c r="W24" s="1360">
        <f>RBBD!R9</f>
        <v>0</v>
      </c>
      <c r="X24" s="1360">
        <f>RBBD!S9</f>
        <v>0</v>
      </c>
      <c r="Y24" s="1360">
        <f>RBBD!T9</f>
        <v>0</v>
      </c>
      <c r="Z24" s="65"/>
      <c r="AA24" s="329">
        <f t="shared" ref="AA24:AA38" si="4">IF(B24=0,0,1)</f>
        <v>0</v>
      </c>
    </row>
    <row r="25" spans="2:27" hidden="1">
      <c r="B25" s="1360">
        <f>RBBD!B10</f>
        <v>0</v>
      </c>
      <c r="C25" s="1360">
        <f>RBBD!C10</f>
        <v>0</v>
      </c>
      <c r="D25" s="1360">
        <f>RBBD!D10</f>
        <v>0</v>
      </c>
      <c r="E25" s="1360">
        <f>RBBD!E10</f>
        <v>0</v>
      </c>
      <c r="F25" s="1360">
        <f>RBBD!F10</f>
        <v>0</v>
      </c>
      <c r="G25" s="1360">
        <f>RBBD!G10</f>
        <v>0</v>
      </c>
      <c r="H25" s="1360">
        <f>RBBD!H10</f>
        <v>0</v>
      </c>
      <c r="I25" s="1360">
        <f t="shared" si="2"/>
        <v>0</v>
      </c>
      <c r="J25" s="1360">
        <f t="shared" si="2"/>
        <v>0</v>
      </c>
      <c r="K25" s="1360">
        <f t="shared" si="2"/>
        <v>0</v>
      </c>
      <c r="L25" s="1360">
        <f t="shared" si="2"/>
        <v>0</v>
      </c>
      <c r="M25" s="1360">
        <f t="shared" si="3"/>
        <v>0</v>
      </c>
      <c r="N25" s="1360">
        <f>RBBD!I10</f>
        <v>0</v>
      </c>
      <c r="O25" s="1360">
        <f>RBBD!J10</f>
        <v>0</v>
      </c>
      <c r="P25" s="1360">
        <f>RBBD!K10</f>
        <v>0</v>
      </c>
      <c r="Q25" s="1360">
        <f>RBBD!L10</f>
        <v>0</v>
      </c>
      <c r="R25" s="1360">
        <f>RBBD!M10</f>
        <v>0</v>
      </c>
      <c r="S25" s="1360">
        <f>RBBD!N10</f>
        <v>0</v>
      </c>
      <c r="T25" s="1360">
        <f>RBBD!O10</f>
        <v>0</v>
      </c>
      <c r="U25" s="1360">
        <f>RBBD!P10</f>
        <v>0</v>
      </c>
      <c r="V25" s="1360">
        <f>RBBD!Q10</f>
        <v>0</v>
      </c>
      <c r="W25" s="1360">
        <f>RBBD!R10</f>
        <v>0</v>
      </c>
      <c r="X25" s="1360">
        <f>RBBD!S10</f>
        <v>0</v>
      </c>
      <c r="Y25" s="1360">
        <f>RBBD!T10</f>
        <v>0</v>
      </c>
      <c r="Z25" s="65"/>
      <c r="AA25" s="329">
        <f t="shared" si="4"/>
        <v>0</v>
      </c>
    </row>
    <row r="26" spans="2:27" hidden="1">
      <c r="B26" s="1360">
        <f>RBBD!B11</f>
        <v>0</v>
      </c>
      <c r="C26" s="1360">
        <f>RBBD!C11</f>
        <v>0</v>
      </c>
      <c r="D26" s="1360">
        <f>RBBD!D11</f>
        <v>0</v>
      </c>
      <c r="E26" s="1360">
        <f>RBBD!E11</f>
        <v>0</v>
      </c>
      <c r="F26" s="1360">
        <f>RBBD!F11</f>
        <v>0</v>
      </c>
      <c r="G26" s="1360">
        <f>RBBD!G11</f>
        <v>0</v>
      </c>
      <c r="H26" s="1360">
        <f>RBBD!H11</f>
        <v>0</v>
      </c>
      <c r="I26" s="1360">
        <f t="shared" si="2"/>
        <v>0</v>
      </c>
      <c r="J26" s="1360">
        <f t="shared" si="2"/>
        <v>0</v>
      </c>
      <c r="K26" s="1360">
        <f t="shared" si="2"/>
        <v>0</v>
      </c>
      <c r="L26" s="1360">
        <f t="shared" si="2"/>
        <v>0</v>
      </c>
      <c r="M26" s="1360">
        <f t="shared" si="3"/>
        <v>0</v>
      </c>
      <c r="N26" s="1360">
        <f>RBBD!I11</f>
        <v>0</v>
      </c>
      <c r="O26" s="1360">
        <f>RBBD!J11</f>
        <v>0</v>
      </c>
      <c r="P26" s="1360">
        <f>RBBD!K11</f>
        <v>0</v>
      </c>
      <c r="Q26" s="1360">
        <f>RBBD!L11</f>
        <v>0</v>
      </c>
      <c r="R26" s="1360">
        <f>RBBD!M11</f>
        <v>0</v>
      </c>
      <c r="S26" s="1360">
        <f>RBBD!N11</f>
        <v>0</v>
      </c>
      <c r="T26" s="1360">
        <f>RBBD!O11</f>
        <v>0</v>
      </c>
      <c r="U26" s="1360">
        <f>RBBD!P11</f>
        <v>0</v>
      </c>
      <c r="V26" s="1360">
        <f>RBBD!Q11</f>
        <v>0</v>
      </c>
      <c r="W26" s="1360">
        <f>RBBD!R11</f>
        <v>0</v>
      </c>
      <c r="X26" s="1360">
        <f>RBBD!S11</f>
        <v>0</v>
      </c>
      <c r="Y26" s="1360">
        <f>RBBD!T11</f>
        <v>0</v>
      </c>
      <c r="Z26" s="65"/>
      <c r="AA26" s="329">
        <f t="shared" si="4"/>
        <v>0</v>
      </c>
    </row>
    <row r="27" spans="2:27" hidden="1">
      <c r="B27" s="1360">
        <f>RBBD!B12</f>
        <v>0</v>
      </c>
      <c r="C27" s="1360">
        <f>RBBD!C12</f>
        <v>0</v>
      </c>
      <c r="D27" s="1360">
        <f>RBBD!D12</f>
        <v>0</v>
      </c>
      <c r="E27" s="1360">
        <f>RBBD!E12</f>
        <v>0</v>
      </c>
      <c r="F27" s="1360">
        <f>RBBD!F12</f>
        <v>0</v>
      </c>
      <c r="G27" s="1360">
        <f>RBBD!G12</f>
        <v>0</v>
      </c>
      <c r="H27" s="1360">
        <f>RBBD!H12</f>
        <v>0</v>
      </c>
      <c r="I27" s="1360">
        <f t="shared" si="2"/>
        <v>0</v>
      </c>
      <c r="J27" s="1360">
        <f t="shared" si="2"/>
        <v>0</v>
      </c>
      <c r="K27" s="1360">
        <f t="shared" si="2"/>
        <v>0</v>
      </c>
      <c r="L27" s="1360">
        <f t="shared" si="2"/>
        <v>0</v>
      </c>
      <c r="M27" s="1360">
        <f t="shared" si="3"/>
        <v>0</v>
      </c>
      <c r="N27" s="1360">
        <f>RBBD!I12</f>
        <v>0</v>
      </c>
      <c r="O27" s="1360">
        <f>RBBD!J12</f>
        <v>0</v>
      </c>
      <c r="P27" s="1360">
        <f>RBBD!K12</f>
        <v>0</v>
      </c>
      <c r="Q27" s="1360">
        <f>RBBD!L12</f>
        <v>0</v>
      </c>
      <c r="R27" s="1360">
        <f>RBBD!M12</f>
        <v>0</v>
      </c>
      <c r="S27" s="1360">
        <f>RBBD!N12</f>
        <v>0</v>
      </c>
      <c r="T27" s="1360">
        <f>RBBD!O12</f>
        <v>0</v>
      </c>
      <c r="U27" s="1360">
        <f>RBBD!P12</f>
        <v>0</v>
      </c>
      <c r="V27" s="1360">
        <f>RBBD!Q12</f>
        <v>0</v>
      </c>
      <c r="W27" s="1360">
        <f>RBBD!R12</f>
        <v>0</v>
      </c>
      <c r="X27" s="1360">
        <f>RBBD!S12</f>
        <v>0</v>
      </c>
      <c r="Y27" s="1360">
        <f>RBBD!T12</f>
        <v>0</v>
      </c>
      <c r="Z27" s="65"/>
      <c r="AA27" s="329">
        <f t="shared" si="4"/>
        <v>0</v>
      </c>
    </row>
    <row r="28" spans="2:27" hidden="1">
      <c r="B28" s="1360">
        <f>RBBD!B13</f>
        <v>0</v>
      </c>
      <c r="C28" s="1360">
        <f>RBBD!C13</f>
        <v>0</v>
      </c>
      <c r="D28" s="1360">
        <f>RBBD!D13</f>
        <v>0</v>
      </c>
      <c r="E28" s="1360">
        <f>RBBD!G13</f>
        <v>0</v>
      </c>
      <c r="F28" s="1360">
        <f>RBBD!H13</f>
        <v>0</v>
      </c>
      <c r="G28" s="1360">
        <f>RBBD!E13</f>
        <v>0</v>
      </c>
      <c r="H28" s="1360">
        <f>RBBD!F13</f>
        <v>0</v>
      </c>
      <c r="I28" s="1360">
        <f t="shared" si="2"/>
        <v>0</v>
      </c>
      <c r="J28" s="1360">
        <f t="shared" si="2"/>
        <v>0</v>
      </c>
      <c r="K28" s="1360">
        <f t="shared" si="2"/>
        <v>0</v>
      </c>
      <c r="L28" s="1360">
        <f t="shared" si="2"/>
        <v>0</v>
      </c>
      <c r="M28" s="1360">
        <f t="shared" si="3"/>
        <v>0</v>
      </c>
      <c r="N28" s="1360">
        <f>RBBD!I13</f>
        <v>0</v>
      </c>
      <c r="O28" s="1360">
        <f>RBBD!J13</f>
        <v>0</v>
      </c>
      <c r="P28" s="1360">
        <f>RBBD!K13</f>
        <v>0</v>
      </c>
      <c r="Q28" s="1360">
        <f>RBBD!L13</f>
        <v>0</v>
      </c>
      <c r="R28" s="1360">
        <f>RBBD!M13</f>
        <v>0</v>
      </c>
      <c r="S28" s="1360">
        <f>RBBD!N13</f>
        <v>0</v>
      </c>
      <c r="T28" s="1360">
        <f>RBBD!O13</f>
        <v>0</v>
      </c>
      <c r="U28" s="1360">
        <f>RBBD!P13</f>
        <v>0</v>
      </c>
      <c r="V28" s="1360">
        <f>RBBD!Q13</f>
        <v>0</v>
      </c>
      <c r="W28" s="1360">
        <f>RBBD!R13</f>
        <v>0</v>
      </c>
      <c r="X28" s="1360">
        <f>RBBD!S13</f>
        <v>0</v>
      </c>
      <c r="Y28" s="1360">
        <f>RBBD!T13</f>
        <v>0</v>
      </c>
      <c r="Z28" s="65"/>
      <c r="AA28" s="329">
        <f t="shared" si="4"/>
        <v>0</v>
      </c>
    </row>
    <row r="29" spans="2:27" hidden="1">
      <c r="B29" s="1360">
        <f>RBBD!B14</f>
        <v>0</v>
      </c>
      <c r="C29" s="1360">
        <f>RBBD!C14</f>
        <v>0</v>
      </c>
      <c r="D29" s="1360">
        <f>RBBD!D14</f>
        <v>0</v>
      </c>
      <c r="E29" s="1360">
        <f>RBBD!G14</f>
        <v>0</v>
      </c>
      <c r="F29" s="1360">
        <f>RBBD!H14</f>
        <v>0</v>
      </c>
      <c r="G29" s="1360">
        <f>RBBD!E14</f>
        <v>0</v>
      </c>
      <c r="H29" s="1360">
        <f>RBBD!F14</f>
        <v>0</v>
      </c>
      <c r="I29" s="1360">
        <f t="shared" si="2"/>
        <v>0</v>
      </c>
      <c r="J29" s="1360">
        <f t="shared" si="2"/>
        <v>0</v>
      </c>
      <c r="K29" s="1360">
        <f t="shared" si="2"/>
        <v>0</v>
      </c>
      <c r="L29" s="1360">
        <f t="shared" si="2"/>
        <v>0</v>
      </c>
      <c r="M29" s="1360">
        <f t="shared" si="3"/>
        <v>0</v>
      </c>
      <c r="N29" s="1360">
        <f>RBBD!I14</f>
        <v>0</v>
      </c>
      <c r="O29" s="1360">
        <f>RBBD!J14</f>
        <v>0</v>
      </c>
      <c r="P29" s="1360">
        <f>RBBD!K14</f>
        <v>0</v>
      </c>
      <c r="Q29" s="1360">
        <f>RBBD!L14</f>
        <v>0</v>
      </c>
      <c r="R29" s="1360">
        <f>RBBD!M14</f>
        <v>0</v>
      </c>
      <c r="S29" s="1360">
        <f>RBBD!N14</f>
        <v>0</v>
      </c>
      <c r="T29" s="1360">
        <f>RBBD!O14</f>
        <v>0</v>
      </c>
      <c r="U29" s="1360">
        <f>RBBD!P14</f>
        <v>0</v>
      </c>
      <c r="V29" s="1360">
        <f>RBBD!Q14</f>
        <v>0</v>
      </c>
      <c r="W29" s="1360">
        <f>RBBD!R14</f>
        <v>0</v>
      </c>
      <c r="X29" s="1360">
        <f>RBBD!S14</f>
        <v>0</v>
      </c>
      <c r="Y29" s="1360">
        <f>RBBD!T14</f>
        <v>0</v>
      </c>
      <c r="Z29" s="65"/>
      <c r="AA29" s="329">
        <f t="shared" si="4"/>
        <v>0</v>
      </c>
    </row>
    <row r="30" spans="2:27" hidden="1">
      <c r="B30" s="1360">
        <f>RBBD!B15</f>
        <v>0</v>
      </c>
      <c r="C30" s="1360">
        <f>RBBD!C15</f>
        <v>0</v>
      </c>
      <c r="D30" s="1360">
        <f>RBBD!D15</f>
        <v>0</v>
      </c>
      <c r="E30" s="1360">
        <f>RBBD!G15</f>
        <v>0</v>
      </c>
      <c r="F30" s="1360">
        <f>RBBD!H15</f>
        <v>0</v>
      </c>
      <c r="G30" s="1360">
        <f>RBBD!E15</f>
        <v>0</v>
      </c>
      <c r="H30" s="1360">
        <f>RBBD!F15</f>
        <v>0</v>
      </c>
      <c r="I30" s="1360">
        <f t="shared" si="2"/>
        <v>0</v>
      </c>
      <c r="J30" s="1360">
        <f t="shared" si="2"/>
        <v>0</v>
      </c>
      <c r="K30" s="1360">
        <f t="shared" si="2"/>
        <v>0</v>
      </c>
      <c r="L30" s="1360">
        <f t="shared" si="2"/>
        <v>0</v>
      </c>
      <c r="M30" s="1360">
        <f t="shared" si="3"/>
        <v>0</v>
      </c>
      <c r="N30" s="1360">
        <f>RBBD!I15</f>
        <v>0</v>
      </c>
      <c r="O30" s="1360">
        <f>RBBD!J15</f>
        <v>0</v>
      </c>
      <c r="P30" s="1360">
        <f>RBBD!K15</f>
        <v>0</v>
      </c>
      <c r="Q30" s="1360">
        <f>RBBD!L15</f>
        <v>0</v>
      </c>
      <c r="R30" s="1360">
        <f>RBBD!M15</f>
        <v>0</v>
      </c>
      <c r="S30" s="1360">
        <f>RBBD!N15</f>
        <v>0</v>
      </c>
      <c r="T30" s="1360">
        <f>RBBD!O15</f>
        <v>0</v>
      </c>
      <c r="U30" s="1360">
        <f>RBBD!P15</f>
        <v>0</v>
      </c>
      <c r="V30" s="1360">
        <f>RBBD!Q15</f>
        <v>0</v>
      </c>
      <c r="W30" s="1360">
        <f>RBBD!R15</f>
        <v>0</v>
      </c>
      <c r="X30" s="1360">
        <f>RBBD!S15</f>
        <v>0</v>
      </c>
      <c r="Y30" s="1360">
        <f>RBBD!T15</f>
        <v>0</v>
      </c>
      <c r="Z30" s="65"/>
      <c r="AA30" s="329">
        <f t="shared" si="4"/>
        <v>0</v>
      </c>
    </row>
    <row r="31" spans="2:27" hidden="1">
      <c r="B31" s="1360">
        <f>RBBD!B16</f>
        <v>0</v>
      </c>
      <c r="C31" s="1360">
        <f>RBBD!C16</f>
        <v>0</v>
      </c>
      <c r="D31" s="1360">
        <f>RBBD!D16</f>
        <v>0</v>
      </c>
      <c r="E31" s="1360">
        <f>RBBD!G16</f>
        <v>0</v>
      </c>
      <c r="F31" s="1360">
        <f>RBBD!H16</f>
        <v>0</v>
      </c>
      <c r="G31" s="1360">
        <f>RBBD!E16</f>
        <v>0</v>
      </c>
      <c r="H31" s="1360">
        <f>RBBD!F16</f>
        <v>0</v>
      </c>
      <c r="I31" s="1360">
        <f t="shared" si="2"/>
        <v>0</v>
      </c>
      <c r="J31" s="1360">
        <f t="shared" si="2"/>
        <v>0</v>
      </c>
      <c r="K31" s="1360">
        <f t="shared" si="2"/>
        <v>0</v>
      </c>
      <c r="L31" s="1360">
        <f t="shared" si="2"/>
        <v>0</v>
      </c>
      <c r="M31" s="1360">
        <f t="shared" si="3"/>
        <v>0</v>
      </c>
      <c r="N31" s="1360">
        <f>RBBD!I16</f>
        <v>0</v>
      </c>
      <c r="O31" s="1360">
        <f>RBBD!J16</f>
        <v>0</v>
      </c>
      <c r="P31" s="1360">
        <f>RBBD!K16</f>
        <v>0</v>
      </c>
      <c r="Q31" s="1360">
        <f>RBBD!L16</f>
        <v>0</v>
      </c>
      <c r="R31" s="1360">
        <f>RBBD!M16</f>
        <v>0</v>
      </c>
      <c r="S31" s="1360">
        <f>RBBD!N16</f>
        <v>0</v>
      </c>
      <c r="T31" s="1360">
        <f>RBBD!O16</f>
        <v>0</v>
      </c>
      <c r="U31" s="1360">
        <f>RBBD!P16</f>
        <v>0</v>
      </c>
      <c r="V31" s="1360">
        <f>RBBD!Q16</f>
        <v>0</v>
      </c>
      <c r="W31" s="1360">
        <f>RBBD!R16</f>
        <v>0</v>
      </c>
      <c r="X31" s="1360">
        <f>RBBD!S16</f>
        <v>0</v>
      </c>
      <c r="Y31" s="1360">
        <f>RBBD!T16</f>
        <v>0</v>
      </c>
      <c r="Z31" s="65"/>
      <c r="AA31" s="329">
        <f t="shared" si="4"/>
        <v>0</v>
      </c>
    </row>
    <row r="32" spans="2:27" hidden="1">
      <c r="B32" s="1360">
        <f>RBBD!B17</f>
        <v>0</v>
      </c>
      <c r="C32" s="1360">
        <f>RBBD!C17</f>
        <v>0</v>
      </c>
      <c r="D32" s="1360">
        <f>RBBD!D17</f>
        <v>0</v>
      </c>
      <c r="E32" s="1360">
        <f>RBBD!G17</f>
        <v>0</v>
      </c>
      <c r="F32" s="1360">
        <f>RBBD!H17</f>
        <v>0</v>
      </c>
      <c r="G32" s="1360">
        <f>RBBD!E17</f>
        <v>0</v>
      </c>
      <c r="H32" s="1360">
        <f>RBBD!F17</f>
        <v>0</v>
      </c>
      <c r="I32" s="1360">
        <f t="shared" si="2"/>
        <v>0</v>
      </c>
      <c r="J32" s="1360">
        <f t="shared" si="2"/>
        <v>0</v>
      </c>
      <c r="K32" s="1360">
        <f t="shared" si="2"/>
        <v>0</v>
      </c>
      <c r="L32" s="1360">
        <f t="shared" si="2"/>
        <v>0</v>
      </c>
      <c r="M32" s="1360">
        <f t="shared" si="3"/>
        <v>0</v>
      </c>
      <c r="N32" s="1360">
        <f>RBBD!I17</f>
        <v>0</v>
      </c>
      <c r="O32" s="1360">
        <f>RBBD!J17</f>
        <v>0</v>
      </c>
      <c r="P32" s="1360">
        <f>RBBD!K17</f>
        <v>0</v>
      </c>
      <c r="Q32" s="1360">
        <f>RBBD!L17</f>
        <v>0</v>
      </c>
      <c r="R32" s="1360">
        <f>RBBD!M17</f>
        <v>0</v>
      </c>
      <c r="S32" s="1360">
        <f>RBBD!N17</f>
        <v>0</v>
      </c>
      <c r="T32" s="1360">
        <f>RBBD!O17</f>
        <v>0</v>
      </c>
      <c r="U32" s="1360">
        <f>RBBD!P17</f>
        <v>0</v>
      </c>
      <c r="V32" s="1360">
        <f>RBBD!Q17</f>
        <v>0</v>
      </c>
      <c r="W32" s="1360">
        <f>RBBD!R17</f>
        <v>0</v>
      </c>
      <c r="X32" s="1360">
        <f>RBBD!S17</f>
        <v>0</v>
      </c>
      <c r="Y32" s="1360">
        <f>RBBD!T17</f>
        <v>0</v>
      </c>
      <c r="Z32" s="65"/>
      <c r="AA32" s="329">
        <f t="shared" si="4"/>
        <v>0</v>
      </c>
    </row>
    <row r="33" spans="2:27" hidden="1">
      <c r="B33" s="1360">
        <f>RBBD!B18</f>
        <v>0</v>
      </c>
      <c r="C33" s="1360">
        <f>RBBD!C18</f>
        <v>0</v>
      </c>
      <c r="D33" s="1360">
        <f>RBBD!D18</f>
        <v>0</v>
      </c>
      <c r="E33" s="1360">
        <f>RBBD!G18</f>
        <v>0</v>
      </c>
      <c r="F33" s="1360">
        <f>RBBD!H18</f>
        <v>0</v>
      </c>
      <c r="G33" s="1360">
        <f>RBBD!E18</f>
        <v>0</v>
      </c>
      <c r="H33" s="1360">
        <f>RBBD!F18</f>
        <v>0</v>
      </c>
      <c r="I33" s="1360">
        <f t="shared" si="2"/>
        <v>0</v>
      </c>
      <c r="J33" s="1360">
        <f t="shared" si="2"/>
        <v>0</v>
      </c>
      <c r="K33" s="1360">
        <f t="shared" si="2"/>
        <v>0</v>
      </c>
      <c r="L33" s="1360">
        <f t="shared" si="2"/>
        <v>0</v>
      </c>
      <c r="M33" s="1360">
        <f t="shared" si="3"/>
        <v>0</v>
      </c>
      <c r="N33" s="1360">
        <f>RBBD!I18</f>
        <v>0</v>
      </c>
      <c r="O33" s="1360">
        <f>RBBD!J18</f>
        <v>0</v>
      </c>
      <c r="P33" s="1360">
        <f>RBBD!K18</f>
        <v>0</v>
      </c>
      <c r="Q33" s="1360">
        <f>RBBD!L18</f>
        <v>0</v>
      </c>
      <c r="R33" s="1360">
        <f>RBBD!M18</f>
        <v>0</v>
      </c>
      <c r="S33" s="1360">
        <f>RBBD!N18</f>
        <v>0</v>
      </c>
      <c r="T33" s="1360">
        <f>RBBD!O18</f>
        <v>0</v>
      </c>
      <c r="U33" s="1360">
        <f>RBBD!P18</f>
        <v>0</v>
      </c>
      <c r="V33" s="1360">
        <f>RBBD!Q18</f>
        <v>0</v>
      </c>
      <c r="W33" s="1360">
        <f>RBBD!R18</f>
        <v>0</v>
      </c>
      <c r="X33" s="1360">
        <f>RBBD!S18</f>
        <v>0</v>
      </c>
      <c r="Y33" s="1360">
        <f>RBBD!T18</f>
        <v>0</v>
      </c>
      <c r="Z33" s="65"/>
      <c r="AA33" s="329">
        <f t="shared" si="4"/>
        <v>0</v>
      </c>
    </row>
    <row r="34" spans="2:27" hidden="1">
      <c r="B34" s="1360">
        <f>RBBD!B19</f>
        <v>0</v>
      </c>
      <c r="C34" s="1360">
        <f>RBBD!C19</f>
        <v>0</v>
      </c>
      <c r="D34" s="1360">
        <f>RBBD!D19</f>
        <v>0</v>
      </c>
      <c r="E34" s="1360">
        <f>RBBD!G19</f>
        <v>0</v>
      </c>
      <c r="F34" s="1360">
        <f>RBBD!H19</f>
        <v>0</v>
      </c>
      <c r="G34" s="1360">
        <f>RBBD!E19</f>
        <v>0</v>
      </c>
      <c r="H34" s="1360">
        <f>RBBD!F19</f>
        <v>0</v>
      </c>
      <c r="I34" s="1360">
        <f t="shared" si="2"/>
        <v>0</v>
      </c>
      <c r="J34" s="1360">
        <f t="shared" si="2"/>
        <v>0</v>
      </c>
      <c r="K34" s="1360">
        <f t="shared" si="2"/>
        <v>0</v>
      </c>
      <c r="L34" s="1360">
        <f t="shared" si="2"/>
        <v>0</v>
      </c>
      <c r="M34" s="1360">
        <f t="shared" si="3"/>
        <v>0</v>
      </c>
      <c r="N34" s="1360">
        <f>RBBD!I19</f>
        <v>0</v>
      </c>
      <c r="O34" s="1360">
        <f>RBBD!J19</f>
        <v>0</v>
      </c>
      <c r="P34" s="1360">
        <f>RBBD!K19</f>
        <v>0</v>
      </c>
      <c r="Q34" s="1360">
        <f>RBBD!L19</f>
        <v>0</v>
      </c>
      <c r="R34" s="1360">
        <f>RBBD!M19</f>
        <v>0</v>
      </c>
      <c r="S34" s="1360">
        <f>RBBD!N19</f>
        <v>0</v>
      </c>
      <c r="T34" s="1360">
        <f>RBBD!O19</f>
        <v>0</v>
      </c>
      <c r="U34" s="1360">
        <f>RBBD!P19</f>
        <v>0</v>
      </c>
      <c r="V34" s="1360">
        <f>RBBD!Q19</f>
        <v>0</v>
      </c>
      <c r="W34" s="1360">
        <f>RBBD!R19</f>
        <v>0</v>
      </c>
      <c r="X34" s="1360">
        <f>RBBD!S19</f>
        <v>0</v>
      </c>
      <c r="Y34" s="1360">
        <f>RBBD!T19</f>
        <v>0</v>
      </c>
      <c r="Z34" s="65"/>
      <c r="AA34" s="329">
        <f t="shared" si="4"/>
        <v>0</v>
      </c>
    </row>
    <row r="35" spans="2:27" hidden="1">
      <c r="B35" s="1360">
        <f>RBBD!B20</f>
        <v>0</v>
      </c>
      <c r="C35" s="1360">
        <f>RBBD!C20</f>
        <v>0</v>
      </c>
      <c r="D35" s="1360">
        <f>RBBD!D20</f>
        <v>0</v>
      </c>
      <c r="E35" s="1360">
        <f>RBBD!G20</f>
        <v>0</v>
      </c>
      <c r="F35" s="1360">
        <f>RBBD!H20</f>
        <v>0</v>
      </c>
      <c r="G35" s="1360">
        <f>RBBD!E20</f>
        <v>0</v>
      </c>
      <c r="H35" s="1360">
        <f>RBBD!F20</f>
        <v>0</v>
      </c>
      <c r="I35" s="1360">
        <f t="shared" si="2"/>
        <v>0</v>
      </c>
      <c r="J35" s="1360">
        <f t="shared" si="2"/>
        <v>0</v>
      </c>
      <c r="K35" s="1360">
        <f t="shared" si="2"/>
        <v>0</v>
      </c>
      <c r="L35" s="1360">
        <f t="shared" si="2"/>
        <v>0</v>
      </c>
      <c r="M35" s="1360">
        <f t="shared" si="3"/>
        <v>0</v>
      </c>
      <c r="N35" s="1360">
        <f>RBBD!I20</f>
        <v>0</v>
      </c>
      <c r="O35" s="1360">
        <f>RBBD!J20</f>
        <v>0</v>
      </c>
      <c r="P35" s="1360">
        <f>RBBD!K20</f>
        <v>0</v>
      </c>
      <c r="Q35" s="1360">
        <f>RBBD!L20</f>
        <v>0</v>
      </c>
      <c r="R35" s="1360">
        <f>RBBD!M20</f>
        <v>0</v>
      </c>
      <c r="S35" s="1360">
        <f>RBBD!N20</f>
        <v>0</v>
      </c>
      <c r="T35" s="1360">
        <f>RBBD!O20</f>
        <v>0</v>
      </c>
      <c r="U35" s="1360">
        <f>RBBD!P20</f>
        <v>0</v>
      </c>
      <c r="V35" s="1360">
        <f>RBBD!Q20</f>
        <v>0</v>
      </c>
      <c r="W35" s="1360">
        <f>RBBD!R20</f>
        <v>0</v>
      </c>
      <c r="X35" s="1360">
        <f>RBBD!S20</f>
        <v>0</v>
      </c>
      <c r="Y35" s="1360">
        <f>RBBD!T20</f>
        <v>0</v>
      </c>
      <c r="Z35" s="65"/>
      <c r="AA35" s="329">
        <f t="shared" si="4"/>
        <v>0</v>
      </c>
    </row>
    <row r="36" spans="2:27" hidden="1">
      <c r="B36" s="1360">
        <f>RBBD!B21</f>
        <v>0</v>
      </c>
      <c r="C36" s="1360">
        <f>RBBD!C21</f>
        <v>0</v>
      </c>
      <c r="D36" s="1360">
        <f>RBBD!D21</f>
        <v>0</v>
      </c>
      <c r="E36" s="1360">
        <f>RBBD!G21</f>
        <v>0</v>
      </c>
      <c r="F36" s="1360">
        <f>RBBD!H21</f>
        <v>0</v>
      </c>
      <c r="G36" s="1360">
        <f>RBBD!E21</f>
        <v>0</v>
      </c>
      <c r="H36" s="1360">
        <f>RBBD!F21</f>
        <v>0</v>
      </c>
      <c r="I36" s="1360">
        <f t="shared" si="2"/>
        <v>0</v>
      </c>
      <c r="J36" s="1360">
        <f t="shared" si="2"/>
        <v>0</v>
      </c>
      <c r="K36" s="1360">
        <f t="shared" si="2"/>
        <v>0</v>
      </c>
      <c r="L36" s="1360">
        <f t="shared" si="2"/>
        <v>0</v>
      </c>
      <c r="M36" s="1360">
        <f t="shared" si="3"/>
        <v>0</v>
      </c>
      <c r="N36" s="1360">
        <f>RBBD!I21</f>
        <v>0</v>
      </c>
      <c r="O36" s="1360">
        <f>RBBD!J21</f>
        <v>0</v>
      </c>
      <c r="P36" s="1360">
        <f>RBBD!K21</f>
        <v>0</v>
      </c>
      <c r="Q36" s="1360">
        <f>RBBD!L21</f>
        <v>0</v>
      </c>
      <c r="R36" s="1360">
        <f>RBBD!M21</f>
        <v>0</v>
      </c>
      <c r="S36" s="1360">
        <f>RBBD!N21</f>
        <v>0</v>
      </c>
      <c r="T36" s="1360">
        <f>RBBD!O21</f>
        <v>0</v>
      </c>
      <c r="U36" s="1360">
        <f>RBBD!P21</f>
        <v>0</v>
      </c>
      <c r="V36" s="1360">
        <f>RBBD!Q21</f>
        <v>0</v>
      </c>
      <c r="W36" s="1360">
        <f>RBBD!R21</f>
        <v>0</v>
      </c>
      <c r="X36" s="1360">
        <f>RBBD!S21</f>
        <v>0</v>
      </c>
      <c r="Y36" s="1360">
        <f>RBBD!T21</f>
        <v>0</v>
      </c>
      <c r="Z36" s="65"/>
      <c r="AA36" s="329">
        <f t="shared" si="4"/>
        <v>0</v>
      </c>
    </row>
    <row r="37" spans="2:27" hidden="1">
      <c r="B37" s="1360">
        <f>RBBD!B22</f>
        <v>0</v>
      </c>
      <c r="C37" s="1360">
        <f>RBBD!C22</f>
        <v>0</v>
      </c>
      <c r="D37" s="1360">
        <f>RBBD!D22</f>
        <v>0</v>
      </c>
      <c r="E37" s="1360">
        <f>RBBD!G22</f>
        <v>0</v>
      </c>
      <c r="F37" s="1360">
        <f>RBBD!H22</f>
        <v>0</v>
      </c>
      <c r="G37" s="1360">
        <f>RBBD!E22</f>
        <v>0</v>
      </c>
      <c r="H37" s="1360">
        <f>RBBD!F22</f>
        <v>0</v>
      </c>
      <c r="I37" s="1360">
        <f t="shared" si="2"/>
        <v>0</v>
      </c>
      <c r="J37" s="1360">
        <f t="shared" si="2"/>
        <v>0</v>
      </c>
      <c r="K37" s="1360">
        <f t="shared" si="2"/>
        <v>0</v>
      </c>
      <c r="L37" s="1360">
        <f t="shared" si="2"/>
        <v>0</v>
      </c>
      <c r="M37" s="1360">
        <f t="shared" si="3"/>
        <v>0</v>
      </c>
      <c r="N37" s="1360">
        <f>RBBD!I22</f>
        <v>0</v>
      </c>
      <c r="O37" s="1360">
        <f>RBBD!J22</f>
        <v>0</v>
      </c>
      <c r="P37" s="1360">
        <f>RBBD!K22</f>
        <v>0</v>
      </c>
      <c r="Q37" s="1360">
        <f>RBBD!L22</f>
        <v>0</v>
      </c>
      <c r="R37" s="1360">
        <f>RBBD!M22</f>
        <v>0</v>
      </c>
      <c r="S37" s="1360">
        <f>RBBD!N22</f>
        <v>0</v>
      </c>
      <c r="T37" s="1360">
        <f>RBBD!O22</f>
        <v>0</v>
      </c>
      <c r="U37" s="1360">
        <f>RBBD!P22</f>
        <v>0</v>
      </c>
      <c r="V37" s="1360">
        <f>RBBD!Q22</f>
        <v>0</v>
      </c>
      <c r="W37" s="1360">
        <f>RBBD!R22</f>
        <v>0</v>
      </c>
      <c r="X37" s="1360">
        <f>RBBD!S22</f>
        <v>0</v>
      </c>
      <c r="Y37" s="1360">
        <f>RBBD!T22</f>
        <v>0</v>
      </c>
      <c r="Z37" s="65"/>
      <c r="AA37" s="329">
        <f t="shared" si="4"/>
        <v>0</v>
      </c>
    </row>
    <row r="38" spans="2:27" hidden="1">
      <c r="B38" s="1360">
        <f>RBBD!B23</f>
        <v>0</v>
      </c>
      <c r="C38" s="1360">
        <f>RBBD!C23</f>
        <v>0</v>
      </c>
      <c r="D38" s="1360">
        <f>RBBD!D23</f>
        <v>0</v>
      </c>
      <c r="E38" s="1360">
        <f>RBBD!G23</f>
        <v>0</v>
      </c>
      <c r="F38" s="1360">
        <f>RBBD!H23</f>
        <v>0</v>
      </c>
      <c r="G38" s="1360">
        <f>RBBD!E23</f>
        <v>0</v>
      </c>
      <c r="H38" s="1360">
        <f>RBBD!F23</f>
        <v>0</v>
      </c>
      <c r="I38" s="1360">
        <f t="shared" si="2"/>
        <v>0</v>
      </c>
      <c r="J38" s="1360">
        <f t="shared" si="2"/>
        <v>0</v>
      </c>
      <c r="K38" s="1360">
        <f t="shared" si="2"/>
        <v>0</v>
      </c>
      <c r="L38" s="1360">
        <f t="shared" si="2"/>
        <v>0</v>
      </c>
      <c r="M38" s="1360">
        <f t="shared" si="3"/>
        <v>0</v>
      </c>
      <c r="N38" s="1360">
        <f>RBBD!I23</f>
        <v>0</v>
      </c>
      <c r="O38" s="1360">
        <f>RBBD!J23</f>
        <v>0</v>
      </c>
      <c r="P38" s="1360">
        <f>RBBD!K23</f>
        <v>0</v>
      </c>
      <c r="Q38" s="1360">
        <f>RBBD!L23</f>
        <v>0</v>
      </c>
      <c r="R38" s="1360">
        <f>RBBD!M23</f>
        <v>0</v>
      </c>
      <c r="S38" s="1360">
        <f>RBBD!N23</f>
        <v>0</v>
      </c>
      <c r="T38" s="1360">
        <f>RBBD!O23</f>
        <v>0</v>
      </c>
      <c r="U38" s="1360">
        <f>RBBD!P23</f>
        <v>0</v>
      </c>
      <c r="V38" s="1360">
        <f>RBBD!Q23</f>
        <v>0</v>
      </c>
      <c r="W38" s="1360">
        <f>RBBD!R23</f>
        <v>0</v>
      </c>
      <c r="X38" s="1360">
        <f>RBBD!S23</f>
        <v>0</v>
      </c>
      <c r="Y38" s="1360">
        <f>RBBD!T23</f>
        <v>0</v>
      </c>
      <c r="Z38" s="65"/>
      <c r="AA38" s="329">
        <f t="shared" si="4"/>
        <v>0</v>
      </c>
    </row>
    <row r="39" spans="2:27" hidden="1">
      <c r="B39" s="1360">
        <f>RBBD!B24</f>
        <v>0</v>
      </c>
      <c r="C39" s="1360">
        <f>RBBD!C24</f>
        <v>0</v>
      </c>
      <c r="D39" s="1360">
        <f>RBBD!D24</f>
        <v>0</v>
      </c>
      <c r="E39" s="1360">
        <f>RBBD!G24</f>
        <v>0</v>
      </c>
      <c r="F39" s="1360">
        <f>RBBD!H24</f>
        <v>0</v>
      </c>
      <c r="G39" s="1360">
        <f>RBBD!E24</f>
        <v>0</v>
      </c>
      <c r="H39" s="1360">
        <f>RBBD!F24</f>
        <v>0</v>
      </c>
      <c r="I39" s="1360">
        <f t="shared" si="2"/>
        <v>0</v>
      </c>
      <c r="J39" s="1360">
        <f t="shared" si="2"/>
        <v>0</v>
      </c>
      <c r="K39" s="1360">
        <f t="shared" si="2"/>
        <v>0</v>
      </c>
      <c r="L39" s="1360">
        <f t="shared" si="2"/>
        <v>0</v>
      </c>
      <c r="M39" s="1360">
        <f t="shared" si="3"/>
        <v>0</v>
      </c>
      <c r="N39" s="1360">
        <f>RBBD!I24</f>
        <v>0</v>
      </c>
      <c r="O39" s="1360">
        <f>RBBD!J24</f>
        <v>0</v>
      </c>
      <c r="P39" s="1360">
        <f>RBBD!K24</f>
        <v>0</v>
      </c>
      <c r="Q39" s="1360">
        <f>RBBD!L24</f>
        <v>0</v>
      </c>
      <c r="R39" s="1360">
        <f>RBBD!M24</f>
        <v>0</v>
      </c>
      <c r="S39" s="1360">
        <f>RBBD!N24</f>
        <v>0</v>
      </c>
      <c r="T39" s="1360">
        <f>RBBD!O24</f>
        <v>0</v>
      </c>
      <c r="U39" s="1360">
        <f>RBBD!P24</f>
        <v>0</v>
      </c>
      <c r="V39" s="1360">
        <f>RBBD!Q24</f>
        <v>0</v>
      </c>
      <c r="W39" s="1360">
        <f>RBBD!R24</f>
        <v>0</v>
      </c>
      <c r="X39" s="1360">
        <f>RBBD!S24</f>
        <v>0</v>
      </c>
      <c r="Y39" s="1360">
        <f>RBBD!T24</f>
        <v>0</v>
      </c>
      <c r="Z39" s="65"/>
      <c r="AA39" s="329">
        <f t="shared" ref="AA39:AA60" si="5">IF(B39=0,0,1)</f>
        <v>0</v>
      </c>
    </row>
    <row r="40" spans="2:27" hidden="1">
      <c r="B40" s="1360">
        <f>RBBD!B25</f>
        <v>0</v>
      </c>
      <c r="C40" s="1360">
        <f>RBBD!C25</f>
        <v>0</v>
      </c>
      <c r="D40" s="1360">
        <f>RBBD!D25</f>
        <v>0</v>
      </c>
      <c r="E40" s="1360">
        <f>RBBD!G25</f>
        <v>0</v>
      </c>
      <c r="F40" s="1360">
        <f>RBBD!H25</f>
        <v>0</v>
      </c>
      <c r="G40" s="1360">
        <f>RBBD!E25</f>
        <v>0</v>
      </c>
      <c r="H40" s="1360">
        <f>RBBD!F25</f>
        <v>0</v>
      </c>
      <c r="I40" s="1360">
        <f t="shared" si="2"/>
        <v>0</v>
      </c>
      <c r="J40" s="1360">
        <f t="shared" si="2"/>
        <v>0</v>
      </c>
      <c r="K40" s="1360">
        <f t="shared" si="2"/>
        <v>0</v>
      </c>
      <c r="L40" s="1360">
        <f t="shared" si="2"/>
        <v>0</v>
      </c>
      <c r="M40" s="1360">
        <f t="shared" si="3"/>
        <v>0</v>
      </c>
      <c r="N40" s="1360">
        <f>RBBD!I25</f>
        <v>0</v>
      </c>
      <c r="O40" s="1360">
        <f>RBBD!J25</f>
        <v>0</v>
      </c>
      <c r="P40" s="1360">
        <f>RBBD!K25</f>
        <v>0</v>
      </c>
      <c r="Q40" s="1360">
        <f>RBBD!L25</f>
        <v>0</v>
      </c>
      <c r="R40" s="1360">
        <f>RBBD!M25</f>
        <v>0</v>
      </c>
      <c r="S40" s="1360">
        <f>RBBD!N25</f>
        <v>0</v>
      </c>
      <c r="T40" s="1360">
        <f>RBBD!O25</f>
        <v>0</v>
      </c>
      <c r="U40" s="1360">
        <f>RBBD!P25</f>
        <v>0</v>
      </c>
      <c r="V40" s="1360">
        <f>RBBD!Q25</f>
        <v>0</v>
      </c>
      <c r="W40" s="1360">
        <f>RBBD!R25</f>
        <v>0</v>
      </c>
      <c r="X40" s="1360">
        <f>RBBD!S25</f>
        <v>0</v>
      </c>
      <c r="Y40" s="1360">
        <f>RBBD!T25</f>
        <v>0</v>
      </c>
      <c r="Z40" s="65"/>
      <c r="AA40" s="329">
        <f t="shared" si="5"/>
        <v>0</v>
      </c>
    </row>
    <row r="41" spans="2:27" hidden="1">
      <c r="B41" s="1360">
        <f>RBBD!B26</f>
        <v>0</v>
      </c>
      <c r="C41" s="1360">
        <f>RBBD!C26</f>
        <v>0</v>
      </c>
      <c r="D41" s="1360">
        <f>RBBD!D26</f>
        <v>0</v>
      </c>
      <c r="E41" s="1360">
        <f>RBBD!G26</f>
        <v>0</v>
      </c>
      <c r="F41" s="1360">
        <f>RBBD!H26</f>
        <v>0</v>
      </c>
      <c r="G41" s="1360">
        <f>RBBD!E26</f>
        <v>0</v>
      </c>
      <c r="H41" s="1360">
        <f>RBBD!F26</f>
        <v>0</v>
      </c>
      <c r="I41" s="1360">
        <f t="shared" si="2"/>
        <v>0</v>
      </c>
      <c r="J41" s="1360">
        <f t="shared" si="2"/>
        <v>0</v>
      </c>
      <c r="K41" s="1360">
        <f t="shared" si="2"/>
        <v>0</v>
      </c>
      <c r="L41" s="1360">
        <f t="shared" si="2"/>
        <v>0</v>
      </c>
      <c r="M41" s="1360">
        <f t="shared" si="3"/>
        <v>0</v>
      </c>
      <c r="N41" s="1360">
        <f>RBBD!I26</f>
        <v>0</v>
      </c>
      <c r="O41" s="1360">
        <f>RBBD!J26</f>
        <v>0</v>
      </c>
      <c r="P41" s="1360">
        <f>RBBD!K26</f>
        <v>0</v>
      </c>
      <c r="Q41" s="1360">
        <f>RBBD!L26</f>
        <v>0</v>
      </c>
      <c r="R41" s="1360">
        <f>RBBD!M26</f>
        <v>0</v>
      </c>
      <c r="S41" s="1360">
        <f>RBBD!N26</f>
        <v>0</v>
      </c>
      <c r="T41" s="1360">
        <f>RBBD!O26</f>
        <v>0</v>
      </c>
      <c r="U41" s="1360">
        <f>RBBD!P26</f>
        <v>0</v>
      </c>
      <c r="V41" s="1360">
        <f>RBBD!Q26</f>
        <v>0</v>
      </c>
      <c r="W41" s="1360">
        <f>RBBD!R26</f>
        <v>0</v>
      </c>
      <c r="X41" s="1360">
        <f>RBBD!S26</f>
        <v>0</v>
      </c>
      <c r="Y41" s="1360">
        <f>RBBD!T26</f>
        <v>0</v>
      </c>
      <c r="Z41" s="65"/>
      <c r="AA41" s="329">
        <f t="shared" si="5"/>
        <v>0</v>
      </c>
    </row>
    <row r="42" spans="2:27" hidden="1">
      <c r="B42" s="1360">
        <f>RBBD!B27</f>
        <v>0</v>
      </c>
      <c r="C42" s="1360">
        <f>RBBD!C27</f>
        <v>0</v>
      </c>
      <c r="D42" s="1360">
        <f>RBBD!D27</f>
        <v>0</v>
      </c>
      <c r="E42" s="1360">
        <f>RBBD!G27</f>
        <v>0</v>
      </c>
      <c r="F42" s="1360">
        <f>RBBD!H27</f>
        <v>0</v>
      </c>
      <c r="G42" s="1360">
        <f>RBBD!E27</f>
        <v>0</v>
      </c>
      <c r="H42" s="1360">
        <f>RBBD!F27</f>
        <v>0</v>
      </c>
      <c r="I42" s="1360">
        <f t="shared" si="2"/>
        <v>0</v>
      </c>
      <c r="J42" s="1360">
        <f t="shared" si="2"/>
        <v>0</v>
      </c>
      <c r="K42" s="1360">
        <f t="shared" si="2"/>
        <v>0</v>
      </c>
      <c r="L42" s="1360">
        <f t="shared" si="2"/>
        <v>0</v>
      </c>
      <c r="M42" s="1360">
        <f t="shared" si="3"/>
        <v>0</v>
      </c>
      <c r="N42" s="1360">
        <f>RBBD!I27</f>
        <v>0</v>
      </c>
      <c r="O42" s="1360">
        <f>RBBD!J27</f>
        <v>0</v>
      </c>
      <c r="P42" s="1360">
        <f>RBBD!K27</f>
        <v>0</v>
      </c>
      <c r="Q42" s="1360">
        <f>RBBD!L27</f>
        <v>0</v>
      </c>
      <c r="R42" s="1360">
        <f>RBBD!M27</f>
        <v>0</v>
      </c>
      <c r="S42" s="1360">
        <f>RBBD!N27</f>
        <v>0</v>
      </c>
      <c r="T42" s="1360">
        <f>RBBD!O27</f>
        <v>0</v>
      </c>
      <c r="U42" s="1360">
        <f>RBBD!P27</f>
        <v>0</v>
      </c>
      <c r="V42" s="1360">
        <f>RBBD!Q27</f>
        <v>0</v>
      </c>
      <c r="W42" s="1360">
        <f>RBBD!R27</f>
        <v>0</v>
      </c>
      <c r="X42" s="1360">
        <f>RBBD!S27</f>
        <v>0</v>
      </c>
      <c r="Y42" s="1360">
        <f>RBBD!T27</f>
        <v>0</v>
      </c>
      <c r="Z42" s="65"/>
      <c r="AA42" s="329">
        <f t="shared" si="5"/>
        <v>0</v>
      </c>
    </row>
    <row r="43" spans="2:27" hidden="1">
      <c r="B43" s="1360">
        <f>RBBD!B28</f>
        <v>0</v>
      </c>
      <c r="C43" s="1360">
        <f>RBBD!C28</f>
        <v>0</v>
      </c>
      <c r="D43" s="1360">
        <f>RBBD!D28</f>
        <v>0</v>
      </c>
      <c r="E43" s="1360">
        <f>RBBD!G28</f>
        <v>0</v>
      </c>
      <c r="F43" s="1360">
        <f>RBBD!H28</f>
        <v>0</v>
      </c>
      <c r="G43" s="1360">
        <f>RBBD!E28</f>
        <v>0</v>
      </c>
      <c r="H43" s="1360">
        <f>RBBD!F28</f>
        <v>0</v>
      </c>
      <c r="I43" s="1360">
        <f t="shared" si="2"/>
        <v>0</v>
      </c>
      <c r="J43" s="1360">
        <f t="shared" si="2"/>
        <v>0</v>
      </c>
      <c r="K43" s="1360">
        <f t="shared" si="2"/>
        <v>0</v>
      </c>
      <c r="L43" s="1360">
        <f t="shared" si="2"/>
        <v>0</v>
      </c>
      <c r="M43" s="1360">
        <f t="shared" si="3"/>
        <v>0</v>
      </c>
      <c r="N43" s="1360">
        <f>RBBD!I28</f>
        <v>0</v>
      </c>
      <c r="O43" s="1360">
        <f>RBBD!J28</f>
        <v>0</v>
      </c>
      <c r="P43" s="1360">
        <f>RBBD!K28</f>
        <v>0</v>
      </c>
      <c r="Q43" s="1360">
        <f>RBBD!L28</f>
        <v>0</v>
      </c>
      <c r="R43" s="1360">
        <f>RBBD!M28</f>
        <v>0</v>
      </c>
      <c r="S43" s="1360">
        <f>RBBD!N28</f>
        <v>0</v>
      </c>
      <c r="T43" s="1360">
        <f>RBBD!O28</f>
        <v>0</v>
      </c>
      <c r="U43" s="1360">
        <f>RBBD!P28</f>
        <v>0</v>
      </c>
      <c r="V43" s="1360">
        <f>RBBD!Q28</f>
        <v>0</v>
      </c>
      <c r="W43" s="1360">
        <f>RBBD!R28</f>
        <v>0</v>
      </c>
      <c r="X43" s="1360">
        <f>RBBD!S28</f>
        <v>0</v>
      </c>
      <c r="Y43" s="1360">
        <f>RBBD!T28</f>
        <v>0</v>
      </c>
      <c r="Z43" s="65"/>
      <c r="AA43" s="329">
        <f t="shared" si="5"/>
        <v>0</v>
      </c>
    </row>
    <row r="44" spans="2:27" hidden="1">
      <c r="B44" s="1360">
        <f>RBBD!B29</f>
        <v>0</v>
      </c>
      <c r="C44" s="1360">
        <f>RBBD!C29</f>
        <v>0</v>
      </c>
      <c r="D44" s="1360">
        <f>RBBD!D29</f>
        <v>0</v>
      </c>
      <c r="E44" s="1360">
        <f>RBBD!G29</f>
        <v>0</v>
      </c>
      <c r="F44" s="1360">
        <f>RBBD!H29</f>
        <v>0</v>
      </c>
      <c r="G44" s="1360">
        <f>RBBD!E29</f>
        <v>0</v>
      </c>
      <c r="H44" s="1360">
        <f>RBBD!F29</f>
        <v>0</v>
      </c>
      <c r="I44" s="1360">
        <f t="shared" si="2"/>
        <v>0</v>
      </c>
      <c r="J44" s="1360">
        <f t="shared" si="2"/>
        <v>0</v>
      </c>
      <c r="K44" s="1360">
        <f t="shared" si="2"/>
        <v>0</v>
      </c>
      <c r="L44" s="1360">
        <f t="shared" si="2"/>
        <v>0</v>
      </c>
      <c r="M44" s="1360">
        <f t="shared" si="3"/>
        <v>0</v>
      </c>
      <c r="N44" s="1360">
        <f>RBBD!I29</f>
        <v>0</v>
      </c>
      <c r="O44" s="1360">
        <f>RBBD!J29</f>
        <v>0</v>
      </c>
      <c r="P44" s="1360">
        <f>RBBD!K29</f>
        <v>0</v>
      </c>
      <c r="Q44" s="1360">
        <f>RBBD!L29</f>
        <v>0</v>
      </c>
      <c r="R44" s="1360">
        <f>RBBD!M29</f>
        <v>0</v>
      </c>
      <c r="S44" s="1360">
        <f>RBBD!N29</f>
        <v>0</v>
      </c>
      <c r="T44" s="1360">
        <f>RBBD!O29</f>
        <v>0</v>
      </c>
      <c r="U44" s="1360">
        <f>RBBD!P29</f>
        <v>0</v>
      </c>
      <c r="V44" s="1360">
        <f>RBBD!Q29</f>
        <v>0</v>
      </c>
      <c r="W44" s="1360">
        <f>RBBD!R29</f>
        <v>0</v>
      </c>
      <c r="X44" s="1360">
        <f>RBBD!S29</f>
        <v>0</v>
      </c>
      <c r="Y44" s="1360">
        <f>RBBD!T29</f>
        <v>0</v>
      </c>
      <c r="Z44" s="65"/>
      <c r="AA44" s="329">
        <f t="shared" si="5"/>
        <v>0</v>
      </c>
    </row>
    <row r="45" spans="2:27" hidden="1">
      <c r="B45" s="1360">
        <f>RBBD!B30</f>
        <v>0</v>
      </c>
      <c r="C45" s="1360">
        <f>RBBD!C30</f>
        <v>0</v>
      </c>
      <c r="D45" s="1360">
        <f>RBBD!D30</f>
        <v>0</v>
      </c>
      <c r="E45" s="1360">
        <f>RBBD!G30</f>
        <v>0</v>
      </c>
      <c r="F45" s="1360">
        <f>RBBD!H30</f>
        <v>0</v>
      </c>
      <c r="G45" s="1360">
        <f>RBBD!E30</f>
        <v>0</v>
      </c>
      <c r="H45" s="1360">
        <f>RBBD!F30</f>
        <v>0</v>
      </c>
      <c r="I45" s="1360">
        <f t="shared" si="2"/>
        <v>0</v>
      </c>
      <c r="J45" s="1360">
        <f t="shared" si="2"/>
        <v>0</v>
      </c>
      <c r="K45" s="1360">
        <f t="shared" si="2"/>
        <v>0</v>
      </c>
      <c r="L45" s="1360">
        <f t="shared" si="2"/>
        <v>0</v>
      </c>
      <c r="M45" s="1360">
        <f t="shared" si="3"/>
        <v>0</v>
      </c>
      <c r="N45" s="1360">
        <f>RBBD!I30</f>
        <v>0</v>
      </c>
      <c r="O45" s="1360">
        <f>RBBD!J30</f>
        <v>0</v>
      </c>
      <c r="P45" s="1360">
        <f>RBBD!K30</f>
        <v>0</v>
      </c>
      <c r="Q45" s="1360">
        <f>RBBD!L30</f>
        <v>0</v>
      </c>
      <c r="R45" s="1360">
        <f>RBBD!M30</f>
        <v>0</v>
      </c>
      <c r="S45" s="1360">
        <f>RBBD!N30</f>
        <v>0</v>
      </c>
      <c r="T45" s="1360">
        <f>RBBD!O30</f>
        <v>0</v>
      </c>
      <c r="U45" s="1360">
        <f>RBBD!P30</f>
        <v>0</v>
      </c>
      <c r="V45" s="1360">
        <f>RBBD!Q30</f>
        <v>0</v>
      </c>
      <c r="W45" s="1360">
        <f>RBBD!R30</f>
        <v>0</v>
      </c>
      <c r="X45" s="1360">
        <f>RBBD!S30</f>
        <v>0</v>
      </c>
      <c r="Y45" s="1360">
        <f>RBBD!T30</f>
        <v>0</v>
      </c>
      <c r="Z45" s="65"/>
      <c r="AA45" s="329">
        <f t="shared" si="5"/>
        <v>0</v>
      </c>
    </row>
    <row r="46" spans="2:27" hidden="1">
      <c r="B46" s="1360">
        <f>RBBD!B31</f>
        <v>0</v>
      </c>
      <c r="C46" s="1360">
        <f>RBBD!C31</f>
        <v>0</v>
      </c>
      <c r="D46" s="1360">
        <f>RBBD!D31</f>
        <v>0</v>
      </c>
      <c r="E46" s="1360">
        <f>RBBD!G31</f>
        <v>0</v>
      </c>
      <c r="F46" s="1360">
        <f>RBBD!H31</f>
        <v>0</v>
      </c>
      <c r="G46" s="1360">
        <f>RBBD!E31</f>
        <v>0</v>
      </c>
      <c r="H46" s="1360">
        <f>RBBD!F31</f>
        <v>0</v>
      </c>
      <c r="I46" s="1360">
        <f t="shared" si="2"/>
        <v>0</v>
      </c>
      <c r="J46" s="1360">
        <f t="shared" si="2"/>
        <v>0</v>
      </c>
      <c r="K46" s="1360">
        <f t="shared" si="2"/>
        <v>0</v>
      </c>
      <c r="L46" s="1360">
        <f t="shared" si="2"/>
        <v>0</v>
      </c>
      <c r="M46" s="1360">
        <f t="shared" si="3"/>
        <v>0</v>
      </c>
      <c r="N46" s="1360">
        <f>RBBD!I31</f>
        <v>0</v>
      </c>
      <c r="O46" s="1360">
        <f>RBBD!J31</f>
        <v>0</v>
      </c>
      <c r="P46" s="1360">
        <f>RBBD!K31</f>
        <v>0</v>
      </c>
      <c r="Q46" s="1360">
        <f>RBBD!L31</f>
        <v>0</v>
      </c>
      <c r="R46" s="1360">
        <f>RBBD!M31</f>
        <v>0</v>
      </c>
      <c r="S46" s="1360">
        <f>RBBD!N31</f>
        <v>0</v>
      </c>
      <c r="T46" s="1360">
        <f>RBBD!O31</f>
        <v>0</v>
      </c>
      <c r="U46" s="1360">
        <f>RBBD!P31</f>
        <v>0</v>
      </c>
      <c r="V46" s="1360">
        <f>RBBD!Q31</f>
        <v>0</v>
      </c>
      <c r="W46" s="1360">
        <f>RBBD!R31</f>
        <v>0</v>
      </c>
      <c r="X46" s="1360">
        <f>RBBD!S31</f>
        <v>0</v>
      </c>
      <c r="Y46" s="1360">
        <f>RBBD!T31</f>
        <v>0</v>
      </c>
      <c r="Z46" s="65"/>
      <c r="AA46" s="329">
        <f t="shared" si="5"/>
        <v>0</v>
      </c>
    </row>
    <row r="47" spans="2:27" hidden="1">
      <c r="B47" s="1360">
        <f>RBBD!B32</f>
        <v>0</v>
      </c>
      <c r="C47" s="1360">
        <f>RBBD!C32</f>
        <v>0</v>
      </c>
      <c r="D47" s="1360">
        <f>RBBD!D32</f>
        <v>0</v>
      </c>
      <c r="E47" s="1360">
        <f>RBBD!G32</f>
        <v>0</v>
      </c>
      <c r="F47" s="1360">
        <f>RBBD!H32</f>
        <v>0</v>
      </c>
      <c r="G47" s="1360">
        <f>RBBD!E32</f>
        <v>0</v>
      </c>
      <c r="H47" s="1360">
        <f>RBBD!F32</f>
        <v>0</v>
      </c>
      <c r="I47" s="1360">
        <f t="shared" si="2"/>
        <v>0</v>
      </c>
      <c r="J47" s="1360">
        <f t="shared" si="2"/>
        <v>0</v>
      </c>
      <c r="K47" s="1360">
        <f t="shared" si="2"/>
        <v>0</v>
      </c>
      <c r="L47" s="1360">
        <f t="shared" si="2"/>
        <v>0</v>
      </c>
      <c r="M47" s="1360">
        <f t="shared" si="3"/>
        <v>0</v>
      </c>
      <c r="N47" s="1360">
        <f>RBBD!I32</f>
        <v>0</v>
      </c>
      <c r="O47" s="1360">
        <f>RBBD!J32</f>
        <v>0</v>
      </c>
      <c r="P47" s="1360">
        <f>RBBD!K32</f>
        <v>0</v>
      </c>
      <c r="Q47" s="1360">
        <f>RBBD!L32</f>
        <v>0</v>
      </c>
      <c r="R47" s="1360">
        <f>RBBD!M32</f>
        <v>0</v>
      </c>
      <c r="S47" s="1360">
        <f>RBBD!N32</f>
        <v>0</v>
      </c>
      <c r="T47" s="1360">
        <f>RBBD!O32</f>
        <v>0</v>
      </c>
      <c r="U47" s="1360">
        <f>RBBD!P32</f>
        <v>0</v>
      </c>
      <c r="V47" s="1360">
        <f>RBBD!Q32</f>
        <v>0</v>
      </c>
      <c r="W47" s="1360">
        <f>RBBD!R32</f>
        <v>0</v>
      </c>
      <c r="X47" s="1360">
        <f>RBBD!S32</f>
        <v>0</v>
      </c>
      <c r="Y47" s="1360">
        <f>RBBD!T32</f>
        <v>0</v>
      </c>
      <c r="Z47" s="65"/>
      <c r="AA47" s="329">
        <f t="shared" si="5"/>
        <v>0</v>
      </c>
    </row>
    <row r="48" spans="2:27" hidden="1">
      <c r="B48" s="1360">
        <f>RBBD!B33</f>
        <v>0</v>
      </c>
      <c r="C48" s="1360">
        <f>RBBD!C33</f>
        <v>0</v>
      </c>
      <c r="D48" s="1360">
        <f>RBBD!D33</f>
        <v>0</v>
      </c>
      <c r="E48" s="1360">
        <f>RBBD!G33</f>
        <v>0</v>
      </c>
      <c r="F48" s="1360">
        <f>RBBD!H33</f>
        <v>0</v>
      </c>
      <c r="G48" s="1360">
        <f>RBBD!E33</f>
        <v>0</v>
      </c>
      <c r="H48" s="1360">
        <f>RBBD!F33</f>
        <v>0</v>
      </c>
      <c r="I48" s="1360">
        <f t="shared" si="2"/>
        <v>0</v>
      </c>
      <c r="J48" s="1360">
        <f t="shared" si="2"/>
        <v>0</v>
      </c>
      <c r="K48" s="1360">
        <f t="shared" si="2"/>
        <v>0</v>
      </c>
      <c r="L48" s="1360">
        <f t="shared" si="2"/>
        <v>0</v>
      </c>
      <c r="M48" s="1360">
        <f t="shared" si="3"/>
        <v>0</v>
      </c>
      <c r="N48" s="1360">
        <f>RBBD!I33</f>
        <v>0</v>
      </c>
      <c r="O48" s="1360">
        <f>RBBD!J33</f>
        <v>0</v>
      </c>
      <c r="P48" s="1360">
        <f>RBBD!K33</f>
        <v>0</v>
      </c>
      <c r="Q48" s="1360">
        <f>RBBD!L33</f>
        <v>0</v>
      </c>
      <c r="R48" s="1360">
        <f>RBBD!M33</f>
        <v>0</v>
      </c>
      <c r="S48" s="1360">
        <f>RBBD!N33</f>
        <v>0</v>
      </c>
      <c r="T48" s="1360">
        <f>RBBD!O33</f>
        <v>0</v>
      </c>
      <c r="U48" s="1360">
        <f>RBBD!P33</f>
        <v>0</v>
      </c>
      <c r="V48" s="1360">
        <f>RBBD!Q33</f>
        <v>0</v>
      </c>
      <c r="W48" s="1360">
        <f>RBBD!R33</f>
        <v>0</v>
      </c>
      <c r="X48" s="1360">
        <f>RBBD!S33</f>
        <v>0</v>
      </c>
      <c r="Y48" s="1360">
        <f>RBBD!T33</f>
        <v>0</v>
      </c>
      <c r="Z48" s="65"/>
      <c r="AA48" s="329">
        <f t="shared" si="5"/>
        <v>0</v>
      </c>
    </row>
    <row r="49" spans="2:27" hidden="1">
      <c r="B49" s="1360">
        <f>RBBD!B34</f>
        <v>0</v>
      </c>
      <c r="C49" s="1360">
        <f>RBBD!C34</f>
        <v>0</v>
      </c>
      <c r="D49" s="1360">
        <f>RBBD!D34</f>
        <v>0</v>
      </c>
      <c r="E49" s="1360">
        <f>RBBD!G34</f>
        <v>0</v>
      </c>
      <c r="F49" s="1360">
        <f>RBBD!H34</f>
        <v>0</v>
      </c>
      <c r="G49" s="1360">
        <f>RBBD!E34</f>
        <v>0</v>
      </c>
      <c r="H49" s="1360">
        <f>RBBD!F34</f>
        <v>0</v>
      </c>
      <c r="I49" s="1360">
        <f t="shared" si="2"/>
        <v>0</v>
      </c>
      <c r="J49" s="1360">
        <f t="shared" si="2"/>
        <v>0</v>
      </c>
      <c r="K49" s="1360">
        <f t="shared" si="2"/>
        <v>0</v>
      </c>
      <c r="L49" s="1360">
        <f t="shared" si="2"/>
        <v>0</v>
      </c>
      <c r="M49" s="1360">
        <f t="shared" si="3"/>
        <v>0</v>
      </c>
      <c r="N49" s="1360">
        <f>RBBD!I34</f>
        <v>0</v>
      </c>
      <c r="O49" s="1360">
        <f>RBBD!J34</f>
        <v>0</v>
      </c>
      <c r="P49" s="1360">
        <f>RBBD!K34</f>
        <v>0</v>
      </c>
      <c r="Q49" s="1360">
        <f>RBBD!L34</f>
        <v>0</v>
      </c>
      <c r="R49" s="1360">
        <f>RBBD!M34</f>
        <v>0</v>
      </c>
      <c r="S49" s="1360">
        <f>RBBD!N34</f>
        <v>0</v>
      </c>
      <c r="T49" s="1360">
        <f>RBBD!O34</f>
        <v>0</v>
      </c>
      <c r="U49" s="1360">
        <f>RBBD!P34</f>
        <v>0</v>
      </c>
      <c r="V49" s="1360">
        <f>RBBD!Q34</f>
        <v>0</v>
      </c>
      <c r="W49" s="1360">
        <f>RBBD!R34</f>
        <v>0</v>
      </c>
      <c r="X49" s="1360">
        <f>RBBD!S34</f>
        <v>0</v>
      </c>
      <c r="Y49" s="1360">
        <f>RBBD!T34</f>
        <v>0</v>
      </c>
      <c r="Z49" s="65"/>
      <c r="AA49" s="329">
        <f t="shared" si="5"/>
        <v>0</v>
      </c>
    </row>
    <row r="50" spans="2:27" hidden="1">
      <c r="B50" s="1360">
        <f>RBBD!B35</f>
        <v>0</v>
      </c>
      <c r="C50" s="1360">
        <f>RBBD!C35</f>
        <v>0</v>
      </c>
      <c r="D50" s="1360">
        <f>RBBD!D35</f>
        <v>0</v>
      </c>
      <c r="E50" s="1360">
        <f>RBBD!G35</f>
        <v>0</v>
      </c>
      <c r="F50" s="1360">
        <f>RBBD!H35</f>
        <v>0</v>
      </c>
      <c r="G50" s="1360">
        <f>RBBD!E35</f>
        <v>0</v>
      </c>
      <c r="H50" s="1360">
        <f>RBBD!F35</f>
        <v>0</v>
      </c>
      <c r="I50" s="1360">
        <f t="shared" si="2"/>
        <v>0</v>
      </c>
      <c r="J50" s="1360">
        <f t="shared" si="2"/>
        <v>0</v>
      </c>
      <c r="K50" s="1360">
        <f t="shared" si="2"/>
        <v>0</v>
      </c>
      <c r="L50" s="1360">
        <f t="shared" si="2"/>
        <v>0</v>
      </c>
      <c r="M50" s="1360">
        <f t="shared" si="3"/>
        <v>0</v>
      </c>
      <c r="N50" s="1360">
        <f>RBBD!I35</f>
        <v>0</v>
      </c>
      <c r="O50" s="1360">
        <f>RBBD!J35</f>
        <v>0</v>
      </c>
      <c r="P50" s="1360">
        <f>RBBD!K35</f>
        <v>0</v>
      </c>
      <c r="Q50" s="1360">
        <f>RBBD!L35</f>
        <v>0</v>
      </c>
      <c r="R50" s="1360">
        <f>RBBD!M35</f>
        <v>0</v>
      </c>
      <c r="S50" s="1360">
        <f>RBBD!N35</f>
        <v>0</v>
      </c>
      <c r="T50" s="1360">
        <f>RBBD!O35</f>
        <v>0</v>
      </c>
      <c r="U50" s="1360">
        <f>RBBD!P35</f>
        <v>0</v>
      </c>
      <c r="V50" s="1360">
        <f>RBBD!Q35</f>
        <v>0</v>
      </c>
      <c r="W50" s="1360">
        <f>RBBD!R35</f>
        <v>0</v>
      </c>
      <c r="X50" s="1360">
        <f>RBBD!S35</f>
        <v>0</v>
      </c>
      <c r="Y50" s="1360">
        <f>RBBD!T35</f>
        <v>0</v>
      </c>
      <c r="Z50" s="65"/>
      <c r="AA50" s="329">
        <f t="shared" si="5"/>
        <v>0</v>
      </c>
    </row>
    <row r="51" spans="2:27" hidden="1">
      <c r="B51" s="1360">
        <f>RBBD!B36</f>
        <v>0</v>
      </c>
      <c r="C51" s="1360">
        <f>RBBD!C36</f>
        <v>0</v>
      </c>
      <c r="D51" s="1360">
        <f>RBBD!D36</f>
        <v>0</v>
      </c>
      <c r="E51" s="1360">
        <f>RBBD!G36</f>
        <v>0</v>
      </c>
      <c r="F51" s="1360">
        <f>RBBD!H36</f>
        <v>0</v>
      </c>
      <c r="G51" s="1360">
        <f>RBBD!E36</f>
        <v>0</v>
      </c>
      <c r="H51" s="1360">
        <f>RBBD!F36</f>
        <v>0</v>
      </c>
      <c r="I51" s="1360">
        <f t="shared" si="2"/>
        <v>0</v>
      </c>
      <c r="J51" s="1360">
        <f t="shared" si="2"/>
        <v>0</v>
      </c>
      <c r="K51" s="1360">
        <f t="shared" si="2"/>
        <v>0</v>
      </c>
      <c r="L51" s="1360">
        <f t="shared" si="2"/>
        <v>0</v>
      </c>
      <c r="M51" s="1360">
        <f t="shared" si="3"/>
        <v>0</v>
      </c>
      <c r="N51" s="1360">
        <f>RBBD!I36</f>
        <v>0</v>
      </c>
      <c r="O51" s="1360">
        <f>RBBD!J36</f>
        <v>0</v>
      </c>
      <c r="P51" s="1360">
        <f>RBBD!K36</f>
        <v>0</v>
      </c>
      <c r="Q51" s="1360">
        <f>RBBD!L36</f>
        <v>0</v>
      </c>
      <c r="R51" s="1360">
        <f>RBBD!M36</f>
        <v>0</v>
      </c>
      <c r="S51" s="1360">
        <f>RBBD!N36</f>
        <v>0</v>
      </c>
      <c r="T51" s="1360">
        <f>RBBD!O36</f>
        <v>0</v>
      </c>
      <c r="U51" s="1360">
        <f>RBBD!P36</f>
        <v>0</v>
      </c>
      <c r="V51" s="1360">
        <f>RBBD!Q36</f>
        <v>0</v>
      </c>
      <c r="W51" s="1360">
        <f>RBBD!R36</f>
        <v>0</v>
      </c>
      <c r="X51" s="1360">
        <f>RBBD!S36</f>
        <v>0</v>
      </c>
      <c r="Y51" s="1360">
        <f>RBBD!T36</f>
        <v>0</v>
      </c>
      <c r="Z51" s="65"/>
      <c r="AA51" s="329">
        <f t="shared" si="5"/>
        <v>0</v>
      </c>
    </row>
    <row r="52" spans="2:27" hidden="1">
      <c r="B52" s="1360">
        <f>RBBD!B37</f>
        <v>0</v>
      </c>
      <c r="C52" s="1360">
        <f>RBBD!C37</f>
        <v>0</v>
      </c>
      <c r="D52" s="1360">
        <f>RBBD!D37</f>
        <v>0</v>
      </c>
      <c r="E52" s="1360">
        <f>RBBD!G37</f>
        <v>0</v>
      </c>
      <c r="F52" s="1360">
        <f>RBBD!H37</f>
        <v>0</v>
      </c>
      <c r="G52" s="1360">
        <f>RBBD!E37</f>
        <v>0</v>
      </c>
      <c r="H52" s="1360">
        <f>RBBD!F37</f>
        <v>0</v>
      </c>
      <c r="I52" s="1360">
        <f t="shared" si="2"/>
        <v>0</v>
      </c>
      <c r="J52" s="1360">
        <f t="shared" si="2"/>
        <v>0</v>
      </c>
      <c r="K52" s="1360">
        <f t="shared" si="2"/>
        <v>0</v>
      </c>
      <c r="L52" s="1360">
        <f t="shared" si="2"/>
        <v>0</v>
      </c>
      <c r="M52" s="1360">
        <f t="shared" si="3"/>
        <v>0</v>
      </c>
      <c r="N52" s="1360">
        <f>RBBD!I37</f>
        <v>0</v>
      </c>
      <c r="O52" s="1360">
        <f>RBBD!J37</f>
        <v>0</v>
      </c>
      <c r="P52" s="1360">
        <f>RBBD!K37</f>
        <v>0</v>
      </c>
      <c r="Q52" s="1360">
        <f>RBBD!L37</f>
        <v>0</v>
      </c>
      <c r="R52" s="1360">
        <f>RBBD!M37</f>
        <v>0</v>
      </c>
      <c r="S52" s="1360">
        <f>RBBD!N37</f>
        <v>0</v>
      </c>
      <c r="T52" s="1360">
        <f>RBBD!O37</f>
        <v>0</v>
      </c>
      <c r="U52" s="1360">
        <f>RBBD!P37</f>
        <v>0</v>
      </c>
      <c r="V52" s="1360">
        <f>RBBD!Q37</f>
        <v>0</v>
      </c>
      <c r="W52" s="1360">
        <f>RBBD!R37</f>
        <v>0</v>
      </c>
      <c r="X52" s="1360">
        <f>RBBD!S37</f>
        <v>0</v>
      </c>
      <c r="Y52" s="1360">
        <f>RBBD!T37</f>
        <v>0</v>
      </c>
      <c r="Z52" s="65"/>
      <c r="AA52" s="329">
        <f t="shared" si="5"/>
        <v>0</v>
      </c>
    </row>
    <row r="53" spans="2:27" hidden="1">
      <c r="B53" s="1360">
        <f>RBBD!B38</f>
        <v>0</v>
      </c>
      <c r="C53" s="1360">
        <f>RBBD!C38</f>
        <v>0</v>
      </c>
      <c r="D53" s="1360">
        <f>RBBD!D38</f>
        <v>0</v>
      </c>
      <c r="E53" s="1360">
        <f>RBBD!G38</f>
        <v>0</v>
      </c>
      <c r="F53" s="1360">
        <f>RBBD!H38</f>
        <v>0</v>
      </c>
      <c r="G53" s="1360">
        <f>RBBD!E38</f>
        <v>0</v>
      </c>
      <c r="H53" s="1360">
        <f>RBBD!F38</f>
        <v>0</v>
      </c>
      <c r="I53" s="1360">
        <f t="shared" si="2"/>
        <v>0</v>
      </c>
      <c r="J53" s="1360">
        <f t="shared" si="2"/>
        <v>0</v>
      </c>
      <c r="K53" s="1360">
        <f t="shared" si="2"/>
        <v>0</v>
      </c>
      <c r="L53" s="1360">
        <f t="shared" si="2"/>
        <v>0</v>
      </c>
      <c r="M53" s="1360">
        <f t="shared" si="3"/>
        <v>0</v>
      </c>
      <c r="N53" s="1360">
        <f>RBBD!I38</f>
        <v>0</v>
      </c>
      <c r="O53" s="1360">
        <f>RBBD!J38</f>
        <v>0</v>
      </c>
      <c r="P53" s="1360">
        <f>RBBD!K38</f>
        <v>0</v>
      </c>
      <c r="Q53" s="1360">
        <f>RBBD!L38</f>
        <v>0</v>
      </c>
      <c r="R53" s="1360">
        <f>RBBD!M38</f>
        <v>0</v>
      </c>
      <c r="S53" s="1360">
        <f>RBBD!N38</f>
        <v>0</v>
      </c>
      <c r="T53" s="1360">
        <f>RBBD!O38</f>
        <v>0</v>
      </c>
      <c r="U53" s="1360">
        <f>RBBD!P38</f>
        <v>0</v>
      </c>
      <c r="V53" s="1360">
        <f>RBBD!Q38</f>
        <v>0</v>
      </c>
      <c r="W53" s="1360">
        <f>RBBD!R38</f>
        <v>0</v>
      </c>
      <c r="X53" s="1360">
        <f>RBBD!S38</f>
        <v>0</v>
      </c>
      <c r="Y53" s="1360">
        <f>RBBD!T38</f>
        <v>0</v>
      </c>
      <c r="Z53" s="65"/>
      <c r="AA53" s="329">
        <f t="shared" si="5"/>
        <v>0</v>
      </c>
    </row>
    <row r="54" spans="2:27" hidden="1">
      <c r="B54" s="1360">
        <f>RBBD!B39</f>
        <v>0</v>
      </c>
      <c r="C54" s="1360">
        <f>RBBD!C39</f>
        <v>0</v>
      </c>
      <c r="D54" s="1360">
        <f>RBBD!D39</f>
        <v>0</v>
      </c>
      <c r="E54" s="1360">
        <f>RBBD!G39</f>
        <v>0</v>
      </c>
      <c r="F54" s="1360">
        <f>RBBD!H39</f>
        <v>0</v>
      </c>
      <c r="G54" s="1360">
        <f>RBBD!E39</f>
        <v>0</v>
      </c>
      <c r="H54" s="1360">
        <f>RBBD!F39</f>
        <v>0</v>
      </c>
      <c r="I54" s="1360">
        <f t="shared" si="2"/>
        <v>0</v>
      </c>
      <c r="J54" s="1360">
        <f t="shared" si="2"/>
        <v>0</v>
      </c>
      <c r="K54" s="1360">
        <f t="shared" si="2"/>
        <v>0</v>
      </c>
      <c r="L54" s="1360">
        <f t="shared" si="2"/>
        <v>0</v>
      </c>
      <c r="M54" s="1360">
        <f t="shared" si="3"/>
        <v>0</v>
      </c>
      <c r="N54" s="1360">
        <f>RBBD!I39</f>
        <v>0</v>
      </c>
      <c r="O54" s="1360">
        <f>RBBD!J39</f>
        <v>0</v>
      </c>
      <c r="P54" s="1360">
        <f>RBBD!K39</f>
        <v>0</v>
      </c>
      <c r="Q54" s="1360">
        <f>RBBD!L39</f>
        <v>0</v>
      </c>
      <c r="R54" s="1360">
        <f>RBBD!M39</f>
        <v>0</v>
      </c>
      <c r="S54" s="1360">
        <f>RBBD!N39</f>
        <v>0</v>
      </c>
      <c r="T54" s="1360">
        <f>RBBD!O39</f>
        <v>0</v>
      </c>
      <c r="U54" s="1360">
        <f>RBBD!P39</f>
        <v>0</v>
      </c>
      <c r="V54" s="1360">
        <f>RBBD!Q39</f>
        <v>0</v>
      </c>
      <c r="W54" s="1360">
        <f>RBBD!R39</f>
        <v>0</v>
      </c>
      <c r="X54" s="1360">
        <f>RBBD!S39</f>
        <v>0</v>
      </c>
      <c r="Y54" s="1360">
        <f>RBBD!T39</f>
        <v>0</v>
      </c>
      <c r="Z54" s="65"/>
      <c r="AA54" s="329">
        <f t="shared" si="5"/>
        <v>0</v>
      </c>
    </row>
    <row r="55" spans="2:27" hidden="1">
      <c r="B55" s="1360">
        <f>RBBD!B40</f>
        <v>0</v>
      </c>
      <c r="C55" s="1360">
        <f>RBBD!C40</f>
        <v>0</v>
      </c>
      <c r="D55" s="1360">
        <f>RBBD!D40</f>
        <v>0</v>
      </c>
      <c r="E55" s="1360">
        <f>RBBD!G40</f>
        <v>0</v>
      </c>
      <c r="F55" s="1360">
        <f>RBBD!H40</f>
        <v>0</v>
      </c>
      <c r="G55" s="1360">
        <f>RBBD!E40</f>
        <v>0</v>
      </c>
      <c r="H55" s="1360">
        <f>RBBD!F40</f>
        <v>0</v>
      </c>
      <c r="I55" s="1360">
        <f t="shared" si="2"/>
        <v>0</v>
      </c>
      <c r="J55" s="1360">
        <f t="shared" si="2"/>
        <v>0</v>
      </c>
      <c r="K55" s="1360">
        <f t="shared" si="2"/>
        <v>0</v>
      </c>
      <c r="L55" s="1360">
        <f t="shared" si="2"/>
        <v>0</v>
      </c>
      <c r="M55" s="1360">
        <f t="shared" si="3"/>
        <v>0</v>
      </c>
      <c r="N55" s="1360">
        <f>RBBD!I40</f>
        <v>0</v>
      </c>
      <c r="O55" s="1360">
        <f>RBBD!J40</f>
        <v>0</v>
      </c>
      <c r="P55" s="1360">
        <f>RBBD!K40</f>
        <v>0</v>
      </c>
      <c r="Q55" s="1360">
        <f>RBBD!L40</f>
        <v>0</v>
      </c>
      <c r="R55" s="1360">
        <f>RBBD!M40</f>
        <v>0</v>
      </c>
      <c r="S55" s="1360">
        <f>RBBD!N40</f>
        <v>0</v>
      </c>
      <c r="T55" s="1360">
        <f>RBBD!O40</f>
        <v>0</v>
      </c>
      <c r="U55" s="1360">
        <f>RBBD!P40</f>
        <v>0</v>
      </c>
      <c r="V55" s="1360">
        <f>RBBD!Q40</f>
        <v>0</v>
      </c>
      <c r="W55" s="1360">
        <f>RBBD!R40</f>
        <v>0</v>
      </c>
      <c r="X55" s="1360">
        <f>RBBD!S40</f>
        <v>0</v>
      </c>
      <c r="Y55" s="1360">
        <f>RBBD!T40</f>
        <v>0</v>
      </c>
      <c r="Z55" s="65"/>
      <c r="AA55" s="329">
        <f t="shared" si="5"/>
        <v>0</v>
      </c>
    </row>
    <row r="56" spans="2:27" hidden="1">
      <c r="B56" s="1360">
        <f>RBBD!B41</f>
        <v>0</v>
      </c>
      <c r="C56" s="1360">
        <f>RBBD!C41</f>
        <v>0</v>
      </c>
      <c r="D56" s="1360">
        <f>RBBD!D41</f>
        <v>0</v>
      </c>
      <c r="E56" s="1360">
        <f>RBBD!G41</f>
        <v>0</v>
      </c>
      <c r="F56" s="1360">
        <f>RBBD!H41</f>
        <v>0</v>
      </c>
      <c r="G56" s="1360">
        <f>RBBD!E41</f>
        <v>0</v>
      </c>
      <c r="H56" s="1360">
        <f>RBBD!F41</f>
        <v>0</v>
      </c>
      <c r="I56" s="1360">
        <f t="shared" si="2"/>
        <v>0</v>
      </c>
      <c r="J56" s="1360">
        <f t="shared" si="2"/>
        <v>0</v>
      </c>
      <c r="K56" s="1360">
        <f t="shared" si="2"/>
        <v>0</v>
      </c>
      <c r="L56" s="1360">
        <f t="shared" si="2"/>
        <v>0</v>
      </c>
      <c r="M56" s="1360">
        <f t="shared" si="3"/>
        <v>0</v>
      </c>
      <c r="N56" s="1360">
        <f>RBBD!I41</f>
        <v>0</v>
      </c>
      <c r="O56" s="1360">
        <f>RBBD!J41</f>
        <v>0</v>
      </c>
      <c r="P56" s="1360">
        <f>RBBD!K41</f>
        <v>0</v>
      </c>
      <c r="Q56" s="1360">
        <f>RBBD!L41</f>
        <v>0</v>
      </c>
      <c r="R56" s="1360">
        <f>RBBD!M41</f>
        <v>0</v>
      </c>
      <c r="S56" s="1360">
        <f>RBBD!N41</f>
        <v>0</v>
      </c>
      <c r="T56" s="1360">
        <f>RBBD!O41</f>
        <v>0</v>
      </c>
      <c r="U56" s="1360">
        <f>RBBD!P41</f>
        <v>0</v>
      </c>
      <c r="V56" s="1360">
        <f>RBBD!Q41</f>
        <v>0</v>
      </c>
      <c r="W56" s="1360">
        <f>RBBD!R41</f>
        <v>0</v>
      </c>
      <c r="X56" s="1360">
        <f>RBBD!S41</f>
        <v>0</v>
      </c>
      <c r="Y56" s="1360">
        <f>RBBD!T41</f>
        <v>0</v>
      </c>
      <c r="Z56" s="65"/>
      <c r="AA56" s="329">
        <f t="shared" si="5"/>
        <v>0</v>
      </c>
    </row>
    <row r="57" spans="2:27" hidden="1">
      <c r="B57" s="1360">
        <f>RBBD!B42</f>
        <v>0</v>
      </c>
      <c r="C57" s="1360">
        <f>RBBD!C42</f>
        <v>0</v>
      </c>
      <c r="D57" s="1360">
        <f>RBBD!D42</f>
        <v>0</v>
      </c>
      <c r="E57" s="1360">
        <f>RBBD!G42</f>
        <v>0</v>
      </c>
      <c r="F57" s="1360">
        <f>RBBD!H42</f>
        <v>0</v>
      </c>
      <c r="G57" s="1360">
        <f>RBBD!E42</f>
        <v>0</v>
      </c>
      <c r="H57" s="1360">
        <f>RBBD!F42</f>
        <v>0</v>
      </c>
      <c r="I57" s="1360">
        <f t="shared" si="2"/>
        <v>0</v>
      </c>
      <c r="J57" s="1360">
        <f t="shared" si="2"/>
        <v>0</v>
      </c>
      <c r="K57" s="1360">
        <f t="shared" si="2"/>
        <v>0</v>
      </c>
      <c r="L57" s="1360">
        <f t="shared" si="2"/>
        <v>0</v>
      </c>
      <c r="M57" s="1360">
        <f t="shared" si="3"/>
        <v>0</v>
      </c>
      <c r="N57" s="1360">
        <f>RBBD!I42</f>
        <v>0</v>
      </c>
      <c r="O57" s="1360">
        <f>RBBD!J42</f>
        <v>0</v>
      </c>
      <c r="P57" s="1360">
        <f>RBBD!K42</f>
        <v>0</v>
      </c>
      <c r="Q57" s="1360">
        <f>RBBD!L42</f>
        <v>0</v>
      </c>
      <c r="R57" s="1360">
        <f>RBBD!M42</f>
        <v>0</v>
      </c>
      <c r="S57" s="1360">
        <f>RBBD!N42</f>
        <v>0</v>
      </c>
      <c r="T57" s="1360">
        <f>RBBD!O42</f>
        <v>0</v>
      </c>
      <c r="U57" s="1360">
        <f>RBBD!P42</f>
        <v>0</v>
      </c>
      <c r="V57" s="1360">
        <f>RBBD!Q42</f>
        <v>0</v>
      </c>
      <c r="W57" s="1360">
        <f>RBBD!R42</f>
        <v>0</v>
      </c>
      <c r="X57" s="1360">
        <f>RBBD!S42</f>
        <v>0</v>
      </c>
      <c r="Y57" s="1360">
        <f>RBBD!T42</f>
        <v>0</v>
      </c>
      <c r="Z57" s="65"/>
      <c r="AA57" s="329">
        <f t="shared" si="5"/>
        <v>0</v>
      </c>
    </row>
    <row r="58" spans="2:27" hidden="1">
      <c r="B58" s="1360">
        <f>RBBD!B43</f>
        <v>0</v>
      </c>
      <c r="C58" s="1360">
        <f>RBBD!C43</f>
        <v>0</v>
      </c>
      <c r="D58" s="1360">
        <f>RBBD!D43</f>
        <v>0</v>
      </c>
      <c r="E58" s="1360">
        <f>RBBD!G43</f>
        <v>0</v>
      </c>
      <c r="F58" s="1360">
        <f>RBBD!H43</f>
        <v>0</v>
      </c>
      <c r="G58" s="1360">
        <f>RBBD!E43</f>
        <v>0</v>
      </c>
      <c r="H58" s="1360">
        <f>RBBD!F43</f>
        <v>0</v>
      </c>
      <c r="I58" s="1360">
        <f t="shared" si="2"/>
        <v>0</v>
      </c>
      <c r="J58" s="1360">
        <f t="shared" si="2"/>
        <v>0</v>
      </c>
      <c r="K58" s="1360">
        <f t="shared" si="2"/>
        <v>0</v>
      </c>
      <c r="L58" s="1360">
        <f t="shared" si="2"/>
        <v>0</v>
      </c>
      <c r="M58" s="1360">
        <f t="shared" si="3"/>
        <v>0</v>
      </c>
      <c r="N58" s="1360">
        <f>RBBD!I43</f>
        <v>0</v>
      </c>
      <c r="O58" s="1360">
        <f>RBBD!J43</f>
        <v>0</v>
      </c>
      <c r="P58" s="1360">
        <f>RBBD!K43</f>
        <v>0</v>
      </c>
      <c r="Q58" s="1360">
        <f>RBBD!L43</f>
        <v>0</v>
      </c>
      <c r="R58" s="1360">
        <f>RBBD!M43</f>
        <v>0</v>
      </c>
      <c r="S58" s="1360">
        <f>RBBD!N43</f>
        <v>0</v>
      </c>
      <c r="T58" s="1360">
        <f>RBBD!O43</f>
        <v>0</v>
      </c>
      <c r="U58" s="1360">
        <f>RBBD!P43</f>
        <v>0</v>
      </c>
      <c r="V58" s="1360">
        <f>RBBD!Q43</f>
        <v>0</v>
      </c>
      <c r="W58" s="1360">
        <f>RBBD!R43</f>
        <v>0</v>
      </c>
      <c r="X58" s="1360">
        <f>RBBD!S43</f>
        <v>0</v>
      </c>
      <c r="Y58" s="1360">
        <f>RBBD!T43</f>
        <v>0</v>
      </c>
      <c r="Z58" s="65"/>
      <c r="AA58" s="329">
        <f t="shared" si="5"/>
        <v>0</v>
      </c>
    </row>
    <row r="59" spans="2:27" hidden="1">
      <c r="B59" s="1360">
        <f>RBBD!B44</f>
        <v>0</v>
      </c>
      <c r="C59" s="1360">
        <f>RBBD!C44</f>
        <v>0</v>
      </c>
      <c r="D59" s="1360">
        <f>RBBD!D44</f>
        <v>0</v>
      </c>
      <c r="E59" s="1360">
        <f>RBBD!G44</f>
        <v>0</v>
      </c>
      <c r="F59" s="1360">
        <f>RBBD!H44</f>
        <v>0</v>
      </c>
      <c r="G59" s="1360">
        <f>RBBD!E44</f>
        <v>0</v>
      </c>
      <c r="H59" s="1360">
        <f>RBBD!F44</f>
        <v>0</v>
      </c>
      <c r="I59" s="1360">
        <f t="shared" si="2"/>
        <v>0</v>
      </c>
      <c r="J59" s="1360">
        <f t="shared" si="2"/>
        <v>0</v>
      </c>
      <c r="K59" s="1360">
        <f t="shared" si="2"/>
        <v>0</v>
      </c>
      <c r="L59" s="1360">
        <f t="shared" si="2"/>
        <v>0</v>
      </c>
      <c r="M59" s="1360">
        <f t="shared" si="3"/>
        <v>0</v>
      </c>
      <c r="N59" s="1360">
        <f>RBBD!I44</f>
        <v>0</v>
      </c>
      <c r="O59" s="1360">
        <f>RBBD!J44</f>
        <v>0</v>
      </c>
      <c r="P59" s="1360">
        <f>RBBD!K44</f>
        <v>0</v>
      </c>
      <c r="Q59" s="1360">
        <f>RBBD!L44</f>
        <v>0</v>
      </c>
      <c r="R59" s="1360">
        <f>RBBD!M44</f>
        <v>0</v>
      </c>
      <c r="S59" s="1360">
        <f>RBBD!N44</f>
        <v>0</v>
      </c>
      <c r="T59" s="1360">
        <f>RBBD!O44</f>
        <v>0</v>
      </c>
      <c r="U59" s="1360">
        <f>RBBD!P44</f>
        <v>0</v>
      </c>
      <c r="V59" s="1360">
        <f>RBBD!Q44</f>
        <v>0</v>
      </c>
      <c r="W59" s="1360">
        <f>RBBD!R44</f>
        <v>0</v>
      </c>
      <c r="X59" s="1360">
        <f>RBBD!S44</f>
        <v>0</v>
      </c>
      <c r="Y59" s="1360">
        <f>RBBD!T44</f>
        <v>0</v>
      </c>
      <c r="Z59" s="65"/>
      <c r="AA59" s="329">
        <f t="shared" si="5"/>
        <v>0</v>
      </c>
    </row>
    <row r="60" spans="2:27" hidden="1">
      <c r="B60" s="1360">
        <f>RBBD!B45</f>
        <v>0</v>
      </c>
      <c r="C60" s="1360">
        <f>RBBD!C45</f>
        <v>0</v>
      </c>
      <c r="D60" s="1360">
        <f>RBBD!D45</f>
        <v>0</v>
      </c>
      <c r="E60" s="1360">
        <f>RBBD!G45</f>
        <v>0</v>
      </c>
      <c r="F60" s="1360">
        <f>RBBD!H45</f>
        <v>0</v>
      </c>
      <c r="G60" s="1360">
        <f>RBBD!E45</f>
        <v>0</v>
      </c>
      <c r="H60" s="1360">
        <f>RBBD!F45</f>
        <v>0</v>
      </c>
      <c r="I60" s="1360">
        <f t="shared" si="2"/>
        <v>0</v>
      </c>
      <c r="J60" s="1360">
        <f t="shared" si="2"/>
        <v>0</v>
      </c>
      <c r="K60" s="1360">
        <f t="shared" si="2"/>
        <v>0</v>
      </c>
      <c r="L60" s="1360">
        <f t="shared" si="2"/>
        <v>0</v>
      </c>
      <c r="M60" s="1360">
        <f t="shared" si="3"/>
        <v>0</v>
      </c>
      <c r="N60" s="1360">
        <f>RBBD!I45</f>
        <v>0</v>
      </c>
      <c r="O60" s="1360">
        <f>RBBD!J45</f>
        <v>0</v>
      </c>
      <c r="P60" s="1360">
        <f>RBBD!K45</f>
        <v>0</v>
      </c>
      <c r="Q60" s="1360">
        <f>RBBD!L45</f>
        <v>0</v>
      </c>
      <c r="R60" s="1360">
        <f>RBBD!M45</f>
        <v>0</v>
      </c>
      <c r="S60" s="1360">
        <f>RBBD!N45</f>
        <v>0</v>
      </c>
      <c r="T60" s="1360">
        <f>RBBD!O45</f>
        <v>0</v>
      </c>
      <c r="U60" s="1360">
        <f>RBBD!P45</f>
        <v>0</v>
      </c>
      <c r="V60" s="1360">
        <f>RBBD!Q45</f>
        <v>0</v>
      </c>
      <c r="W60" s="1360">
        <f>RBBD!R45</f>
        <v>0</v>
      </c>
      <c r="X60" s="1360">
        <f>RBBD!S45</f>
        <v>0</v>
      </c>
      <c r="Y60" s="1360">
        <f>RBBD!T45</f>
        <v>0</v>
      </c>
      <c r="Z60" s="65"/>
      <c r="AA60" s="329">
        <f t="shared" si="5"/>
        <v>0</v>
      </c>
    </row>
    <row r="61" spans="2:27">
      <c r="T61" s="68"/>
      <c r="U61" s="68"/>
      <c r="V61" s="68"/>
      <c r="W61" s="68"/>
    </row>
    <row r="62" spans="2:27">
      <c r="C62" s="1361" t="s">
        <v>1247</v>
      </c>
      <c r="D62" s="1362"/>
      <c r="E62" s="1362" t="e">
        <f>SUM(I18:I61)/SUM(M18:M61)</f>
        <v>#DIV/0!</v>
      </c>
      <c r="F62" s="1362" t="e">
        <f>SUM(J18:J61)/SUM(M18:M61)</f>
        <v>#DIV/0!</v>
      </c>
      <c r="G62" s="1362" t="e">
        <f>SUM(K18:K61)/SUM(M18:M61)</f>
        <v>#DIV/0!</v>
      </c>
      <c r="H62" s="1362" t="e">
        <f>SUM(L18:L61)/SUM(M18:M61)</f>
        <v>#DIV/0!</v>
      </c>
      <c r="I62" s="1363">
        <f>SUM(I16:I61)</f>
        <v>0</v>
      </c>
      <c r="J62" s="1363">
        <f>SUM(J16:J61)</f>
        <v>0</v>
      </c>
      <c r="K62" s="1363">
        <f>SUM(K16:K61)</f>
        <v>0</v>
      </c>
      <c r="L62" s="1363">
        <f>SUM(L16:L61)</f>
        <v>0</v>
      </c>
      <c r="M62" s="1363">
        <f>SUM(M17:M61)</f>
        <v>0</v>
      </c>
      <c r="N62" s="1363">
        <f>SUM(N18:N61)</f>
        <v>0</v>
      </c>
      <c r="O62" s="1363">
        <f t="shared" ref="O62:Y62" si="6">SUM(O18:O61)</f>
        <v>0</v>
      </c>
      <c r="P62" s="1363">
        <f t="shared" si="6"/>
        <v>0</v>
      </c>
      <c r="Q62" s="1363">
        <f t="shared" si="6"/>
        <v>0</v>
      </c>
      <c r="R62" s="1363">
        <f t="shared" si="6"/>
        <v>0</v>
      </c>
      <c r="S62" s="1363">
        <f t="shared" si="6"/>
        <v>0</v>
      </c>
      <c r="T62" s="1363">
        <f t="shared" si="6"/>
        <v>0</v>
      </c>
      <c r="U62" s="1363">
        <f t="shared" si="6"/>
        <v>0</v>
      </c>
      <c r="V62" s="1363">
        <f t="shared" si="6"/>
        <v>0</v>
      </c>
      <c r="W62" s="1363">
        <f t="shared" si="6"/>
        <v>0</v>
      </c>
      <c r="X62" s="1363">
        <f t="shared" si="6"/>
        <v>0</v>
      </c>
      <c r="Y62" s="1363">
        <f t="shared" si="6"/>
        <v>0</v>
      </c>
    </row>
    <row r="63" spans="2:27">
      <c r="C63" s="159"/>
      <c r="D63" s="160"/>
      <c r="E63" s="160"/>
      <c r="F63" s="161"/>
      <c r="G63" s="161"/>
      <c r="H63" s="162"/>
      <c r="T63" s="68"/>
      <c r="U63" s="68"/>
      <c r="V63" s="68"/>
      <c r="W63" s="68"/>
    </row>
    <row r="64" spans="2:27">
      <c r="C64" s="163"/>
      <c r="T64" s="68"/>
      <c r="U64" s="68"/>
      <c r="V64" s="68"/>
      <c r="W64" s="68"/>
    </row>
    <row r="65" spans="2:51">
      <c r="C65" s="159"/>
      <c r="D65" s="160"/>
      <c r="E65" s="160"/>
      <c r="F65" s="161"/>
      <c r="G65" s="161"/>
      <c r="H65" s="162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8"/>
      <c r="AH65" s="158"/>
      <c r="AI65" s="158"/>
      <c r="AJ65" s="158"/>
      <c r="AK65" s="158"/>
      <c r="AL65" s="285"/>
      <c r="AM65" s="286"/>
      <c r="AN65" s="285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</row>
    <row r="66" spans="2:51">
      <c r="B66" s="164"/>
      <c r="C66" s="164"/>
      <c r="D66" s="164"/>
      <c r="E66" s="164"/>
      <c r="F66" s="164"/>
      <c r="G66" s="164"/>
      <c r="H66" s="164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68"/>
      <c r="V66" s="68"/>
      <c r="W66" s="68"/>
      <c r="X66" s="68"/>
      <c r="Y66" s="68"/>
      <c r="AG66" s="158"/>
      <c r="AH66" s="158"/>
      <c r="AI66" s="158"/>
      <c r="AJ66" s="158"/>
      <c r="AK66" s="158"/>
      <c r="AL66" s="285"/>
      <c r="AM66" s="286"/>
      <c r="AN66" s="285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</row>
    <row r="67" spans="2:51">
      <c r="B67" s="1353" t="s">
        <v>1248</v>
      </c>
      <c r="C67" s="1353"/>
      <c r="D67" s="1353"/>
      <c r="E67" s="1353"/>
      <c r="F67" s="1353"/>
      <c r="G67" s="1353"/>
      <c r="H67" s="1353"/>
      <c r="I67" s="1353"/>
      <c r="T67" s="68"/>
      <c r="U67" s="68"/>
      <c r="V67" s="68"/>
      <c r="W67" s="68"/>
      <c r="X67" s="68"/>
      <c r="Y67" s="68"/>
      <c r="AG67" s="158"/>
      <c r="AH67" s="158"/>
      <c r="AI67" s="158"/>
      <c r="AJ67" s="158"/>
      <c r="AK67" s="158"/>
      <c r="AL67" s="285"/>
      <c r="AM67" s="286"/>
      <c r="AN67" s="285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</row>
    <row r="68" spans="2:51">
      <c r="B68" s="158"/>
      <c r="C68" s="156"/>
      <c r="D68" s="164"/>
      <c r="E68" s="164"/>
      <c r="F68" s="164"/>
      <c r="G68" s="164"/>
      <c r="H68" s="164"/>
      <c r="I68" s="164"/>
      <c r="J68" s="158"/>
      <c r="K68" s="158"/>
      <c r="L68" s="158"/>
      <c r="M68" s="158"/>
      <c r="N68" s="158"/>
      <c r="O68" s="158"/>
      <c r="P68" s="158"/>
      <c r="Q68" s="158"/>
      <c r="T68" s="68"/>
      <c r="U68" s="68"/>
      <c r="V68" s="68"/>
      <c r="W68" s="68"/>
      <c r="X68" s="68"/>
      <c r="Y68" s="68"/>
      <c r="AG68" s="158"/>
      <c r="AH68" s="158"/>
      <c r="AI68" s="158"/>
      <c r="AJ68" s="158"/>
      <c r="AK68" s="158"/>
      <c r="AL68" s="285"/>
      <c r="AM68" s="286"/>
      <c r="AN68" s="285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</row>
    <row r="69" spans="2:51">
      <c r="B69" s="158"/>
      <c r="D69" s="739"/>
      <c r="E69" s="1364">
        <f>IF(MONTH(E70)=7,E70,0)</f>
        <v>44378</v>
      </c>
      <c r="F69" s="1364">
        <f t="shared" ref="F69:P69" si="7">IF(MONTH(F70)=7,F70,0)</f>
        <v>0</v>
      </c>
      <c r="G69" s="1364">
        <f t="shared" si="7"/>
        <v>0</v>
      </c>
      <c r="H69" s="1364">
        <f t="shared" si="7"/>
        <v>0</v>
      </c>
      <c r="I69" s="1364">
        <f t="shared" si="7"/>
        <v>0</v>
      </c>
      <c r="J69" s="1364">
        <f t="shared" si="7"/>
        <v>0</v>
      </c>
      <c r="K69" s="1364">
        <f t="shared" si="7"/>
        <v>0</v>
      </c>
      <c r="L69" s="1364">
        <f t="shared" si="7"/>
        <v>0</v>
      </c>
      <c r="M69" s="1364">
        <f t="shared" si="7"/>
        <v>0</v>
      </c>
      <c r="N69" s="1364">
        <f t="shared" si="7"/>
        <v>0</v>
      </c>
      <c r="O69" s="1364">
        <f t="shared" si="7"/>
        <v>0</v>
      </c>
      <c r="P69" s="1364">
        <f t="shared" si="7"/>
        <v>0</v>
      </c>
      <c r="Q69" s="807">
        <f>SUM(E69:P69)</f>
        <v>44378</v>
      </c>
      <c r="T69" s="68"/>
      <c r="U69" s="68"/>
      <c r="V69" s="68"/>
      <c r="W69" s="68"/>
      <c r="X69" s="68"/>
      <c r="Y69" s="68"/>
      <c r="AG69" s="158"/>
      <c r="AH69" s="158"/>
      <c r="AI69" s="158"/>
      <c r="AJ69" s="158"/>
      <c r="AK69" s="158"/>
      <c r="AL69" s="285"/>
      <c r="AM69" s="286"/>
      <c r="AN69" s="285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</row>
    <row r="70" spans="2:51">
      <c r="B70" s="158"/>
      <c r="D70" s="299" t="s">
        <v>1249</v>
      </c>
      <c r="E70" s="1365">
        <f>G76</f>
        <v>44378</v>
      </c>
      <c r="F70" s="1365">
        <f>G77</f>
        <v>44409</v>
      </c>
      <c r="G70" s="1365">
        <f>G78</f>
        <v>44440</v>
      </c>
      <c r="H70" s="1365">
        <f>G79</f>
        <v>44470</v>
      </c>
      <c r="I70" s="1365">
        <f>G80</f>
        <v>44501</v>
      </c>
      <c r="J70" s="1365">
        <f>G81</f>
        <v>44531</v>
      </c>
      <c r="K70" s="1365">
        <f>G82</f>
        <v>44562</v>
      </c>
      <c r="L70" s="1365">
        <f>G83</f>
        <v>44593</v>
      </c>
      <c r="M70" s="1365">
        <f>G84</f>
        <v>44621</v>
      </c>
      <c r="N70" s="1365">
        <f>G85</f>
        <v>44652</v>
      </c>
      <c r="O70" s="1365">
        <f>G86</f>
        <v>44682</v>
      </c>
      <c r="P70" s="1365">
        <f>G87</f>
        <v>44713</v>
      </c>
      <c r="T70" s="68"/>
      <c r="U70" s="68"/>
      <c r="V70" s="68"/>
      <c r="W70" s="68"/>
      <c r="X70" s="68"/>
      <c r="Y70" s="68"/>
      <c r="AG70" s="158"/>
      <c r="AH70" s="158"/>
      <c r="AI70" s="158"/>
      <c r="AJ70" s="158"/>
      <c r="AK70" s="158"/>
      <c r="AL70" s="285"/>
      <c r="AM70" s="286"/>
      <c r="AN70" s="285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</row>
    <row r="71" spans="2:51">
      <c r="B71" s="158"/>
      <c r="C71" s="1366" t="s">
        <v>1250</v>
      </c>
      <c r="D71" s="1367">
        <f>SUM(E71:P71)</f>
        <v>0</v>
      </c>
      <c r="E71" s="1368">
        <f>SUMIF($G$76:$G$420,E70,$N$76:$N$420)</f>
        <v>0</v>
      </c>
      <c r="F71" s="1368">
        <f t="shared" ref="F71:P71" si="8">SUMIF($G$76:$G$420,F70,$N$76:$N$420)</f>
        <v>0</v>
      </c>
      <c r="G71" s="1368">
        <f t="shared" si="8"/>
        <v>0</v>
      </c>
      <c r="H71" s="1368">
        <f t="shared" si="8"/>
        <v>0</v>
      </c>
      <c r="I71" s="1368">
        <f t="shared" si="8"/>
        <v>0</v>
      </c>
      <c r="J71" s="1368">
        <f t="shared" si="8"/>
        <v>0</v>
      </c>
      <c r="K71" s="1368">
        <f t="shared" si="8"/>
        <v>0</v>
      </c>
      <c r="L71" s="1368">
        <f t="shared" si="8"/>
        <v>0</v>
      </c>
      <c r="M71" s="1368">
        <f t="shared" si="8"/>
        <v>0</v>
      </c>
      <c r="N71" s="1368">
        <f t="shared" si="8"/>
        <v>0</v>
      </c>
      <c r="O71" s="1368">
        <f t="shared" si="8"/>
        <v>0</v>
      </c>
      <c r="P71" s="1368">
        <f t="shared" si="8"/>
        <v>0</v>
      </c>
      <c r="T71" s="68"/>
      <c r="U71" s="68"/>
      <c r="V71" s="68"/>
      <c r="W71" s="68"/>
      <c r="X71" s="68"/>
      <c r="Y71" s="68"/>
      <c r="AG71" s="158"/>
      <c r="AH71" s="158"/>
      <c r="AI71" s="158"/>
      <c r="AJ71" s="158"/>
      <c r="AK71" s="158"/>
      <c r="AL71" s="285"/>
      <c r="AM71" s="286"/>
      <c r="AN71" s="285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</row>
    <row r="72" spans="2:51">
      <c r="B72" s="158"/>
      <c r="C72" s="1366" t="s">
        <v>1251</v>
      </c>
      <c r="D72" s="1367">
        <f>SUM(E72:P72)</f>
        <v>0</v>
      </c>
      <c r="E72" s="1368">
        <f>SUMIF(Indexador!$B$25:$B$48,'Rede Básica + Ajuste'!E70,Indexador!$J$25:$J$48)</f>
        <v>0</v>
      </c>
      <c r="F72" s="1368">
        <f>SUMIF(Indexador!$B$25:$B$48,'Rede Básica + Ajuste'!F70,Indexador!$J$25:$J$48)</f>
        <v>0</v>
      </c>
      <c r="G72" s="1368">
        <f>SUMIF(Indexador!$B$25:$B$48,'Rede Básica + Ajuste'!G70,Indexador!$J$25:$J$48)</f>
        <v>0</v>
      </c>
      <c r="H72" s="1368">
        <f>SUMIF(Indexador!$B$25:$B$48,'Rede Básica + Ajuste'!H70,Indexador!$J$25:$J$48)</f>
        <v>0</v>
      </c>
      <c r="I72" s="1368">
        <f>SUMIF(Indexador!$B$25:$B$48,'Rede Básica + Ajuste'!I70,Indexador!$J$25:$J$48)</f>
        <v>0</v>
      </c>
      <c r="J72" s="1368">
        <f>SUMIF(Indexador!$B$25:$B$48,'Rede Básica + Ajuste'!J70,Indexador!$J$25:$J$48)</f>
        <v>0</v>
      </c>
      <c r="K72" s="1368">
        <f>SUMIF(Indexador!$B$25:$B$48,'Rede Básica + Ajuste'!K70,Indexador!$J$25:$J$48)</f>
        <v>0</v>
      </c>
      <c r="L72" s="1368">
        <f>SUMIF(Indexador!$B$25:$B$48,'Rede Básica + Ajuste'!L70,Indexador!$J$25:$J$48)</f>
        <v>0</v>
      </c>
      <c r="M72" s="1368">
        <f>SUMIF(Indexador!$B$25:$B$48,'Rede Básica + Ajuste'!M70,Indexador!$J$25:$J$48)</f>
        <v>0</v>
      </c>
      <c r="N72" s="1368">
        <f>SUMIF(Indexador!$B$25:$B$48,'Rede Básica + Ajuste'!N70,Indexador!$J$25:$J$48)</f>
        <v>0</v>
      </c>
      <c r="O72" s="1368">
        <f>SUMIF(Indexador!$B$25:$B$48,'Rede Básica + Ajuste'!O70,Indexador!$J$25:$J$48)</f>
        <v>0</v>
      </c>
      <c r="P72" s="1368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8"/>
      <c r="AH72" s="158"/>
      <c r="AI72" s="158"/>
      <c r="AJ72" s="158"/>
      <c r="AK72" s="158"/>
      <c r="AL72" s="285"/>
      <c r="AM72" s="286"/>
      <c r="AN72" s="285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</row>
    <row r="73" spans="2:51">
      <c r="B73" s="158"/>
      <c r="G73" s="151"/>
      <c r="M73" s="95"/>
      <c r="S73" s="68"/>
      <c r="T73" s="68"/>
      <c r="U73" s="68"/>
      <c r="V73" s="68"/>
      <c r="W73" s="68"/>
      <c r="X73" s="68"/>
      <c r="AF73" s="158"/>
      <c r="AG73" s="158"/>
      <c r="AH73" s="158"/>
      <c r="AI73" s="158"/>
      <c r="AJ73" s="158"/>
      <c r="AK73" s="285"/>
      <c r="AL73" s="286"/>
      <c r="AM73" s="285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</row>
    <row r="74" spans="2:51" ht="15.75">
      <c r="B74" s="158"/>
      <c r="C74" s="275"/>
      <c r="D74" s="275"/>
      <c r="E74" s="275"/>
      <c r="F74" s="275"/>
      <c r="G74" s="275"/>
      <c r="H74" s="275"/>
      <c r="I74" s="275"/>
      <c r="J74" s="1766" t="s">
        <v>1252</v>
      </c>
      <c r="K74" s="1767"/>
      <c r="L74" s="1768" t="s">
        <v>1253</v>
      </c>
      <c r="M74" s="1768"/>
      <c r="N74" s="283"/>
      <c r="O74" s="275"/>
      <c r="AF74" s="158"/>
      <c r="AG74" s="158"/>
      <c r="AH74" s="158"/>
      <c r="AI74" s="285"/>
      <c r="AJ74" s="286"/>
      <c r="AK74" s="285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</row>
    <row r="75" spans="2:51" ht="15.75">
      <c r="B75" s="158"/>
      <c r="C75" s="1769" t="s">
        <v>1235</v>
      </c>
      <c r="D75" s="1770"/>
      <c r="F75" s="275"/>
      <c r="G75" s="1369" t="s">
        <v>715</v>
      </c>
      <c r="H75" s="1370" t="s">
        <v>1254</v>
      </c>
      <c r="I75" s="1370" t="s">
        <v>1255</v>
      </c>
      <c r="J75" s="1371" t="s">
        <v>1256</v>
      </c>
      <c r="K75" s="1371" t="s">
        <v>1257</v>
      </c>
      <c r="L75" s="1371" t="s">
        <v>1256</v>
      </c>
      <c r="M75" s="1371" t="s">
        <v>1257</v>
      </c>
      <c r="N75" s="282" t="s">
        <v>1258</v>
      </c>
      <c r="AF75" s="158"/>
      <c r="AG75" s="158"/>
      <c r="AH75" s="285"/>
      <c r="AI75" s="286"/>
      <c r="AJ75" s="285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</row>
    <row r="76" spans="2:51" ht="15.75">
      <c r="B76" s="158"/>
      <c r="C76" s="1366" t="s">
        <v>1259</v>
      </c>
      <c r="D76" s="1372">
        <f>IF(D18="Ponta",B18,0)</f>
        <v>0</v>
      </c>
      <c r="E76" s="18"/>
      <c r="F76" s="275"/>
      <c r="G76" s="1373">
        <f>DATE(YEAR(CAPA!C14),MONTH(CAPA!C14),1)</f>
        <v>44378</v>
      </c>
      <c r="H76" s="277">
        <f>SUMIFS($N$18:$N$60,$B$18:$B$60,$D$76,$D$18:$D$60,"Ponta")</f>
        <v>0</v>
      </c>
      <c r="I76" s="277">
        <f>SUMIFS($N$18:$N$60,$B$18:$B$60,$D$76,$D$18:$D$60,"Fora Ponta")</f>
        <v>0</v>
      </c>
      <c r="J76" s="277">
        <f>SUMIFS($E$18:$E$60,$B$18:$B$60,$D$76,$D$18:$D$60,"Ponta")</f>
        <v>0</v>
      </c>
      <c r="K76" s="277">
        <f>SUMIFS($E$18:$E$60,$B$18:$B$60,$D$76,$D$18:$D$60,"Fora Ponta")</f>
        <v>0</v>
      </c>
      <c r="L76" s="1374">
        <f>IF(MONTH(DataRevRea)=7,'Rede Básica + Ajuste'!J76,IF(G76&lt;$Q$69,(SUMIFS($E$18:$E$60,$B$18:$B$60,$D$76,$D$18:$D$60,"Ponta")),(SUMIFS($F$18:$F$60,$B$18:$B$60,$D$76,$D$18:$D$60,"Ponta"))))</f>
        <v>0</v>
      </c>
      <c r="M76" s="1374">
        <f>IF(MONTH(DataRevRea)=7,'Rede Básica + Ajuste'!K76,IF(G76&lt;$Q$69,(SUMIFS($E$18:$E$60,$B$18:$B$60,$D$76,$D$18:$D$60,"Fora Ponta")),(SUMIFS($F$18:$F$60,$B$18:$B$60,$D$76,$D$18:$D$60,"Fora Ponta"))))</f>
        <v>0</v>
      </c>
      <c r="N76" s="1375">
        <f>+(H76*(L76-J76))+(I76*(M76-K76))</f>
        <v>0</v>
      </c>
      <c r="AF76" s="158"/>
      <c r="AG76" s="158"/>
      <c r="AH76" s="285"/>
      <c r="AI76" s="286"/>
      <c r="AJ76" s="285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</row>
    <row r="77" spans="2:51" ht="15.75">
      <c r="B77" s="158"/>
      <c r="C77" s="275"/>
      <c r="D77" s="275"/>
      <c r="E77" s="275"/>
      <c r="F77" s="275"/>
      <c r="G77" s="276">
        <f>DATE(YEAR(G76),MONTH(G76)+1,1)</f>
        <v>44409</v>
      </c>
      <c r="H77" s="277">
        <f>SUMIFS($O$18:$O$60,$B$18:$B$60,$D$76,$D$18:$D$60,"Ponta")</f>
        <v>0</v>
      </c>
      <c r="I77" s="277">
        <f>SUMIFS($O$18:$O$60,$B$18:$B$60,$D$76,$D$18:$D$60,"Fora Ponta")</f>
        <v>0</v>
      </c>
      <c r="J77" s="277">
        <f t="shared" ref="J77:J87" si="9">SUMIFS($E$18:$E$60,$B$18:$B$60,$D$76,$D$18:$D$60,"Ponta")</f>
        <v>0</v>
      </c>
      <c r="K77" s="277">
        <f t="shared" ref="K77:K87" si="10">SUMIFS($E$18:$E$60,$B$18:$B$60,$D$76,$D$18:$D$60,"Fora Ponta")</f>
        <v>0</v>
      </c>
      <c r="L77" s="277">
        <f>IF(MONTH(DataRevRea)=7,'Rede Básica + Ajuste'!J77,IF(G77&lt;$Q$69,(SUMIFS($E$18:$E$60,$B$18:$B$60,$D$76,$D$18:$D$60,"Ponta")),(SUMIFS($F$18:$F$60,$B$18:$B$60,$D$76,$D$18:$D$60,"Ponta"))))</f>
        <v>0</v>
      </c>
      <c r="M77" s="277">
        <f>IF(MONTH(DataRevRea)=7,'Rede Básica + Ajuste'!K77,IF(G77&lt;$Q$69,(SUMIFS($E$18:$E$60,$B$18:$B$60,$D$76,$D$18:$D$60,"Fora Ponta")),(SUMIFS($F$18:$F$60,$B$18:$B$60,$D$76,$D$18:$D$60,"Fora Ponta"))))</f>
        <v>0</v>
      </c>
      <c r="N77" s="284">
        <f t="shared" ref="N77:N87" si="11">+(H77*(L77-J77))+(I77*(M77-K77))</f>
        <v>0</v>
      </c>
      <c r="AF77" s="158"/>
      <c r="AG77" s="158"/>
      <c r="AH77" s="285"/>
      <c r="AI77" s="286"/>
      <c r="AJ77" s="285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</row>
    <row r="78" spans="2:51" ht="15.75">
      <c r="B78" s="158"/>
      <c r="C78" s="278"/>
      <c r="D78" s="1376" t="s">
        <v>1260</v>
      </c>
      <c r="E78" s="1377" t="s">
        <v>1261</v>
      </c>
      <c r="F78" s="275"/>
      <c r="G78" s="276">
        <f t="shared" ref="G78:G87" si="12">DATE(YEAR(G77),MONTH(G77)+1,1)</f>
        <v>44440</v>
      </c>
      <c r="H78" s="277">
        <f>SUMIFS($P$18:$P$60,$B$18:$B$60,$D$76,$D$18:$D$60,"Ponta")</f>
        <v>0</v>
      </c>
      <c r="I78" s="277">
        <f>SUMIFS($P$18:$P$60,$B$18:$B$60,$D$76,$D$18:$D$60,"Fora Ponta")</f>
        <v>0</v>
      </c>
      <c r="J78" s="277">
        <f t="shared" si="9"/>
        <v>0</v>
      </c>
      <c r="K78" s="277">
        <f t="shared" si="10"/>
        <v>0</v>
      </c>
      <c r="L78" s="277">
        <f>IF(MONTH(DataRevRea)=7,'Rede Básica + Ajuste'!J78,IF(G78&lt;$Q$69,(SUMIFS($E$18:$E$60,$B$18:$B$60,$D$76,$D$18:$D$60,"Ponta")),(SUMIFS($F$18:$F$60,$B$18:$B$60,$D$76,$D$18:$D$60,"Ponta"))))</f>
        <v>0</v>
      </c>
      <c r="M78" s="277">
        <f>IF(MONTH(DataRevRea)=7,'Rede Básica + Ajuste'!K78,IF(G78&lt;$Q$69,(SUMIFS($E$18:$E$60,$B$18:$B$60,$D$76,$D$18:$D$60,"Fora Ponta")),(SUMIFS($F$18:$F$60,$B$18:$B$60,$D$76,$D$18:$D$60,"Fora Ponta"))))</f>
        <v>0</v>
      </c>
      <c r="N78" s="284">
        <f t="shared" si="11"/>
        <v>0</v>
      </c>
      <c r="AF78" s="158"/>
      <c r="AG78" s="158"/>
      <c r="AH78" s="285"/>
      <c r="AI78" s="286"/>
      <c r="AJ78" s="285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</row>
    <row r="79" spans="2:51" ht="15.75">
      <c r="B79" s="158"/>
      <c r="C79" s="1378" t="str">
        <f>"Cobertura "&amp;YEAR(CAPA!C14)</f>
        <v>Cobertura 2021</v>
      </c>
      <c r="D79" s="1379">
        <f>SUMPRODUCT(H76:H87,J76:J87)</f>
        <v>0</v>
      </c>
      <c r="E79" s="1379">
        <f>SUMPRODUCT(I76:I87,K76:K87)</f>
        <v>0</v>
      </c>
      <c r="F79" s="275"/>
      <c r="G79" s="276">
        <f t="shared" si="12"/>
        <v>44470</v>
      </c>
      <c r="H79" s="277">
        <f>SUMIFS($Q$18:$Q$60,$B$18:$B$60,$D$76,$D$18:$D$60,"Ponta")</f>
        <v>0</v>
      </c>
      <c r="I79" s="277">
        <f>SUMIFS($Q$18:$Q$60,$B$18:$B$60,$D$76,$D$18:$D$60,"Fora Ponta")</f>
        <v>0</v>
      </c>
      <c r="J79" s="277">
        <f t="shared" si="9"/>
        <v>0</v>
      </c>
      <c r="K79" s="277">
        <f t="shared" si="10"/>
        <v>0</v>
      </c>
      <c r="L79" s="277">
        <f>IF(MONTH(DataRevRea)=7,'Rede Básica + Ajuste'!J79,IF(G79&lt;$Q$69,(SUMIFS($E$18:$E$60,$B$18:$B$60,$D$76,$D$18:$D$60,"Ponta")),(SUMIFS($F$18:$F$60,$B$18:$B$60,$D$76,$D$18:$D$60,"Ponta"))))</f>
        <v>0</v>
      </c>
      <c r="M79" s="277">
        <f>IF(MONTH(DataRevRea)=7,'Rede Básica + Ajuste'!K79,IF(G79&lt;$Q$69,(SUMIFS($E$18:$E$60,$B$18:$B$60,$D$76,$D$18:$D$60,"Fora Ponta")),(SUMIFS($F$18:$F$60,$B$18:$B$60,$D$76,$D$18:$D$60,"Fora Ponta"))))</f>
        <v>0</v>
      </c>
      <c r="N79" s="284">
        <f t="shared" si="11"/>
        <v>0</v>
      </c>
      <c r="AF79" s="158"/>
      <c r="AG79" s="158"/>
      <c r="AH79" s="285"/>
      <c r="AI79" s="286"/>
      <c r="AJ79" s="285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</row>
    <row r="80" spans="2:51" ht="15.75">
      <c r="B80" s="158"/>
      <c r="C80" s="1378" t="s">
        <v>1262</v>
      </c>
      <c r="D80" s="1379">
        <f>SUMPRODUCT(H76:H87,L76:L87)</f>
        <v>0</v>
      </c>
      <c r="E80" s="1379">
        <f>SUMPRODUCT(I76:I87,M76:M87)</f>
        <v>0</v>
      </c>
      <c r="F80" s="275"/>
      <c r="G80" s="276">
        <f t="shared" si="12"/>
        <v>44501</v>
      </c>
      <c r="H80" s="277">
        <f>SUMIFS($R$18:$R$60,$B$18:$B$60,$D$76,$D$18:$D$60,"Ponta")</f>
        <v>0</v>
      </c>
      <c r="I80" s="277">
        <f>SUMIFS($R$18:$R$60,$B$18:$B$60,$D$76,$D$18:$D$60,"Fora Ponta")</f>
        <v>0</v>
      </c>
      <c r="J80" s="277">
        <f t="shared" si="9"/>
        <v>0</v>
      </c>
      <c r="K80" s="277">
        <f t="shared" si="10"/>
        <v>0</v>
      </c>
      <c r="L80" s="277">
        <f>IF(MONTH(DataRevRea)=7,'Rede Básica + Ajuste'!J80,IF(G80&lt;$Q$69,(SUMIFS($E$18:$E$60,$B$18:$B$60,$D$76,$D$18:$D$60,"Ponta")),(SUMIFS($F$18:$F$60,$B$18:$B$60,$D$76,$D$18:$D$60,"Ponta"))))</f>
        <v>0</v>
      </c>
      <c r="M80" s="277">
        <f>IF(MONTH(DataRevRea)=7,'Rede Básica + Ajuste'!K80,IF(G80&lt;$Q$69,(SUMIFS($E$18:$E$60,$B$18:$B$60,$D$76,$D$18:$D$60,"Fora Ponta")),(SUMIFS($F$18:$F$60,$B$18:$B$60,$D$76,$D$18:$D$60,"Fora Ponta"))))</f>
        <v>0</v>
      </c>
      <c r="N80" s="284">
        <f t="shared" si="11"/>
        <v>0</v>
      </c>
      <c r="AF80" s="158"/>
      <c r="AG80" s="158"/>
      <c r="AH80" s="285"/>
      <c r="AI80" s="286"/>
      <c r="AJ80" s="285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</row>
    <row r="81" spans="2:50" ht="15.75">
      <c r="B81" s="158"/>
      <c r="C81" s="275"/>
      <c r="D81" s="275"/>
      <c r="E81" s="275"/>
      <c r="F81" s="275"/>
      <c r="G81" s="276">
        <f t="shared" si="12"/>
        <v>44531</v>
      </c>
      <c r="H81" s="277">
        <f>SUMIFS($S$18:$S$60,$B$18:$B$60,$D$76,$D$18:$D$60,"Ponta")</f>
        <v>0</v>
      </c>
      <c r="I81" s="277">
        <f>SUMIFS($S$18:$S$60,$B$18:$B$60,$D$76,$D$18:$D$60,"Fora Ponta")</f>
        <v>0</v>
      </c>
      <c r="J81" s="277">
        <f t="shared" si="9"/>
        <v>0</v>
      </c>
      <c r="K81" s="277">
        <f t="shared" si="10"/>
        <v>0</v>
      </c>
      <c r="L81" s="277">
        <f>IF(MONTH(DataRevRea)=7,'Rede Básica + Ajuste'!J81,IF(G81&lt;$Q$69,(SUMIFS($E$18:$E$60,$B$18:$B$60,$D$76,$D$18:$D$60,"Ponta")),(SUMIFS($F$18:$F$60,$B$18:$B$60,$D$76,$D$18:$D$60,"Ponta"))))</f>
        <v>0</v>
      </c>
      <c r="M81" s="277">
        <f>IF(MONTH(DataRevRea)=7,'Rede Básica + Ajuste'!K81,IF(G81&lt;$Q$69,(SUMIFS($E$18:$E$60,$B$18:$B$60,$D$76,$D$18:$D$60,"Fora Ponta")),(SUMIFS($F$18:$F$60,$B$18:$B$60,$D$76,$D$18:$D$60,"Fora Ponta"))))</f>
        <v>0</v>
      </c>
      <c r="N81" s="284">
        <f t="shared" si="11"/>
        <v>0</v>
      </c>
      <c r="AF81" s="158"/>
      <c r="AG81" s="158"/>
      <c r="AH81" s="285"/>
      <c r="AI81" s="286"/>
      <c r="AJ81" s="285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</row>
    <row r="82" spans="2:50" ht="15.75">
      <c r="B82" s="158"/>
      <c r="C82" s="287"/>
      <c r="D82" s="287"/>
      <c r="E82" s="287"/>
      <c r="F82" s="275"/>
      <c r="G82" s="276">
        <f t="shared" si="12"/>
        <v>44562</v>
      </c>
      <c r="H82" s="277">
        <f>SUMIFS($T$18:$T$60,$B$18:$B$60,$D$76,$D$18:$D$60,"Ponta")</f>
        <v>0</v>
      </c>
      <c r="I82" s="277">
        <f>SUMIFS($T$18:$T$60,$B$18:$B$60,$D$76,$D$18:$D$60,"Fora Ponta")</f>
        <v>0</v>
      </c>
      <c r="J82" s="277">
        <f t="shared" si="9"/>
        <v>0</v>
      </c>
      <c r="K82" s="277">
        <f t="shared" si="10"/>
        <v>0</v>
      </c>
      <c r="L82" s="277">
        <f>IF(MONTH(DataRevRea)=7,'Rede Básica + Ajuste'!J82,IF(G82&lt;$Q$69,(SUMIFS($E$18:$E$60,$B$18:$B$60,$D$76,$D$18:$D$60,"Ponta")),(SUMIFS($F$18:$F$60,$B$18:$B$60,$D$76,$D$18:$D$60,"Ponta"))))</f>
        <v>0</v>
      </c>
      <c r="M82" s="277">
        <f>IF(MONTH(DataRevRea)=7,'Rede Básica + Ajuste'!K82,IF(G82&lt;$Q$69,(SUMIFS($E$18:$E$60,$B$18:$B$60,$D$76,$D$18:$D$60,"Fora Ponta")),(SUMIFS($F$18:$F$60,$B$18:$B$60,$D$76,$D$18:$D$60,"Fora Ponta"))))</f>
        <v>0</v>
      </c>
      <c r="N82" s="284">
        <f t="shared" si="11"/>
        <v>0</v>
      </c>
      <c r="AF82" s="158"/>
      <c r="AG82" s="158"/>
      <c r="AH82" s="285"/>
      <c r="AI82" s="286"/>
      <c r="AJ82" s="285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</row>
    <row r="83" spans="2:50" ht="15.75">
      <c r="B83" s="158"/>
      <c r="C83" s="279"/>
      <c r="D83" s="279"/>
      <c r="E83" s="288"/>
      <c r="F83" s="275"/>
      <c r="G83" s="276">
        <f t="shared" si="12"/>
        <v>44593</v>
      </c>
      <c r="H83" s="277">
        <f>SUMIFS($U$18:$U$60,$B$18:$B$60,$D$76,$D$18:$D$60,"Ponta")</f>
        <v>0</v>
      </c>
      <c r="I83" s="277">
        <f>SUMIFS($U$18:$U$60,$B$18:$B$60,$D$76,$D$18:$D$60,"Fora Ponta")</f>
        <v>0</v>
      </c>
      <c r="J83" s="277">
        <f t="shared" si="9"/>
        <v>0</v>
      </c>
      <c r="K83" s="277">
        <f t="shared" si="10"/>
        <v>0</v>
      </c>
      <c r="L83" s="277">
        <f>IF(MONTH(DataRevRea)=7,'Rede Básica + Ajuste'!J83,IF(G83&lt;$Q$69,(SUMIFS($E$18:$E$60,$B$18:$B$60,$D$76,$D$18:$D$60,"Ponta")),(SUMIFS($F$18:$F$60,$B$18:$B$60,$D$76,$D$18:$D$60,"Ponta"))))</f>
        <v>0</v>
      </c>
      <c r="M83" s="277">
        <f>IF(MONTH(DataRevRea)=7,'Rede Básica + Ajuste'!K83,IF(G83&lt;$Q$69,(SUMIFS($E$18:$E$60,$B$18:$B$60,$D$76,$D$18:$D$60,"Fora Ponta")),(SUMIFS($F$18:$F$60,$B$18:$B$60,$D$76,$D$18:$D$60,"Fora Ponta"))))</f>
        <v>0</v>
      </c>
      <c r="N83" s="284">
        <f t="shared" si="11"/>
        <v>0</v>
      </c>
      <c r="AF83" s="158"/>
      <c r="AG83" s="158"/>
      <c r="AH83" s="285"/>
      <c r="AI83" s="286"/>
      <c r="AJ83" s="285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</row>
    <row r="84" spans="2:50" ht="15.75">
      <c r="B84" s="158"/>
      <c r="C84" s="289"/>
      <c r="D84" s="279"/>
      <c r="E84" s="288"/>
      <c r="F84" s="275"/>
      <c r="G84" s="276">
        <f t="shared" si="12"/>
        <v>44621</v>
      </c>
      <c r="H84" s="277">
        <f>SUMIFS($V$18:$V$60,$B$18:$B$60,$D$76,$D$18:$D$60,"Ponta")</f>
        <v>0</v>
      </c>
      <c r="I84" s="277">
        <f>SUMIFS($V$18:$V$60,$B$18:$B$60,$D$76,$D$18:$D$60,"Fora Ponta")</f>
        <v>0</v>
      </c>
      <c r="J84" s="277">
        <f t="shared" si="9"/>
        <v>0</v>
      </c>
      <c r="K84" s="277">
        <f t="shared" si="10"/>
        <v>0</v>
      </c>
      <c r="L84" s="277">
        <f>IF(MONTH(DataRevRea)=7,'Rede Básica + Ajuste'!J84,IF(G84&lt;$Q$69,(SUMIFS($E$18:$E$60,$B$18:$B$60,$D$76,$D$18:$D$60,"Ponta")),(SUMIFS($F$18:$F$60,$B$18:$B$60,$D$76,$D$18:$D$60,"Ponta"))))</f>
        <v>0</v>
      </c>
      <c r="M84" s="277">
        <f>IF(MONTH(DataRevRea)=7,'Rede Básica + Ajuste'!K84,IF(G84&lt;$Q$69,(SUMIFS($E$18:$E$60,$B$18:$B$60,$D$76,$D$18:$D$60,"Fora Ponta")),(SUMIFS($F$18:$F$60,$B$18:$B$60,$D$76,$D$18:$D$60,"Fora Ponta"))))</f>
        <v>0</v>
      </c>
      <c r="N84" s="284">
        <f t="shared" si="11"/>
        <v>0</v>
      </c>
      <c r="AF84" s="158"/>
      <c r="AG84" s="158"/>
      <c r="AH84" s="285"/>
      <c r="AI84" s="286"/>
      <c r="AJ84" s="285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</row>
    <row r="85" spans="2:50" ht="15.75">
      <c r="B85" s="158"/>
      <c r="C85" s="275"/>
      <c r="D85" s="275"/>
      <c r="E85" s="275"/>
      <c r="F85" s="275"/>
      <c r="G85" s="276">
        <f t="shared" si="12"/>
        <v>44652</v>
      </c>
      <c r="H85" s="277">
        <f>SUMIFS($W$18:$W$60,$B$18:$B$60,$D$76,$D$18:$D$60,"Ponta")</f>
        <v>0</v>
      </c>
      <c r="I85" s="277">
        <f>SUMIFS($W$18:$W$60,$B$18:$B$60,$D$76,$D$18:$D$60,"Fora Ponta")</f>
        <v>0</v>
      </c>
      <c r="J85" s="277">
        <f t="shared" si="9"/>
        <v>0</v>
      </c>
      <c r="K85" s="277">
        <f t="shared" si="10"/>
        <v>0</v>
      </c>
      <c r="L85" s="277">
        <f>IF(MONTH(DataRevRea)=7,'Rede Básica + Ajuste'!J85,IF(G85&lt;$Q$69,(SUMIFS($E$18:$E$60,$B$18:$B$60,$D$76,$D$18:$D$60,"Ponta")),(SUMIFS($F$18:$F$60,$B$18:$B$60,$D$76,$D$18:$D$60,"Ponta"))))</f>
        <v>0</v>
      </c>
      <c r="M85" s="277">
        <f>IF(MONTH(DataRevRea)=7,'Rede Básica + Ajuste'!K85,IF(G85&lt;$Q$69,(SUMIFS($E$18:$E$60,$B$18:$B$60,$D$76,$D$18:$D$60,"Fora Ponta")),(SUMIFS($F$18:$F$60,$B$18:$B$60,$D$76,$D$18:$D$60,"Fora Ponta"))))</f>
        <v>0</v>
      </c>
      <c r="N85" s="284">
        <f t="shared" si="11"/>
        <v>0</v>
      </c>
      <c r="AF85" s="158"/>
      <c r="AG85" s="158"/>
      <c r="AH85" s="285"/>
      <c r="AI85" s="286"/>
      <c r="AJ85" s="285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</row>
    <row r="86" spans="2:50" ht="15.75">
      <c r="B86" s="158"/>
      <c r="C86" s="281"/>
      <c r="D86" s="281"/>
      <c r="E86" s="281"/>
      <c r="F86" s="275"/>
      <c r="G86" s="276">
        <f t="shared" si="12"/>
        <v>44682</v>
      </c>
      <c r="H86" s="277">
        <f>SUMIFS($X$18:$X$60,$B$18:$B$60,$D$76,$D$18:$D$60,"Ponta")</f>
        <v>0</v>
      </c>
      <c r="I86" s="277">
        <f>SUMIFS($X$18:$X$60,$B$18:$B$60,$D$76,$D$18:$D$60,"Fora Ponta")</f>
        <v>0</v>
      </c>
      <c r="J86" s="277">
        <f t="shared" si="9"/>
        <v>0</v>
      </c>
      <c r="K86" s="277">
        <f t="shared" si="10"/>
        <v>0</v>
      </c>
      <c r="L86" s="277">
        <f>IF(MONTH(DataRevRea)=7,'Rede Básica + Ajuste'!J86,IF(G86&lt;$Q$69,(SUMIFS($E$18:$E$60,$B$18:$B$60,$D$76,$D$18:$D$60,"Ponta")),(SUMIFS($F$18:$F$60,$B$18:$B$60,$D$76,$D$18:$D$60,"Ponta"))))</f>
        <v>0</v>
      </c>
      <c r="M86" s="277">
        <f>IF(MONTH(DataRevRea)=7,'Rede Básica + Ajuste'!K86,IF(G86&lt;$Q$69,(SUMIFS($E$18:$E$60,$B$18:$B$60,$D$76,$D$18:$D$60,"Fora Ponta")),(SUMIFS($F$18:$F$60,$B$18:$B$60,$D$76,$D$18:$D$60,"Fora Ponta"))))</f>
        <v>0</v>
      </c>
      <c r="N86" s="284">
        <f t="shared" si="11"/>
        <v>0</v>
      </c>
      <c r="AF86" s="158"/>
      <c r="AG86" s="158"/>
      <c r="AH86" s="285"/>
      <c r="AI86" s="286"/>
      <c r="AJ86" s="285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</row>
    <row r="87" spans="2:50" ht="15.75">
      <c r="B87" s="158"/>
      <c r="C87" s="279"/>
      <c r="D87" s="280"/>
      <c r="E87" s="279"/>
      <c r="F87" s="275"/>
      <c r="G87" s="1380">
        <f t="shared" si="12"/>
        <v>44713</v>
      </c>
      <c r="H87" s="1381">
        <f>SUMIFS($Y$18:$Y$60,$B$18:$B$60,$D$76,$D$18:$D$60,"Ponta")</f>
        <v>0</v>
      </c>
      <c r="I87" s="1381">
        <f>SUMIFS($Y$18:$Y$60,$B$18:$B$60,$D$76,$D$18:$D$60,"Fora Ponta")</f>
        <v>0</v>
      </c>
      <c r="J87" s="1381">
        <f t="shared" si="9"/>
        <v>0</v>
      </c>
      <c r="K87" s="1381">
        <f t="shared" si="10"/>
        <v>0</v>
      </c>
      <c r="L87" s="1381">
        <f>IF(MONTH(DataRevRea)=7,'Rede Básica + Ajuste'!J87,IF(G87&lt;$Q$69,(SUMIFS($E$18:$E$60,$B$18:$B$60,$D$76,$D$18:$D$60,"Ponta")),(SUMIFS($F$18:$F$60,$B$18:$B$60,$D$76,$D$18:$D$60,"Ponta"))))</f>
        <v>0</v>
      </c>
      <c r="M87" s="1381">
        <f>IF(MONTH(DataRevRea)=7,'Rede Básica + Ajuste'!K87,IF(G87&lt;$Q$69,(SUMIFS($E$18:$E$60,$B$18:$B$60,$D$76,$D$18:$D$60,"Fora Ponta")),(SUMIFS($F$18:$F$60,$B$18:$B$60,$D$76,$D$18:$D$60,"Fora Ponta"))))</f>
        <v>0</v>
      </c>
      <c r="N87" s="1382">
        <f t="shared" si="11"/>
        <v>0</v>
      </c>
      <c r="AF87" s="158"/>
      <c r="AG87" s="158"/>
      <c r="AH87" s="285"/>
      <c r="AI87" s="286"/>
      <c r="AJ87" s="285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</row>
    <row r="88" spans="2:50">
      <c r="G88" s="151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</row>
    <row r="89" spans="2:50" ht="15.75">
      <c r="C89" s="275"/>
      <c r="D89" s="275"/>
      <c r="E89" s="275"/>
      <c r="F89" s="275"/>
      <c r="G89" s="275"/>
      <c r="H89" s="275"/>
      <c r="I89" s="275"/>
      <c r="J89" s="1766" t="s">
        <v>1252</v>
      </c>
      <c r="K89" s="1767"/>
      <c r="L89" s="1768" t="s">
        <v>1253</v>
      </c>
      <c r="M89" s="1768"/>
      <c r="N89" s="283"/>
    </row>
    <row r="90" spans="2:50" ht="15.75">
      <c r="C90" s="1769" t="s">
        <v>1263</v>
      </c>
      <c r="D90" s="1770"/>
      <c r="F90" s="275"/>
      <c r="G90" s="1369" t="s">
        <v>715</v>
      </c>
      <c r="H90" s="1370" t="s">
        <v>1254</v>
      </c>
      <c r="I90" s="1370" t="s">
        <v>1255</v>
      </c>
      <c r="J90" s="1371" t="s">
        <v>1256</v>
      </c>
      <c r="K90" s="1371" t="s">
        <v>1257</v>
      </c>
      <c r="L90" s="1371" t="s">
        <v>1256</v>
      </c>
      <c r="M90" s="1371" t="s">
        <v>1257</v>
      </c>
      <c r="N90" s="282" t="s">
        <v>1258</v>
      </c>
    </row>
    <row r="91" spans="2:50" ht="15.75">
      <c r="C91" s="1366" t="s">
        <v>1259</v>
      </c>
      <c r="D91" s="1372">
        <f>IF(D18="Ponta",B18,0)</f>
        <v>0</v>
      </c>
      <c r="E91" s="18"/>
      <c r="F91" s="275"/>
      <c r="G91" s="1373">
        <f>G76</f>
        <v>44378</v>
      </c>
      <c r="H91" s="277">
        <f>H76</f>
        <v>0</v>
      </c>
      <c r="I91" s="277">
        <f>I76</f>
        <v>0</v>
      </c>
      <c r="J91" s="277">
        <f>SUMIFS($G$18:$G$60,$B$18:$B$60,$D$76,$D$18:$D$60,"Ponta")</f>
        <v>0</v>
      </c>
      <c r="K91" s="277">
        <f>SUMIFS($G$18:$G$60,$B$18:$B$60,$D$76,$D$18:$D$60,"Fora Ponta")</f>
        <v>0</v>
      </c>
      <c r="L91" s="1374">
        <f>IF(MONTH(DataRevRea)=7,'Rede Básica + Ajuste'!J91,IF(G91&lt;$Q$69,(SUMIFS($G$18:$G$60,$B$18:$B$60,$D$91,$D$18:$D$60,"Ponta")),(SUMIFS($H$18:$H$60,$B$18:$B$60,$D$91,$D$18:$D$60,"Ponta"))))</f>
        <v>0</v>
      </c>
      <c r="M91" s="1374">
        <f>IF(MONTH(DataRevRea)=7,'Rede Básica + Ajuste'!K91,IF(G91&lt;$Q$69,(SUMIFS($G$18:$G$60,$B$18:$B$60,$D$91,$D$18:$D$60,"Fora Ponta")),(SUMIFS($H$18:$H$60,$B$18:$B$60,$D$91,$D$18:$D$60,"Fora Ponta"))))</f>
        <v>0</v>
      </c>
      <c r="N91" s="1375">
        <f>+(H91*(L91-J91))+(I91*(M91-K91))</f>
        <v>0</v>
      </c>
    </row>
    <row r="92" spans="2:50" ht="15.75">
      <c r="C92" s="275"/>
      <c r="D92" s="275"/>
      <c r="E92" s="275"/>
      <c r="F92" s="275"/>
      <c r="G92" s="276">
        <f t="shared" ref="G92:I102" si="13">G77</f>
        <v>44409</v>
      </c>
      <c r="H92" s="277">
        <f t="shared" si="13"/>
        <v>0</v>
      </c>
      <c r="I92" s="277">
        <f t="shared" si="13"/>
        <v>0</v>
      </c>
      <c r="J92" s="277">
        <f t="shared" ref="J92:J102" si="14">SUMIFS($G$18:$G$60,$B$18:$B$60,$D$76,$D$18:$D$60,"Ponta")</f>
        <v>0</v>
      </c>
      <c r="K92" s="277">
        <f t="shared" ref="K92:K102" si="15">SUMIFS($G$18:$G$60,$B$18:$B$60,$D$76,$D$18:$D$60,"Fora Ponta")</f>
        <v>0</v>
      </c>
      <c r="L92" s="277">
        <f>IF(MONTH(DataRevRea)=7,'Rede Básica + Ajuste'!J92,IF(G92&lt;$Q$69,(SUMIFS($G$18:$G$60,$B$18:$B$60,$D$91,$D$18:$D$60,"Ponta")),(SUMIFS($H$18:$H$60,$B$18:$B$60,$D$91,$D$18:$D$60,"Ponta"))))</f>
        <v>0</v>
      </c>
      <c r="M92" s="277">
        <f>IF(MONTH(DataRevRea)=7,'Rede Básica + Ajuste'!K92,IF(G92&lt;$Q$69,(SUMIFS($G$18:$G$60,$B$18:$B$60,$D$91,$D$18:$D$60,"Fora Ponta")),(SUMIFS($H$18:$H$60,$B$18:$B$60,$D$91,$D$18:$D$60,"Fora Ponta"))))</f>
        <v>0</v>
      </c>
      <c r="N92" s="284">
        <f t="shared" ref="N92:N102" si="16">+(H92*(L92-J92))+(I92*(M92-K92))</f>
        <v>0</v>
      </c>
    </row>
    <row r="93" spans="2:50" ht="15.75">
      <c r="C93" s="278"/>
      <c r="D93" s="1376" t="s">
        <v>1260</v>
      </c>
      <c r="E93" s="1377" t="s">
        <v>1261</v>
      </c>
      <c r="F93" s="275"/>
      <c r="G93" s="276">
        <f t="shared" si="13"/>
        <v>44440</v>
      </c>
      <c r="H93" s="277">
        <f t="shared" si="13"/>
        <v>0</v>
      </c>
      <c r="I93" s="277">
        <f t="shared" si="13"/>
        <v>0</v>
      </c>
      <c r="J93" s="277">
        <f t="shared" si="14"/>
        <v>0</v>
      </c>
      <c r="K93" s="277">
        <f t="shared" si="15"/>
        <v>0</v>
      </c>
      <c r="L93" s="277">
        <f>IF(MONTH(DataRevRea)=7,'Rede Básica + Ajuste'!J93,IF(G93&lt;$Q$69,(SUMIFS($G$18:$G$60,$B$18:$B$60,$D$91,$D$18:$D$60,"Ponta")),(SUMIFS($H$18:$H$60,$B$18:$B$60,$D$91,$D$18:$D$60,"Ponta"))))</f>
        <v>0</v>
      </c>
      <c r="M93" s="277">
        <f>IF(MONTH(DataRevRea)=7,'Rede Básica + Ajuste'!K93,IF(G93&lt;$Q$69,(SUMIFS($G$18:$G$60,$B$18:$B$60,$D$91,$D$18:$D$60,"Fora Ponta")),(SUMIFS($H$18:$H$60,$B$18:$B$60,$D$91,$D$18:$D$60,"Fora Ponta"))))</f>
        <v>0</v>
      </c>
      <c r="N93" s="284">
        <f t="shared" si="16"/>
        <v>0</v>
      </c>
    </row>
    <row r="94" spans="2:50" ht="15.75">
      <c r="C94" s="1378" t="str">
        <f>C79</f>
        <v>Cobertura 2021</v>
      </c>
      <c r="D94" s="1379">
        <f>SUMPRODUCT(H91:H102,J91:J102)</f>
        <v>0</v>
      </c>
      <c r="E94" s="1379">
        <f>SUMPRODUCT(I91:I102,K91:K102)</f>
        <v>0</v>
      </c>
      <c r="F94" s="275"/>
      <c r="G94" s="276">
        <f t="shared" si="13"/>
        <v>44470</v>
      </c>
      <c r="H94" s="277">
        <f t="shared" si="13"/>
        <v>0</v>
      </c>
      <c r="I94" s="277">
        <f t="shared" si="13"/>
        <v>0</v>
      </c>
      <c r="J94" s="277">
        <f t="shared" si="14"/>
        <v>0</v>
      </c>
      <c r="K94" s="277">
        <f t="shared" si="15"/>
        <v>0</v>
      </c>
      <c r="L94" s="277">
        <f>IF(MONTH(DataRevRea)=7,'Rede Básica + Ajuste'!J94,IF(G94&lt;$Q$69,(SUMIFS($G$18:$G$60,$B$18:$B$60,$D$91,$D$18:$D$60,"Ponta")),(SUMIFS($H$18:$H$60,$B$18:$B$60,$D$91,$D$18:$D$60,"Ponta"))))</f>
        <v>0</v>
      </c>
      <c r="M94" s="277">
        <f>IF(MONTH(DataRevRea)=7,'Rede Básica + Ajuste'!K94,IF(G94&lt;$Q$69,(SUMIFS($G$18:$G$60,$B$18:$B$60,$D$91,$D$18:$D$60,"Fora Ponta")),(SUMIFS($H$18:$H$60,$B$18:$B$60,$D$91,$D$18:$D$60,"Fora Ponta"))))</f>
        <v>0</v>
      </c>
      <c r="N94" s="284">
        <f t="shared" si="16"/>
        <v>0</v>
      </c>
    </row>
    <row r="95" spans="2:50" ht="15.75">
      <c r="C95" s="1378" t="s">
        <v>1262</v>
      </c>
      <c r="D95" s="1379">
        <f>SUMPRODUCT(H91:H102,L91:L102)</f>
        <v>0</v>
      </c>
      <c r="E95" s="1379">
        <f>SUMPRODUCT(I91:I102,M91:M102)</f>
        <v>0</v>
      </c>
      <c r="F95" s="275"/>
      <c r="G95" s="276">
        <f t="shared" si="13"/>
        <v>44501</v>
      </c>
      <c r="H95" s="277">
        <f t="shared" si="13"/>
        <v>0</v>
      </c>
      <c r="I95" s="277">
        <f t="shared" si="13"/>
        <v>0</v>
      </c>
      <c r="J95" s="277">
        <f t="shared" si="14"/>
        <v>0</v>
      </c>
      <c r="K95" s="277">
        <f t="shared" si="15"/>
        <v>0</v>
      </c>
      <c r="L95" s="277">
        <f>IF(MONTH(DataRevRea)=7,'Rede Básica + Ajuste'!J95,IF(G95&lt;$Q$69,(SUMIFS($G$18:$G$60,$B$18:$B$60,$D$91,$D$18:$D$60,"Ponta")),(SUMIFS($H$18:$H$60,$B$18:$B$60,$D$91,$D$18:$D$60,"Ponta"))))</f>
        <v>0</v>
      </c>
      <c r="M95" s="277">
        <f>IF(MONTH(DataRevRea)=7,'Rede Básica + Ajuste'!K95,IF(G95&lt;$Q$69,(SUMIFS($G$18:$G$60,$B$18:$B$60,$D$91,$D$18:$D$60,"Fora Ponta")),(SUMIFS($H$18:$H$60,$B$18:$B$60,$D$91,$D$18:$D$60,"Fora Ponta"))))</f>
        <v>0</v>
      </c>
      <c r="N95" s="284">
        <f t="shared" si="16"/>
        <v>0</v>
      </c>
    </row>
    <row r="96" spans="2:50" ht="15.75">
      <c r="C96" s="275"/>
      <c r="D96" s="275"/>
      <c r="E96" s="275"/>
      <c r="F96" s="275"/>
      <c r="G96" s="276">
        <f t="shared" si="13"/>
        <v>44531</v>
      </c>
      <c r="H96" s="277">
        <f t="shared" si="13"/>
        <v>0</v>
      </c>
      <c r="I96" s="277">
        <f t="shared" si="13"/>
        <v>0</v>
      </c>
      <c r="J96" s="277">
        <f t="shared" si="14"/>
        <v>0</v>
      </c>
      <c r="K96" s="277">
        <f t="shared" si="15"/>
        <v>0</v>
      </c>
      <c r="L96" s="277">
        <f>IF(MONTH(DataRevRea)=7,'Rede Básica + Ajuste'!J96,IF(G96&lt;$Q$69,(SUMIFS($G$18:$G$60,$B$18:$B$60,$D$91,$D$18:$D$60,"Ponta")),(SUMIFS($H$18:$H$60,$B$18:$B$60,$D$91,$D$18:$D$60,"Ponta"))))</f>
        <v>0</v>
      </c>
      <c r="M96" s="277">
        <f>IF(MONTH(DataRevRea)=7,'Rede Básica + Ajuste'!K96,IF(G96&lt;$Q$69,(SUMIFS($G$18:$G$60,$B$18:$B$60,$D$91,$D$18:$D$60,"Fora Ponta")),(SUMIFS($H$18:$H$60,$B$18:$B$60,$D$91,$D$18:$D$60,"Fora Ponta"))))</f>
        <v>0</v>
      </c>
      <c r="N96" s="284">
        <f t="shared" si="16"/>
        <v>0</v>
      </c>
    </row>
    <row r="97" spans="3:14" ht="15.75">
      <c r="C97" s="287"/>
      <c r="D97" s="287"/>
      <c r="E97" s="287"/>
      <c r="F97" s="275"/>
      <c r="G97" s="276">
        <f t="shared" si="13"/>
        <v>44562</v>
      </c>
      <c r="H97" s="277">
        <f t="shared" si="13"/>
        <v>0</v>
      </c>
      <c r="I97" s="277">
        <f t="shared" si="13"/>
        <v>0</v>
      </c>
      <c r="J97" s="277">
        <f t="shared" si="14"/>
        <v>0</v>
      </c>
      <c r="K97" s="277">
        <f t="shared" si="15"/>
        <v>0</v>
      </c>
      <c r="L97" s="277">
        <f>IF(MONTH(DataRevRea)=7,'Rede Básica + Ajuste'!J97,IF(G97&lt;$Q$69,(SUMIFS($G$18:$G$60,$B$18:$B$60,$D$91,$D$18:$D$60,"Ponta")),(SUMIFS($H$18:$H$60,$B$18:$B$60,$D$91,$D$18:$D$60,"Ponta"))))</f>
        <v>0</v>
      </c>
      <c r="M97" s="277">
        <f>IF(MONTH(DataRevRea)=7,'Rede Básica + Ajuste'!K97,IF(G97&lt;$Q$69,(SUMIFS($G$18:$G$60,$B$18:$B$60,$D$91,$D$18:$D$60,"Fora Ponta")),(SUMIFS($H$18:$H$60,$B$18:$B$60,$D$91,$D$18:$D$60,"Fora Ponta"))))</f>
        <v>0</v>
      </c>
      <c r="N97" s="284">
        <f t="shared" si="16"/>
        <v>0</v>
      </c>
    </row>
    <row r="98" spans="3:14" ht="15.75">
      <c r="C98" s="279"/>
      <c r="D98" s="279"/>
      <c r="E98" s="288"/>
      <c r="F98" s="275"/>
      <c r="G98" s="276">
        <f t="shared" si="13"/>
        <v>44593</v>
      </c>
      <c r="H98" s="277">
        <f t="shared" si="13"/>
        <v>0</v>
      </c>
      <c r="I98" s="277">
        <f t="shared" si="13"/>
        <v>0</v>
      </c>
      <c r="J98" s="277">
        <f t="shared" si="14"/>
        <v>0</v>
      </c>
      <c r="K98" s="277">
        <f t="shared" si="15"/>
        <v>0</v>
      </c>
      <c r="L98" s="277">
        <f>IF(MONTH(DataRevRea)=7,'Rede Básica + Ajuste'!J98,IF(G98&lt;$Q$69,(SUMIFS($G$18:$G$60,$B$18:$B$60,$D$91,$D$18:$D$60,"Ponta")),(SUMIFS($H$18:$H$60,$B$18:$B$60,$D$91,$D$18:$D$60,"Ponta"))))</f>
        <v>0</v>
      </c>
      <c r="M98" s="277">
        <f>IF(MONTH(DataRevRea)=7,'Rede Básica + Ajuste'!K98,IF(G98&lt;$Q$69,(SUMIFS($G$18:$G$60,$B$18:$B$60,$D$91,$D$18:$D$60,"Fora Ponta")),(SUMIFS($H$18:$H$60,$B$18:$B$60,$D$91,$D$18:$D$60,"Fora Ponta"))))</f>
        <v>0</v>
      </c>
      <c r="N98" s="284">
        <f t="shared" si="16"/>
        <v>0</v>
      </c>
    </row>
    <row r="99" spans="3:14" ht="15.75">
      <c r="C99" s="289"/>
      <c r="D99" s="279"/>
      <c r="E99" s="288"/>
      <c r="F99" s="275"/>
      <c r="G99" s="276">
        <f t="shared" si="13"/>
        <v>44621</v>
      </c>
      <c r="H99" s="277">
        <f t="shared" si="13"/>
        <v>0</v>
      </c>
      <c r="I99" s="277">
        <f t="shared" si="13"/>
        <v>0</v>
      </c>
      <c r="J99" s="277">
        <f t="shared" si="14"/>
        <v>0</v>
      </c>
      <c r="K99" s="277">
        <f t="shared" si="15"/>
        <v>0</v>
      </c>
      <c r="L99" s="277">
        <f>IF(MONTH(DataRevRea)=7,'Rede Básica + Ajuste'!J99,IF(G99&lt;$Q$69,(SUMIFS($G$18:$G$60,$B$18:$B$60,$D$91,$D$18:$D$60,"Ponta")),(SUMIFS($H$18:$H$60,$B$18:$B$60,$D$91,$D$18:$D$60,"Ponta"))))</f>
        <v>0</v>
      </c>
      <c r="M99" s="277">
        <f>IF(MONTH(DataRevRea)=7,'Rede Básica + Ajuste'!K99,IF(G99&lt;$Q$69,(SUMIFS($G$18:$G$60,$B$18:$B$60,$D$91,$D$18:$D$60,"Fora Ponta")),(SUMIFS($H$18:$H$60,$B$18:$B$60,$D$91,$D$18:$D$60,"Fora Ponta"))))</f>
        <v>0</v>
      </c>
      <c r="N99" s="284">
        <f t="shared" si="16"/>
        <v>0</v>
      </c>
    </row>
    <row r="100" spans="3:14" ht="15.75">
      <c r="C100" s="275"/>
      <c r="D100" s="275"/>
      <c r="E100" s="275"/>
      <c r="F100" s="275"/>
      <c r="G100" s="276">
        <f t="shared" si="13"/>
        <v>44652</v>
      </c>
      <c r="H100" s="277">
        <f t="shared" si="13"/>
        <v>0</v>
      </c>
      <c r="I100" s="277">
        <f t="shared" si="13"/>
        <v>0</v>
      </c>
      <c r="J100" s="277">
        <f t="shared" si="14"/>
        <v>0</v>
      </c>
      <c r="K100" s="277">
        <f t="shared" si="15"/>
        <v>0</v>
      </c>
      <c r="L100" s="277">
        <f>IF(MONTH(DataRevRea)=7,'Rede Básica + Ajuste'!J100,IF(G100&lt;$Q$69,(SUMIFS($G$18:$G$60,$B$18:$B$60,$D$91,$D$18:$D$60,"Ponta")),(SUMIFS($H$18:$H$60,$B$18:$B$60,$D$91,$D$18:$D$60,"Ponta"))))</f>
        <v>0</v>
      </c>
      <c r="M100" s="277">
        <f>IF(MONTH(DataRevRea)=7,'Rede Básica + Ajuste'!K100,IF(G100&lt;$Q$69,(SUMIFS($G$18:$G$60,$B$18:$B$60,$D$91,$D$18:$D$60,"Fora Ponta")),(SUMIFS($H$18:$H$60,$B$18:$B$60,$D$91,$D$18:$D$60,"Fora Ponta"))))</f>
        <v>0</v>
      </c>
      <c r="N100" s="284">
        <f t="shared" si="16"/>
        <v>0</v>
      </c>
    </row>
    <row r="101" spans="3:14" ht="15.75">
      <c r="C101" s="281"/>
      <c r="D101" s="281"/>
      <c r="E101" s="281"/>
      <c r="F101" s="275"/>
      <c r="G101" s="276">
        <f t="shared" si="13"/>
        <v>44682</v>
      </c>
      <c r="H101" s="277">
        <f t="shared" si="13"/>
        <v>0</v>
      </c>
      <c r="I101" s="277">
        <f t="shared" si="13"/>
        <v>0</v>
      </c>
      <c r="J101" s="277">
        <f t="shared" si="14"/>
        <v>0</v>
      </c>
      <c r="K101" s="277">
        <f t="shared" si="15"/>
        <v>0</v>
      </c>
      <c r="L101" s="277">
        <f>IF(MONTH(DataRevRea)=7,'Rede Básica + Ajuste'!J101,IF(G101&lt;$Q$69,(SUMIFS($G$18:$G$60,$B$18:$B$60,$D$91,$D$18:$D$60,"Ponta")),(SUMIFS($H$18:$H$60,$B$18:$B$60,$D$91,$D$18:$D$60,"Ponta"))))</f>
        <v>0</v>
      </c>
      <c r="M101" s="277">
        <f>IF(MONTH(DataRevRea)=7,'Rede Básica + Ajuste'!K101,IF(G101&lt;$Q$69,(SUMIFS($G$18:$G$60,$B$18:$B$60,$D$91,$D$18:$D$60,"Fora Ponta")),(SUMIFS($H$18:$H$60,$B$18:$B$60,$D$91,$D$18:$D$60,"Fora Ponta"))))</f>
        <v>0</v>
      </c>
      <c r="N101" s="284">
        <f t="shared" si="16"/>
        <v>0</v>
      </c>
    </row>
    <row r="102" spans="3:14" ht="15.75">
      <c r="C102" s="279"/>
      <c r="D102" s="280"/>
      <c r="E102" s="279"/>
      <c r="F102" s="275"/>
      <c r="G102" s="1380">
        <f t="shared" si="13"/>
        <v>44713</v>
      </c>
      <c r="H102" s="1381">
        <f t="shared" si="13"/>
        <v>0</v>
      </c>
      <c r="I102" s="1381">
        <f t="shared" si="13"/>
        <v>0</v>
      </c>
      <c r="J102" s="1381">
        <f t="shared" si="14"/>
        <v>0</v>
      </c>
      <c r="K102" s="1381">
        <f t="shared" si="15"/>
        <v>0</v>
      </c>
      <c r="L102" s="1381">
        <f>IF(MONTH(DataRevRea)=7,'Rede Básica + Ajuste'!J102,IF(G102&lt;$Q$69,(SUMIFS($G$18:$G$60,$B$18:$B$60,$D$91,$D$18:$D$60,"Ponta")),(SUMIFS($H$18:$H$60,$B$18:$B$60,$D$91,$D$18:$D$60,"Ponta"))))</f>
        <v>0</v>
      </c>
      <c r="M102" s="1381">
        <f>IF(MONTH(DataRevRea)=7,'Rede Básica + Ajuste'!K102,IF(G102&lt;$Q$69,(SUMIFS($G$18:$G$60,$B$18:$B$60,$D$91,$D$18:$D$60,"Fora Ponta")),(SUMIFS($H$18:$H$60,$B$18:$B$60,$D$91,$D$18:$D$60,"Fora Ponta"))))</f>
        <v>0</v>
      </c>
      <c r="N102" s="1382">
        <f t="shared" si="16"/>
        <v>0</v>
      </c>
    </row>
    <row r="103" spans="3:14">
      <c r="G103" s="151"/>
    </row>
    <row r="104" spans="3:14" ht="15.75">
      <c r="C104" s="275"/>
      <c r="D104" s="275"/>
      <c r="E104" s="275"/>
      <c r="F104" s="275"/>
      <c r="G104" s="275"/>
      <c r="H104" s="275"/>
      <c r="I104" s="275"/>
      <c r="J104" s="1766" t="s">
        <v>1252</v>
      </c>
      <c r="K104" s="1767"/>
      <c r="L104" s="1768" t="s">
        <v>1253</v>
      </c>
      <c r="M104" s="1768"/>
      <c r="N104" s="283"/>
    </row>
    <row r="105" spans="3:14" ht="15.75">
      <c r="C105" s="1769" t="s">
        <v>1235</v>
      </c>
      <c r="D105" s="1770"/>
      <c r="F105" s="275"/>
      <c r="G105" s="1369" t="s">
        <v>715</v>
      </c>
      <c r="H105" s="1370" t="s">
        <v>1254</v>
      </c>
      <c r="I105" s="1370" t="s">
        <v>1255</v>
      </c>
      <c r="J105" s="1371" t="s">
        <v>1256</v>
      </c>
      <c r="K105" s="1371" t="s">
        <v>1257</v>
      </c>
      <c r="L105" s="1371" t="s">
        <v>1256</v>
      </c>
      <c r="M105" s="1371" t="s">
        <v>1257</v>
      </c>
      <c r="N105" s="282" t="s">
        <v>1258</v>
      </c>
    </row>
    <row r="106" spans="3:14" ht="15.75">
      <c r="C106" s="1366" t="s">
        <v>1259</v>
      </c>
      <c r="D106" s="1383">
        <f>IF(D19="Ponta",B19,0)</f>
        <v>0</v>
      </c>
      <c r="E106" s="18"/>
      <c r="F106" s="275"/>
      <c r="G106" s="1373">
        <f>G91</f>
        <v>44378</v>
      </c>
      <c r="H106" s="277">
        <f>SUMIFS($N$18:$N$60,$B$18:$B$60,$D$106,$D$18:$D$60,"Ponta")</f>
        <v>0</v>
      </c>
      <c r="I106" s="277">
        <f>SUMIFS($N$18:$N$60,$B$18:$B$60,$D$106,$D$18:$D$60,"Fora Ponta")</f>
        <v>0</v>
      </c>
      <c r="J106" s="277">
        <f>SUMIFS($E$18:$E$60,$B$18:$B$60,$D$106,$D$18:$D$60,"Ponta")</f>
        <v>0</v>
      </c>
      <c r="K106" s="277">
        <f>SUMIFS($E$18:$E$60,$B$18:$B$60,$D$106,$D$18:$D$60,"Fora Ponta")</f>
        <v>0</v>
      </c>
      <c r="L106" s="1374">
        <f>IF(MONTH(DataRevRea)=7,'Rede Básica + Ajuste'!J106,IF(G106&lt;$Q$69,(SUMIFS($E$18:$E$60,$B$18:$B$60,$D$106,$D$18:$D$60,"Ponta")),(SUMIFS($F$18:$F$60,$B$18:$B$60,$D$106,$D$18:$D$60,"Ponta"))))</f>
        <v>0</v>
      </c>
      <c r="M106" s="1374">
        <f>IF(MONTH(DataRevRea)=7,'Rede Básica + Ajuste'!K106,IF(G106&lt;$Q$69,(SUMIFS($E$18:$E$60,$B$18:$B$60,$D$106,$D$18:$D$60,"Fora Ponta")),(SUMIFS($F$18:$F$60,$B$18:$B$60,$D$106,$D$18:$D$60,"Fora Ponta"))))</f>
        <v>0</v>
      </c>
      <c r="N106" s="1375">
        <f>+(H106*(L106-J106))+(I106*(M106-K106))</f>
        <v>0</v>
      </c>
    </row>
    <row r="107" spans="3:14" ht="15.75">
      <c r="C107" s="275"/>
      <c r="D107" s="275"/>
      <c r="E107" s="275"/>
      <c r="F107" s="275"/>
      <c r="G107" s="276">
        <f t="shared" ref="G107:G117" si="17">G92</f>
        <v>44409</v>
      </c>
      <c r="H107" s="277">
        <f>SUMIFS($O$18:$O$60,$B$18:$B$60,$D$106,$D$18:$D$60,"Ponta")</f>
        <v>0</v>
      </c>
      <c r="I107" s="277">
        <f>SUMIFS($O$18:$O$60,$B$18:$B$60,$D$106,$D$18:$D$60,"Fora Ponta")</f>
        <v>0</v>
      </c>
      <c r="J107" s="277">
        <f t="shared" ref="J107:J117" si="18">SUMIFS($E$18:$E$60,$B$18:$B$60,$D$106,$D$18:$D$60,"Ponta")</f>
        <v>0</v>
      </c>
      <c r="K107" s="277">
        <f t="shared" ref="K107:K117" si="19">SUMIFS($E$18:$E$60,$B$18:$B$60,$D$106,$D$18:$D$60,"Fora Ponta")</f>
        <v>0</v>
      </c>
      <c r="L107" s="277">
        <f>IF(MONTH(DataRevRea)=7,'Rede Básica + Ajuste'!J107,IF(G107&lt;$Q$69,(SUMIFS($E$18:$E$60,$B$18:$B$60,$D$106,$D$18:$D$60,"Ponta")),(SUMIFS($F$18:$F$60,$B$18:$B$60,$D$106,$D$18:$D$60,"Ponta"))))</f>
        <v>0</v>
      </c>
      <c r="M107" s="277">
        <f>IF(MONTH(DataRevRea)=7,'Rede Básica + Ajuste'!K107,IF(G107&lt;$Q$69,(SUMIFS($E$18:$E$60,$B$18:$B$60,$D$106,$D$18:$D$60,"Fora Ponta")),(SUMIFS($F$18:$F$60,$B$18:$B$60,$D$106,$D$18:$D$60,"Fora Ponta"))))</f>
        <v>0</v>
      </c>
      <c r="N107" s="284">
        <f t="shared" ref="N107:N117" si="20">+(H107*(L107-J107))+(I107*(M107-K107))</f>
        <v>0</v>
      </c>
    </row>
    <row r="108" spans="3:14" ht="15.75">
      <c r="C108" s="278"/>
      <c r="D108" s="1376" t="s">
        <v>1260</v>
      </c>
      <c r="E108" s="1377" t="s">
        <v>1261</v>
      </c>
      <c r="F108" s="275"/>
      <c r="G108" s="276">
        <f t="shared" si="17"/>
        <v>44440</v>
      </c>
      <c r="H108" s="277">
        <f>SUMIFS($P$18:$P$60,$B$18:$B$60,$D$106,$D$18:$D$60,"Ponta")</f>
        <v>0</v>
      </c>
      <c r="I108" s="277">
        <f>SUMIFS($P$18:$P$60,$B$18:$B$60,$D$106,$D$18:$D$60,"Fora Ponta")</f>
        <v>0</v>
      </c>
      <c r="J108" s="277">
        <f t="shared" si="18"/>
        <v>0</v>
      </c>
      <c r="K108" s="277">
        <f t="shared" si="19"/>
        <v>0</v>
      </c>
      <c r="L108" s="277">
        <f>IF(MONTH(DataRevRea)=7,'Rede Básica + Ajuste'!J108,IF(G108&lt;$Q$69,(SUMIFS($E$18:$E$60,$B$18:$B$60,$D$106,$D$18:$D$60,"Ponta")),(SUMIFS($F$18:$F$60,$B$18:$B$60,$D$106,$D$18:$D$60,"Ponta"))))</f>
        <v>0</v>
      </c>
      <c r="M108" s="277">
        <f>IF(MONTH(DataRevRea)=7,'Rede Básica + Ajuste'!K108,IF(G108&lt;$Q$69,(SUMIFS($E$18:$E$60,$B$18:$B$60,$D$106,$D$18:$D$60,"Fora Ponta")),(SUMIFS($F$18:$F$60,$B$18:$B$60,$D$106,$D$18:$D$60,"Fora Ponta"))))</f>
        <v>0</v>
      </c>
      <c r="N108" s="284">
        <f t="shared" si="20"/>
        <v>0</v>
      </c>
    </row>
    <row r="109" spans="3:14" ht="15.75">
      <c r="C109" s="1378" t="str">
        <f>C94</f>
        <v>Cobertura 2021</v>
      </c>
      <c r="D109" s="1379">
        <f>SUMPRODUCT(H106:H117,J106:J117)</f>
        <v>0</v>
      </c>
      <c r="E109" s="1379">
        <f>SUMPRODUCT(I106:I117,K106:K117)</f>
        <v>0</v>
      </c>
      <c r="F109" s="275"/>
      <c r="G109" s="276">
        <f t="shared" si="17"/>
        <v>44470</v>
      </c>
      <c r="H109" s="277">
        <f>SUMIFS($Q$18:$Q$60,$B$18:$B$60,$D$106,$D$18:$D$60,"Ponta")</f>
        <v>0</v>
      </c>
      <c r="I109" s="277">
        <f>SUMIFS($Q$18:$Q$60,$B$18:$B$60,$D$106,$D$18:$D$60,"Fora Ponta")</f>
        <v>0</v>
      </c>
      <c r="J109" s="277">
        <f t="shared" si="18"/>
        <v>0</v>
      </c>
      <c r="K109" s="277">
        <f t="shared" si="19"/>
        <v>0</v>
      </c>
      <c r="L109" s="277">
        <f>IF(MONTH(DataRevRea)=7,'Rede Básica + Ajuste'!J109,IF(G109&lt;$Q$69,(SUMIFS($E$18:$E$60,$B$18:$B$60,$D$106,$D$18:$D$60,"Ponta")),(SUMIFS($F$18:$F$60,$B$18:$B$60,$D$106,$D$18:$D$60,"Ponta"))))</f>
        <v>0</v>
      </c>
      <c r="M109" s="277">
        <f>IF(MONTH(DataRevRea)=7,'Rede Básica + Ajuste'!K109,IF(G109&lt;$Q$69,(SUMIFS($E$18:$E$60,$B$18:$B$60,$D$106,$D$18:$D$60,"Fora Ponta")),(SUMIFS($F$18:$F$60,$B$18:$B$60,$D$106,$D$18:$D$60,"Fora Ponta"))))</f>
        <v>0</v>
      </c>
      <c r="N109" s="284">
        <f t="shared" si="20"/>
        <v>0</v>
      </c>
    </row>
    <row r="110" spans="3:14" ht="15.75">
      <c r="C110" s="1378" t="s">
        <v>1262</v>
      </c>
      <c r="D110" s="1379">
        <f>SUMPRODUCT(H106:H117,L106:L117)</f>
        <v>0</v>
      </c>
      <c r="E110" s="1379">
        <f>SUMPRODUCT(I106:I117,M106:M117)</f>
        <v>0</v>
      </c>
      <c r="F110" s="275"/>
      <c r="G110" s="276">
        <f t="shared" si="17"/>
        <v>44501</v>
      </c>
      <c r="H110" s="277">
        <f>SUMIFS($R$18:$R$60,$B$18:$B$60,$D$106,$D$18:$D$60,"Ponta")</f>
        <v>0</v>
      </c>
      <c r="I110" s="277">
        <f>SUMIFS($R$18:$R$60,$B$18:$B$60,$D$106,$D$18:$D$60,"Fora Ponta")</f>
        <v>0</v>
      </c>
      <c r="J110" s="277">
        <f t="shared" si="18"/>
        <v>0</v>
      </c>
      <c r="K110" s="277">
        <f t="shared" si="19"/>
        <v>0</v>
      </c>
      <c r="L110" s="277">
        <f>IF(MONTH(DataRevRea)=7,'Rede Básica + Ajuste'!J110,IF(G110&lt;$Q$69,(SUMIFS($E$18:$E$60,$B$18:$B$60,$D$106,$D$18:$D$60,"Ponta")),(SUMIFS($F$18:$F$60,$B$18:$B$60,$D$106,$D$18:$D$60,"Ponta"))))</f>
        <v>0</v>
      </c>
      <c r="M110" s="277">
        <f>IF(MONTH(DataRevRea)=7,'Rede Básica + Ajuste'!K110,IF(G110&lt;$Q$69,(SUMIFS($E$18:$E$60,$B$18:$B$60,$D$106,$D$18:$D$60,"Fora Ponta")),(SUMIFS($F$18:$F$60,$B$18:$B$60,$D$106,$D$18:$D$60,"Fora Ponta"))))</f>
        <v>0</v>
      </c>
      <c r="N110" s="284">
        <f t="shared" si="20"/>
        <v>0</v>
      </c>
    </row>
    <row r="111" spans="3:14" ht="15.75">
      <c r="C111" s="275"/>
      <c r="D111" s="275"/>
      <c r="E111" s="275"/>
      <c r="F111" s="275"/>
      <c r="G111" s="276">
        <f t="shared" si="17"/>
        <v>44531</v>
      </c>
      <c r="H111" s="277">
        <f>SUMIFS($S$18:$S$60,$B$18:$B$60,$D$106,$D$18:$D$60,"Ponta")</f>
        <v>0</v>
      </c>
      <c r="I111" s="277">
        <f>SUMIFS($S$18:$S$60,$B$18:$B$60,$D$106,$D$18:$D$60,"Fora Ponta")</f>
        <v>0</v>
      </c>
      <c r="J111" s="277">
        <f t="shared" si="18"/>
        <v>0</v>
      </c>
      <c r="K111" s="277">
        <f t="shared" si="19"/>
        <v>0</v>
      </c>
      <c r="L111" s="277">
        <f>IF(MONTH(DataRevRea)=7,'Rede Básica + Ajuste'!J111,IF(G111&lt;$Q$69,(SUMIFS($E$18:$E$60,$B$18:$B$60,$D$106,$D$18:$D$60,"Ponta")),(SUMIFS($F$18:$F$60,$B$18:$B$60,$D$106,$D$18:$D$60,"Ponta"))))</f>
        <v>0</v>
      </c>
      <c r="M111" s="277">
        <f>IF(MONTH(DataRevRea)=7,'Rede Básica + Ajuste'!K111,IF(G111&lt;$Q$69,(SUMIFS($E$18:$E$60,$B$18:$B$60,$D$106,$D$18:$D$60,"Fora Ponta")),(SUMIFS($F$18:$F$60,$B$18:$B$60,$D$106,$D$18:$D$60,"Fora Ponta"))))</f>
        <v>0</v>
      </c>
      <c r="N111" s="284">
        <f t="shared" si="20"/>
        <v>0</v>
      </c>
    </row>
    <row r="112" spans="3:14" ht="15.75">
      <c r="C112" s="287"/>
      <c r="D112" s="287"/>
      <c r="E112" s="287"/>
      <c r="F112" s="275"/>
      <c r="G112" s="276">
        <f t="shared" si="17"/>
        <v>44562</v>
      </c>
      <c r="H112" s="277">
        <f>SUMIFS($T$18:$T$60,$B$18:$B$60,$D$106,$D$18:$D$60,"Ponta")</f>
        <v>0</v>
      </c>
      <c r="I112" s="277">
        <f>SUMIFS($T$18:$T$60,$B$18:$B$60,$D$106,$D$18:$D$60,"Fora Ponta")</f>
        <v>0</v>
      </c>
      <c r="J112" s="277">
        <f t="shared" si="18"/>
        <v>0</v>
      </c>
      <c r="K112" s="277">
        <f t="shared" si="19"/>
        <v>0</v>
      </c>
      <c r="L112" s="277">
        <f>IF(MONTH(DataRevRea)=7,'Rede Básica + Ajuste'!J112,IF(G112&lt;$Q$69,(SUMIFS($E$18:$E$60,$B$18:$B$60,$D$106,$D$18:$D$60,"Ponta")),(SUMIFS($F$18:$F$60,$B$18:$B$60,$D$106,$D$18:$D$60,"Ponta"))))</f>
        <v>0</v>
      </c>
      <c r="M112" s="277">
        <f>IF(MONTH(DataRevRea)=7,'Rede Básica + Ajuste'!K112,IF(G112&lt;$Q$69,(SUMIFS($E$18:$E$60,$B$18:$B$60,$D$106,$D$18:$D$60,"Fora Ponta")),(SUMIFS($F$18:$F$60,$B$18:$B$60,$D$106,$D$18:$D$60,"Fora Ponta"))))</f>
        <v>0</v>
      </c>
      <c r="N112" s="284">
        <f t="shared" si="20"/>
        <v>0</v>
      </c>
    </row>
    <row r="113" spans="3:14" ht="15.75">
      <c r="C113" s="279"/>
      <c r="D113" s="279"/>
      <c r="E113" s="288"/>
      <c r="F113" s="275"/>
      <c r="G113" s="276">
        <f t="shared" si="17"/>
        <v>44593</v>
      </c>
      <c r="H113" s="277">
        <f>SUMIFS($U$18:$U$60,$B$18:$B$60,$D$106,$D$18:$D$60,"Ponta")</f>
        <v>0</v>
      </c>
      <c r="I113" s="277">
        <f>SUMIFS($U$18:$U$60,$B$18:$B$60,$D$106,$D$18:$D$60,"Fora Ponta")</f>
        <v>0</v>
      </c>
      <c r="J113" s="277">
        <f t="shared" si="18"/>
        <v>0</v>
      </c>
      <c r="K113" s="277">
        <f t="shared" si="19"/>
        <v>0</v>
      </c>
      <c r="L113" s="277">
        <f>IF(MONTH(DataRevRea)=7,'Rede Básica + Ajuste'!J113,IF(G113&lt;$Q$69,(SUMIFS($E$18:$E$60,$B$18:$B$60,$D$106,$D$18:$D$60,"Ponta")),(SUMIFS($F$18:$F$60,$B$18:$B$60,$D$106,$D$18:$D$60,"Ponta"))))</f>
        <v>0</v>
      </c>
      <c r="M113" s="277">
        <f>IF(MONTH(DataRevRea)=7,'Rede Básica + Ajuste'!K113,IF(G113&lt;$Q$69,(SUMIFS($E$18:$E$60,$B$18:$B$60,$D$106,$D$18:$D$60,"Fora Ponta")),(SUMIFS($F$18:$F$60,$B$18:$B$60,$D$106,$D$18:$D$60,"Fora Ponta"))))</f>
        <v>0</v>
      </c>
      <c r="N113" s="284">
        <f t="shared" si="20"/>
        <v>0</v>
      </c>
    </row>
    <row r="114" spans="3:14" ht="15.75">
      <c r="C114" s="289"/>
      <c r="D114" s="279"/>
      <c r="E114" s="288"/>
      <c r="F114" s="275"/>
      <c r="G114" s="276">
        <f t="shared" si="17"/>
        <v>44621</v>
      </c>
      <c r="H114" s="277">
        <f>SUMIFS($V$18:$V$60,$B$18:$B$60,$D$106,$D$18:$D$60,"Ponta")</f>
        <v>0</v>
      </c>
      <c r="I114" s="277">
        <f>SUMIFS($V$18:$V$60,$B$18:$B$60,$D$106,$D$18:$D$60,"Fora Ponta")</f>
        <v>0</v>
      </c>
      <c r="J114" s="277">
        <f t="shared" si="18"/>
        <v>0</v>
      </c>
      <c r="K114" s="277">
        <f t="shared" si="19"/>
        <v>0</v>
      </c>
      <c r="L114" s="277">
        <f>IF(MONTH(DataRevRea)=7,'Rede Básica + Ajuste'!J114,IF(G114&lt;$Q$69,(SUMIFS($E$18:$E$60,$B$18:$B$60,$D$106,$D$18:$D$60,"Ponta")),(SUMIFS($F$18:$F$60,$B$18:$B$60,$D$106,$D$18:$D$60,"Ponta"))))</f>
        <v>0</v>
      </c>
      <c r="M114" s="277">
        <f>IF(MONTH(DataRevRea)=7,'Rede Básica + Ajuste'!K114,IF(G114&lt;$Q$69,(SUMIFS($E$18:$E$60,$B$18:$B$60,$D$106,$D$18:$D$60,"Fora Ponta")),(SUMIFS($F$18:$F$60,$B$18:$B$60,$D$106,$D$18:$D$60,"Fora Ponta"))))</f>
        <v>0</v>
      </c>
      <c r="N114" s="284">
        <f t="shared" si="20"/>
        <v>0</v>
      </c>
    </row>
    <row r="115" spans="3:14" ht="15.75">
      <c r="C115" s="275"/>
      <c r="D115" s="275"/>
      <c r="E115" s="275"/>
      <c r="F115" s="275"/>
      <c r="G115" s="276">
        <f t="shared" si="17"/>
        <v>44652</v>
      </c>
      <c r="H115" s="277">
        <f>SUMIFS($W$18:$W$60,$B$18:$B$60,$D$106,$D$18:$D$60,"Ponta")</f>
        <v>0</v>
      </c>
      <c r="I115" s="277">
        <f>SUMIFS($W$18:$W$60,$B$18:$B$60,$D$106,$D$18:$D$60,"Fora Ponta")</f>
        <v>0</v>
      </c>
      <c r="J115" s="277">
        <f t="shared" si="18"/>
        <v>0</v>
      </c>
      <c r="K115" s="277">
        <f t="shared" si="19"/>
        <v>0</v>
      </c>
      <c r="L115" s="277">
        <f>IF(MONTH(DataRevRea)=7,'Rede Básica + Ajuste'!J115,IF(G115&lt;$Q$69,(SUMIFS($E$18:$E$60,$B$18:$B$60,$D$106,$D$18:$D$60,"Ponta")),(SUMIFS($F$18:$F$60,$B$18:$B$60,$D$106,$D$18:$D$60,"Ponta"))))</f>
        <v>0</v>
      </c>
      <c r="M115" s="277">
        <f>IF(MONTH(DataRevRea)=7,'Rede Básica + Ajuste'!K115,IF(G115&lt;$Q$69,(SUMIFS($E$18:$E$60,$B$18:$B$60,$D$106,$D$18:$D$60,"Fora Ponta")),(SUMIFS($F$18:$F$60,$B$18:$B$60,$D$106,$D$18:$D$60,"Fora Ponta"))))</f>
        <v>0</v>
      </c>
      <c r="N115" s="284">
        <f t="shared" si="20"/>
        <v>0</v>
      </c>
    </row>
    <row r="116" spans="3:14" ht="15.75">
      <c r="C116" s="281"/>
      <c r="D116" s="281"/>
      <c r="E116" s="281"/>
      <c r="F116" s="275"/>
      <c r="G116" s="276">
        <f t="shared" si="17"/>
        <v>44682</v>
      </c>
      <c r="H116" s="277">
        <f>SUMIFS($X$18:$X$60,$B$18:$B$60,$D$106,$D$18:$D$60,"Ponta")</f>
        <v>0</v>
      </c>
      <c r="I116" s="277">
        <f>SUMIFS($X$18:$X$60,$B$18:$B$60,$D$106,$D$18:$D$60,"Fora Ponta")</f>
        <v>0</v>
      </c>
      <c r="J116" s="277">
        <f t="shared" si="18"/>
        <v>0</v>
      </c>
      <c r="K116" s="277">
        <f t="shared" si="19"/>
        <v>0</v>
      </c>
      <c r="L116" s="277">
        <f>IF(MONTH(DataRevRea)=7,'Rede Básica + Ajuste'!J116,IF(G116&lt;$Q$69,(SUMIFS($E$18:$E$60,$B$18:$B$60,$D$106,$D$18:$D$60,"Ponta")),(SUMIFS($F$18:$F$60,$B$18:$B$60,$D$106,$D$18:$D$60,"Ponta"))))</f>
        <v>0</v>
      </c>
      <c r="M116" s="277">
        <f>IF(MONTH(DataRevRea)=7,'Rede Básica + Ajuste'!K116,IF(G116&lt;$Q$69,(SUMIFS($E$18:$E$60,$B$18:$B$60,$D$106,$D$18:$D$60,"Fora Ponta")),(SUMIFS($F$18:$F$60,$B$18:$B$60,$D$106,$D$18:$D$60,"Fora Ponta"))))</f>
        <v>0</v>
      </c>
      <c r="N116" s="284">
        <f t="shared" si="20"/>
        <v>0</v>
      </c>
    </row>
    <row r="117" spans="3:14" ht="15.75">
      <c r="C117" s="279"/>
      <c r="D117" s="280"/>
      <c r="E117" s="279"/>
      <c r="F117" s="275"/>
      <c r="G117" s="1380">
        <f t="shared" si="17"/>
        <v>44713</v>
      </c>
      <c r="H117" s="1381">
        <f>SUMIFS($Y$18:$Y$60,$B$18:$B$60,$D$106,$D$18:$D$60,"Ponta")</f>
        <v>0</v>
      </c>
      <c r="I117" s="1381">
        <f>SUMIFS($Y$18:$Y$60,$B$18:$B$60,$D$106,$D$18:$D$60,"Fora Ponta")</f>
        <v>0</v>
      </c>
      <c r="J117" s="1381">
        <f t="shared" si="18"/>
        <v>0</v>
      </c>
      <c r="K117" s="1381">
        <f t="shared" si="19"/>
        <v>0</v>
      </c>
      <c r="L117" s="1381">
        <f>IF(MONTH(DataRevRea)=7,'Rede Básica + Ajuste'!J117,IF(G117&lt;$Q$69,(SUMIFS($E$18:$E$60,$B$18:$B$60,$D$106,$D$18:$D$60,"Ponta")),(SUMIFS($F$18:$F$60,$B$18:$B$60,$D$106,$D$18:$D$60,"Ponta"))))</f>
        <v>0</v>
      </c>
      <c r="M117" s="1381">
        <f>IF(MONTH(DataRevRea)=7,'Rede Básica + Ajuste'!K117,IF(G117&lt;$Q$69,(SUMIFS($E$18:$E$60,$B$18:$B$60,$D$106,$D$18:$D$60,"Fora Ponta")),(SUMIFS($F$18:$F$60,$B$18:$B$60,$D$106,$D$18:$D$60,"Fora Ponta"))))</f>
        <v>0</v>
      </c>
      <c r="N117" s="1382">
        <f t="shared" si="20"/>
        <v>0</v>
      </c>
    </row>
    <row r="118" spans="3:14">
      <c r="G118" s="151"/>
    </row>
    <row r="119" spans="3:14" ht="15.75">
      <c r="C119" s="275"/>
      <c r="D119" s="275"/>
      <c r="E119" s="275"/>
      <c r="F119" s="275"/>
      <c r="G119" s="275"/>
      <c r="H119" s="275"/>
      <c r="I119" s="275"/>
      <c r="J119" s="1766" t="s">
        <v>1252</v>
      </c>
      <c r="K119" s="1767"/>
      <c r="L119" s="1768" t="s">
        <v>1253</v>
      </c>
      <c r="M119" s="1768"/>
      <c r="N119" s="283"/>
    </row>
    <row r="120" spans="3:14" ht="15.75">
      <c r="C120" s="1769" t="s">
        <v>1263</v>
      </c>
      <c r="D120" s="1770"/>
      <c r="F120" s="275"/>
      <c r="G120" s="1369" t="s">
        <v>715</v>
      </c>
      <c r="H120" s="1370" t="s">
        <v>1254</v>
      </c>
      <c r="I120" s="1370" t="s">
        <v>1255</v>
      </c>
      <c r="J120" s="1371" t="s">
        <v>1256</v>
      </c>
      <c r="K120" s="1371" t="s">
        <v>1257</v>
      </c>
      <c r="L120" s="1371" t="s">
        <v>1256</v>
      </c>
      <c r="M120" s="1371" t="s">
        <v>1257</v>
      </c>
      <c r="N120" s="282" t="s">
        <v>1258</v>
      </c>
    </row>
    <row r="121" spans="3:14" ht="15.75">
      <c r="C121" s="1366" t="s">
        <v>1259</v>
      </c>
      <c r="D121" s="1383">
        <f>IF(D19="Ponta",B19,0)</f>
        <v>0</v>
      </c>
      <c r="E121" s="18"/>
      <c r="F121" s="275"/>
      <c r="G121" s="1373">
        <f>G106</f>
        <v>44378</v>
      </c>
      <c r="H121" s="277">
        <f>H106</f>
        <v>0</v>
      </c>
      <c r="I121" s="277">
        <f>I106</f>
        <v>0</v>
      </c>
      <c r="J121" s="277">
        <f>SUMIFS($G$18:$G$60,$B$18:$B$60,$D$121,$D$18:$D$60,"Ponta")</f>
        <v>0</v>
      </c>
      <c r="K121" s="277">
        <f>SUMIFS($G$18:$G$60,$B$18:$B$60,$D$121,$D$18:$D$60,"Fora Ponta")</f>
        <v>0</v>
      </c>
      <c r="L121" s="1374">
        <f>IF(MONTH(DataRevRea)=7,'Rede Básica + Ajuste'!J121,IF(G121&lt;$Q$69,(SUMIFS($G$18:$G$60,$B$18:$B$60,$D$121,$D$18:$D$60,"Ponta")),(SUMIFS($H$18:$H$60,$B$18:$B$60,$D$121,$D$18:$D$60,"Ponta"))))</f>
        <v>0</v>
      </c>
      <c r="M121" s="1374">
        <f>IF(MONTH(DataRevRea)=7,'Rede Básica + Ajuste'!K121,IF(G121&lt;$Q$69,(SUMIFS($G$18:$G$60,$B$18:$B$60,$D$121,$D$18:$D$60,"Fora Ponta")),(SUMIFS($H$18:$H$60,$B$18:$B$60,$D$121,$D$18:$D$60,"Fora Ponta"))))</f>
        <v>0</v>
      </c>
      <c r="N121" s="1375">
        <f>+(H121*(L121-J121))+(I121*(M121-K121))</f>
        <v>0</v>
      </c>
    </row>
    <row r="122" spans="3:14" ht="15.75">
      <c r="C122" s="275"/>
      <c r="D122" s="275"/>
      <c r="E122" s="275"/>
      <c r="F122" s="275"/>
      <c r="G122" s="276">
        <f t="shared" ref="G122:I132" si="21">G107</f>
        <v>44409</v>
      </c>
      <c r="H122" s="277">
        <f t="shared" si="21"/>
        <v>0</v>
      </c>
      <c r="I122" s="277">
        <f t="shared" si="21"/>
        <v>0</v>
      </c>
      <c r="J122" s="277">
        <f t="shared" ref="J122:J132" si="22">SUMIFS($G$18:$G$60,$B$18:$B$60,$D$121,$D$18:$D$60,"Ponta")</f>
        <v>0</v>
      </c>
      <c r="K122" s="277">
        <f t="shared" ref="K122:K132" si="23">SUMIFS($G$18:$G$60,$B$18:$B$60,$D$121,$D$18:$D$60,"Fora Ponta")</f>
        <v>0</v>
      </c>
      <c r="L122" s="277">
        <f>IF(MONTH(DataRevRea)=7,'Rede Básica + Ajuste'!J122,IF(G122&lt;$Q$69,(SUMIFS($G$18:$G$60,$B$18:$B$60,$D$121,$D$18:$D$60,"Ponta")),(SUMIFS($H$18:$H$60,$B$18:$B$60,$D$121,$D$18:$D$60,"Ponta"))))</f>
        <v>0</v>
      </c>
      <c r="M122" s="277">
        <f>IF(MONTH(DataRevRea)=7,'Rede Básica + Ajuste'!K122,IF(G122&lt;$Q$69,(SUMIFS($G$18:$G$60,$B$18:$B$60,$D$121,$D$18:$D$60,"Fora Ponta")),(SUMIFS($H$18:$H$60,$B$18:$B$60,$D$121,$D$18:$D$60,"Fora Ponta"))))</f>
        <v>0</v>
      </c>
      <c r="N122" s="284">
        <f t="shared" ref="N122:N132" si="24">+(H122*(L122-J122))+(I122*(M122-K122))</f>
        <v>0</v>
      </c>
    </row>
    <row r="123" spans="3:14" ht="15.75">
      <c r="C123" s="278"/>
      <c r="D123" s="1376" t="s">
        <v>1260</v>
      </c>
      <c r="E123" s="1377" t="s">
        <v>1261</v>
      </c>
      <c r="F123" s="275"/>
      <c r="G123" s="276">
        <f t="shared" si="21"/>
        <v>44440</v>
      </c>
      <c r="H123" s="277">
        <f t="shared" si="21"/>
        <v>0</v>
      </c>
      <c r="I123" s="277">
        <f t="shared" si="21"/>
        <v>0</v>
      </c>
      <c r="J123" s="277">
        <f t="shared" si="22"/>
        <v>0</v>
      </c>
      <c r="K123" s="277">
        <f t="shared" si="23"/>
        <v>0</v>
      </c>
      <c r="L123" s="277">
        <f>IF(MONTH(DataRevRea)=7,'Rede Básica + Ajuste'!J123,IF(G123&lt;$Q$69,(SUMIFS($G$18:$G$60,$B$18:$B$60,$D$121,$D$18:$D$60,"Ponta")),(SUMIFS($H$18:$H$60,$B$18:$B$60,$D$121,$D$18:$D$60,"Ponta"))))</f>
        <v>0</v>
      </c>
      <c r="M123" s="277">
        <f>IF(MONTH(DataRevRea)=7,'Rede Básica + Ajuste'!K123,IF(G123&lt;$Q$69,(SUMIFS($G$18:$G$60,$B$18:$B$60,$D$121,$D$18:$D$60,"Fora Ponta")),(SUMIFS($H$18:$H$60,$B$18:$B$60,$D$121,$D$18:$D$60,"Fora Ponta"))))</f>
        <v>0</v>
      </c>
      <c r="N123" s="284">
        <f t="shared" si="24"/>
        <v>0</v>
      </c>
    </row>
    <row r="124" spans="3:14" ht="15.75">
      <c r="C124" s="1378" t="str">
        <f>C109</f>
        <v>Cobertura 2021</v>
      </c>
      <c r="D124" s="1379">
        <f>SUMPRODUCT(H121:H132,J121:J132)</f>
        <v>0</v>
      </c>
      <c r="E124" s="1379">
        <f>SUMPRODUCT(I121:I132,K121:K132)</f>
        <v>0</v>
      </c>
      <c r="F124" s="275"/>
      <c r="G124" s="276">
        <f t="shared" si="21"/>
        <v>44470</v>
      </c>
      <c r="H124" s="277">
        <f t="shared" si="21"/>
        <v>0</v>
      </c>
      <c r="I124" s="277">
        <f t="shared" si="21"/>
        <v>0</v>
      </c>
      <c r="J124" s="277">
        <f t="shared" si="22"/>
        <v>0</v>
      </c>
      <c r="K124" s="277">
        <f t="shared" si="23"/>
        <v>0</v>
      </c>
      <c r="L124" s="277">
        <f>IF(MONTH(DataRevRea)=7,'Rede Básica + Ajuste'!J124,IF(G124&lt;$Q$69,(SUMIFS($G$18:$G$60,$B$18:$B$60,$D$121,$D$18:$D$60,"Ponta")),(SUMIFS($H$18:$H$60,$B$18:$B$60,$D$121,$D$18:$D$60,"Ponta"))))</f>
        <v>0</v>
      </c>
      <c r="M124" s="277">
        <f>IF(MONTH(DataRevRea)=7,'Rede Básica + Ajuste'!K124,IF(G124&lt;$Q$69,(SUMIFS($G$18:$G$60,$B$18:$B$60,$D$121,$D$18:$D$60,"Fora Ponta")),(SUMIFS($H$18:$H$60,$B$18:$B$60,$D$121,$D$18:$D$60,"Fora Ponta"))))</f>
        <v>0</v>
      </c>
      <c r="N124" s="284">
        <f t="shared" si="24"/>
        <v>0</v>
      </c>
    </row>
    <row r="125" spans="3:14" ht="15.75">
      <c r="C125" s="1378" t="s">
        <v>1262</v>
      </c>
      <c r="D125" s="1379">
        <f>SUMPRODUCT(H121:H132,L121:L132)</f>
        <v>0</v>
      </c>
      <c r="E125" s="1379">
        <f>SUMPRODUCT(I121:I132,M121:M132)</f>
        <v>0</v>
      </c>
      <c r="F125" s="275"/>
      <c r="G125" s="276">
        <f t="shared" si="21"/>
        <v>44501</v>
      </c>
      <c r="H125" s="277">
        <f t="shared" si="21"/>
        <v>0</v>
      </c>
      <c r="I125" s="277">
        <f t="shared" si="21"/>
        <v>0</v>
      </c>
      <c r="J125" s="277">
        <f t="shared" si="22"/>
        <v>0</v>
      </c>
      <c r="K125" s="277">
        <f t="shared" si="23"/>
        <v>0</v>
      </c>
      <c r="L125" s="277">
        <f>IF(MONTH(DataRevRea)=7,'Rede Básica + Ajuste'!J125,IF(G125&lt;$Q$69,(SUMIFS($G$18:$G$60,$B$18:$B$60,$D$121,$D$18:$D$60,"Ponta")),(SUMIFS($H$18:$H$60,$B$18:$B$60,$D$121,$D$18:$D$60,"Ponta"))))</f>
        <v>0</v>
      </c>
      <c r="M125" s="277">
        <f>IF(MONTH(DataRevRea)=7,'Rede Básica + Ajuste'!K125,IF(G125&lt;$Q$69,(SUMIFS($G$18:$G$60,$B$18:$B$60,$D$121,$D$18:$D$60,"Fora Ponta")),(SUMIFS($H$18:$H$60,$B$18:$B$60,$D$121,$D$18:$D$60,"Fora Ponta"))))</f>
        <v>0</v>
      </c>
      <c r="N125" s="284">
        <f t="shared" si="24"/>
        <v>0</v>
      </c>
    </row>
    <row r="126" spans="3:14" ht="15.75">
      <c r="C126" s="275"/>
      <c r="D126" s="275"/>
      <c r="E126" s="275"/>
      <c r="F126" s="275"/>
      <c r="G126" s="276">
        <f t="shared" si="21"/>
        <v>44531</v>
      </c>
      <c r="H126" s="277">
        <f t="shared" si="21"/>
        <v>0</v>
      </c>
      <c r="I126" s="277">
        <f t="shared" si="21"/>
        <v>0</v>
      </c>
      <c r="J126" s="277">
        <f t="shared" si="22"/>
        <v>0</v>
      </c>
      <c r="K126" s="277">
        <f t="shared" si="23"/>
        <v>0</v>
      </c>
      <c r="L126" s="277">
        <f>IF(MONTH(DataRevRea)=7,'Rede Básica + Ajuste'!J126,IF(G126&lt;$Q$69,(SUMIFS($G$18:$G$60,$B$18:$B$60,$D$121,$D$18:$D$60,"Ponta")),(SUMIFS($H$18:$H$60,$B$18:$B$60,$D$121,$D$18:$D$60,"Ponta"))))</f>
        <v>0</v>
      </c>
      <c r="M126" s="277">
        <f>IF(MONTH(DataRevRea)=7,'Rede Básica + Ajuste'!K126,IF(G126&lt;$Q$69,(SUMIFS($G$18:$G$60,$B$18:$B$60,$D$121,$D$18:$D$60,"Fora Ponta")),(SUMIFS($H$18:$H$60,$B$18:$B$60,$D$121,$D$18:$D$60,"Fora Ponta"))))</f>
        <v>0</v>
      </c>
      <c r="N126" s="284">
        <f t="shared" si="24"/>
        <v>0</v>
      </c>
    </row>
    <row r="127" spans="3:14" ht="15.75">
      <c r="C127" s="287"/>
      <c r="D127" s="287"/>
      <c r="E127" s="287"/>
      <c r="F127" s="275"/>
      <c r="G127" s="276">
        <f t="shared" si="21"/>
        <v>44562</v>
      </c>
      <c r="H127" s="277">
        <f t="shared" si="21"/>
        <v>0</v>
      </c>
      <c r="I127" s="277">
        <f t="shared" si="21"/>
        <v>0</v>
      </c>
      <c r="J127" s="277">
        <f t="shared" si="22"/>
        <v>0</v>
      </c>
      <c r="K127" s="277">
        <f t="shared" si="23"/>
        <v>0</v>
      </c>
      <c r="L127" s="277">
        <f>IF(MONTH(DataRevRea)=7,'Rede Básica + Ajuste'!J127,IF(G127&lt;$Q$69,(SUMIFS($G$18:$G$60,$B$18:$B$60,$D$121,$D$18:$D$60,"Ponta")),(SUMIFS($H$18:$H$60,$B$18:$B$60,$D$121,$D$18:$D$60,"Ponta"))))</f>
        <v>0</v>
      </c>
      <c r="M127" s="277">
        <f>IF(MONTH(DataRevRea)=7,'Rede Básica + Ajuste'!K127,IF(G127&lt;$Q$69,(SUMIFS($G$18:$G$60,$B$18:$B$60,$D$121,$D$18:$D$60,"Fora Ponta")),(SUMIFS($H$18:$H$60,$B$18:$B$60,$D$121,$D$18:$D$60,"Fora Ponta"))))</f>
        <v>0</v>
      </c>
      <c r="N127" s="284">
        <f t="shared" si="24"/>
        <v>0</v>
      </c>
    </row>
    <row r="128" spans="3:14" ht="15.75">
      <c r="C128" s="279"/>
      <c r="D128" s="279"/>
      <c r="E128" s="288"/>
      <c r="F128" s="275"/>
      <c r="G128" s="276">
        <f t="shared" si="21"/>
        <v>44593</v>
      </c>
      <c r="H128" s="277">
        <f t="shared" si="21"/>
        <v>0</v>
      </c>
      <c r="I128" s="277">
        <f t="shared" si="21"/>
        <v>0</v>
      </c>
      <c r="J128" s="277">
        <f t="shared" si="22"/>
        <v>0</v>
      </c>
      <c r="K128" s="277">
        <f t="shared" si="23"/>
        <v>0</v>
      </c>
      <c r="L128" s="277">
        <f>IF(MONTH(DataRevRea)=7,'Rede Básica + Ajuste'!J128,IF(G128&lt;$Q$69,(SUMIFS($G$18:$G$60,$B$18:$B$60,$D$121,$D$18:$D$60,"Ponta")),(SUMIFS($H$18:$H$60,$B$18:$B$60,$D$121,$D$18:$D$60,"Ponta"))))</f>
        <v>0</v>
      </c>
      <c r="M128" s="277">
        <f>IF(MONTH(DataRevRea)=7,'Rede Básica + Ajuste'!K128,IF(G128&lt;$Q$69,(SUMIFS($G$18:$G$60,$B$18:$B$60,$D$121,$D$18:$D$60,"Fora Ponta")),(SUMIFS($H$18:$H$60,$B$18:$B$60,$D$121,$D$18:$D$60,"Fora Ponta"))))</f>
        <v>0</v>
      </c>
      <c r="N128" s="284">
        <f t="shared" si="24"/>
        <v>0</v>
      </c>
    </row>
    <row r="129" spans="3:14" ht="15.75">
      <c r="C129" s="289"/>
      <c r="D129" s="279"/>
      <c r="E129" s="288"/>
      <c r="F129" s="275"/>
      <c r="G129" s="276">
        <f t="shared" si="21"/>
        <v>44621</v>
      </c>
      <c r="H129" s="277">
        <f t="shared" si="21"/>
        <v>0</v>
      </c>
      <c r="I129" s="277">
        <f t="shared" si="21"/>
        <v>0</v>
      </c>
      <c r="J129" s="277">
        <f t="shared" si="22"/>
        <v>0</v>
      </c>
      <c r="K129" s="277">
        <f t="shared" si="23"/>
        <v>0</v>
      </c>
      <c r="L129" s="277">
        <f>IF(MONTH(DataRevRea)=7,'Rede Básica + Ajuste'!J129,IF(G129&lt;$Q$69,(SUMIFS($G$18:$G$60,$B$18:$B$60,$D$121,$D$18:$D$60,"Ponta")),(SUMIFS($H$18:$H$60,$B$18:$B$60,$D$121,$D$18:$D$60,"Ponta"))))</f>
        <v>0</v>
      </c>
      <c r="M129" s="277">
        <f>IF(MONTH(DataRevRea)=7,'Rede Básica + Ajuste'!K129,IF(G129&lt;$Q$69,(SUMIFS($G$18:$G$60,$B$18:$B$60,$D$121,$D$18:$D$60,"Fora Ponta")),(SUMIFS($H$18:$H$60,$B$18:$B$60,$D$121,$D$18:$D$60,"Fora Ponta"))))</f>
        <v>0</v>
      </c>
      <c r="N129" s="284">
        <f t="shared" si="24"/>
        <v>0</v>
      </c>
    </row>
    <row r="130" spans="3:14" ht="15.75">
      <c r="C130" s="275"/>
      <c r="D130" s="275"/>
      <c r="E130" s="275"/>
      <c r="F130" s="275"/>
      <c r="G130" s="276">
        <f t="shared" si="21"/>
        <v>44652</v>
      </c>
      <c r="H130" s="277">
        <f t="shared" si="21"/>
        <v>0</v>
      </c>
      <c r="I130" s="277">
        <f t="shared" si="21"/>
        <v>0</v>
      </c>
      <c r="J130" s="277">
        <f t="shared" si="22"/>
        <v>0</v>
      </c>
      <c r="K130" s="277">
        <f t="shared" si="23"/>
        <v>0</v>
      </c>
      <c r="L130" s="277">
        <f>IF(MONTH(DataRevRea)=7,'Rede Básica + Ajuste'!J130,IF(G130&lt;$Q$69,(SUMIFS($G$18:$G$60,$B$18:$B$60,$D$121,$D$18:$D$60,"Ponta")),(SUMIFS($H$18:$H$60,$B$18:$B$60,$D$121,$D$18:$D$60,"Ponta"))))</f>
        <v>0</v>
      </c>
      <c r="M130" s="277">
        <f>IF(MONTH(DataRevRea)=7,'Rede Básica + Ajuste'!K130,IF(G130&lt;$Q$69,(SUMIFS($G$18:$G$60,$B$18:$B$60,$D$121,$D$18:$D$60,"Fora Ponta")),(SUMIFS($H$18:$H$60,$B$18:$B$60,$D$121,$D$18:$D$60,"Fora Ponta"))))</f>
        <v>0</v>
      </c>
      <c r="N130" s="284">
        <f t="shared" si="24"/>
        <v>0</v>
      </c>
    </row>
    <row r="131" spans="3:14" ht="15.75">
      <c r="C131" s="281"/>
      <c r="D131" s="281"/>
      <c r="E131" s="281"/>
      <c r="F131" s="275"/>
      <c r="G131" s="276">
        <f t="shared" si="21"/>
        <v>44682</v>
      </c>
      <c r="H131" s="277">
        <f t="shared" si="21"/>
        <v>0</v>
      </c>
      <c r="I131" s="277">
        <f t="shared" si="21"/>
        <v>0</v>
      </c>
      <c r="J131" s="277">
        <f t="shared" si="22"/>
        <v>0</v>
      </c>
      <c r="K131" s="277">
        <f t="shared" si="23"/>
        <v>0</v>
      </c>
      <c r="L131" s="277">
        <f>IF(MONTH(DataRevRea)=7,'Rede Básica + Ajuste'!J131,IF(G131&lt;$Q$69,(SUMIFS($G$18:$G$60,$B$18:$B$60,$D$121,$D$18:$D$60,"Ponta")),(SUMIFS($H$18:$H$60,$B$18:$B$60,$D$121,$D$18:$D$60,"Ponta"))))</f>
        <v>0</v>
      </c>
      <c r="M131" s="277">
        <f>IF(MONTH(DataRevRea)=7,'Rede Básica + Ajuste'!K131,IF(G131&lt;$Q$69,(SUMIFS($G$18:$G$60,$B$18:$B$60,$D$121,$D$18:$D$60,"Fora Ponta")),(SUMIFS($H$18:$H$60,$B$18:$B$60,$D$121,$D$18:$D$60,"Fora Ponta"))))</f>
        <v>0</v>
      </c>
      <c r="N131" s="284">
        <f t="shared" si="24"/>
        <v>0</v>
      </c>
    </row>
    <row r="132" spans="3:14" ht="15.75">
      <c r="C132" s="279"/>
      <c r="D132" s="280"/>
      <c r="E132" s="279"/>
      <c r="F132" s="275"/>
      <c r="G132" s="1380">
        <f t="shared" si="21"/>
        <v>44713</v>
      </c>
      <c r="H132" s="1381">
        <f t="shared" si="21"/>
        <v>0</v>
      </c>
      <c r="I132" s="1381">
        <f t="shared" si="21"/>
        <v>0</v>
      </c>
      <c r="J132" s="1381">
        <f t="shared" si="22"/>
        <v>0</v>
      </c>
      <c r="K132" s="1381">
        <f t="shared" si="23"/>
        <v>0</v>
      </c>
      <c r="L132" s="1381">
        <f>IF(MONTH(DataRevRea)=7,'Rede Básica + Ajuste'!J132,IF(G132&lt;$Q$69,(SUMIFS($G$18:$G$60,$B$18:$B$60,$D$121,$D$18:$D$60,"Ponta")),(SUMIFS($H$18:$H$60,$B$18:$B$60,$D$121,$D$18:$D$60,"Ponta"))))</f>
        <v>0</v>
      </c>
      <c r="M132" s="1381">
        <f>IF(MONTH(DataRevRea)=7,'Rede Básica + Ajuste'!K132,IF(G132&lt;$Q$69,(SUMIFS($G$18:$G$60,$B$18:$B$60,$D$121,$D$18:$D$60,"Fora Ponta")),(SUMIFS($H$18:$H$60,$B$18:$B$60,$D$121,$D$18:$D$60,"Fora Ponta"))))</f>
        <v>0</v>
      </c>
      <c r="N132" s="1382">
        <f t="shared" si="24"/>
        <v>0</v>
      </c>
    </row>
    <row r="133" spans="3:14">
      <c r="G133" s="151"/>
    </row>
    <row r="134" spans="3:14" ht="15.75">
      <c r="C134" s="275"/>
      <c r="D134" s="275"/>
      <c r="E134" s="275"/>
      <c r="F134" s="275"/>
      <c r="G134" s="275"/>
      <c r="H134" s="275"/>
      <c r="I134" s="275"/>
      <c r="J134" s="1766" t="s">
        <v>1252</v>
      </c>
      <c r="K134" s="1767"/>
      <c r="L134" s="1768" t="s">
        <v>1253</v>
      </c>
      <c r="M134" s="1768"/>
      <c r="N134" s="283"/>
    </row>
    <row r="135" spans="3:14" ht="15.75">
      <c r="C135" s="1769" t="s">
        <v>1235</v>
      </c>
      <c r="D135" s="1770"/>
      <c r="F135" s="275"/>
      <c r="G135" s="1369" t="s">
        <v>715</v>
      </c>
      <c r="H135" s="1370" t="s">
        <v>1254</v>
      </c>
      <c r="I135" s="1370" t="s">
        <v>1255</v>
      </c>
      <c r="J135" s="1371" t="s">
        <v>1256</v>
      </c>
      <c r="K135" s="1371" t="s">
        <v>1257</v>
      </c>
      <c r="L135" s="1371" t="s">
        <v>1256</v>
      </c>
      <c r="M135" s="1371" t="s">
        <v>1257</v>
      </c>
      <c r="N135" s="282" t="s">
        <v>1258</v>
      </c>
    </row>
    <row r="136" spans="3:14" ht="15.75">
      <c r="C136" s="1366" t="s">
        <v>1259</v>
      </c>
      <c r="D136" s="1383">
        <f>IF(D20="Ponta",B20,0)</f>
        <v>0</v>
      </c>
      <c r="E136" s="18"/>
      <c r="F136" s="275"/>
      <c r="G136" s="1373">
        <f>G121</f>
        <v>44378</v>
      </c>
      <c r="H136" s="277">
        <f>SUMIFS($N$18:$N$60,$B$18:$B$60,$D$136,$D$18:$D$60,"Ponta")</f>
        <v>0</v>
      </c>
      <c r="I136" s="277">
        <f>SUMIFS($N$18:$N$60,$B$18:$B$60,$D$136,$D$18:$D$60,"Fora Ponta")</f>
        <v>0</v>
      </c>
      <c r="J136" s="277">
        <f>SUMIFS($E$18:$E$60,$B$18:$B$60,$D$136,$D$18:$D$60,"Ponta")</f>
        <v>0</v>
      </c>
      <c r="K136" s="277">
        <f>SUMIFS($E$18:$E$60,$B$18:$B$60,$D$136,$D$18:$D$60,"Fora Ponta")</f>
        <v>0</v>
      </c>
      <c r="L136" s="1374">
        <f>IF(MONTH(DataRevRea)=7,'Rede Básica + Ajuste'!J136,IF(G136&lt;$Q$69,(SUMIFS($E$18:$E$60,$B$18:$B$60,$D$136,$D$18:$D$60,"Ponta")),(SUMIFS($F$18:$F$60,$B$18:$B$60,$D$136,$D$18:$D$60,"Ponta"))))</f>
        <v>0</v>
      </c>
      <c r="M136" s="1374">
        <f>IF(MONTH(DataRevRea)=7,'Rede Básica + Ajuste'!K136,IF(G136&lt;$Q$69,(SUMIFS($E$18:$E$60,$B$18:$B$60,$D$136,$D$18:$D$60,"Fora Ponta")),(SUMIFS($F$18:$F$60,$B$18:$B$60,$D$136,$D$18:$D$60,"Fora Ponta"))))</f>
        <v>0</v>
      </c>
      <c r="N136" s="1375">
        <f>+(H136*(L136-J136))+(I136*(M136-K136))</f>
        <v>0</v>
      </c>
    </row>
    <row r="137" spans="3:14" ht="15.75">
      <c r="C137" s="275"/>
      <c r="D137" s="275"/>
      <c r="E137" s="275"/>
      <c r="F137" s="275"/>
      <c r="G137" s="276">
        <f t="shared" ref="G137:G147" si="25">G122</f>
        <v>44409</v>
      </c>
      <c r="H137" s="277">
        <f>SUMIFS($O$18:$O$60,$B$18:$B$60,$D$136,$D$18:$D$60,"Ponta")</f>
        <v>0</v>
      </c>
      <c r="I137" s="277">
        <f>SUMIFS($O$18:$O$60,$B$18:$B$60,$D$136,$D$18:$D$60,"Fora Ponta")</f>
        <v>0</v>
      </c>
      <c r="J137" s="277">
        <f t="shared" ref="J137:J147" si="26">SUMIFS($E$18:$E$60,$B$18:$B$60,$D$106,$D$18:$D$60,"Ponta")</f>
        <v>0</v>
      </c>
      <c r="K137" s="277">
        <f t="shared" ref="K137:K147" si="27">SUMIFS($E$18:$E$60,$B$18:$B$60,$D$136,$D$18:$D$60,"Fora Ponta")</f>
        <v>0</v>
      </c>
      <c r="L137" s="277">
        <f>IF(MONTH(DataRevRea)=7,'Rede Básica + Ajuste'!J137,IF(G137&lt;$Q$69,(SUMIFS($E$18:$E$60,$B$18:$B$60,$D$136,$D$18:$D$60,"Ponta")),(SUMIFS($F$18:$F$60,$B$18:$B$60,$D$136,$D$18:$D$60,"Ponta"))))</f>
        <v>0</v>
      </c>
      <c r="M137" s="277">
        <f>IF(MONTH(DataRevRea)=7,'Rede Básica + Ajuste'!K137,IF(G137&lt;$Q$69,(SUMIFS($E$18:$E$60,$B$18:$B$60,$D$136,$D$18:$D$60,"Fora Ponta")),(SUMIFS($F$18:$F$60,$B$18:$B$60,$D$136,$D$18:$D$60,"Fora Ponta"))))</f>
        <v>0</v>
      </c>
      <c r="N137" s="284">
        <f t="shared" ref="N137:N147" si="28">+(H137*(L137-J137))+(I137*(M137-K137))</f>
        <v>0</v>
      </c>
    </row>
    <row r="138" spans="3:14" ht="15.75">
      <c r="C138" s="278"/>
      <c r="D138" s="1376" t="s">
        <v>1260</v>
      </c>
      <c r="E138" s="1377" t="s">
        <v>1261</v>
      </c>
      <c r="F138" s="275"/>
      <c r="G138" s="276">
        <f t="shared" si="25"/>
        <v>44440</v>
      </c>
      <c r="H138" s="277">
        <f>SUMIFS($P$18:$P$60,$B$18:$B$60,$D$136,$D$18:$D$60,"Ponta")</f>
        <v>0</v>
      </c>
      <c r="I138" s="277">
        <f>SUMIFS($P$18:$P$60,$B$18:$B$60,$D$136,$D$18:$D$60,"Fora Ponta")</f>
        <v>0</v>
      </c>
      <c r="J138" s="277">
        <f t="shared" si="26"/>
        <v>0</v>
      </c>
      <c r="K138" s="277">
        <f t="shared" si="27"/>
        <v>0</v>
      </c>
      <c r="L138" s="277">
        <f>IF(MONTH(DataRevRea)=7,'Rede Básica + Ajuste'!J138,IF(G138&lt;$Q$69,(SUMIFS($E$18:$E$60,$B$18:$B$60,$D$136,$D$18:$D$60,"Ponta")),(SUMIFS($F$18:$F$60,$B$18:$B$60,$D$136,$D$18:$D$60,"Ponta"))))</f>
        <v>0</v>
      </c>
      <c r="M138" s="277">
        <f>IF(MONTH(DataRevRea)=7,'Rede Básica + Ajuste'!K138,IF(G138&lt;$Q$69,(SUMIFS($E$18:$E$60,$B$18:$B$60,$D$136,$D$18:$D$60,"Fora Ponta")),(SUMIFS($F$18:$F$60,$B$18:$B$60,$D$136,$D$18:$D$60,"Fora Ponta"))))</f>
        <v>0</v>
      </c>
      <c r="N138" s="284">
        <f t="shared" si="28"/>
        <v>0</v>
      </c>
    </row>
    <row r="139" spans="3:14" ht="15.75">
      <c r="C139" s="1378" t="str">
        <f>C124</f>
        <v>Cobertura 2021</v>
      </c>
      <c r="D139" s="1379">
        <f>SUMPRODUCT(H136:H147,J136:J147)</f>
        <v>0</v>
      </c>
      <c r="E139" s="1379">
        <f>SUMPRODUCT(I136:I147,K136:K147)</f>
        <v>0</v>
      </c>
      <c r="F139" s="275"/>
      <c r="G139" s="276">
        <f t="shared" si="25"/>
        <v>44470</v>
      </c>
      <c r="H139" s="277">
        <f>SUMIFS($Q$18:$Q$60,$B$18:$B$60,$D$136,$D$18:$D$60,"Ponta")</f>
        <v>0</v>
      </c>
      <c r="I139" s="277">
        <f>SUMIFS($Q$18:$Q$60,$B$18:$B$60,$D$136,$D$18:$D$60,"Fora Ponta")</f>
        <v>0</v>
      </c>
      <c r="J139" s="277">
        <f t="shared" si="26"/>
        <v>0</v>
      </c>
      <c r="K139" s="277">
        <f t="shared" si="27"/>
        <v>0</v>
      </c>
      <c r="L139" s="277">
        <f>IF(MONTH(DataRevRea)=7,'Rede Básica + Ajuste'!J139,IF(G139&lt;$Q$69,(SUMIFS($E$18:$E$60,$B$18:$B$60,$D$136,$D$18:$D$60,"Ponta")),(SUMIFS($F$18:$F$60,$B$18:$B$60,$D$136,$D$18:$D$60,"Ponta"))))</f>
        <v>0</v>
      </c>
      <c r="M139" s="277">
        <f>IF(MONTH(DataRevRea)=7,'Rede Básica + Ajuste'!K139,IF(G139&lt;$Q$69,(SUMIFS($E$18:$E$60,$B$18:$B$60,$D$136,$D$18:$D$60,"Fora Ponta")),(SUMIFS($F$18:$F$60,$B$18:$B$60,$D$136,$D$18:$D$60,"Fora Ponta"))))</f>
        <v>0</v>
      </c>
      <c r="N139" s="284">
        <f t="shared" si="28"/>
        <v>0</v>
      </c>
    </row>
    <row r="140" spans="3:14" ht="15.75">
      <c r="C140" s="1378" t="s">
        <v>1262</v>
      </c>
      <c r="D140" s="1379">
        <f>SUMPRODUCT(H136:H147,L136:L147)</f>
        <v>0</v>
      </c>
      <c r="E140" s="1379">
        <f>SUMPRODUCT(I136:I147,M136:M147)</f>
        <v>0</v>
      </c>
      <c r="F140" s="275"/>
      <c r="G140" s="276">
        <f t="shared" si="25"/>
        <v>44501</v>
      </c>
      <c r="H140" s="277">
        <f>SUMIFS($R$18:$R$60,$B$18:$B$60,$D$136,$D$18:$D$60,"Ponta")</f>
        <v>0</v>
      </c>
      <c r="I140" s="277">
        <f>SUMIFS($R$18:$R$60,$B$18:$B$60,$D$136,$D$18:$D$60,"Fora Ponta")</f>
        <v>0</v>
      </c>
      <c r="J140" s="277">
        <f t="shared" si="26"/>
        <v>0</v>
      </c>
      <c r="K140" s="277">
        <f t="shared" si="27"/>
        <v>0</v>
      </c>
      <c r="L140" s="277">
        <f>IF(MONTH(DataRevRea)=7,'Rede Básica + Ajuste'!J140,IF(G140&lt;$Q$69,(SUMIFS($E$18:$E$60,$B$18:$B$60,$D$136,$D$18:$D$60,"Ponta")),(SUMIFS($F$18:$F$60,$B$18:$B$60,$D$136,$D$18:$D$60,"Ponta"))))</f>
        <v>0</v>
      </c>
      <c r="M140" s="277">
        <f>IF(MONTH(DataRevRea)=7,'Rede Básica + Ajuste'!K140,IF(G140&lt;$Q$69,(SUMIFS($E$18:$E$60,$B$18:$B$60,$D$136,$D$18:$D$60,"Fora Ponta")),(SUMIFS($F$18:$F$60,$B$18:$B$60,$D$136,$D$18:$D$60,"Fora Ponta"))))</f>
        <v>0</v>
      </c>
      <c r="N140" s="284">
        <f t="shared" si="28"/>
        <v>0</v>
      </c>
    </row>
    <row r="141" spans="3:14" ht="15.75">
      <c r="C141" s="275"/>
      <c r="D141" s="275"/>
      <c r="E141" s="275"/>
      <c r="F141" s="275"/>
      <c r="G141" s="276">
        <f t="shared" si="25"/>
        <v>44531</v>
      </c>
      <c r="H141" s="277">
        <f>SUMIFS($S$18:$S$60,$B$18:$B$60,$D$136,$D$18:$D$60,"Ponta")</f>
        <v>0</v>
      </c>
      <c r="I141" s="277">
        <f>SUMIFS($S$18:$S$60,$B$18:$B$60,$D$136,$D$18:$D$60,"Fora Ponta")</f>
        <v>0</v>
      </c>
      <c r="J141" s="277">
        <f t="shared" si="26"/>
        <v>0</v>
      </c>
      <c r="K141" s="277">
        <f t="shared" si="27"/>
        <v>0</v>
      </c>
      <c r="L141" s="277">
        <f>IF(MONTH(DataRevRea)=7,'Rede Básica + Ajuste'!J141,IF(G141&lt;$Q$69,(SUMIFS($E$18:$E$60,$B$18:$B$60,$D$136,$D$18:$D$60,"Ponta")),(SUMIFS($F$18:$F$60,$B$18:$B$60,$D$136,$D$18:$D$60,"Ponta"))))</f>
        <v>0</v>
      </c>
      <c r="M141" s="277">
        <f>IF(MONTH(DataRevRea)=7,'Rede Básica + Ajuste'!K141,IF(G141&lt;$Q$69,(SUMIFS($E$18:$E$60,$B$18:$B$60,$D$136,$D$18:$D$60,"Fora Ponta")),(SUMIFS($F$18:$F$60,$B$18:$B$60,$D$136,$D$18:$D$60,"Fora Ponta"))))</f>
        <v>0</v>
      </c>
      <c r="N141" s="284">
        <f t="shared" si="28"/>
        <v>0</v>
      </c>
    </row>
    <row r="142" spans="3:14" ht="15.75">
      <c r="C142" s="287"/>
      <c r="D142" s="287"/>
      <c r="E142" s="287"/>
      <c r="F142" s="275"/>
      <c r="G142" s="276">
        <f t="shared" si="25"/>
        <v>44562</v>
      </c>
      <c r="H142" s="277">
        <f>SUMIFS($T$18:$T$60,$B$18:$B$60,$D$136,$D$18:$D$60,"Ponta")</f>
        <v>0</v>
      </c>
      <c r="I142" s="277">
        <f>SUMIFS($T$18:$T$60,$B$18:$B$60,$D$136,$D$18:$D$60,"Fora Ponta")</f>
        <v>0</v>
      </c>
      <c r="J142" s="277">
        <f t="shared" si="26"/>
        <v>0</v>
      </c>
      <c r="K142" s="277">
        <f t="shared" si="27"/>
        <v>0</v>
      </c>
      <c r="L142" s="277">
        <f>IF(MONTH(DataRevRea)=7,'Rede Básica + Ajuste'!J142,IF(G142&lt;$Q$69,(SUMIFS($E$18:$E$60,$B$18:$B$60,$D$136,$D$18:$D$60,"Ponta")),(SUMIFS($F$18:$F$60,$B$18:$B$60,$D$136,$D$18:$D$60,"Ponta"))))</f>
        <v>0</v>
      </c>
      <c r="M142" s="277">
        <f>IF(MONTH(DataRevRea)=7,'Rede Básica + Ajuste'!K142,IF(G142&lt;$Q$69,(SUMIFS($E$18:$E$60,$B$18:$B$60,$D$136,$D$18:$D$60,"Fora Ponta")),(SUMIFS($F$18:$F$60,$B$18:$B$60,$D$136,$D$18:$D$60,"Fora Ponta"))))</f>
        <v>0</v>
      </c>
      <c r="N142" s="284">
        <f t="shared" si="28"/>
        <v>0</v>
      </c>
    </row>
    <row r="143" spans="3:14" ht="15.75">
      <c r="C143" s="279"/>
      <c r="D143" s="279"/>
      <c r="E143" s="288"/>
      <c r="F143" s="275"/>
      <c r="G143" s="276">
        <f t="shared" si="25"/>
        <v>44593</v>
      </c>
      <c r="H143" s="277">
        <f>SUMIFS($U$18:$U$60,$B$18:$B$60,$D$136,$D$18:$D$60,"Ponta")</f>
        <v>0</v>
      </c>
      <c r="I143" s="277">
        <f>SUMIFS($U$18:$U$60,$B$18:$B$60,$D$136,$D$18:$D$60,"Fora Ponta")</f>
        <v>0</v>
      </c>
      <c r="J143" s="277">
        <f t="shared" si="26"/>
        <v>0</v>
      </c>
      <c r="K143" s="277">
        <f t="shared" si="27"/>
        <v>0</v>
      </c>
      <c r="L143" s="277">
        <f>IF(MONTH(DataRevRea)=7,'Rede Básica + Ajuste'!J143,IF(G143&lt;$Q$69,(SUMIFS($E$18:$E$60,$B$18:$B$60,$D$136,$D$18:$D$60,"Ponta")),(SUMIFS($F$18:$F$60,$B$18:$B$60,$D$136,$D$18:$D$60,"Ponta"))))</f>
        <v>0</v>
      </c>
      <c r="M143" s="277">
        <f>IF(MONTH(DataRevRea)=7,'Rede Básica + Ajuste'!K143,IF(G143&lt;$Q$69,(SUMIFS($E$18:$E$60,$B$18:$B$60,$D$136,$D$18:$D$60,"Fora Ponta")),(SUMIFS($F$18:$F$60,$B$18:$B$60,$D$136,$D$18:$D$60,"Fora Ponta"))))</f>
        <v>0</v>
      </c>
      <c r="N143" s="284">
        <f t="shared" si="28"/>
        <v>0</v>
      </c>
    </row>
    <row r="144" spans="3:14" ht="15.75">
      <c r="C144" s="289"/>
      <c r="D144" s="279"/>
      <c r="E144" s="288"/>
      <c r="F144" s="275"/>
      <c r="G144" s="276">
        <f t="shared" si="25"/>
        <v>44621</v>
      </c>
      <c r="H144" s="277">
        <f>SUMIFS($V$18:$V$60,$B$18:$B$60,$D$136,$D$18:$D$60,"Ponta")</f>
        <v>0</v>
      </c>
      <c r="I144" s="277">
        <f>SUMIFS($V$18:$V$60,$B$18:$B$60,$D$136,$D$18:$D$60,"Fora Ponta")</f>
        <v>0</v>
      </c>
      <c r="J144" s="277">
        <f t="shared" si="26"/>
        <v>0</v>
      </c>
      <c r="K144" s="277">
        <f t="shared" si="27"/>
        <v>0</v>
      </c>
      <c r="L144" s="277">
        <f>IF(MONTH(DataRevRea)=7,'Rede Básica + Ajuste'!J144,IF(G144&lt;$Q$69,(SUMIFS($E$18:$E$60,$B$18:$B$60,$D$136,$D$18:$D$60,"Ponta")),(SUMIFS($F$18:$F$60,$B$18:$B$60,$D$136,$D$18:$D$60,"Ponta"))))</f>
        <v>0</v>
      </c>
      <c r="M144" s="277">
        <f>IF(MONTH(DataRevRea)=7,'Rede Básica + Ajuste'!K144,IF(G144&lt;$Q$69,(SUMIFS($E$18:$E$60,$B$18:$B$60,$D$136,$D$18:$D$60,"Fora Ponta")),(SUMIFS($F$18:$F$60,$B$18:$B$60,$D$136,$D$18:$D$60,"Fora Ponta"))))</f>
        <v>0</v>
      </c>
      <c r="N144" s="284">
        <f t="shared" si="28"/>
        <v>0</v>
      </c>
    </row>
    <row r="145" spans="3:14" ht="15.75">
      <c r="C145" s="275"/>
      <c r="D145" s="275"/>
      <c r="E145" s="275"/>
      <c r="F145" s="275"/>
      <c r="G145" s="276">
        <f t="shared" si="25"/>
        <v>44652</v>
      </c>
      <c r="H145" s="277">
        <f>SUMIFS($W$18:$W$60,$B$18:$B$60,$D$136,$D$18:$D$60,"Ponta")</f>
        <v>0</v>
      </c>
      <c r="I145" s="277">
        <f>SUMIFS($W$18:$W$60,$B$18:$B$60,$D$136,$D$18:$D$60,"Fora Ponta")</f>
        <v>0</v>
      </c>
      <c r="J145" s="277">
        <f t="shared" si="26"/>
        <v>0</v>
      </c>
      <c r="K145" s="277">
        <f t="shared" si="27"/>
        <v>0</v>
      </c>
      <c r="L145" s="277">
        <f>IF(MONTH(DataRevRea)=7,'Rede Básica + Ajuste'!J145,IF(G145&lt;$Q$69,(SUMIFS($E$18:$E$60,$B$18:$B$60,$D$136,$D$18:$D$60,"Ponta")),(SUMIFS($F$18:$F$60,$B$18:$B$60,$D$136,$D$18:$D$60,"Ponta"))))</f>
        <v>0</v>
      </c>
      <c r="M145" s="277">
        <f>IF(MONTH(DataRevRea)=7,'Rede Básica + Ajuste'!K145,IF(G145&lt;$Q$69,(SUMIFS($E$18:$E$60,$B$18:$B$60,$D$136,$D$18:$D$60,"Fora Ponta")),(SUMIFS($F$18:$F$60,$B$18:$B$60,$D$136,$D$18:$D$60,"Fora Ponta"))))</f>
        <v>0</v>
      </c>
      <c r="N145" s="284">
        <f t="shared" si="28"/>
        <v>0</v>
      </c>
    </row>
    <row r="146" spans="3:14" ht="15.75">
      <c r="C146" s="281"/>
      <c r="D146" s="281"/>
      <c r="E146" s="281"/>
      <c r="F146" s="275"/>
      <c r="G146" s="276">
        <f t="shared" si="25"/>
        <v>44682</v>
      </c>
      <c r="H146" s="277">
        <f>SUMIFS($X$18:$X$60,$B$18:$B$60,$D$136,$D$18:$D$60,"Ponta")</f>
        <v>0</v>
      </c>
      <c r="I146" s="277">
        <f>SUMIFS($X$18:$X$60,$B$18:$B$60,$D$136,$D$18:$D$60,"Fora Ponta")</f>
        <v>0</v>
      </c>
      <c r="J146" s="277">
        <f t="shared" si="26"/>
        <v>0</v>
      </c>
      <c r="K146" s="277">
        <f t="shared" si="27"/>
        <v>0</v>
      </c>
      <c r="L146" s="277">
        <f>IF(MONTH(DataRevRea)=7,'Rede Básica + Ajuste'!J146,IF(G146&lt;$Q$69,(SUMIFS($E$18:$E$60,$B$18:$B$60,$D$136,$D$18:$D$60,"Ponta")),(SUMIFS($F$18:$F$60,$B$18:$B$60,$D$136,$D$18:$D$60,"Ponta"))))</f>
        <v>0</v>
      </c>
      <c r="M146" s="277">
        <f>IF(MONTH(DataRevRea)=7,'Rede Básica + Ajuste'!K146,IF(G146&lt;$Q$69,(SUMIFS($E$18:$E$60,$B$18:$B$60,$D$136,$D$18:$D$60,"Fora Ponta")),(SUMIFS($F$18:$F$60,$B$18:$B$60,$D$136,$D$18:$D$60,"Fora Ponta"))))</f>
        <v>0</v>
      </c>
      <c r="N146" s="284">
        <f t="shared" si="28"/>
        <v>0</v>
      </c>
    </row>
    <row r="147" spans="3:14" ht="15.75">
      <c r="C147" s="279"/>
      <c r="D147" s="280"/>
      <c r="E147" s="279"/>
      <c r="F147" s="275"/>
      <c r="G147" s="1380">
        <f t="shared" si="25"/>
        <v>44713</v>
      </c>
      <c r="H147" s="1381">
        <f>SUMIFS($Y$18:$Y$60,$B$18:$B$60,$D$136,$D$18:$D$60,"Ponta")</f>
        <v>0</v>
      </c>
      <c r="I147" s="1381">
        <f>SUMIFS($Y$18:$Y$60,$B$18:$B$60,$D$136,$D$18:$D$60,"Fora Ponta")</f>
        <v>0</v>
      </c>
      <c r="J147" s="1381">
        <f t="shared" si="26"/>
        <v>0</v>
      </c>
      <c r="K147" s="1381">
        <f t="shared" si="27"/>
        <v>0</v>
      </c>
      <c r="L147" s="1381">
        <f>IF(MONTH(DataRevRea)=7,'Rede Básica + Ajuste'!J147,IF(G147&lt;$Q$69,(SUMIFS($E$18:$E$60,$B$18:$B$60,$D$136,$D$18:$D$60,"Ponta")),(SUMIFS($F$18:$F$60,$B$18:$B$60,$D$136,$D$18:$D$60,"Ponta"))))</f>
        <v>0</v>
      </c>
      <c r="M147" s="1381">
        <f>IF(MONTH(DataRevRea)=7,'Rede Básica + Ajuste'!K147,IF(G147&lt;$Q$69,(SUMIFS($E$18:$E$60,$B$18:$B$60,$D$136,$D$18:$D$60,"Fora Ponta")),(SUMIFS($F$18:$F$60,$B$18:$B$60,$D$136,$D$18:$D$60,"Fora Ponta"))))</f>
        <v>0</v>
      </c>
      <c r="N147" s="1382">
        <f t="shared" si="28"/>
        <v>0</v>
      </c>
    </row>
    <row r="148" spans="3:14">
      <c r="G148" s="151"/>
    </row>
    <row r="149" spans="3:14" ht="15.75">
      <c r="C149" s="275"/>
      <c r="D149" s="275"/>
      <c r="E149" s="275"/>
      <c r="F149" s="275"/>
      <c r="G149" s="275"/>
      <c r="H149" s="275"/>
      <c r="I149" s="275"/>
      <c r="J149" s="1766" t="s">
        <v>1252</v>
      </c>
      <c r="K149" s="1767"/>
      <c r="L149" s="1768" t="s">
        <v>1253</v>
      </c>
      <c r="M149" s="1768"/>
      <c r="N149" s="283"/>
    </row>
    <row r="150" spans="3:14" ht="15.75">
      <c r="C150" s="1769" t="s">
        <v>1263</v>
      </c>
      <c r="D150" s="1770"/>
      <c r="F150" s="275"/>
      <c r="G150" s="1369" t="s">
        <v>715</v>
      </c>
      <c r="H150" s="1370" t="s">
        <v>1254</v>
      </c>
      <c r="I150" s="1370" t="s">
        <v>1255</v>
      </c>
      <c r="J150" s="1371" t="s">
        <v>1256</v>
      </c>
      <c r="K150" s="1371" t="s">
        <v>1257</v>
      </c>
      <c r="L150" s="1371" t="s">
        <v>1256</v>
      </c>
      <c r="M150" s="1371" t="s">
        <v>1257</v>
      </c>
      <c r="N150" s="282" t="s">
        <v>1258</v>
      </c>
    </row>
    <row r="151" spans="3:14" ht="15.75">
      <c r="C151" s="1366" t="s">
        <v>1259</v>
      </c>
      <c r="D151" s="1383">
        <f>IF(D20="Ponta",B20,0)</f>
        <v>0</v>
      </c>
      <c r="E151" s="18"/>
      <c r="F151" s="275"/>
      <c r="G151" s="1373">
        <f>G136</f>
        <v>44378</v>
      </c>
      <c r="H151" s="277">
        <f>H136</f>
        <v>0</v>
      </c>
      <c r="I151" s="277">
        <f>I136</f>
        <v>0</v>
      </c>
      <c r="J151" s="277">
        <f>SUMIFS($G$18:$G$60,$B$18:$B$60,$D$151,$D$18:$D$60,"Ponta")</f>
        <v>0</v>
      </c>
      <c r="K151" s="277">
        <f>SUMIFS($G$18:$G$60,$B$18:$B$60,$D$151,$D$18:$D$60,"Fora Ponta")</f>
        <v>0</v>
      </c>
      <c r="L151" s="1374">
        <f>IF(MONTH(DataRevRea)=7,'Rede Básica + Ajuste'!J151,IF(G151&lt;$Q$69,(SUMIFS($G$18:$G$60,$B$18:$B$60,$D$151,$D$18:$D$60,"Ponta")),(SUMIFS($H$18:$H$60,$B$18:$B$60,$D$151,$D$18:$D$60,"Ponta"))))</f>
        <v>0</v>
      </c>
      <c r="M151" s="1374">
        <f>IF(MONTH(DataRevRea)=7,'Rede Básica + Ajuste'!K151,IF(G151&lt;$Q$69,(SUMIFS($G$18:$G$60,$B$18:$B$60,$D$151,$D$18:$D$60,"Fora Ponta")),(SUMIFS($H$18:$H$60,$B$18:$B$60,$D$151,$D$18:$D$60,"Fora Ponta"))))</f>
        <v>0</v>
      </c>
      <c r="N151" s="1375">
        <f>+(H151*(L151-J151))+(I151*(M151-K151))</f>
        <v>0</v>
      </c>
    </row>
    <row r="152" spans="3:14" ht="15.75">
      <c r="C152" s="275"/>
      <c r="D152" s="275"/>
      <c r="E152" s="275"/>
      <c r="F152" s="275"/>
      <c r="G152" s="276">
        <f t="shared" ref="G152:I162" si="29">G137</f>
        <v>44409</v>
      </c>
      <c r="H152" s="277">
        <f t="shared" si="29"/>
        <v>0</v>
      </c>
      <c r="I152" s="277">
        <f t="shared" si="29"/>
        <v>0</v>
      </c>
      <c r="J152" s="277">
        <f t="shared" ref="J152:J162" si="30">SUMIFS($G$18:$G$60,$B$18:$B$60,$D$151,$D$18:$D$60,"Ponta")</f>
        <v>0</v>
      </c>
      <c r="K152" s="277">
        <f t="shared" ref="K152:K162" si="31">SUMIFS($G$18:$G$60,$B$18:$B$60,$D$151,$D$18:$D$60,"Fora Ponta")</f>
        <v>0</v>
      </c>
      <c r="L152" s="277">
        <f>IF(MONTH(DataRevRea)=7,'Rede Básica + Ajuste'!J152,IF(G152&lt;$Q$69,(SUMIFS($G$18:$G$60,$B$18:$B$60,$D$151,$D$18:$D$60,"Ponta")),(SUMIFS($H$18:$H$60,$B$18:$B$60,$D$151,$D$18:$D$60,"Ponta"))))</f>
        <v>0</v>
      </c>
      <c r="M152" s="277">
        <f>IF(MONTH(DataRevRea)=7,'Rede Básica + Ajuste'!K152,IF(G152&lt;$Q$69,(SUMIFS($G$18:$G$60,$B$18:$B$60,$D$151,$D$18:$D$60,"Fora Ponta")),(SUMIFS($H$18:$H$60,$B$18:$B$60,$D$151,$D$18:$D$60,"Fora Ponta"))))</f>
        <v>0</v>
      </c>
      <c r="N152" s="284">
        <f t="shared" ref="N152:N162" si="32">+(H152*(L152-J152))+(I152*(M152-K152))</f>
        <v>0</v>
      </c>
    </row>
    <row r="153" spans="3:14" ht="15.75">
      <c r="C153" s="278"/>
      <c r="D153" s="1376" t="s">
        <v>1260</v>
      </c>
      <c r="E153" s="1377" t="s">
        <v>1261</v>
      </c>
      <c r="F153" s="275"/>
      <c r="G153" s="276">
        <f t="shared" si="29"/>
        <v>44440</v>
      </c>
      <c r="H153" s="277">
        <f t="shared" si="29"/>
        <v>0</v>
      </c>
      <c r="I153" s="277">
        <f t="shared" si="29"/>
        <v>0</v>
      </c>
      <c r="J153" s="277">
        <f t="shared" si="30"/>
        <v>0</v>
      </c>
      <c r="K153" s="277">
        <f t="shared" si="31"/>
        <v>0</v>
      </c>
      <c r="L153" s="277">
        <f>IF(MONTH(DataRevRea)=7,'Rede Básica + Ajuste'!J153,IF(G153&lt;$Q$69,(SUMIFS($G$18:$G$60,$B$18:$B$60,$D$151,$D$18:$D$60,"Ponta")),(SUMIFS($H$18:$H$60,$B$18:$B$60,$D$151,$D$18:$D$60,"Ponta"))))</f>
        <v>0</v>
      </c>
      <c r="M153" s="277">
        <f>IF(MONTH(DataRevRea)=7,'Rede Básica + Ajuste'!K153,IF(G153&lt;$Q$69,(SUMIFS($G$18:$G$60,$B$18:$B$60,$D$151,$D$18:$D$60,"Fora Ponta")),(SUMIFS($H$18:$H$60,$B$18:$B$60,$D$151,$D$18:$D$60,"Fora Ponta"))))</f>
        <v>0</v>
      </c>
      <c r="N153" s="284">
        <f t="shared" si="32"/>
        <v>0</v>
      </c>
    </row>
    <row r="154" spans="3:14" ht="15.75">
      <c r="C154" s="1378" t="str">
        <f>C139</f>
        <v>Cobertura 2021</v>
      </c>
      <c r="D154" s="1379">
        <f>SUMPRODUCT(H151:H162,J151:J162)</f>
        <v>0</v>
      </c>
      <c r="E154" s="1379">
        <f>SUMPRODUCT(I151:I162,K151:K162)</f>
        <v>0</v>
      </c>
      <c r="F154" s="275"/>
      <c r="G154" s="276">
        <f t="shared" si="29"/>
        <v>44470</v>
      </c>
      <c r="H154" s="277">
        <f t="shared" si="29"/>
        <v>0</v>
      </c>
      <c r="I154" s="277">
        <f t="shared" si="29"/>
        <v>0</v>
      </c>
      <c r="J154" s="277">
        <f t="shared" si="30"/>
        <v>0</v>
      </c>
      <c r="K154" s="277">
        <f t="shared" si="31"/>
        <v>0</v>
      </c>
      <c r="L154" s="277">
        <f>IF(MONTH(DataRevRea)=7,'Rede Básica + Ajuste'!J154,IF(G154&lt;$Q$69,(SUMIFS($G$18:$G$60,$B$18:$B$60,$D$151,$D$18:$D$60,"Ponta")),(SUMIFS($H$18:$H$60,$B$18:$B$60,$D$151,$D$18:$D$60,"Ponta"))))</f>
        <v>0</v>
      </c>
      <c r="M154" s="277">
        <f>IF(MONTH(DataRevRea)=7,'Rede Básica + Ajuste'!K154,IF(G154&lt;$Q$69,(SUMIFS($G$18:$G$60,$B$18:$B$60,$D$151,$D$18:$D$60,"Fora Ponta")),(SUMIFS($H$18:$H$60,$B$18:$B$60,$D$151,$D$18:$D$60,"Fora Ponta"))))</f>
        <v>0</v>
      </c>
      <c r="N154" s="284">
        <f t="shared" si="32"/>
        <v>0</v>
      </c>
    </row>
    <row r="155" spans="3:14" ht="15.75">
      <c r="C155" s="1378" t="s">
        <v>1262</v>
      </c>
      <c r="D155" s="1379">
        <f>SUMPRODUCT(H151:H162,L151:L162)</f>
        <v>0</v>
      </c>
      <c r="E155" s="1379">
        <f>SUMPRODUCT(I151:I162,M151:M162)</f>
        <v>0</v>
      </c>
      <c r="F155" s="275"/>
      <c r="G155" s="276">
        <f t="shared" si="29"/>
        <v>44501</v>
      </c>
      <c r="H155" s="277">
        <f t="shared" si="29"/>
        <v>0</v>
      </c>
      <c r="I155" s="277">
        <f t="shared" si="29"/>
        <v>0</v>
      </c>
      <c r="J155" s="277">
        <f t="shared" si="30"/>
        <v>0</v>
      </c>
      <c r="K155" s="277">
        <f t="shared" si="31"/>
        <v>0</v>
      </c>
      <c r="L155" s="277">
        <f>IF(MONTH(DataRevRea)=7,'Rede Básica + Ajuste'!J155,IF(G155&lt;$Q$69,(SUMIFS($G$18:$G$60,$B$18:$B$60,$D$151,$D$18:$D$60,"Ponta")),(SUMIFS($H$18:$H$60,$B$18:$B$60,$D$151,$D$18:$D$60,"Ponta"))))</f>
        <v>0</v>
      </c>
      <c r="M155" s="277">
        <f>IF(MONTH(DataRevRea)=7,'Rede Básica + Ajuste'!K155,IF(G155&lt;$Q$69,(SUMIFS($G$18:$G$60,$B$18:$B$60,$D$151,$D$18:$D$60,"Fora Ponta")),(SUMIFS($H$18:$H$60,$B$18:$B$60,$D$151,$D$18:$D$60,"Fora Ponta"))))</f>
        <v>0</v>
      </c>
      <c r="N155" s="284">
        <f t="shared" si="32"/>
        <v>0</v>
      </c>
    </row>
    <row r="156" spans="3:14" ht="15.75">
      <c r="C156" s="275"/>
      <c r="D156" s="275"/>
      <c r="E156" s="275"/>
      <c r="F156" s="275"/>
      <c r="G156" s="276">
        <f t="shared" si="29"/>
        <v>44531</v>
      </c>
      <c r="H156" s="277">
        <f t="shared" si="29"/>
        <v>0</v>
      </c>
      <c r="I156" s="277">
        <f t="shared" si="29"/>
        <v>0</v>
      </c>
      <c r="J156" s="277">
        <f t="shared" si="30"/>
        <v>0</v>
      </c>
      <c r="K156" s="277">
        <f t="shared" si="31"/>
        <v>0</v>
      </c>
      <c r="L156" s="277">
        <f>IF(MONTH(DataRevRea)=7,'Rede Básica + Ajuste'!J156,IF(G156&lt;$Q$69,(SUMIFS($G$18:$G$60,$B$18:$B$60,$D$151,$D$18:$D$60,"Ponta")),(SUMIFS($H$18:$H$60,$B$18:$B$60,$D$151,$D$18:$D$60,"Ponta"))))</f>
        <v>0</v>
      </c>
      <c r="M156" s="277">
        <f>IF(MONTH(DataRevRea)=7,'Rede Básica + Ajuste'!K156,IF(G156&lt;$Q$69,(SUMIFS($G$18:$G$60,$B$18:$B$60,$D$151,$D$18:$D$60,"Fora Ponta")),(SUMIFS($H$18:$H$60,$B$18:$B$60,$D$151,$D$18:$D$60,"Fora Ponta"))))</f>
        <v>0</v>
      </c>
      <c r="N156" s="284">
        <f t="shared" si="32"/>
        <v>0</v>
      </c>
    </row>
    <row r="157" spans="3:14" ht="15.75">
      <c r="C157" s="287"/>
      <c r="D157" s="287"/>
      <c r="E157" s="287"/>
      <c r="F157" s="275"/>
      <c r="G157" s="276">
        <f t="shared" si="29"/>
        <v>44562</v>
      </c>
      <c r="H157" s="277">
        <f t="shared" si="29"/>
        <v>0</v>
      </c>
      <c r="I157" s="277">
        <f t="shared" si="29"/>
        <v>0</v>
      </c>
      <c r="J157" s="277">
        <f t="shared" si="30"/>
        <v>0</v>
      </c>
      <c r="K157" s="277">
        <f t="shared" si="31"/>
        <v>0</v>
      </c>
      <c r="L157" s="277">
        <f>IF(MONTH(DataRevRea)=7,'Rede Básica + Ajuste'!J157,IF(G157&lt;$Q$69,(SUMIFS($G$18:$G$60,$B$18:$B$60,$D$151,$D$18:$D$60,"Ponta")),(SUMIFS($H$18:$H$60,$B$18:$B$60,$D$151,$D$18:$D$60,"Ponta"))))</f>
        <v>0</v>
      </c>
      <c r="M157" s="277">
        <f>IF(MONTH(DataRevRea)=7,'Rede Básica + Ajuste'!K157,IF(G157&lt;$Q$69,(SUMIFS($G$18:$G$60,$B$18:$B$60,$D$151,$D$18:$D$60,"Fora Ponta")),(SUMIFS($H$18:$H$60,$B$18:$B$60,$D$151,$D$18:$D$60,"Fora Ponta"))))</f>
        <v>0</v>
      </c>
      <c r="N157" s="284">
        <f t="shared" si="32"/>
        <v>0</v>
      </c>
    </row>
    <row r="158" spans="3:14" ht="15.75">
      <c r="C158" s="279"/>
      <c r="D158" s="279"/>
      <c r="E158" s="288"/>
      <c r="F158" s="275"/>
      <c r="G158" s="276">
        <f t="shared" si="29"/>
        <v>44593</v>
      </c>
      <c r="H158" s="277">
        <f t="shared" si="29"/>
        <v>0</v>
      </c>
      <c r="I158" s="277">
        <f t="shared" si="29"/>
        <v>0</v>
      </c>
      <c r="J158" s="277">
        <f t="shared" si="30"/>
        <v>0</v>
      </c>
      <c r="K158" s="277">
        <f t="shared" si="31"/>
        <v>0</v>
      </c>
      <c r="L158" s="277">
        <f>IF(MONTH(DataRevRea)=7,'Rede Básica + Ajuste'!J158,IF(G158&lt;$Q$69,(SUMIFS($G$18:$G$60,$B$18:$B$60,$D$151,$D$18:$D$60,"Ponta")),(SUMIFS($H$18:$H$60,$B$18:$B$60,$D$151,$D$18:$D$60,"Ponta"))))</f>
        <v>0</v>
      </c>
      <c r="M158" s="277">
        <f>IF(MONTH(DataRevRea)=7,'Rede Básica + Ajuste'!K158,IF(G158&lt;$Q$69,(SUMIFS($G$18:$G$60,$B$18:$B$60,$D$151,$D$18:$D$60,"Fora Ponta")),(SUMIFS($H$18:$H$60,$B$18:$B$60,$D$151,$D$18:$D$60,"Fora Ponta"))))</f>
        <v>0</v>
      </c>
      <c r="N158" s="284">
        <f t="shared" si="32"/>
        <v>0</v>
      </c>
    </row>
    <row r="159" spans="3:14" ht="15.75">
      <c r="C159" s="289"/>
      <c r="D159" s="279"/>
      <c r="E159" s="288"/>
      <c r="F159" s="275"/>
      <c r="G159" s="276">
        <f t="shared" si="29"/>
        <v>44621</v>
      </c>
      <c r="H159" s="277">
        <f t="shared" si="29"/>
        <v>0</v>
      </c>
      <c r="I159" s="277">
        <f t="shared" si="29"/>
        <v>0</v>
      </c>
      <c r="J159" s="277">
        <f t="shared" si="30"/>
        <v>0</v>
      </c>
      <c r="K159" s="277">
        <f t="shared" si="31"/>
        <v>0</v>
      </c>
      <c r="L159" s="277">
        <f>IF(MONTH(DataRevRea)=7,'Rede Básica + Ajuste'!J159,IF(G159&lt;$Q$69,(SUMIFS($G$18:$G$60,$B$18:$B$60,$D$151,$D$18:$D$60,"Ponta")),(SUMIFS($H$18:$H$60,$B$18:$B$60,$D$151,$D$18:$D$60,"Ponta"))))</f>
        <v>0</v>
      </c>
      <c r="M159" s="277">
        <f>IF(MONTH(DataRevRea)=7,'Rede Básica + Ajuste'!K159,IF(G159&lt;$Q$69,(SUMIFS($G$18:$G$60,$B$18:$B$60,$D$151,$D$18:$D$60,"Fora Ponta")),(SUMIFS($H$18:$H$60,$B$18:$B$60,$D$151,$D$18:$D$60,"Fora Ponta"))))</f>
        <v>0</v>
      </c>
      <c r="N159" s="284">
        <f t="shared" si="32"/>
        <v>0</v>
      </c>
    </row>
    <row r="160" spans="3:14" ht="15.75">
      <c r="C160" s="275"/>
      <c r="D160" s="275"/>
      <c r="E160" s="275"/>
      <c r="F160" s="275"/>
      <c r="G160" s="276">
        <f t="shared" si="29"/>
        <v>44652</v>
      </c>
      <c r="H160" s="277">
        <f t="shared" si="29"/>
        <v>0</v>
      </c>
      <c r="I160" s="277">
        <f t="shared" si="29"/>
        <v>0</v>
      </c>
      <c r="J160" s="277">
        <f t="shared" si="30"/>
        <v>0</v>
      </c>
      <c r="K160" s="277">
        <f t="shared" si="31"/>
        <v>0</v>
      </c>
      <c r="L160" s="277">
        <f>IF(MONTH(DataRevRea)=7,'Rede Básica + Ajuste'!J160,IF(G160&lt;$Q$69,(SUMIFS($G$18:$G$60,$B$18:$B$60,$D$151,$D$18:$D$60,"Ponta")),(SUMIFS($H$18:$H$60,$B$18:$B$60,$D$151,$D$18:$D$60,"Ponta"))))</f>
        <v>0</v>
      </c>
      <c r="M160" s="277">
        <f>IF(MONTH(DataRevRea)=7,'Rede Básica + Ajuste'!K160,IF(G160&lt;$Q$69,(SUMIFS($G$18:$G$60,$B$18:$B$60,$D$151,$D$18:$D$60,"Fora Ponta")),(SUMIFS($H$18:$H$60,$B$18:$B$60,$D$151,$D$18:$D$60,"Fora Ponta"))))</f>
        <v>0</v>
      </c>
      <c r="N160" s="284">
        <f t="shared" si="32"/>
        <v>0</v>
      </c>
    </row>
    <row r="161" spans="3:14" ht="15.75">
      <c r="C161" s="281"/>
      <c r="D161" s="281"/>
      <c r="E161" s="281"/>
      <c r="F161" s="275"/>
      <c r="G161" s="276">
        <f t="shared" si="29"/>
        <v>44682</v>
      </c>
      <c r="H161" s="277">
        <f t="shared" si="29"/>
        <v>0</v>
      </c>
      <c r="I161" s="277">
        <f>I146</f>
        <v>0</v>
      </c>
      <c r="J161" s="277">
        <f t="shared" si="30"/>
        <v>0</v>
      </c>
      <c r="K161" s="277">
        <f t="shared" si="31"/>
        <v>0</v>
      </c>
      <c r="L161" s="277">
        <f>IF(MONTH(DataRevRea)=7,'Rede Básica + Ajuste'!J161,IF(G161&lt;$Q$69,(SUMIFS($G$18:$G$60,$B$18:$B$60,$D$151,$D$18:$D$60,"Ponta")),(SUMIFS($H$18:$H$60,$B$18:$B$60,$D$151,$D$18:$D$60,"Ponta"))))</f>
        <v>0</v>
      </c>
      <c r="M161" s="277">
        <f>IF(MONTH(DataRevRea)=7,'Rede Básica + Ajuste'!K161,IF(G161&lt;$Q$69,(SUMIFS($G$18:$G$60,$B$18:$B$60,$D$151,$D$18:$D$60,"Fora Ponta")),(SUMIFS($H$18:$H$60,$B$18:$B$60,$D$151,$D$18:$D$60,"Fora Ponta"))))</f>
        <v>0</v>
      </c>
      <c r="N161" s="284">
        <f t="shared" si="32"/>
        <v>0</v>
      </c>
    </row>
    <row r="162" spans="3:14" ht="15.75">
      <c r="C162" s="279"/>
      <c r="D162" s="280"/>
      <c r="E162" s="279"/>
      <c r="F162" s="275"/>
      <c r="G162" s="1380">
        <f t="shared" si="29"/>
        <v>44713</v>
      </c>
      <c r="H162" s="1381">
        <f t="shared" si="29"/>
        <v>0</v>
      </c>
      <c r="I162" s="1381">
        <f t="shared" si="29"/>
        <v>0</v>
      </c>
      <c r="J162" s="1381">
        <f t="shared" si="30"/>
        <v>0</v>
      </c>
      <c r="K162" s="1381">
        <f t="shared" si="31"/>
        <v>0</v>
      </c>
      <c r="L162" s="1381">
        <f>IF(MONTH(DataRevRea)=7,'Rede Básica + Ajuste'!J162,IF(G162&lt;$Q$69,(SUMIFS($G$18:$G$60,$B$18:$B$60,$D$151,$D$18:$D$60,"Ponta")),(SUMIFS($H$18:$H$60,$B$18:$B$60,$D$151,$D$18:$D$60,"Ponta"))))</f>
        <v>0</v>
      </c>
      <c r="M162" s="1381">
        <f>IF(MONTH(DataRevRea)=7,'Rede Básica + Ajuste'!K162,IF(G162&lt;$Q$69,(SUMIFS($G$18:$G$60,$B$18:$B$60,$D$151,$D$18:$D$60,"Fora Ponta")),(SUMIFS($H$18:$H$60,$B$18:$B$60,$D$151,$D$18:$D$60,"Fora Ponta"))))</f>
        <v>0</v>
      </c>
      <c r="N162" s="1382">
        <f t="shared" si="32"/>
        <v>0</v>
      </c>
    </row>
    <row r="164" spans="3:14" ht="15.75">
      <c r="C164" s="275"/>
      <c r="D164" s="275"/>
      <c r="E164" s="275"/>
      <c r="F164" s="275"/>
      <c r="G164" s="275"/>
      <c r="H164" s="275"/>
      <c r="I164" s="275"/>
      <c r="J164" s="1766" t="s">
        <v>1252</v>
      </c>
      <c r="K164" s="1767"/>
      <c r="L164" s="1768" t="s">
        <v>1253</v>
      </c>
      <c r="M164" s="1768"/>
      <c r="N164" s="283"/>
    </row>
    <row r="165" spans="3:14" ht="15.75">
      <c r="C165" s="1769" t="s">
        <v>1235</v>
      </c>
      <c r="D165" s="1770"/>
      <c r="F165" s="275"/>
      <c r="G165" s="1369" t="s">
        <v>715</v>
      </c>
      <c r="H165" s="1370" t="s">
        <v>1254</v>
      </c>
      <c r="I165" s="1370" t="s">
        <v>1255</v>
      </c>
      <c r="J165" s="1371" t="s">
        <v>1256</v>
      </c>
      <c r="K165" s="1371" t="s">
        <v>1257</v>
      </c>
      <c r="L165" s="1371" t="s">
        <v>1256</v>
      </c>
      <c r="M165" s="1371" t="s">
        <v>1257</v>
      </c>
      <c r="N165" s="282" t="s">
        <v>1258</v>
      </c>
    </row>
    <row r="166" spans="3:14" ht="15.75">
      <c r="C166" s="1366" t="s">
        <v>1259</v>
      </c>
      <c r="D166" s="1383">
        <f>IF(D21="Ponta",B21,0)</f>
        <v>0</v>
      </c>
      <c r="E166" s="18"/>
      <c r="F166" s="275"/>
      <c r="G166" s="1373">
        <f>G151</f>
        <v>44378</v>
      </c>
      <c r="H166" s="277">
        <f>SUMIFS($N$18:$N$60,$B$18:$B$60,$D$166,$D$18:$D$60,"Ponta")</f>
        <v>0</v>
      </c>
      <c r="I166" s="277">
        <f>SUMIFS($N$18:$N$60,$B$18:$B$60,$D$166,$D$18:$D$60,"Fora Ponta")</f>
        <v>0</v>
      </c>
      <c r="J166" s="277">
        <f>SUMIFS($E$18:$E$60,$B$18:$B$60,$D$166,$D$18:$D$60,"Ponta")</f>
        <v>0</v>
      </c>
      <c r="K166" s="277">
        <f>SUMIFS($E$18:$E$60,$B$18:$B$60,$D$166,$D$18:$D$60,"Fora Ponta")</f>
        <v>0</v>
      </c>
      <c r="L166" s="1374">
        <f>IF(MONTH(DataRevRea)=7,'Rede Básica + Ajuste'!J166,IF(G166&lt;$Q$69,(SUMIFS($E$18:$E$60,$B$18:$B$60,$D$166,$D$18:$D$60,"Ponta")),(SUMIFS($F$18:$F$60,$B$18:$B$60,$D$166,$D$18:$D$60,"Ponta"))))</f>
        <v>0</v>
      </c>
      <c r="M166" s="1374">
        <f>IF(MONTH(DataRevRea)=7,'Rede Básica + Ajuste'!K166,IF(G166&lt;$Q$69,(SUMIFS($E$18:$E$60,$B$18:$B$60,$D$166,$D$18:$D$60,"Fora Ponta")),(SUMIFS($F$18:$F$60,$B$18:$B$60,$D$166,$D$18:$D$60,"Fora Ponta"))))</f>
        <v>0</v>
      </c>
      <c r="N166" s="1375">
        <f>+(H166*(L166-J166))+(I166*(M166-K166))</f>
        <v>0</v>
      </c>
    </row>
    <row r="167" spans="3:14" ht="15.75">
      <c r="C167" s="275"/>
      <c r="D167" s="275"/>
      <c r="E167" s="275"/>
      <c r="F167" s="275"/>
      <c r="G167" s="276">
        <f t="shared" ref="G167:G177" si="33">G152</f>
        <v>44409</v>
      </c>
      <c r="H167" s="277">
        <f>SUMIFS($O$18:$O$60,$B$18:$B$60,$D$166,$D$18:$D$60,"Ponta")</f>
        <v>0</v>
      </c>
      <c r="I167" s="277">
        <f>SUMIFS($O$18:$O$60,$B$18:$B$60,$D$166,$D$18:$D$60,"Fora Ponta")</f>
        <v>0</v>
      </c>
      <c r="J167" s="277">
        <f t="shared" ref="J167:J177" si="34">SUMIFS($E$18:$E$60,$B$18:$B$60,$D$166,$D$18:$D$60,"Ponta")</f>
        <v>0</v>
      </c>
      <c r="K167" s="277">
        <f t="shared" ref="K167:K177" si="35">SUMIFS($E$18:$E$60,$B$18:$B$60,$D$166,$D$18:$D$60,"Fora Ponta")</f>
        <v>0</v>
      </c>
      <c r="L167" s="277">
        <f>IF(MONTH(DataRevRea)=7,'Rede Básica + Ajuste'!J167,IF(G167&lt;$Q$69,(SUMIFS($E$18:$E$60,$B$18:$B$60,$D$166,$D$18:$D$60,"Ponta")),(SUMIFS($F$18:$F$60,$B$18:$B$60,$D$166,$D$18:$D$60,"Ponta"))))</f>
        <v>0</v>
      </c>
      <c r="M167" s="277">
        <f>IF(MONTH(DataRevRea)=7,'Rede Básica + Ajuste'!K167,IF(G167&lt;$Q$69,(SUMIFS($E$18:$E$60,$B$18:$B$60,$D$166,$D$18:$D$60,"Fora Ponta")),(SUMIFS($F$18:$F$60,$B$18:$B$60,$D$166,$D$18:$D$60,"Fora Ponta"))))</f>
        <v>0</v>
      </c>
      <c r="N167" s="284">
        <f t="shared" ref="N167:N177" si="36">+(H167*(L167-J167))+(I167*(M167-K167))</f>
        <v>0</v>
      </c>
    </row>
    <row r="168" spans="3:14" ht="15.75">
      <c r="C168" s="278"/>
      <c r="D168" s="1376" t="s">
        <v>1260</v>
      </c>
      <c r="E168" s="1377" t="s">
        <v>1261</v>
      </c>
      <c r="F168" s="275"/>
      <c r="G168" s="276">
        <f t="shared" si="33"/>
        <v>44440</v>
      </c>
      <c r="H168" s="277">
        <f>SUMIFS($P$18:$P$60,$B$18:$B$60,$D$166,$D$18:$D$60,"Ponta")</f>
        <v>0</v>
      </c>
      <c r="I168" s="277">
        <f>SUMIFS($P$18:$P$60,$B$18:$B$60,$D$166,$D$18:$D$60,"Fora Ponta")</f>
        <v>0</v>
      </c>
      <c r="J168" s="277">
        <f t="shared" si="34"/>
        <v>0</v>
      </c>
      <c r="K168" s="277">
        <f t="shared" si="35"/>
        <v>0</v>
      </c>
      <c r="L168" s="277">
        <f>IF(MONTH(DataRevRea)=7,'Rede Básica + Ajuste'!J168,IF(G168&lt;$Q$69,(SUMIFS($E$18:$E$60,$B$18:$B$60,$D$166,$D$18:$D$60,"Ponta")),(SUMIFS($F$18:$F$60,$B$18:$B$60,$D$166,$D$18:$D$60,"Ponta"))))</f>
        <v>0</v>
      </c>
      <c r="M168" s="277">
        <f>IF(MONTH(DataRevRea)=7,'Rede Básica + Ajuste'!K168,IF(G168&lt;$Q$69,(SUMIFS($E$18:$E$60,$B$18:$B$60,$D$166,$D$18:$D$60,"Fora Ponta")),(SUMIFS($F$18:$F$60,$B$18:$B$60,$D$166,$D$18:$D$60,"Fora Ponta"))))</f>
        <v>0</v>
      </c>
      <c r="N168" s="284">
        <f t="shared" si="36"/>
        <v>0</v>
      </c>
    </row>
    <row r="169" spans="3:14" ht="15.75">
      <c r="C169" s="1378" t="str">
        <f>C154</f>
        <v>Cobertura 2021</v>
      </c>
      <c r="D169" s="1379">
        <f>SUMPRODUCT(H166:H177,J166:J177)</f>
        <v>0</v>
      </c>
      <c r="E169" s="1379">
        <f>SUMPRODUCT(I166:I177,K166:K177)</f>
        <v>0</v>
      </c>
      <c r="F169" s="275"/>
      <c r="G169" s="276">
        <f t="shared" si="33"/>
        <v>44470</v>
      </c>
      <c r="H169" s="277">
        <f>SUMIFS($Q$18:$Q$60,$B$18:$B$60,$D$166,$D$18:$D$60,"Ponta")</f>
        <v>0</v>
      </c>
      <c r="I169" s="277">
        <f>SUMIFS($Q$18:$Q$60,$B$18:$B$60,$D$166,$D$18:$D$60,"Fora Ponta")</f>
        <v>0</v>
      </c>
      <c r="J169" s="277">
        <f t="shared" si="34"/>
        <v>0</v>
      </c>
      <c r="K169" s="277">
        <f t="shared" si="35"/>
        <v>0</v>
      </c>
      <c r="L169" s="277">
        <f>IF(MONTH(DataRevRea)=7,'Rede Básica + Ajuste'!J169,IF(G169&lt;$Q$69,(SUMIFS($E$18:$E$60,$B$18:$B$60,$D$166,$D$18:$D$60,"Ponta")),(SUMIFS($F$18:$F$60,$B$18:$B$60,$D$166,$D$18:$D$60,"Ponta"))))</f>
        <v>0</v>
      </c>
      <c r="M169" s="277">
        <f>IF(MONTH(DataRevRea)=7,'Rede Básica + Ajuste'!K169,IF(G169&lt;$Q$69,(SUMIFS($E$18:$E$60,$B$18:$B$60,$D$166,$D$18:$D$60,"Fora Ponta")),(SUMIFS($F$18:$F$60,$B$18:$B$60,$D$166,$D$18:$D$60,"Fora Ponta"))))</f>
        <v>0</v>
      </c>
      <c r="N169" s="284">
        <f t="shared" si="36"/>
        <v>0</v>
      </c>
    </row>
    <row r="170" spans="3:14" ht="15.75">
      <c r="C170" s="1378" t="s">
        <v>1262</v>
      </c>
      <c r="D170" s="1379">
        <f>SUMPRODUCT(H166:H177,L166:L177)</f>
        <v>0</v>
      </c>
      <c r="E170" s="1379">
        <f>SUMPRODUCT(I166:I177,M166:M177)</f>
        <v>0</v>
      </c>
      <c r="F170" s="275"/>
      <c r="G170" s="276">
        <f t="shared" si="33"/>
        <v>44501</v>
      </c>
      <c r="H170" s="277">
        <f>SUMIFS($R$18:$R$60,$B$18:$B$60,$D$166,$D$18:$D$60,"Ponta")</f>
        <v>0</v>
      </c>
      <c r="I170" s="277">
        <f>SUMIFS($R$18:$R$60,$B$18:$B$60,$D$166,$D$18:$D$60,"Fora Ponta")</f>
        <v>0</v>
      </c>
      <c r="J170" s="277">
        <f t="shared" si="34"/>
        <v>0</v>
      </c>
      <c r="K170" s="277">
        <f t="shared" si="35"/>
        <v>0</v>
      </c>
      <c r="L170" s="277">
        <f>IF(MONTH(DataRevRea)=7,'Rede Básica + Ajuste'!J170,IF(G170&lt;$Q$69,(SUMIFS($E$18:$E$60,$B$18:$B$60,$D$166,$D$18:$D$60,"Ponta")),(SUMIFS($F$18:$F$60,$B$18:$B$60,$D$166,$D$18:$D$60,"Ponta"))))</f>
        <v>0</v>
      </c>
      <c r="M170" s="277">
        <f>IF(MONTH(DataRevRea)=7,'Rede Básica + Ajuste'!K170,IF(G170&lt;$Q$69,(SUMIFS($E$18:$E$60,$B$18:$B$60,$D$166,$D$18:$D$60,"Fora Ponta")),(SUMIFS($F$18:$F$60,$B$18:$B$60,$D$166,$D$18:$D$60,"Fora Ponta"))))</f>
        <v>0</v>
      </c>
      <c r="N170" s="284">
        <f t="shared" si="36"/>
        <v>0</v>
      </c>
    </row>
    <row r="171" spans="3:14" ht="15.75">
      <c r="C171" s="275"/>
      <c r="D171" s="275"/>
      <c r="E171" s="275"/>
      <c r="F171" s="275"/>
      <c r="G171" s="276">
        <f t="shared" si="33"/>
        <v>44531</v>
      </c>
      <c r="H171" s="277">
        <f>SUMIFS($S$18:$S$60,$B$18:$B$60,$D$166,$D$18:$D$60,"Ponta")</f>
        <v>0</v>
      </c>
      <c r="I171" s="277">
        <f>SUMIFS($S$18:$S$60,$B$18:$B$60,$D$166,$D$18:$D$60,"Fora Ponta")</f>
        <v>0</v>
      </c>
      <c r="J171" s="277">
        <f t="shared" si="34"/>
        <v>0</v>
      </c>
      <c r="K171" s="277">
        <f t="shared" si="35"/>
        <v>0</v>
      </c>
      <c r="L171" s="277">
        <f>IF(MONTH(DataRevRea)=7,'Rede Básica + Ajuste'!J171,IF(G171&lt;$Q$69,(SUMIFS($E$18:$E$60,$B$18:$B$60,$D$166,$D$18:$D$60,"Ponta")),(SUMIFS($F$18:$F$60,$B$18:$B$60,$D$166,$D$18:$D$60,"Ponta"))))</f>
        <v>0</v>
      </c>
      <c r="M171" s="277">
        <f>IF(MONTH(DataRevRea)=7,'Rede Básica + Ajuste'!K171,IF(G171&lt;$Q$69,(SUMIFS($E$18:$E$60,$B$18:$B$60,$D$166,$D$18:$D$60,"Fora Ponta")),(SUMIFS($F$18:$F$60,$B$18:$B$60,$D$166,$D$18:$D$60,"Fora Ponta"))))</f>
        <v>0</v>
      </c>
      <c r="N171" s="284">
        <f t="shared" si="36"/>
        <v>0</v>
      </c>
    </row>
    <row r="172" spans="3:14" ht="15.75">
      <c r="C172" s="287"/>
      <c r="D172" s="287"/>
      <c r="E172" s="287"/>
      <c r="F172" s="275"/>
      <c r="G172" s="276">
        <f t="shared" si="33"/>
        <v>44562</v>
      </c>
      <c r="H172" s="277">
        <f>SUMIFS($T$18:$T$60,$B$18:$B$60,$D$166,$D$18:$D$60,"Ponta")</f>
        <v>0</v>
      </c>
      <c r="I172" s="277">
        <f>SUMIFS($T$18:$T$60,$B$18:$B$60,$D$166,$D$18:$D$60,"Fora Ponta")</f>
        <v>0</v>
      </c>
      <c r="J172" s="277">
        <f t="shared" si="34"/>
        <v>0</v>
      </c>
      <c r="K172" s="277">
        <f t="shared" si="35"/>
        <v>0</v>
      </c>
      <c r="L172" s="277">
        <f>IF(MONTH(DataRevRea)=7,'Rede Básica + Ajuste'!J172,IF(G172&lt;$Q$69,(SUMIFS($E$18:$E$60,$B$18:$B$60,$D$166,$D$18:$D$60,"Ponta")),(SUMIFS($F$18:$F$60,$B$18:$B$60,$D$166,$D$18:$D$60,"Ponta"))))</f>
        <v>0</v>
      </c>
      <c r="M172" s="277">
        <f>IF(MONTH(DataRevRea)=7,'Rede Básica + Ajuste'!K172,IF(G172&lt;$Q$69,(SUMIFS($E$18:$E$60,$B$18:$B$60,$D$166,$D$18:$D$60,"Fora Ponta")),(SUMIFS($F$18:$F$60,$B$18:$B$60,$D$166,$D$18:$D$60,"Fora Ponta"))))</f>
        <v>0</v>
      </c>
      <c r="N172" s="284">
        <f t="shared" si="36"/>
        <v>0</v>
      </c>
    </row>
    <row r="173" spans="3:14" ht="15.75">
      <c r="C173" s="279"/>
      <c r="D173" s="279"/>
      <c r="E173" s="288"/>
      <c r="F173" s="275"/>
      <c r="G173" s="276">
        <f t="shared" si="33"/>
        <v>44593</v>
      </c>
      <c r="H173" s="277">
        <f>SUMIFS($U$18:$U$60,$B$18:$B$60,$D$166,$D$18:$D$60,"Ponta")</f>
        <v>0</v>
      </c>
      <c r="I173" s="277">
        <f>SUMIFS($U$18:$U$60,$B$18:$B$60,$D$166,$D$18:$D$60,"Fora Ponta")</f>
        <v>0</v>
      </c>
      <c r="J173" s="277">
        <f t="shared" si="34"/>
        <v>0</v>
      </c>
      <c r="K173" s="277">
        <f t="shared" si="35"/>
        <v>0</v>
      </c>
      <c r="L173" s="277">
        <f>IF(MONTH(DataRevRea)=7,'Rede Básica + Ajuste'!J173,IF(G173&lt;$Q$69,(SUMIFS($E$18:$E$60,$B$18:$B$60,$D$166,$D$18:$D$60,"Ponta")),(SUMIFS($F$18:$F$60,$B$18:$B$60,$D$166,$D$18:$D$60,"Ponta"))))</f>
        <v>0</v>
      </c>
      <c r="M173" s="277">
        <f>IF(MONTH(DataRevRea)=7,'Rede Básica + Ajuste'!K173,IF(G173&lt;$Q$69,(SUMIFS($E$18:$E$60,$B$18:$B$60,$D$166,$D$18:$D$60,"Fora Ponta")),(SUMIFS($F$18:$F$60,$B$18:$B$60,$D$166,$D$18:$D$60,"Fora Ponta"))))</f>
        <v>0</v>
      </c>
      <c r="N173" s="284">
        <f t="shared" si="36"/>
        <v>0</v>
      </c>
    </row>
    <row r="174" spans="3:14" ht="15.75">
      <c r="C174" s="289"/>
      <c r="D174" s="279"/>
      <c r="E174" s="288"/>
      <c r="F174" s="275"/>
      <c r="G174" s="276">
        <f t="shared" si="33"/>
        <v>44621</v>
      </c>
      <c r="H174" s="277">
        <f>SUMIFS($V$18:$V$60,$B$18:$B$60,$D$166,$D$18:$D$60,"Ponta")</f>
        <v>0</v>
      </c>
      <c r="I174" s="277">
        <f>SUMIFS($V$18:$V$60,$B$18:$B$60,$D$166,$D$18:$D$60,"Fora Ponta")</f>
        <v>0</v>
      </c>
      <c r="J174" s="277">
        <f t="shared" si="34"/>
        <v>0</v>
      </c>
      <c r="K174" s="277">
        <f t="shared" si="35"/>
        <v>0</v>
      </c>
      <c r="L174" s="277">
        <f>IF(MONTH(DataRevRea)=7,'Rede Básica + Ajuste'!J174,IF(G174&lt;$Q$69,(SUMIFS($E$18:$E$60,$B$18:$B$60,$D$166,$D$18:$D$60,"Ponta")),(SUMIFS($F$18:$F$60,$B$18:$B$60,$D$166,$D$18:$D$60,"Ponta"))))</f>
        <v>0</v>
      </c>
      <c r="M174" s="277">
        <f>IF(MONTH(DataRevRea)=7,'Rede Básica + Ajuste'!K174,IF(G174&lt;$Q$69,(SUMIFS($E$18:$E$60,$B$18:$B$60,$D$166,$D$18:$D$60,"Fora Ponta")),(SUMIFS($F$18:$F$60,$B$18:$B$60,$D$166,$D$18:$D$60,"Fora Ponta"))))</f>
        <v>0</v>
      </c>
      <c r="N174" s="284">
        <f t="shared" si="36"/>
        <v>0</v>
      </c>
    </row>
    <row r="175" spans="3:14" ht="15.75">
      <c r="C175" s="275"/>
      <c r="D175" s="275"/>
      <c r="E175" s="275"/>
      <c r="F175" s="275"/>
      <c r="G175" s="276">
        <f t="shared" si="33"/>
        <v>44652</v>
      </c>
      <c r="H175" s="277">
        <f>SUMIFS($W$18:$W$60,$B$18:$B$60,$D$166,$D$18:$D$60,"Ponta")</f>
        <v>0</v>
      </c>
      <c r="I175" s="277">
        <f>SUMIFS($W$18:$W$60,$B$18:$B$60,$D$166,$D$18:$D$60,"Fora Ponta")</f>
        <v>0</v>
      </c>
      <c r="J175" s="277">
        <f t="shared" si="34"/>
        <v>0</v>
      </c>
      <c r="K175" s="277">
        <f t="shared" si="35"/>
        <v>0</v>
      </c>
      <c r="L175" s="277">
        <f>IF(MONTH(DataRevRea)=7,'Rede Básica + Ajuste'!J175,IF(G175&lt;$Q$69,(SUMIFS($E$18:$E$60,$B$18:$B$60,$D$166,$D$18:$D$60,"Ponta")),(SUMIFS($F$18:$F$60,$B$18:$B$60,$D$166,$D$18:$D$60,"Ponta"))))</f>
        <v>0</v>
      </c>
      <c r="M175" s="277">
        <f>IF(MONTH(DataRevRea)=7,'Rede Básica + Ajuste'!K175,IF(G175&lt;$Q$69,(SUMIFS($E$18:$E$60,$B$18:$B$60,$D$166,$D$18:$D$60,"Fora Ponta")),(SUMIFS($F$18:$F$60,$B$18:$B$60,$D$166,$D$18:$D$60,"Fora Ponta"))))</f>
        <v>0</v>
      </c>
      <c r="N175" s="284">
        <f t="shared" si="36"/>
        <v>0</v>
      </c>
    </row>
    <row r="176" spans="3:14" ht="15.75">
      <c r="C176" s="281"/>
      <c r="D176" s="281"/>
      <c r="E176" s="281"/>
      <c r="F176" s="275"/>
      <c r="G176" s="276">
        <f t="shared" si="33"/>
        <v>44682</v>
      </c>
      <c r="H176" s="277">
        <f>SUMIFS($X$18:$X$60,$B$18:$B$60,$D$166,$D$18:$D$60,"Ponta")</f>
        <v>0</v>
      </c>
      <c r="I176" s="277">
        <f>SUMIFS($X$18:$X$60,$B$18:$B$60,$D$166,$D$18:$D$60,"Fora Ponta")</f>
        <v>0</v>
      </c>
      <c r="J176" s="277">
        <f t="shared" si="34"/>
        <v>0</v>
      </c>
      <c r="K176" s="277">
        <f t="shared" si="35"/>
        <v>0</v>
      </c>
      <c r="L176" s="277">
        <f>IF(MONTH(DataRevRea)=7,'Rede Básica + Ajuste'!J176,IF(G176&lt;$Q$69,(SUMIFS($E$18:$E$60,$B$18:$B$60,$D$166,$D$18:$D$60,"Ponta")),(SUMIFS($F$18:$F$60,$B$18:$B$60,$D$166,$D$18:$D$60,"Ponta"))))</f>
        <v>0</v>
      </c>
      <c r="M176" s="277">
        <f>IF(MONTH(DataRevRea)=7,'Rede Básica + Ajuste'!K176,IF(G176&lt;$Q$69,(SUMIFS($E$18:$E$60,$B$18:$B$60,$D$166,$D$18:$D$60,"Fora Ponta")),(SUMIFS($F$18:$F$60,$B$18:$B$60,$D$166,$D$18:$D$60,"Fora Ponta"))))</f>
        <v>0</v>
      </c>
      <c r="N176" s="284">
        <f t="shared" si="36"/>
        <v>0</v>
      </c>
    </row>
    <row r="177" spans="3:14" ht="15.75">
      <c r="C177" s="279"/>
      <c r="D177" s="280"/>
      <c r="E177" s="279"/>
      <c r="F177" s="275"/>
      <c r="G177" s="1380">
        <f t="shared" si="33"/>
        <v>44713</v>
      </c>
      <c r="H177" s="1381">
        <f>SUMIFS($Y$18:$Y$60,$B$18:$B$60,$D$166,$D$18:$D$60,"Ponta")</f>
        <v>0</v>
      </c>
      <c r="I177" s="1381">
        <f>SUMIFS($Y$18:$Y$60,$B$18:$B$60,$D$166,$D$18:$D$60,"Fora Ponta")</f>
        <v>0</v>
      </c>
      <c r="J177" s="1381">
        <f t="shared" si="34"/>
        <v>0</v>
      </c>
      <c r="K177" s="1381">
        <f t="shared" si="35"/>
        <v>0</v>
      </c>
      <c r="L177" s="1381">
        <f>IF(MONTH(DataRevRea)=7,'Rede Básica + Ajuste'!J177,IF(G177&lt;$Q$69,(SUMIFS($E$18:$E$60,$B$18:$B$60,$D$166,$D$18:$D$60,"Ponta")),(SUMIFS($F$18:$F$60,$B$18:$B$60,$D$166,$D$18:$D$60,"Ponta"))))</f>
        <v>0</v>
      </c>
      <c r="M177" s="1381">
        <f>IF(MONTH(DataRevRea)=7,'Rede Básica + Ajuste'!K177,IF(G177&lt;$Q$69,(SUMIFS($E$18:$E$60,$B$18:$B$60,$D$166,$D$18:$D$60,"Fora Ponta")),(SUMIFS($F$18:$F$60,$B$18:$B$60,$D$166,$D$18:$D$60,"Fora Ponta"))))</f>
        <v>0</v>
      </c>
      <c r="N177" s="1382">
        <f t="shared" si="36"/>
        <v>0</v>
      </c>
    </row>
    <row r="178" spans="3:14">
      <c r="G178" s="151"/>
    </row>
    <row r="179" spans="3:14" ht="15.75">
      <c r="C179" s="275"/>
      <c r="D179" s="275"/>
      <c r="E179" s="275"/>
      <c r="F179" s="275"/>
      <c r="G179" s="275"/>
      <c r="H179" s="275"/>
      <c r="I179" s="275"/>
      <c r="J179" s="1766" t="s">
        <v>1252</v>
      </c>
      <c r="K179" s="1767"/>
      <c r="L179" s="1768" t="s">
        <v>1253</v>
      </c>
      <c r="M179" s="1768"/>
      <c r="N179" s="283"/>
    </row>
    <row r="180" spans="3:14" ht="15.75">
      <c r="C180" s="1769" t="s">
        <v>1263</v>
      </c>
      <c r="D180" s="1770"/>
      <c r="F180" s="275"/>
      <c r="G180" s="1369" t="s">
        <v>715</v>
      </c>
      <c r="H180" s="1370" t="s">
        <v>1254</v>
      </c>
      <c r="I180" s="1370" t="s">
        <v>1255</v>
      </c>
      <c r="J180" s="1371" t="s">
        <v>1256</v>
      </c>
      <c r="K180" s="1371" t="s">
        <v>1257</v>
      </c>
      <c r="L180" s="1371" t="s">
        <v>1256</v>
      </c>
      <c r="M180" s="1371" t="s">
        <v>1257</v>
      </c>
      <c r="N180" s="282" t="s">
        <v>1258</v>
      </c>
    </row>
    <row r="181" spans="3:14" ht="15.75">
      <c r="C181" s="1366" t="s">
        <v>1259</v>
      </c>
      <c r="D181" s="1383">
        <f>IF(D21="Ponta",B21,0)</f>
        <v>0</v>
      </c>
      <c r="E181" s="18"/>
      <c r="F181" s="275"/>
      <c r="G181" s="1373">
        <f>G166</f>
        <v>44378</v>
      </c>
      <c r="H181" s="277">
        <f>H166</f>
        <v>0</v>
      </c>
      <c r="I181" s="277">
        <f>I166</f>
        <v>0</v>
      </c>
      <c r="J181" s="1374">
        <f>SUMIFS($G$18:$G$60,$B$18:$B$60,$D$181,$D$18:$D$60,"Ponta")</f>
        <v>0</v>
      </c>
      <c r="K181" s="1374">
        <f>SUMIFS($G$18:$G$60,$B$18:$B$60,$D$181,$D$18:$D$60,"Fora Ponta")</f>
        <v>0</v>
      </c>
      <c r="L181" s="1374">
        <f>IF(MONTH(DataRevRea)=7,'Rede Básica + Ajuste'!J181,IF(G181&lt;$Q$69,(SUMIFS($G$18:$G$60,$B$18:$B$60,$D$181,$D$18:$D$60,"Ponta")),(SUMIFS($H$18:$H$60,$B$18:$B$60,$D$181,$D$18:$D$60,"Ponta"))))</f>
        <v>0</v>
      </c>
      <c r="M181" s="1374">
        <f>IF(MONTH(DataRevRea)=7,'Rede Básica + Ajuste'!K181,IF(G181&lt;$Q$69,(SUMIFS($G$18:$G$60,$B$18:$B$60,$D$181,$D$18:$D$60,"Fora Ponta")),(SUMIFS($H$18:$H$60,$B$18:$B$60,$D$181,$D$18:$D$60,"Fora Ponta"))))</f>
        <v>0</v>
      </c>
      <c r="N181" s="1375">
        <f>+(H181*(L181-J181))+(I181*(M181-K181))</f>
        <v>0</v>
      </c>
    </row>
    <row r="182" spans="3:14" ht="15.75">
      <c r="C182" s="275"/>
      <c r="D182" s="275"/>
      <c r="E182" s="275"/>
      <c r="F182" s="275"/>
      <c r="G182" s="276">
        <f t="shared" ref="G182:I192" si="37">G167</f>
        <v>44409</v>
      </c>
      <c r="H182" s="277">
        <f t="shared" si="37"/>
        <v>0</v>
      </c>
      <c r="I182" s="277">
        <f t="shared" si="37"/>
        <v>0</v>
      </c>
      <c r="J182" s="277">
        <f t="shared" ref="J182:J192" si="38">SUMIFS($G$18:$G$60,$B$18:$B$60,$D$181,$D$18:$D$60,"Ponta")</f>
        <v>0</v>
      </c>
      <c r="K182" s="277">
        <f t="shared" ref="K182:K192" si="39">SUMIFS($G$18:$G$60,$B$18:$B$60,$D$181,$D$18:$D$60,"Fora Ponta")</f>
        <v>0</v>
      </c>
      <c r="L182" s="277">
        <f>IF(MONTH(DataRevRea)=7,'Rede Básica + Ajuste'!J182,IF(G182&lt;$Q$69,(SUMIFS($G$18:$G$60,$B$18:$B$60,$D$181,$D$18:$D$60,"Ponta")),(SUMIFS($H$18:$H$60,$B$18:$B$60,$D$181,$D$18:$D$60,"Ponta"))))</f>
        <v>0</v>
      </c>
      <c r="M182" s="277">
        <f>IF(MONTH(DataRevRea)=7,'Rede Básica + Ajuste'!K182,IF(G182&lt;$Q$69,(SUMIFS($G$18:$G$60,$B$18:$B$60,$D$181,$D$18:$D$60,"Fora Ponta")),(SUMIFS($H$18:$H$60,$B$18:$B$60,$D$181,$D$18:$D$60,"Fora Ponta"))))</f>
        <v>0</v>
      </c>
      <c r="N182" s="284">
        <f t="shared" ref="N182:N192" si="40">+(H182*(L182-J182))+(I182*(M182-K182))</f>
        <v>0</v>
      </c>
    </row>
    <row r="183" spans="3:14" ht="15.75">
      <c r="C183" s="278"/>
      <c r="D183" s="1376" t="s">
        <v>1260</v>
      </c>
      <c r="E183" s="1377" t="s">
        <v>1261</v>
      </c>
      <c r="F183" s="275"/>
      <c r="G183" s="276">
        <f t="shared" si="37"/>
        <v>44440</v>
      </c>
      <c r="H183" s="277">
        <f t="shared" si="37"/>
        <v>0</v>
      </c>
      <c r="I183" s="277">
        <f t="shared" si="37"/>
        <v>0</v>
      </c>
      <c r="J183" s="277">
        <f t="shared" si="38"/>
        <v>0</v>
      </c>
      <c r="K183" s="277">
        <f t="shared" si="39"/>
        <v>0</v>
      </c>
      <c r="L183" s="277">
        <f>IF(MONTH(DataRevRea)=7,'Rede Básica + Ajuste'!J183,IF(G183&lt;$Q$69,(SUMIFS($G$18:$G$60,$B$18:$B$60,$D$181,$D$18:$D$60,"Ponta")),(SUMIFS($H$18:$H$60,$B$18:$B$60,$D$181,$D$18:$D$60,"Ponta"))))</f>
        <v>0</v>
      </c>
      <c r="M183" s="277">
        <f>IF(MONTH(DataRevRea)=7,'Rede Básica + Ajuste'!K183,IF(G183&lt;$Q$69,(SUMIFS($G$18:$G$60,$B$18:$B$60,$D$181,$D$18:$D$60,"Fora Ponta")),(SUMIFS($H$18:$H$60,$B$18:$B$60,$D$181,$D$18:$D$60,"Fora Ponta"))))</f>
        <v>0</v>
      </c>
      <c r="N183" s="284">
        <f t="shared" si="40"/>
        <v>0</v>
      </c>
    </row>
    <row r="184" spans="3:14" ht="15.75">
      <c r="C184" s="1378" t="str">
        <f>C169</f>
        <v>Cobertura 2021</v>
      </c>
      <c r="D184" s="1379">
        <f>SUMPRODUCT(H181:H192,J181:J192)</f>
        <v>0</v>
      </c>
      <c r="E184" s="1379">
        <f>SUMPRODUCT(I181:I192,K181:K192)</f>
        <v>0</v>
      </c>
      <c r="F184" s="275"/>
      <c r="G184" s="276">
        <f t="shared" si="37"/>
        <v>44470</v>
      </c>
      <c r="H184" s="277">
        <f t="shared" si="37"/>
        <v>0</v>
      </c>
      <c r="I184" s="277">
        <f t="shared" si="37"/>
        <v>0</v>
      </c>
      <c r="J184" s="277">
        <f t="shared" si="38"/>
        <v>0</v>
      </c>
      <c r="K184" s="277">
        <f t="shared" si="39"/>
        <v>0</v>
      </c>
      <c r="L184" s="277">
        <f>IF(MONTH(DataRevRea)=7,'Rede Básica + Ajuste'!J184,IF(G184&lt;$Q$69,(SUMIFS($G$18:$G$60,$B$18:$B$60,$D$181,$D$18:$D$60,"Ponta")),(SUMIFS($H$18:$H$60,$B$18:$B$60,$D$181,$D$18:$D$60,"Ponta"))))</f>
        <v>0</v>
      </c>
      <c r="M184" s="277">
        <f>IF(MONTH(DataRevRea)=7,'Rede Básica + Ajuste'!K184,IF(G184&lt;$Q$69,(SUMIFS($G$18:$G$60,$B$18:$B$60,$D$181,$D$18:$D$60,"Fora Ponta")),(SUMIFS($H$18:$H$60,$B$18:$B$60,$D$181,$D$18:$D$60,"Fora Ponta"))))</f>
        <v>0</v>
      </c>
      <c r="N184" s="284">
        <f t="shared" si="40"/>
        <v>0</v>
      </c>
    </row>
    <row r="185" spans="3:14" ht="15.75">
      <c r="C185" s="1378" t="s">
        <v>1262</v>
      </c>
      <c r="D185" s="1379">
        <f>SUMPRODUCT(H181:H192,L181:L192)</f>
        <v>0</v>
      </c>
      <c r="E185" s="1379">
        <f>SUMPRODUCT(I181:I192,M181:M192)</f>
        <v>0</v>
      </c>
      <c r="F185" s="275"/>
      <c r="G185" s="276">
        <f t="shared" si="37"/>
        <v>44501</v>
      </c>
      <c r="H185" s="277">
        <f t="shared" si="37"/>
        <v>0</v>
      </c>
      <c r="I185" s="277">
        <f t="shared" si="37"/>
        <v>0</v>
      </c>
      <c r="J185" s="277">
        <f t="shared" si="38"/>
        <v>0</v>
      </c>
      <c r="K185" s="277">
        <f t="shared" si="39"/>
        <v>0</v>
      </c>
      <c r="L185" s="277">
        <f>IF(MONTH(DataRevRea)=7,'Rede Básica + Ajuste'!J185,IF(G185&lt;$Q$69,(SUMIFS($G$18:$G$60,$B$18:$B$60,$D$181,$D$18:$D$60,"Ponta")),(SUMIFS($H$18:$H$60,$B$18:$B$60,$D$181,$D$18:$D$60,"Ponta"))))</f>
        <v>0</v>
      </c>
      <c r="M185" s="277">
        <f>IF(MONTH(DataRevRea)=7,'Rede Básica + Ajuste'!K185,IF(G185&lt;$Q$69,(SUMIFS($G$18:$G$60,$B$18:$B$60,$D$181,$D$18:$D$60,"Fora Ponta")),(SUMIFS($H$18:$H$60,$B$18:$B$60,$D$181,$D$18:$D$60,"Fora Ponta"))))</f>
        <v>0</v>
      </c>
      <c r="N185" s="284">
        <f t="shared" si="40"/>
        <v>0</v>
      </c>
    </row>
    <row r="186" spans="3:14" ht="15.75">
      <c r="C186" s="275"/>
      <c r="D186" s="275"/>
      <c r="E186" s="275"/>
      <c r="F186" s="275"/>
      <c r="G186" s="276">
        <f t="shared" si="37"/>
        <v>44531</v>
      </c>
      <c r="H186" s="277">
        <f t="shared" si="37"/>
        <v>0</v>
      </c>
      <c r="I186" s="277">
        <f t="shared" si="37"/>
        <v>0</v>
      </c>
      <c r="J186" s="277">
        <f t="shared" si="38"/>
        <v>0</v>
      </c>
      <c r="K186" s="277">
        <f t="shared" si="39"/>
        <v>0</v>
      </c>
      <c r="L186" s="277">
        <f>IF(MONTH(DataRevRea)=7,'Rede Básica + Ajuste'!J186,IF(G186&lt;$Q$69,(SUMIFS($G$18:$G$60,$B$18:$B$60,$D$181,$D$18:$D$60,"Ponta")),(SUMIFS($H$18:$H$60,$B$18:$B$60,$D$181,$D$18:$D$60,"Ponta"))))</f>
        <v>0</v>
      </c>
      <c r="M186" s="277">
        <f>IF(MONTH(DataRevRea)=7,'Rede Básica + Ajuste'!K186,IF(G186&lt;$Q$69,(SUMIFS($G$18:$G$60,$B$18:$B$60,$D$181,$D$18:$D$60,"Fora Ponta")),(SUMIFS($H$18:$H$60,$B$18:$B$60,$D$181,$D$18:$D$60,"Fora Ponta"))))</f>
        <v>0</v>
      </c>
      <c r="N186" s="284">
        <f t="shared" si="40"/>
        <v>0</v>
      </c>
    </row>
    <row r="187" spans="3:14" ht="15.75">
      <c r="C187" s="287"/>
      <c r="D187" s="287"/>
      <c r="E187" s="287"/>
      <c r="F187" s="275"/>
      <c r="G187" s="276">
        <f t="shared" si="37"/>
        <v>44562</v>
      </c>
      <c r="H187" s="277">
        <f t="shared" si="37"/>
        <v>0</v>
      </c>
      <c r="I187" s="277">
        <f t="shared" si="37"/>
        <v>0</v>
      </c>
      <c r="J187" s="277">
        <f t="shared" si="38"/>
        <v>0</v>
      </c>
      <c r="K187" s="277">
        <f t="shared" si="39"/>
        <v>0</v>
      </c>
      <c r="L187" s="277">
        <f>IF(MONTH(DataRevRea)=7,'Rede Básica + Ajuste'!J187,IF(G187&lt;$Q$69,(SUMIFS($G$18:$G$60,$B$18:$B$60,$D$181,$D$18:$D$60,"Ponta")),(SUMIFS($H$18:$H$60,$B$18:$B$60,$D$181,$D$18:$D$60,"Ponta"))))</f>
        <v>0</v>
      </c>
      <c r="M187" s="277">
        <f>IF(MONTH(DataRevRea)=7,'Rede Básica + Ajuste'!K187,IF(G187&lt;$Q$69,(SUMIFS($G$18:$G$60,$B$18:$B$60,$D$181,$D$18:$D$60,"Fora Ponta")),(SUMIFS($H$18:$H$60,$B$18:$B$60,$D$181,$D$18:$D$60,"Fora Ponta"))))</f>
        <v>0</v>
      </c>
      <c r="N187" s="284">
        <f t="shared" si="40"/>
        <v>0</v>
      </c>
    </row>
    <row r="188" spans="3:14" ht="15.75">
      <c r="C188" s="279"/>
      <c r="D188" s="279"/>
      <c r="E188" s="288"/>
      <c r="F188" s="275"/>
      <c r="G188" s="276">
        <f t="shared" si="37"/>
        <v>44593</v>
      </c>
      <c r="H188" s="277">
        <f t="shared" si="37"/>
        <v>0</v>
      </c>
      <c r="I188" s="277">
        <f t="shared" si="37"/>
        <v>0</v>
      </c>
      <c r="J188" s="277">
        <f t="shared" si="38"/>
        <v>0</v>
      </c>
      <c r="K188" s="277">
        <f t="shared" si="39"/>
        <v>0</v>
      </c>
      <c r="L188" s="277">
        <f>IF(MONTH(DataRevRea)=7,'Rede Básica + Ajuste'!J188,IF(G188&lt;$Q$69,(SUMIFS($G$18:$G$60,$B$18:$B$60,$D$181,$D$18:$D$60,"Ponta")),(SUMIFS($H$18:$H$60,$B$18:$B$60,$D$181,$D$18:$D$60,"Ponta"))))</f>
        <v>0</v>
      </c>
      <c r="M188" s="277">
        <f>IF(MONTH(DataRevRea)=7,'Rede Básica + Ajuste'!K188,IF(G188&lt;$Q$69,(SUMIFS($G$18:$G$60,$B$18:$B$60,$D$181,$D$18:$D$60,"Fora Ponta")),(SUMIFS($H$18:$H$60,$B$18:$B$60,$D$181,$D$18:$D$60,"Fora Ponta"))))</f>
        <v>0</v>
      </c>
      <c r="N188" s="284">
        <f t="shared" si="40"/>
        <v>0</v>
      </c>
    </row>
    <row r="189" spans="3:14" ht="15.75">
      <c r="C189" s="289"/>
      <c r="D189" s="279"/>
      <c r="E189" s="288"/>
      <c r="F189" s="275"/>
      <c r="G189" s="276">
        <f t="shared" si="37"/>
        <v>44621</v>
      </c>
      <c r="H189" s="277">
        <f t="shared" si="37"/>
        <v>0</v>
      </c>
      <c r="I189" s="277">
        <f t="shared" si="37"/>
        <v>0</v>
      </c>
      <c r="J189" s="277">
        <f t="shared" si="38"/>
        <v>0</v>
      </c>
      <c r="K189" s="277">
        <f t="shared" si="39"/>
        <v>0</v>
      </c>
      <c r="L189" s="277">
        <f>IF(MONTH(DataRevRea)=7,'Rede Básica + Ajuste'!J189,IF(G189&lt;$Q$69,(SUMIFS($G$18:$G$60,$B$18:$B$60,$D$181,$D$18:$D$60,"Ponta")),(SUMIFS($H$18:$H$60,$B$18:$B$60,$D$181,$D$18:$D$60,"Ponta"))))</f>
        <v>0</v>
      </c>
      <c r="M189" s="277">
        <f>IF(MONTH(DataRevRea)=7,'Rede Básica + Ajuste'!K189,IF(G189&lt;$Q$69,(SUMIFS($G$18:$G$60,$B$18:$B$60,$D$181,$D$18:$D$60,"Fora Ponta")),(SUMIFS($H$18:$H$60,$B$18:$B$60,$D$181,$D$18:$D$60,"Fora Ponta"))))</f>
        <v>0</v>
      </c>
      <c r="N189" s="284">
        <f t="shared" si="40"/>
        <v>0</v>
      </c>
    </row>
    <row r="190" spans="3:14" ht="15.75">
      <c r="C190" s="275"/>
      <c r="D190" s="275"/>
      <c r="E190" s="275"/>
      <c r="F190" s="275"/>
      <c r="G190" s="276">
        <f t="shared" si="37"/>
        <v>44652</v>
      </c>
      <c r="H190" s="277">
        <f t="shared" si="37"/>
        <v>0</v>
      </c>
      <c r="I190" s="277">
        <f t="shared" si="37"/>
        <v>0</v>
      </c>
      <c r="J190" s="277">
        <f t="shared" si="38"/>
        <v>0</v>
      </c>
      <c r="K190" s="277">
        <f t="shared" si="39"/>
        <v>0</v>
      </c>
      <c r="L190" s="277">
        <f>IF(MONTH(DataRevRea)=7,'Rede Básica + Ajuste'!J190,IF(G190&lt;$Q$69,(SUMIFS($G$18:$G$60,$B$18:$B$60,$D$181,$D$18:$D$60,"Ponta")),(SUMIFS($H$18:$H$60,$B$18:$B$60,$D$181,$D$18:$D$60,"Ponta"))))</f>
        <v>0</v>
      </c>
      <c r="M190" s="277">
        <f>IF(MONTH(DataRevRea)=7,'Rede Básica + Ajuste'!K190,IF(G190&lt;$Q$69,(SUMIFS($G$18:$G$60,$B$18:$B$60,$D$181,$D$18:$D$60,"Fora Ponta")),(SUMIFS($H$18:$H$60,$B$18:$B$60,$D$181,$D$18:$D$60,"Fora Ponta"))))</f>
        <v>0</v>
      </c>
      <c r="N190" s="284">
        <f t="shared" si="40"/>
        <v>0</v>
      </c>
    </row>
    <row r="191" spans="3:14" ht="15.75">
      <c r="C191" s="281"/>
      <c r="D191" s="281"/>
      <c r="E191" s="281"/>
      <c r="F191" s="275"/>
      <c r="G191" s="276">
        <f t="shared" si="37"/>
        <v>44682</v>
      </c>
      <c r="H191" s="277">
        <f t="shared" si="37"/>
        <v>0</v>
      </c>
      <c r="I191" s="277">
        <f t="shared" si="37"/>
        <v>0</v>
      </c>
      <c r="J191" s="277">
        <f t="shared" si="38"/>
        <v>0</v>
      </c>
      <c r="K191" s="277">
        <f t="shared" si="39"/>
        <v>0</v>
      </c>
      <c r="L191" s="277">
        <f>IF(MONTH(DataRevRea)=7,'Rede Básica + Ajuste'!J191,IF(G191&lt;$Q$69,(SUMIFS($G$18:$G$60,$B$18:$B$60,$D$181,$D$18:$D$60,"Ponta")),(SUMIFS($H$18:$H$60,$B$18:$B$60,$D$181,$D$18:$D$60,"Ponta"))))</f>
        <v>0</v>
      </c>
      <c r="M191" s="277">
        <f>IF(MONTH(DataRevRea)=7,'Rede Básica + Ajuste'!K191,IF(G191&lt;$Q$69,(SUMIFS($G$18:$G$60,$B$18:$B$60,$D$181,$D$18:$D$60,"Fora Ponta")),(SUMIFS($H$18:$H$60,$B$18:$B$60,$D$181,$D$18:$D$60,"Fora Ponta"))))</f>
        <v>0</v>
      </c>
      <c r="N191" s="284">
        <f t="shared" si="40"/>
        <v>0</v>
      </c>
    </row>
    <row r="192" spans="3:14" ht="15.75">
      <c r="C192" s="279"/>
      <c r="D192" s="280"/>
      <c r="E192" s="279"/>
      <c r="F192" s="275"/>
      <c r="G192" s="1380">
        <f t="shared" si="37"/>
        <v>44713</v>
      </c>
      <c r="H192" s="1381">
        <f t="shared" si="37"/>
        <v>0</v>
      </c>
      <c r="I192" s="1381">
        <f t="shared" si="37"/>
        <v>0</v>
      </c>
      <c r="J192" s="1381">
        <f t="shared" si="38"/>
        <v>0</v>
      </c>
      <c r="K192" s="1381">
        <f t="shared" si="39"/>
        <v>0</v>
      </c>
      <c r="L192" s="1381">
        <f>IF(MONTH(DataRevRea)=7,'Rede Básica + Ajuste'!J192,IF(G192&lt;$Q$69,(SUMIFS($G$18:$G$60,$B$18:$B$60,$D$181,$D$18:$D$60,"Ponta")),(SUMIFS($H$18:$H$60,$B$18:$B$60,$D$181,$D$18:$D$60,"Ponta"))))</f>
        <v>0</v>
      </c>
      <c r="M192" s="1381">
        <f>IF(MONTH(DataRevRea)=7,'Rede Básica + Ajuste'!K192,IF(G192&lt;$Q$69,(SUMIFS($G$18:$G$60,$B$18:$B$60,$D$181,$D$18:$D$60,"Fora Ponta")),(SUMIFS($H$18:$H$60,$B$18:$B$60,$D$181,$D$18:$D$60,"Fora Ponta"))))</f>
        <v>0</v>
      </c>
      <c r="N192" s="1382">
        <f t="shared" si="40"/>
        <v>0</v>
      </c>
    </row>
    <row r="194" spans="3:14" ht="15.75">
      <c r="C194" s="275"/>
      <c r="D194" s="275"/>
      <c r="E194" s="275"/>
      <c r="F194" s="275"/>
      <c r="G194" s="275"/>
      <c r="H194" s="275"/>
      <c r="I194" s="275"/>
      <c r="J194" s="1766" t="s">
        <v>1252</v>
      </c>
      <c r="K194" s="1767"/>
      <c r="L194" s="1768" t="s">
        <v>1253</v>
      </c>
      <c r="M194" s="1768"/>
      <c r="N194" s="283"/>
    </row>
    <row r="195" spans="3:14" ht="15.75">
      <c r="C195" s="1769" t="s">
        <v>1235</v>
      </c>
      <c r="D195" s="1770"/>
      <c r="F195" s="275"/>
      <c r="G195" s="1369" t="s">
        <v>715</v>
      </c>
      <c r="H195" s="1370" t="s">
        <v>1254</v>
      </c>
      <c r="I195" s="1370" t="s">
        <v>1255</v>
      </c>
      <c r="J195" s="1371" t="s">
        <v>1256</v>
      </c>
      <c r="K195" s="1371" t="s">
        <v>1257</v>
      </c>
      <c r="L195" s="1371" t="s">
        <v>1256</v>
      </c>
      <c r="M195" s="1371" t="s">
        <v>1257</v>
      </c>
      <c r="N195" s="282" t="s">
        <v>1258</v>
      </c>
    </row>
    <row r="196" spans="3:14" ht="15.75">
      <c r="C196" s="1366" t="s">
        <v>1259</v>
      </c>
      <c r="D196" s="1383">
        <f>IF(D22="Ponta",B22,0)</f>
        <v>0</v>
      </c>
      <c r="E196" s="18"/>
      <c r="F196" s="275"/>
      <c r="G196" s="1373">
        <f>G181</f>
        <v>44378</v>
      </c>
      <c r="H196" s="277">
        <f>SUMIFS($N$18:$N$60,$B$18:$B$60,$D$196,$D$18:$D$60,"Ponta")</f>
        <v>0</v>
      </c>
      <c r="I196" s="277">
        <f>SUMIFS($N$18:$N$60,$B$18:$B$60,$D$196,$D$18:$D$60,"Fora Ponta")</f>
        <v>0</v>
      </c>
      <c r="J196" s="1374">
        <f>SUMIFS($E$18:$E$60,$B$18:$B$60,$D$196,$D$18:$D$60,"Ponta")</f>
        <v>0</v>
      </c>
      <c r="K196" s="1374">
        <f>SUMIFS($E$18:$E$60,$B$18:$B$60,$D$196,$D$18:$D$60,"Fora Ponta")</f>
        <v>0</v>
      </c>
      <c r="L196" s="1374">
        <f>IF(MONTH(DataRevRea)=7,'Rede Básica + Ajuste'!J196,IF(G196&lt;$Q$69,(SUMIFS($E$18:$E$60,$B$18:$B$60,$D$196,$D$18:$D$60,"Ponta")),(SUMIFS($F$18:$F$60,$B$18:$B$60,$D$196,$D$18:$D$60,"Ponta"))))</f>
        <v>0</v>
      </c>
      <c r="M196" s="1374">
        <f>IF(MONTH(DataRevRea)=7,'Rede Básica + Ajuste'!K196,IF(G196&lt;$Q$69,(SUMIFS($E$18:$E$60,$B$18:$B$60,$D$196,$D$18:$D$60,"Fora Ponta")),(SUMIFS($F$18:$F$60,$B$18:$B$60,$D$196,$D$18:$D$60,"Fora Ponta"))))</f>
        <v>0</v>
      </c>
      <c r="N196" s="1375">
        <f>+(H196*(L196-J196))+(I196*(M196-K196))</f>
        <v>0</v>
      </c>
    </row>
    <row r="197" spans="3:14" ht="15.75">
      <c r="C197" s="275"/>
      <c r="D197" s="275"/>
      <c r="E197" s="275"/>
      <c r="F197" s="275"/>
      <c r="G197" s="276">
        <f t="shared" ref="G197:G207" si="41">G182</f>
        <v>44409</v>
      </c>
      <c r="H197" s="277">
        <f>SUMIFS($O$18:$O$60,$B$18:$B$60,$D$196,$D$18:$D$60,"Ponta")</f>
        <v>0</v>
      </c>
      <c r="I197" s="277">
        <f>SUMIFS($O$18:$O$60,$B$18:$B$60,$D$196,$D$18:$D$60,"Fora Ponta")</f>
        <v>0</v>
      </c>
      <c r="J197" s="277">
        <f t="shared" ref="J197:J207" si="42">SUMIFS($E$18:$E$60,$B$18:$B$60,$D$196,$D$18:$D$60,"Ponta")</f>
        <v>0</v>
      </c>
      <c r="K197" s="277">
        <f t="shared" ref="K197:K207" si="43">SUMIFS($E$18:$E$60,$B$18:$B$60,$D$196,$D$18:$D$60,"Fora Ponta")</f>
        <v>0</v>
      </c>
      <c r="L197" s="277">
        <f>IF(MONTH(DataRevRea)=7,'Rede Básica + Ajuste'!J197,IF(G197&lt;$Q$69,(SUMIFS($E$18:$E$60,$B$18:$B$60,$D$196,$D$18:$D$60,"Ponta")),(SUMIFS($F$18:$F$60,$B$18:$B$60,$D$196,$D$18:$D$60,"Ponta"))))</f>
        <v>0</v>
      </c>
      <c r="M197" s="277">
        <f>IF(MONTH(DataRevRea)=7,'Rede Básica + Ajuste'!K197,IF(G197&lt;$Q$69,(SUMIFS($E$18:$E$60,$B$18:$B$60,$D$196,$D$18:$D$60,"Fora Ponta")),(SUMIFS($F$18:$F$60,$B$18:$B$60,$D$196,$D$18:$D$60,"Fora Ponta"))))</f>
        <v>0</v>
      </c>
      <c r="N197" s="284">
        <f t="shared" ref="N197:N207" si="44">+(H197*(L197-J197))+(I197*(M197-K197))</f>
        <v>0</v>
      </c>
    </row>
    <row r="198" spans="3:14" ht="15.75">
      <c r="C198" s="278"/>
      <c r="D198" s="1376" t="s">
        <v>1260</v>
      </c>
      <c r="E198" s="1377" t="s">
        <v>1261</v>
      </c>
      <c r="F198" s="275"/>
      <c r="G198" s="276">
        <f t="shared" si="41"/>
        <v>44440</v>
      </c>
      <c r="H198" s="277">
        <f>SUMIFS($P$18:$P$60,$B$18:$B$60,$D$196,$D$18:$D$60,"Ponta")</f>
        <v>0</v>
      </c>
      <c r="I198" s="277">
        <f>SUMIFS($P$18:$P$60,$B$18:$B$60,$D$196,$D$18:$D$60,"Fora Ponta")</f>
        <v>0</v>
      </c>
      <c r="J198" s="277">
        <f t="shared" si="42"/>
        <v>0</v>
      </c>
      <c r="K198" s="277">
        <f t="shared" si="43"/>
        <v>0</v>
      </c>
      <c r="L198" s="277">
        <f>IF(MONTH(DataRevRea)=7,'Rede Básica + Ajuste'!J198,IF(G198&lt;$Q$69,(SUMIFS($E$18:$E$60,$B$18:$B$60,$D$196,$D$18:$D$60,"Ponta")),(SUMIFS($F$18:$F$60,$B$18:$B$60,$D$196,$D$18:$D$60,"Ponta"))))</f>
        <v>0</v>
      </c>
      <c r="M198" s="277">
        <f>IF(MONTH(DataRevRea)=7,'Rede Básica + Ajuste'!K198,IF(G198&lt;$Q$69,(SUMIFS($E$18:$E$60,$B$18:$B$60,$D$196,$D$18:$D$60,"Fora Ponta")),(SUMIFS($F$18:$F$60,$B$18:$B$60,$D$196,$D$18:$D$60,"Fora Ponta"))))</f>
        <v>0</v>
      </c>
      <c r="N198" s="284">
        <f t="shared" si="44"/>
        <v>0</v>
      </c>
    </row>
    <row r="199" spans="3:14" ht="15.75">
      <c r="C199" s="1378" t="str">
        <f>C184</f>
        <v>Cobertura 2021</v>
      </c>
      <c r="D199" s="1379">
        <f>SUMPRODUCT(H196:H207,J196:J207)</f>
        <v>0</v>
      </c>
      <c r="E199" s="1379">
        <f>SUMPRODUCT(I196:I207,K196:K207)</f>
        <v>0</v>
      </c>
      <c r="F199" s="275"/>
      <c r="G199" s="276">
        <f t="shared" si="41"/>
        <v>44470</v>
      </c>
      <c r="H199" s="277">
        <f>SUMIFS($Q$18:$Q$60,$B$18:$B$60,$D$196,$D$18:$D$60,"Ponta")</f>
        <v>0</v>
      </c>
      <c r="I199" s="277">
        <f>SUMIFS($Q$18:$Q$60,$B$18:$B$60,$D$196,$D$18:$D$60,"Fora Ponta")</f>
        <v>0</v>
      </c>
      <c r="J199" s="277">
        <f t="shared" si="42"/>
        <v>0</v>
      </c>
      <c r="K199" s="277">
        <f t="shared" si="43"/>
        <v>0</v>
      </c>
      <c r="L199" s="277">
        <f>IF(MONTH(DataRevRea)=7,'Rede Básica + Ajuste'!J199,IF(G199&lt;$Q$69,(SUMIFS($E$18:$E$60,$B$18:$B$60,$D$196,$D$18:$D$60,"Ponta")),(SUMIFS($F$18:$F$60,$B$18:$B$60,$D$196,$D$18:$D$60,"Ponta"))))</f>
        <v>0</v>
      </c>
      <c r="M199" s="277">
        <f>IF(MONTH(DataRevRea)=7,'Rede Básica + Ajuste'!K199,IF(G199&lt;$Q$69,(SUMIFS($E$18:$E$60,$B$18:$B$60,$D$196,$D$18:$D$60,"Fora Ponta")),(SUMIFS($F$18:$F$60,$B$18:$B$60,$D$196,$D$18:$D$60,"Fora Ponta"))))</f>
        <v>0</v>
      </c>
      <c r="N199" s="284">
        <f t="shared" si="44"/>
        <v>0</v>
      </c>
    </row>
    <row r="200" spans="3:14" ht="15.75">
      <c r="C200" s="1378" t="s">
        <v>1262</v>
      </c>
      <c r="D200" s="1379">
        <f>SUMPRODUCT(H196:H207,L196:L207)</f>
        <v>0</v>
      </c>
      <c r="E200" s="1379">
        <f>SUMPRODUCT(I196:I207,M196:M207)</f>
        <v>0</v>
      </c>
      <c r="F200" s="275"/>
      <c r="G200" s="276">
        <f t="shared" si="41"/>
        <v>44501</v>
      </c>
      <c r="H200" s="277">
        <f>SUMIFS($R$18:$R$60,$B$18:$B$60,$D$196,$D$18:$D$60,"Ponta")</f>
        <v>0</v>
      </c>
      <c r="I200" s="277">
        <f>SUMIFS($R$18:$R$60,$B$18:$B$60,$D$196,$D$18:$D$60,"Fora Ponta")</f>
        <v>0</v>
      </c>
      <c r="J200" s="277">
        <f t="shared" si="42"/>
        <v>0</v>
      </c>
      <c r="K200" s="277">
        <f t="shared" si="43"/>
        <v>0</v>
      </c>
      <c r="L200" s="277">
        <f>IF(MONTH(DataRevRea)=7,'Rede Básica + Ajuste'!J200,IF(G200&lt;$Q$69,(SUMIFS($E$18:$E$60,$B$18:$B$60,$D$196,$D$18:$D$60,"Ponta")),(SUMIFS($F$18:$F$60,$B$18:$B$60,$D$196,$D$18:$D$60,"Ponta"))))</f>
        <v>0</v>
      </c>
      <c r="M200" s="277">
        <f>IF(MONTH(DataRevRea)=7,'Rede Básica + Ajuste'!K200,IF(G200&lt;$Q$69,(SUMIFS($E$18:$E$60,$B$18:$B$60,$D$196,$D$18:$D$60,"Fora Ponta")),(SUMIFS($F$18:$F$60,$B$18:$B$60,$D$196,$D$18:$D$60,"Fora Ponta"))))</f>
        <v>0</v>
      </c>
      <c r="N200" s="284">
        <f t="shared" si="44"/>
        <v>0</v>
      </c>
    </row>
    <row r="201" spans="3:14" ht="15.75">
      <c r="C201" s="275"/>
      <c r="D201" s="275"/>
      <c r="E201" s="275"/>
      <c r="F201" s="275"/>
      <c r="G201" s="276">
        <f t="shared" si="41"/>
        <v>44531</v>
      </c>
      <c r="H201" s="277">
        <f>SUMIFS($S$18:$S$60,$B$18:$B$60,$D$196,$D$18:$D$60,"Ponta")</f>
        <v>0</v>
      </c>
      <c r="I201" s="277">
        <f>SUMIFS($S$18:$S$60,$B$18:$B$60,$D$196,$D$18:$D$60,"Fora Ponta")</f>
        <v>0</v>
      </c>
      <c r="J201" s="277">
        <f t="shared" si="42"/>
        <v>0</v>
      </c>
      <c r="K201" s="277">
        <f t="shared" si="43"/>
        <v>0</v>
      </c>
      <c r="L201" s="277">
        <f>IF(MONTH(DataRevRea)=7,'Rede Básica + Ajuste'!J201,IF(G201&lt;$Q$69,(SUMIFS($E$18:$E$60,$B$18:$B$60,$D$196,$D$18:$D$60,"Ponta")),(SUMIFS($F$18:$F$60,$B$18:$B$60,$D$196,$D$18:$D$60,"Ponta"))))</f>
        <v>0</v>
      </c>
      <c r="M201" s="277">
        <f>IF(MONTH(DataRevRea)=7,'Rede Básica + Ajuste'!K201,IF(G201&lt;$Q$69,(SUMIFS($E$18:$E$60,$B$18:$B$60,$D$196,$D$18:$D$60,"Fora Ponta")),(SUMIFS($F$18:$F$60,$B$18:$B$60,$D$196,$D$18:$D$60,"Fora Ponta"))))</f>
        <v>0</v>
      </c>
      <c r="N201" s="284">
        <f t="shared" si="44"/>
        <v>0</v>
      </c>
    </row>
    <row r="202" spans="3:14" ht="15.75">
      <c r="C202" s="287"/>
      <c r="D202" s="287"/>
      <c r="E202" s="287"/>
      <c r="F202" s="275"/>
      <c r="G202" s="276">
        <f t="shared" si="41"/>
        <v>44562</v>
      </c>
      <c r="H202" s="277">
        <f>SUMIFS($T$18:$T$60,$B$18:$B$60,$D$196,$D$18:$D$60,"Ponta")</f>
        <v>0</v>
      </c>
      <c r="I202" s="277">
        <f>SUMIFS($T$18:$T$60,$B$18:$B$60,$D$196,$D$18:$D$60,"Fora Ponta")</f>
        <v>0</v>
      </c>
      <c r="J202" s="277">
        <f t="shared" si="42"/>
        <v>0</v>
      </c>
      <c r="K202" s="277">
        <f t="shared" si="43"/>
        <v>0</v>
      </c>
      <c r="L202" s="277">
        <f>IF(MONTH(DataRevRea)=7,'Rede Básica + Ajuste'!J202,IF(G202&lt;$Q$69,(SUMIFS($E$18:$E$60,$B$18:$B$60,$D$196,$D$18:$D$60,"Ponta")),(SUMIFS($F$18:$F$60,$B$18:$B$60,$D$196,$D$18:$D$60,"Ponta"))))</f>
        <v>0</v>
      </c>
      <c r="M202" s="277">
        <f>IF(MONTH(DataRevRea)=7,'Rede Básica + Ajuste'!K202,IF(G202&lt;$Q$69,(SUMIFS($E$18:$E$60,$B$18:$B$60,$D$196,$D$18:$D$60,"Fora Ponta")),(SUMIFS($F$18:$F$60,$B$18:$B$60,$D$196,$D$18:$D$60,"Fora Ponta"))))</f>
        <v>0</v>
      </c>
      <c r="N202" s="284">
        <f t="shared" si="44"/>
        <v>0</v>
      </c>
    </row>
    <row r="203" spans="3:14" ht="15.75">
      <c r="C203" s="279"/>
      <c r="D203" s="279"/>
      <c r="E203" s="288"/>
      <c r="F203" s="275"/>
      <c r="G203" s="276">
        <f t="shared" si="41"/>
        <v>44593</v>
      </c>
      <c r="H203" s="277">
        <f>SUMIFS($U$18:$U$60,$B$18:$B$60,$D$196,$D$18:$D$60,"Ponta")</f>
        <v>0</v>
      </c>
      <c r="I203" s="277">
        <f>SUMIFS($U$18:$U$60,$B$18:$B$60,$D$196,$D$18:$D$60,"Fora Ponta")</f>
        <v>0</v>
      </c>
      <c r="J203" s="277">
        <f t="shared" si="42"/>
        <v>0</v>
      </c>
      <c r="K203" s="277">
        <f t="shared" si="43"/>
        <v>0</v>
      </c>
      <c r="L203" s="277">
        <f>IF(MONTH(DataRevRea)=7,'Rede Básica + Ajuste'!J203,IF(G203&lt;$Q$69,(SUMIFS($E$18:$E$60,$B$18:$B$60,$D$196,$D$18:$D$60,"Ponta")),(SUMIFS($F$18:$F$60,$B$18:$B$60,$D$196,$D$18:$D$60,"Ponta"))))</f>
        <v>0</v>
      </c>
      <c r="M203" s="277">
        <f>IF(MONTH(DataRevRea)=7,'Rede Básica + Ajuste'!K203,IF(G203&lt;$Q$69,(SUMIFS($E$18:$E$60,$B$18:$B$60,$D$196,$D$18:$D$60,"Fora Ponta")),(SUMIFS($F$18:$F$60,$B$18:$B$60,$D$196,$D$18:$D$60,"Fora Ponta"))))</f>
        <v>0</v>
      </c>
      <c r="N203" s="284">
        <f t="shared" si="44"/>
        <v>0</v>
      </c>
    </row>
    <row r="204" spans="3:14" ht="15.75">
      <c r="C204" s="289"/>
      <c r="D204" s="279"/>
      <c r="E204" s="288"/>
      <c r="F204" s="275"/>
      <c r="G204" s="276">
        <f t="shared" si="41"/>
        <v>44621</v>
      </c>
      <c r="H204" s="277">
        <f>SUMIFS($V$18:$V$60,$B$18:$B$60,$D$196,$D$18:$D$60,"Ponta")</f>
        <v>0</v>
      </c>
      <c r="I204" s="277">
        <f>SUMIFS($V$18:$V$60,$B$18:$B$60,$D$196,$D$18:$D$60,"Fora Ponta")</f>
        <v>0</v>
      </c>
      <c r="J204" s="277">
        <f t="shared" si="42"/>
        <v>0</v>
      </c>
      <c r="K204" s="277">
        <f t="shared" si="43"/>
        <v>0</v>
      </c>
      <c r="L204" s="277">
        <f>IF(MONTH(DataRevRea)=7,'Rede Básica + Ajuste'!J204,IF(G204&lt;$Q$69,(SUMIFS($E$18:$E$60,$B$18:$B$60,$D$196,$D$18:$D$60,"Ponta")),(SUMIFS($F$18:$F$60,$B$18:$B$60,$D$196,$D$18:$D$60,"Ponta"))))</f>
        <v>0</v>
      </c>
      <c r="M204" s="277">
        <f>IF(MONTH(DataRevRea)=7,'Rede Básica + Ajuste'!K204,IF(G204&lt;$Q$69,(SUMIFS($E$18:$E$60,$B$18:$B$60,$D$196,$D$18:$D$60,"Fora Ponta")),(SUMIFS($F$18:$F$60,$B$18:$B$60,$D$196,$D$18:$D$60,"Fora Ponta"))))</f>
        <v>0</v>
      </c>
      <c r="N204" s="284">
        <f t="shared" si="44"/>
        <v>0</v>
      </c>
    </row>
    <row r="205" spans="3:14" ht="15.75">
      <c r="C205" s="275"/>
      <c r="D205" s="275"/>
      <c r="E205" s="275"/>
      <c r="F205" s="275"/>
      <c r="G205" s="276">
        <f t="shared" si="41"/>
        <v>44652</v>
      </c>
      <c r="H205" s="277">
        <f>SUMIFS($W$18:$W$60,$B$18:$B$60,$D$196,$D$18:$D$60,"Ponta")</f>
        <v>0</v>
      </c>
      <c r="I205" s="277">
        <f>SUMIFS($W$18:$W$60,$B$18:$B$60,$D$196,$D$18:$D$60,"Fora Ponta")</f>
        <v>0</v>
      </c>
      <c r="J205" s="277">
        <f t="shared" si="42"/>
        <v>0</v>
      </c>
      <c r="K205" s="277">
        <f t="shared" si="43"/>
        <v>0</v>
      </c>
      <c r="L205" s="277">
        <f>IF(MONTH(DataRevRea)=7,'Rede Básica + Ajuste'!J205,IF(G205&lt;$Q$69,(SUMIFS($E$18:$E$60,$B$18:$B$60,$D$196,$D$18:$D$60,"Ponta")),(SUMIFS($F$18:$F$60,$B$18:$B$60,$D$196,$D$18:$D$60,"Ponta"))))</f>
        <v>0</v>
      </c>
      <c r="M205" s="277">
        <f>IF(MONTH(DataRevRea)=7,'Rede Básica + Ajuste'!K205,IF(G205&lt;$Q$69,(SUMIFS($E$18:$E$60,$B$18:$B$60,$D$196,$D$18:$D$60,"Fora Ponta")),(SUMIFS($F$18:$F$60,$B$18:$B$60,$D$196,$D$18:$D$60,"Fora Ponta"))))</f>
        <v>0</v>
      </c>
      <c r="N205" s="284">
        <f t="shared" si="44"/>
        <v>0</v>
      </c>
    </row>
    <row r="206" spans="3:14" ht="15.75">
      <c r="C206" s="281"/>
      <c r="D206" s="281"/>
      <c r="E206" s="281"/>
      <c r="F206" s="275"/>
      <c r="G206" s="276">
        <f t="shared" si="41"/>
        <v>44682</v>
      </c>
      <c r="H206" s="277">
        <f>SUMIFS($X$18:$X$60,$B$18:$B$60,$D$1696,$D$18:$D$60,"Ponta")</f>
        <v>0</v>
      </c>
      <c r="I206" s="277">
        <f>SUMIFS($X$18:$X$60,$B$18:$B$60,$D$196,$D$18:$D$60,"Fora Ponta")</f>
        <v>0</v>
      </c>
      <c r="J206" s="277">
        <f t="shared" si="42"/>
        <v>0</v>
      </c>
      <c r="K206" s="277">
        <f t="shared" si="43"/>
        <v>0</v>
      </c>
      <c r="L206" s="277">
        <f>IF(MONTH(DataRevRea)=7,'Rede Básica + Ajuste'!J206,IF(G206&lt;$Q$69,(SUMIFS($E$18:$E$60,$B$18:$B$60,$D$196,$D$18:$D$60,"Ponta")),(SUMIFS($F$18:$F$60,$B$18:$B$60,$D$196,$D$18:$D$60,"Ponta"))))</f>
        <v>0</v>
      </c>
      <c r="M206" s="277">
        <f>IF(MONTH(DataRevRea)=7,'Rede Básica + Ajuste'!K206,IF(G206&lt;$Q$69,(SUMIFS($E$18:$E$60,$B$18:$B$60,$D$196,$D$18:$D$60,"Fora Ponta")),(SUMIFS($F$18:$F$60,$B$18:$B$60,$D$196,$D$18:$D$60,"Fora Ponta"))))</f>
        <v>0</v>
      </c>
      <c r="N206" s="284">
        <f t="shared" si="44"/>
        <v>0</v>
      </c>
    </row>
    <row r="207" spans="3:14" ht="15.75">
      <c r="C207" s="279"/>
      <c r="D207" s="280"/>
      <c r="E207" s="279"/>
      <c r="F207" s="275"/>
      <c r="G207" s="1380">
        <f t="shared" si="41"/>
        <v>44713</v>
      </c>
      <c r="H207" s="1381">
        <f>SUMIFS($Y$18:$Y$60,$B$18:$B$60,$D$196,$D$18:$D$60,"Ponta")</f>
        <v>0</v>
      </c>
      <c r="I207" s="1381">
        <f>SUMIFS($Y$18:$Y$60,$B$18:$B$60,$D$196,$D$18:$D$60,"Fora Ponta")</f>
        <v>0</v>
      </c>
      <c r="J207" s="1381">
        <f t="shared" si="42"/>
        <v>0</v>
      </c>
      <c r="K207" s="1381">
        <f t="shared" si="43"/>
        <v>0</v>
      </c>
      <c r="L207" s="1381">
        <f>IF(MONTH(DataRevRea)=7,'Rede Básica + Ajuste'!J207,IF(G207&lt;$Q$69,(SUMIFS($E$18:$E$60,$B$18:$B$60,$D$196,$D$18:$D$60,"Ponta")),(SUMIFS($F$18:$F$60,$B$18:$B$60,$D$196,$D$18:$D$60,"Ponta"))))</f>
        <v>0</v>
      </c>
      <c r="M207" s="1381">
        <f>IF(MONTH(DataRevRea)=7,'Rede Básica + Ajuste'!K207,IF(G207&lt;$Q$69,(SUMIFS($E$18:$E$60,$B$18:$B$60,$D$196,$D$18:$D$60,"Fora Ponta")),(SUMIFS($F$18:$F$60,$B$18:$B$60,$D$196,$D$18:$D$60,"Fora Ponta"))))</f>
        <v>0</v>
      </c>
      <c r="N207" s="1382">
        <f t="shared" si="44"/>
        <v>0</v>
      </c>
    </row>
    <row r="208" spans="3:14">
      <c r="G208" s="151"/>
    </row>
    <row r="209" spans="3:14" ht="15.75">
      <c r="C209" s="275"/>
      <c r="D209" s="275"/>
      <c r="E209" s="275"/>
      <c r="F209" s="275"/>
      <c r="G209" s="275"/>
      <c r="H209" s="275"/>
      <c r="I209" s="275"/>
      <c r="J209" s="1766" t="s">
        <v>1252</v>
      </c>
      <c r="K209" s="1767"/>
      <c r="L209" s="1768" t="s">
        <v>1253</v>
      </c>
      <c r="M209" s="1768"/>
      <c r="N209" s="283"/>
    </row>
    <row r="210" spans="3:14" ht="15.75">
      <c r="C210" s="1769" t="s">
        <v>1263</v>
      </c>
      <c r="D210" s="1770"/>
      <c r="F210" s="275"/>
      <c r="G210" s="1369" t="s">
        <v>715</v>
      </c>
      <c r="H210" s="1370" t="s">
        <v>1254</v>
      </c>
      <c r="I210" s="1370" t="s">
        <v>1255</v>
      </c>
      <c r="J210" s="1371" t="s">
        <v>1256</v>
      </c>
      <c r="K210" s="1371" t="s">
        <v>1257</v>
      </c>
      <c r="L210" s="1371" t="s">
        <v>1256</v>
      </c>
      <c r="M210" s="1371" t="s">
        <v>1257</v>
      </c>
      <c r="N210" s="282" t="s">
        <v>1258</v>
      </c>
    </row>
    <row r="211" spans="3:14" ht="15.75">
      <c r="C211" s="1366" t="s">
        <v>1259</v>
      </c>
      <c r="D211" s="1383">
        <f>IF(D22="Ponta",B22,0)</f>
        <v>0</v>
      </c>
      <c r="E211" s="18"/>
      <c r="F211" s="275"/>
      <c r="G211" s="1373">
        <f>G196</f>
        <v>44378</v>
      </c>
      <c r="H211" s="277">
        <f>H196</f>
        <v>0</v>
      </c>
      <c r="I211" s="277">
        <f>I196</f>
        <v>0</v>
      </c>
      <c r="J211" s="1374">
        <f>SUMIFS($G$18:$G$60,$B$18:$B$60,$D$211,$D$18:$D$60,"Ponta")</f>
        <v>0</v>
      </c>
      <c r="K211" s="1374">
        <f>SUMIFS($G$18:$G$60,$B$18:$B$60,$D$211,$D$18:$D$60,"Fora Ponta")</f>
        <v>0</v>
      </c>
      <c r="L211" s="1374">
        <f>IF(MONTH(DataRevRea)=7,'Rede Básica + Ajuste'!J211,IF(G211&lt;$Q$69,(SUMIFS($G$18:$G$60,$B$18:$B$60,$D$211,$D$18:$D$60,"Ponta")),(SUMIFS($H$18:$H$60,$B$18:$B$60,$D$211,$D$18:$D$60,"Ponta"))))</f>
        <v>0</v>
      </c>
      <c r="M211" s="1374">
        <f>IF(MONTH(DataRevRea)=7,'Rede Básica + Ajuste'!K211,IF(G211&lt;$Q$69,(SUMIFS($G$18:$G$60,$B$18:$B$60,$D$211,$D$18:$D$60,"Fora Ponta")),(SUMIFS($H$18:$H$60,$B$18:$B$60,$D$211,$D$18:$D$60,"Fora Ponta"))))</f>
        <v>0</v>
      </c>
      <c r="N211" s="1375">
        <f>+(H211*(L211-J211))+(I211*(M211-K211))</f>
        <v>0</v>
      </c>
    </row>
    <row r="212" spans="3:14" ht="15.75">
      <c r="C212" s="275"/>
      <c r="D212" s="275"/>
      <c r="E212" s="275"/>
      <c r="F212" s="275"/>
      <c r="G212" s="276">
        <f t="shared" ref="G212:I222" si="45">G197</f>
        <v>44409</v>
      </c>
      <c r="H212" s="277">
        <f t="shared" si="45"/>
        <v>0</v>
      </c>
      <c r="I212" s="277">
        <f t="shared" si="45"/>
        <v>0</v>
      </c>
      <c r="J212" s="277">
        <f t="shared" ref="J212:J222" si="46">SUMIFS($G$18:$G$60,$B$18:$B$60,$D$211,$D$18:$D$60,"Ponta")</f>
        <v>0</v>
      </c>
      <c r="K212" s="277">
        <f t="shared" ref="K212:K222" si="47">SUMIFS($G$18:$G$60,$B$18:$B$60,$D$211,$D$18:$D$60,"Fora Ponta")</f>
        <v>0</v>
      </c>
      <c r="L212" s="277">
        <f>IF(MONTH(DataRevRea)=7,'Rede Básica + Ajuste'!J212,IF(G212&lt;$Q$69,(SUMIFS($G$18:$G$60,$B$18:$B$60,$D$211,$D$18:$D$60,"Ponta")),(SUMIFS($H$18:$H$60,$B$18:$B$60,$D$211,$D$18:$D$60,"Ponta"))))</f>
        <v>0</v>
      </c>
      <c r="M212" s="277">
        <f>IF(MONTH(DataRevRea)=7,'Rede Básica + Ajuste'!K212,IF(G212&lt;$Q$69,(SUMIFS($G$18:$G$60,$B$18:$B$60,$D$211,$D$18:$D$60,"Fora Ponta")),(SUMIFS($H$18:$H$60,$B$18:$B$60,$D$211,$D$18:$D$60,"Fora Ponta"))))</f>
        <v>0</v>
      </c>
      <c r="N212" s="284">
        <f t="shared" ref="N212:N222" si="48">+(H212*(L212-J212))+(I212*(M212-K212))</f>
        <v>0</v>
      </c>
    </row>
    <row r="213" spans="3:14" ht="15.75">
      <c r="C213" s="278"/>
      <c r="D213" s="1376" t="s">
        <v>1260</v>
      </c>
      <c r="E213" s="1377" t="s">
        <v>1261</v>
      </c>
      <c r="F213" s="275"/>
      <c r="G213" s="276">
        <f t="shared" si="45"/>
        <v>44440</v>
      </c>
      <c r="H213" s="277">
        <f t="shared" si="45"/>
        <v>0</v>
      </c>
      <c r="I213" s="277">
        <f t="shared" si="45"/>
        <v>0</v>
      </c>
      <c r="J213" s="277">
        <f t="shared" si="46"/>
        <v>0</v>
      </c>
      <c r="K213" s="277">
        <f t="shared" si="47"/>
        <v>0</v>
      </c>
      <c r="L213" s="277">
        <f>IF(MONTH(DataRevRea)=7,'Rede Básica + Ajuste'!J213,IF(G213&lt;$Q$69,(SUMIFS($G$18:$G$60,$B$18:$B$60,$D$211,$D$18:$D$60,"Ponta")),(SUMIFS($H$18:$H$60,$B$18:$B$60,$D$211,$D$18:$D$60,"Ponta"))))</f>
        <v>0</v>
      </c>
      <c r="M213" s="277">
        <f>IF(MONTH(DataRevRea)=7,'Rede Básica + Ajuste'!K213,IF(G213&lt;$Q$69,(SUMIFS($G$18:$G$60,$B$18:$B$60,$D$211,$D$18:$D$60,"Fora Ponta")),(SUMIFS($H$18:$H$60,$B$18:$B$60,$D$211,$D$18:$D$60,"Fora Ponta"))))</f>
        <v>0</v>
      </c>
      <c r="N213" s="284">
        <f t="shared" si="48"/>
        <v>0</v>
      </c>
    </row>
    <row r="214" spans="3:14" ht="15.75">
      <c r="C214" s="1378" t="str">
        <f>C199</f>
        <v>Cobertura 2021</v>
      </c>
      <c r="D214" s="1379">
        <f>SUMPRODUCT(H211:H222,J211:J222)</f>
        <v>0</v>
      </c>
      <c r="E214" s="1379">
        <f>SUMPRODUCT(I211:I222,K211:K222)</f>
        <v>0</v>
      </c>
      <c r="F214" s="275"/>
      <c r="G214" s="276">
        <f t="shared" si="45"/>
        <v>44470</v>
      </c>
      <c r="H214" s="277">
        <f t="shared" si="45"/>
        <v>0</v>
      </c>
      <c r="I214" s="277">
        <f t="shared" si="45"/>
        <v>0</v>
      </c>
      <c r="J214" s="277">
        <f t="shared" si="46"/>
        <v>0</v>
      </c>
      <c r="K214" s="277">
        <f t="shared" si="47"/>
        <v>0</v>
      </c>
      <c r="L214" s="277">
        <f>IF(MONTH(DataRevRea)=7,'Rede Básica + Ajuste'!J214,IF(G214&lt;$Q$69,(SUMIFS($G$18:$G$60,$B$18:$B$60,$D$211,$D$18:$D$60,"Ponta")),(SUMIFS($H$18:$H$60,$B$18:$B$60,$D$211,$D$18:$D$60,"Ponta"))))</f>
        <v>0</v>
      </c>
      <c r="M214" s="277">
        <f>IF(MONTH(DataRevRea)=7,'Rede Básica + Ajuste'!K214,IF(G214&lt;$Q$69,(SUMIFS($G$18:$G$60,$B$18:$B$60,$D$211,$D$18:$D$60,"Fora Ponta")),(SUMIFS($H$18:$H$60,$B$18:$B$60,$D$211,$D$18:$D$60,"Fora Ponta"))))</f>
        <v>0</v>
      </c>
      <c r="N214" s="284">
        <f t="shared" si="48"/>
        <v>0</v>
      </c>
    </row>
    <row r="215" spans="3:14" ht="15.75">
      <c r="C215" s="1378" t="s">
        <v>1262</v>
      </c>
      <c r="D215" s="1379">
        <f>SUMPRODUCT(H211:H222,L211:L222)</f>
        <v>0</v>
      </c>
      <c r="E215" s="1379">
        <f>SUMPRODUCT(I211:I222,M211:M222)</f>
        <v>0</v>
      </c>
      <c r="F215" s="275"/>
      <c r="G215" s="276">
        <f t="shared" si="45"/>
        <v>44501</v>
      </c>
      <c r="H215" s="277">
        <f t="shared" si="45"/>
        <v>0</v>
      </c>
      <c r="I215" s="277">
        <f t="shared" si="45"/>
        <v>0</v>
      </c>
      <c r="J215" s="277">
        <f t="shared" si="46"/>
        <v>0</v>
      </c>
      <c r="K215" s="277">
        <f t="shared" si="47"/>
        <v>0</v>
      </c>
      <c r="L215" s="277">
        <f>IF(MONTH(DataRevRea)=7,'Rede Básica + Ajuste'!J215,IF(G215&lt;$Q$69,(SUMIFS($G$18:$G$60,$B$18:$B$60,$D$211,$D$18:$D$60,"Ponta")),(SUMIFS($H$18:$H$60,$B$18:$B$60,$D$211,$D$18:$D$60,"Ponta"))))</f>
        <v>0</v>
      </c>
      <c r="M215" s="277">
        <f>IF(MONTH(DataRevRea)=7,'Rede Básica + Ajuste'!K215,IF(G215&lt;$Q$69,(SUMIFS($G$18:$G$60,$B$18:$B$60,$D$211,$D$18:$D$60,"Fora Ponta")),(SUMIFS($H$18:$H$60,$B$18:$B$60,$D$211,$D$18:$D$60,"Fora Ponta"))))</f>
        <v>0</v>
      </c>
      <c r="N215" s="284">
        <f t="shared" si="48"/>
        <v>0</v>
      </c>
    </row>
    <row r="216" spans="3:14" ht="15.75">
      <c r="C216" s="275"/>
      <c r="D216" s="275"/>
      <c r="E216" s="275"/>
      <c r="F216" s="275"/>
      <c r="G216" s="276">
        <f t="shared" si="45"/>
        <v>44531</v>
      </c>
      <c r="H216" s="277">
        <f t="shared" si="45"/>
        <v>0</v>
      </c>
      <c r="I216" s="277">
        <f t="shared" si="45"/>
        <v>0</v>
      </c>
      <c r="J216" s="277">
        <f t="shared" si="46"/>
        <v>0</v>
      </c>
      <c r="K216" s="277">
        <f t="shared" si="47"/>
        <v>0</v>
      </c>
      <c r="L216" s="277">
        <f>IF(MONTH(DataRevRea)=7,'Rede Básica + Ajuste'!J216,IF(G216&lt;$Q$69,(SUMIFS($G$18:$G$60,$B$18:$B$60,$D$211,$D$18:$D$60,"Ponta")),(SUMIFS($H$18:$H$60,$B$18:$B$60,$D$211,$D$18:$D$60,"Ponta"))))</f>
        <v>0</v>
      </c>
      <c r="M216" s="277">
        <f>IF(MONTH(DataRevRea)=7,'Rede Básica + Ajuste'!K216,IF(G216&lt;$Q$69,(SUMIFS($G$18:$G$60,$B$18:$B$60,$D$211,$D$18:$D$60,"Fora Ponta")),(SUMIFS($H$18:$H$60,$B$18:$B$60,$D$211,$D$18:$D$60,"Fora Ponta"))))</f>
        <v>0</v>
      </c>
      <c r="N216" s="284">
        <f t="shared" si="48"/>
        <v>0</v>
      </c>
    </row>
    <row r="217" spans="3:14" ht="15.75">
      <c r="C217" s="287"/>
      <c r="D217" s="287"/>
      <c r="E217" s="287"/>
      <c r="F217" s="275"/>
      <c r="G217" s="276">
        <f t="shared" si="45"/>
        <v>44562</v>
      </c>
      <c r="H217" s="277">
        <f t="shared" si="45"/>
        <v>0</v>
      </c>
      <c r="I217" s="277">
        <f t="shared" si="45"/>
        <v>0</v>
      </c>
      <c r="J217" s="277">
        <f t="shared" si="46"/>
        <v>0</v>
      </c>
      <c r="K217" s="277">
        <f t="shared" si="47"/>
        <v>0</v>
      </c>
      <c r="L217" s="277">
        <f>IF(MONTH(DataRevRea)=7,'Rede Básica + Ajuste'!J217,IF(G217&lt;$Q$69,(SUMIFS($G$18:$G$60,$B$18:$B$60,$D$211,$D$18:$D$60,"Ponta")),(SUMIFS($H$18:$H$60,$B$18:$B$60,$D$211,$D$18:$D$60,"Ponta"))))</f>
        <v>0</v>
      </c>
      <c r="M217" s="277">
        <f>IF(MONTH(DataRevRea)=7,'Rede Básica + Ajuste'!K217,IF(G217&lt;$Q$69,(SUMIFS($G$18:$G$60,$B$18:$B$60,$D$211,$D$18:$D$60,"Fora Ponta")),(SUMIFS($H$18:$H$60,$B$18:$B$60,$D$211,$D$18:$D$60,"Fora Ponta"))))</f>
        <v>0</v>
      </c>
      <c r="N217" s="284">
        <f t="shared" si="48"/>
        <v>0</v>
      </c>
    </row>
    <row r="218" spans="3:14" ht="15.75">
      <c r="C218" s="279"/>
      <c r="D218" s="279"/>
      <c r="E218" s="288"/>
      <c r="F218" s="275"/>
      <c r="G218" s="276">
        <f t="shared" si="45"/>
        <v>44593</v>
      </c>
      <c r="H218" s="277">
        <f t="shared" si="45"/>
        <v>0</v>
      </c>
      <c r="I218" s="277">
        <f t="shared" si="45"/>
        <v>0</v>
      </c>
      <c r="J218" s="277">
        <f t="shared" si="46"/>
        <v>0</v>
      </c>
      <c r="K218" s="277">
        <f t="shared" si="47"/>
        <v>0</v>
      </c>
      <c r="L218" s="277">
        <f>IF(MONTH(DataRevRea)=7,'Rede Básica + Ajuste'!J218,IF(G218&lt;$Q$69,(SUMIFS($G$18:$G$60,$B$18:$B$60,$D$211,$D$18:$D$60,"Ponta")),(SUMIFS($H$18:$H$60,$B$18:$B$60,$D$211,$D$18:$D$60,"Ponta"))))</f>
        <v>0</v>
      </c>
      <c r="M218" s="277">
        <f>IF(MONTH(DataRevRea)=7,'Rede Básica + Ajuste'!K218,IF(G218&lt;$Q$69,(SUMIFS($G$18:$G$60,$B$18:$B$60,$D$211,$D$18:$D$60,"Fora Ponta")),(SUMIFS($H$18:$H$60,$B$18:$B$60,$D$211,$D$18:$D$60,"Fora Ponta"))))</f>
        <v>0</v>
      </c>
      <c r="N218" s="284">
        <f t="shared" si="48"/>
        <v>0</v>
      </c>
    </row>
    <row r="219" spans="3:14" ht="15.75">
      <c r="C219" s="289"/>
      <c r="D219" s="279"/>
      <c r="E219" s="288"/>
      <c r="F219" s="275"/>
      <c r="G219" s="276">
        <f t="shared" si="45"/>
        <v>44621</v>
      </c>
      <c r="H219" s="277">
        <f t="shared" si="45"/>
        <v>0</v>
      </c>
      <c r="I219" s="277">
        <f t="shared" si="45"/>
        <v>0</v>
      </c>
      <c r="J219" s="277">
        <f t="shared" si="46"/>
        <v>0</v>
      </c>
      <c r="K219" s="277">
        <f t="shared" si="47"/>
        <v>0</v>
      </c>
      <c r="L219" s="277">
        <f>IF(MONTH(DataRevRea)=7,'Rede Básica + Ajuste'!J219,IF(G219&lt;$Q$69,(SUMIFS($G$18:$G$60,$B$18:$B$60,$D$211,$D$18:$D$60,"Ponta")),(SUMIFS($H$18:$H$60,$B$18:$B$60,$D$211,$D$18:$D$60,"Ponta"))))</f>
        <v>0</v>
      </c>
      <c r="M219" s="277">
        <f>IF(MONTH(DataRevRea)=7,'Rede Básica + Ajuste'!K219,IF(G219&lt;$Q$69,(SUMIFS($G$18:$G$60,$B$18:$B$60,$D$211,$D$18:$D$60,"Fora Ponta")),(SUMIFS($H$18:$H$60,$B$18:$B$60,$D$211,$D$18:$D$60,"Fora Ponta"))))</f>
        <v>0</v>
      </c>
      <c r="N219" s="284">
        <f t="shared" si="48"/>
        <v>0</v>
      </c>
    </row>
    <row r="220" spans="3:14" ht="15.75">
      <c r="C220" s="275"/>
      <c r="D220" s="275"/>
      <c r="E220" s="275"/>
      <c r="F220" s="275"/>
      <c r="G220" s="276">
        <f t="shared" si="45"/>
        <v>44652</v>
      </c>
      <c r="H220" s="277">
        <f t="shared" si="45"/>
        <v>0</v>
      </c>
      <c r="I220" s="277">
        <f t="shared" si="45"/>
        <v>0</v>
      </c>
      <c r="J220" s="277">
        <f t="shared" si="46"/>
        <v>0</v>
      </c>
      <c r="K220" s="277">
        <f t="shared" si="47"/>
        <v>0</v>
      </c>
      <c r="L220" s="277">
        <f>IF(MONTH(DataRevRea)=7,'Rede Básica + Ajuste'!J220,IF(G220&lt;$Q$69,(SUMIFS($G$18:$G$60,$B$18:$B$60,$D$211,$D$18:$D$60,"Ponta")),(SUMIFS($H$18:$H$60,$B$18:$B$60,$D$211,$D$18:$D$60,"Ponta"))))</f>
        <v>0</v>
      </c>
      <c r="M220" s="277">
        <f>IF(MONTH(DataRevRea)=7,'Rede Básica + Ajuste'!K220,IF(G220&lt;$Q$69,(SUMIFS($G$18:$G$60,$B$18:$B$60,$D$211,$D$18:$D$60,"Fora Ponta")),(SUMIFS($H$18:$H$60,$B$18:$B$60,$D$211,$D$18:$D$60,"Fora Ponta"))))</f>
        <v>0</v>
      </c>
      <c r="N220" s="284">
        <f t="shared" si="48"/>
        <v>0</v>
      </c>
    </row>
    <row r="221" spans="3:14" ht="15.75">
      <c r="C221" s="281"/>
      <c r="D221" s="281"/>
      <c r="E221" s="281"/>
      <c r="F221" s="275"/>
      <c r="G221" s="276">
        <f t="shared" si="45"/>
        <v>44682</v>
      </c>
      <c r="H221" s="277">
        <f t="shared" si="45"/>
        <v>0</v>
      </c>
      <c r="I221" s="277">
        <f t="shared" si="45"/>
        <v>0</v>
      </c>
      <c r="J221" s="277">
        <f t="shared" si="46"/>
        <v>0</v>
      </c>
      <c r="K221" s="277">
        <f t="shared" si="47"/>
        <v>0</v>
      </c>
      <c r="L221" s="277">
        <f>IF(MONTH(DataRevRea)=7,'Rede Básica + Ajuste'!J221,IF(G221&lt;$Q$69,(SUMIFS($G$18:$G$60,$B$18:$B$60,$D$211,$D$18:$D$60,"Ponta")),(SUMIFS($H$18:$H$60,$B$18:$B$60,$D$211,$D$18:$D$60,"Ponta"))))</f>
        <v>0</v>
      </c>
      <c r="M221" s="277">
        <f>IF(MONTH(DataRevRea)=7,'Rede Básica + Ajuste'!K221,IF(G221&lt;$Q$69,(SUMIFS($G$18:$G$60,$B$18:$B$60,$D$211,$D$18:$D$60,"Fora Ponta")),(SUMIFS($H$18:$H$60,$B$18:$B$60,$D$211,$D$18:$D$60,"Fora Ponta"))))</f>
        <v>0</v>
      </c>
      <c r="N221" s="284">
        <f t="shared" si="48"/>
        <v>0</v>
      </c>
    </row>
    <row r="222" spans="3:14" ht="15.75">
      <c r="C222" s="279"/>
      <c r="D222" s="280"/>
      <c r="E222" s="279"/>
      <c r="F222" s="275"/>
      <c r="G222" s="1380">
        <f t="shared" si="45"/>
        <v>44713</v>
      </c>
      <c r="H222" s="1381">
        <f t="shared" si="45"/>
        <v>0</v>
      </c>
      <c r="I222" s="1381">
        <f t="shared" si="45"/>
        <v>0</v>
      </c>
      <c r="J222" s="1381">
        <f t="shared" si="46"/>
        <v>0</v>
      </c>
      <c r="K222" s="1381">
        <f t="shared" si="47"/>
        <v>0</v>
      </c>
      <c r="L222" s="1381">
        <f>IF(MONTH(DataRevRea)=7,'Rede Básica + Ajuste'!J222,IF(G222&lt;$Q$69,(SUMIFS($G$18:$G$60,$B$18:$B$60,$D$211,$D$18:$D$60,"Ponta")),(SUMIFS($H$18:$H$60,$B$18:$B$60,$D$211,$D$18:$D$60,"Ponta"))))</f>
        <v>0</v>
      </c>
      <c r="M222" s="1381">
        <f>IF(MONTH(DataRevRea)=7,'Rede Básica + Ajuste'!K222,IF(G222&lt;$Q$69,(SUMIFS($G$18:$G$60,$B$18:$B$60,$D$211,$D$18:$D$60,"Fora Ponta")),(SUMIFS($H$18:$H$60,$B$18:$B$60,$D$211,$D$18:$D$60,"Fora Ponta"))))</f>
        <v>0</v>
      </c>
      <c r="N222" s="1382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49" priority="7" stopIfTrue="1" operator="equal">
      <formula>"d"</formula>
    </cfRule>
  </conditionalFormatting>
  <conditionalFormatting sqref="B16">
    <cfRule type="cellIs" dxfId="48" priority="6" stopIfTrue="1" operator="equal">
      <formula>"d"</formula>
    </cfRule>
  </conditionalFormatting>
  <conditionalFormatting sqref="B18:Y60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51" customWidth="1"/>
    <col min="2" max="2" width="35.85546875" style="151" customWidth="1"/>
    <col min="3" max="3" width="16.5703125" style="151" customWidth="1"/>
    <col min="4" max="4" width="17.5703125" style="151" customWidth="1"/>
    <col min="5" max="5" width="18.28515625" style="154" customWidth="1"/>
    <col min="6" max="6" width="12.7109375" style="154" customWidth="1"/>
    <col min="7" max="7" width="15.85546875" style="151" customWidth="1"/>
    <col min="8" max="8" width="12.5703125" style="151" customWidth="1"/>
    <col min="9" max="9" width="11.140625" style="151" customWidth="1"/>
    <col min="10" max="10" width="6" style="151" hidden="1" customWidth="1"/>
    <col min="11" max="11" width="2.28515625" style="151" hidden="1" customWidth="1"/>
    <col min="12" max="12" width="11.140625" style="151" hidden="1" customWidth="1"/>
    <col min="13" max="18" width="11.140625" style="151" customWidth="1"/>
    <col min="19" max="19" width="15.85546875" style="151" customWidth="1"/>
    <col min="20" max="20" width="5.42578125" style="151" customWidth="1"/>
    <col min="21" max="22" width="5.28515625" style="151" customWidth="1"/>
    <col min="23" max="23" width="11" style="151" customWidth="1"/>
    <col min="24" max="24" width="9.140625" style="151" customWidth="1"/>
    <col min="25" max="25" width="5.7109375" style="151" customWidth="1"/>
    <col min="26" max="26" width="2.28515625" style="151" bestFit="1" customWidth="1"/>
    <col min="27" max="16384" width="9.140625" style="151"/>
  </cols>
  <sheetData>
    <row r="1" spans="2:39" ht="24" customHeight="1">
      <c r="B1" s="1038" t="s">
        <v>707</v>
      </c>
      <c r="C1" s="1135"/>
      <c r="D1" s="1039"/>
      <c r="E1" s="1350"/>
      <c r="F1" s="1350"/>
      <c r="G1" s="1248" t="s">
        <v>952</v>
      </c>
      <c r="H1" s="1249">
        <f ca="1">LnkTXTIRTEco</f>
        <v>0.1024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4" t="s">
        <v>1264</v>
      </c>
      <c r="AL1" s="185">
        <v>7947</v>
      </c>
      <c r="AM1" s="184" t="s">
        <v>1265</v>
      </c>
    </row>
    <row r="2" spans="2:39" ht="15" thickBot="1">
      <c r="B2" s="138" t="str">
        <f>CAPA!C9</f>
        <v>Cerfox</v>
      </c>
      <c r="C2" s="70"/>
      <c r="D2" s="70"/>
      <c r="G2" s="121" t="s">
        <v>956</v>
      </c>
      <c r="H2" s="122">
        <f ca="1">LnkTXTIRTTotal</f>
        <v>-0.24399999999999999</v>
      </c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68"/>
      <c r="U2" s="68"/>
      <c r="V2" s="68"/>
      <c r="W2" s="68"/>
      <c r="X2" s="68"/>
      <c r="AK2" s="186" t="s">
        <v>1266</v>
      </c>
      <c r="AL2" s="187">
        <v>7959</v>
      </c>
      <c r="AM2" s="188" t="s">
        <v>1267</v>
      </c>
    </row>
    <row r="3" spans="2:39" ht="15" thickBot="1">
      <c r="B3" s="156"/>
      <c r="C3" s="156"/>
      <c r="D3" s="156"/>
      <c r="E3" s="156"/>
      <c r="F3" s="156"/>
      <c r="G3" s="156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68"/>
      <c r="U3" s="68"/>
      <c r="V3" s="68"/>
      <c r="W3" s="68"/>
      <c r="X3" s="68"/>
      <c r="AK3" s="170"/>
      <c r="AL3" s="171"/>
      <c r="AM3" s="172"/>
    </row>
    <row r="4" spans="2:39" ht="15" thickBot="1">
      <c r="S4" s="68"/>
      <c r="T4" s="68"/>
      <c r="U4" s="68"/>
      <c r="V4" s="68"/>
      <c r="W4" s="68"/>
      <c r="X4" s="68"/>
      <c r="AK4" s="170" t="s">
        <v>1268</v>
      </c>
      <c r="AL4" s="171">
        <v>7972</v>
      </c>
      <c r="AM4" s="172" t="s">
        <v>1269</v>
      </c>
    </row>
    <row r="5" spans="2:39" ht="29.25" thickBot="1">
      <c r="B5" s="1354" t="s">
        <v>1270</v>
      </c>
      <c r="C5" s="1354" t="s">
        <v>1271</v>
      </c>
      <c r="D5" s="1354" t="s">
        <v>1272</v>
      </c>
      <c r="E5" s="1354" t="s">
        <v>1273</v>
      </c>
      <c r="F5" s="1354" t="s">
        <v>1274</v>
      </c>
      <c r="G5" s="1354" t="s">
        <v>1275</v>
      </c>
      <c r="J5" s="158" t="s">
        <v>1276</v>
      </c>
      <c r="K5" s="169">
        <v>2</v>
      </c>
      <c r="M5" s="95"/>
      <c r="S5" s="68"/>
      <c r="T5" s="68"/>
      <c r="U5" s="68"/>
      <c r="V5" s="68"/>
      <c r="W5" s="68"/>
      <c r="X5" s="68"/>
      <c r="AK5" s="170" t="s">
        <v>1277</v>
      </c>
      <c r="AL5" s="171">
        <v>7973</v>
      </c>
      <c r="AM5" s="172" t="s">
        <v>1278</v>
      </c>
    </row>
    <row r="6" spans="2:39" ht="15" thickBot="1">
      <c r="B6" s="394">
        <f>RBBD!B304</f>
        <v>0</v>
      </c>
      <c r="C6" s="395">
        <f>SUM(RBBD!D304:E304)</f>
        <v>0</v>
      </c>
      <c r="D6" s="396">
        <f>SUM(RBBD!F304:G304)</f>
        <v>0</v>
      </c>
      <c r="E6" s="396">
        <f>SUM(RBBD!H304:I304)</f>
        <v>0</v>
      </c>
      <c r="F6" s="395">
        <f>RBBD!C304</f>
        <v>0</v>
      </c>
      <c r="G6" s="395">
        <f>SUM(C6:E6)</f>
        <v>0</v>
      </c>
      <c r="J6" s="158" t="s">
        <v>848</v>
      </c>
      <c r="K6" s="169">
        <v>3</v>
      </c>
      <c r="AK6" s="170" t="s">
        <v>1279</v>
      </c>
      <c r="AL6" s="171">
        <v>7974</v>
      </c>
      <c r="AM6" s="172" t="s">
        <v>1280</v>
      </c>
    </row>
    <row r="7" spans="2:39" ht="15" thickBot="1">
      <c r="B7" s="394">
        <f>RBBD!B305</f>
        <v>0</v>
      </c>
      <c r="C7" s="395">
        <f>SUM(RBBD!D305:E305)</f>
        <v>0</v>
      </c>
      <c r="D7" s="396">
        <f>SUM(RBBD!F305:G305)</f>
        <v>0</v>
      </c>
      <c r="E7" s="396">
        <f>SUM(RBBD!H305:I305)</f>
        <v>0</v>
      </c>
      <c r="F7" s="395">
        <f>RBBD!C305</f>
        <v>0</v>
      </c>
      <c r="G7" s="395">
        <f>SUM(C7:E7)</f>
        <v>0</v>
      </c>
      <c r="J7" s="158"/>
      <c r="K7" s="158"/>
      <c r="AK7" s="170" t="s">
        <v>1281</v>
      </c>
      <c r="AL7" s="171">
        <v>7977</v>
      </c>
      <c r="AM7" s="172" t="s">
        <v>1282</v>
      </c>
    </row>
    <row r="8" spans="2:39" ht="15" thickBot="1">
      <c r="B8" s="394">
        <f>RBBD!B306</f>
        <v>0</v>
      </c>
      <c r="C8" s="395">
        <f>SUM(RBBD!D306:E306)</f>
        <v>0</v>
      </c>
      <c r="D8" s="396">
        <f>SUM(RBBD!F306:G306)</f>
        <v>0</v>
      </c>
      <c r="E8" s="396">
        <f>SUM(RBBD!H306:I306)</f>
        <v>0</v>
      </c>
      <c r="F8" s="395">
        <f>RBBD!C306</f>
        <v>0</v>
      </c>
      <c r="G8" s="395">
        <f>SUM(C8:E8)</f>
        <v>0</v>
      </c>
      <c r="AK8" s="170" t="s">
        <v>1283</v>
      </c>
      <c r="AL8" s="171">
        <v>7978</v>
      </c>
      <c r="AM8" s="172" t="s">
        <v>1284</v>
      </c>
    </row>
    <row r="9" spans="2:39" ht="15" thickBot="1">
      <c r="B9" s="394">
        <f>RBBD!B307</f>
        <v>0</v>
      </c>
      <c r="C9" s="395">
        <f>SUM(RBBD!D307:E307)</f>
        <v>0</v>
      </c>
      <c r="D9" s="396">
        <f>SUM(RBBD!F307:G307)</f>
        <v>0</v>
      </c>
      <c r="E9" s="396">
        <f>SUM(RBBD!H307:I307)</f>
        <v>0</v>
      </c>
      <c r="F9" s="395">
        <f>RBBD!C307</f>
        <v>0</v>
      </c>
      <c r="G9" s="395">
        <f>SUM(C9:E9)</f>
        <v>0</v>
      </c>
      <c r="AK9" s="170" t="s">
        <v>1285</v>
      </c>
      <c r="AL9" s="171">
        <v>7979</v>
      </c>
      <c r="AM9" s="172" t="s">
        <v>1286</v>
      </c>
    </row>
    <row r="10" spans="2:39" ht="15" thickBot="1">
      <c r="B10" s="394">
        <f>RBBD!B308</f>
        <v>0</v>
      </c>
      <c r="C10" s="395">
        <f>SUM(RBBD!D308:E308)</f>
        <v>0</v>
      </c>
      <c r="D10" s="396">
        <f>SUM(RBBD!F308:G308)</f>
        <v>0</v>
      </c>
      <c r="E10" s="396">
        <f>SUM(RBBD!H308:I308)</f>
        <v>0</v>
      </c>
      <c r="F10" s="395">
        <f>RBBD!C308</f>
        <v>0</v>
      </c>
      <c r="G10" s="395">
        <f>SUM(C10:E10)</f>
        <v>0</v>
      </c>
      <c r="AK10" s="170" t="s">
        <v>1287</v>
      </c>
      <c r="AL10" s="171">
        <v>8047</v>
      </c>
      <c r="AM10" s="172" t="s">
        <v>1288</v>
      </c>
    </row>
    <row r="11" spans="2:39" ht="15" thickBot="1">
      <c r="B11" s="1384" t="s">
        <v>836</v>
      </c>
      <c r="C11" s="1385">
        <f>SUM(C6:C10)</f>
        <v>0</v>
      </c>
      <c r="D11" s="1385">
        <f>SUM(D6:D10)</f>
        <v>0</v>
      </c>
      <c r="E11" s="1386">
        <f>SUM(E6:E10)</f>
        <v>0</v>
      </c>
      <c r="F11" s="1387"/>
      <c r="G11" s="1388">
        <f>SUM(G6:G10)</f>
        <v>0</v>
      </c>
      <c r="AK11" s="170" t="s">
        <v>1289</v>
      </c>
      <c r="AL11" s="171">
        <v>8049</v>
      </c>
      <c r="AM11" s="172" t="s">
        <v>1290</v>
      </c>
    </row>
    <row r="12" spans="2:39" ht="15" thickBot="1">
      <c r="B12" s="166"/>
      <c r="C12" s="165"/>
      <c r="D12" s="1389" t="s">
        <v>1291</v>
      </c>
      <c r="E12" s="1389"/>
      <c r="F12" s="1390">
        <f>IF(MONTH(CAPA!C15)&gt;6,DATE(YEAR(CAPA!C15),6,1),DATE(YEAR(CAPA!C15)-1,6,1))</f>
        <v>44713</v>
      </c>
      <c r="G12" s="189"/>
      <c r="AK12" s="170" t="s">
        <v>1292</v>
      </c>
      <c r="AL12" s="171">
        <v>8050</v>
      </c>
      <c r="AM12" s="172" t="s">
        <v>1293</v>
      </c>
    </row>
    <row r="13" spans="2:39" ht="15" thickBot="1">
      <c r="B13" s="182"/>
      <c r="C13" s="182"/>
      <c r="D13" s="182"/>
      <c r="F13" s="183" t="s">
        <v>1294</v>
      </c>
      <c r="AK13" s="170"/>
      <c r="AL13" s="171"/>
      <c r="AM13" s="172"/>
    </row>
    <row r="14" spans="2:39" ht="15" thickBot="1">
      <c r="B14" s="182"/>
      <c r="C14" s="182"/>
      <c r="AK14" s="170" t="s">
        <v>1295</v>
      </c>
      <c r="AL14" s="171">
        <v>8051</v>
      </c>
      <c r="AM14" s="172" t="s">
        <v>1296</v>
      </c>
    </row>
    <row r="15" spans="2:39" ht="29.25" thickBot="1">
      <c r="B15" s="1354" t="s">
        <v>1270</v>
      </c>
      <c r="C15" s="1354" t="s">
        <v>1271</v>
      </c>
      <c r="D15" s="1354" t="s">
        <v>1297</v>
      </c>
      <c r="E15" s="1354" t="s">
        <v>1298</v>
      </c>
      <c r="F15" s="151"/>
      <c r="AK15" s="170" t="s">
        <v>1299</v>
      </c>
      <c r="AL15" s="171">
        <v>8057</v>
      </c>
      <c r="AM15" s="172" t="s">
        <v>1300</v>
      </c>
    </row>
    <row r="16" spans="2:39" ht="15" thickBot="1">
      <c r="B16" s="190">
        <f>B6</f>
        <v>0</v>
      </c>
      <c r="C16" s="191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2"/>
      <c r="E16" s="191">
        <f>SUM(C16:D16)</f>
        <v>0</v>
      </c>
      <c r="F16" s="151"/>
      <c r="AK16" s="170" t="s">
        <v>1301</v>
      </c>
      <c r="AL16" s="171">
        <v>8058</v>
      </c>
      <c r="AM16" s="172" t="s">
        <v>1302</v>
      </c>
    </row>
    <row r="17" spans="2:39" ht="15" thickBot="1">
      <c r="B17" s="190">
        <f>B7</f>
        <v>0</v>
      </c>
      <c r="C17" s="191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2"/>
      <c r="E17" s="191">
        <f>SUM(C17:D17)</f>
        <v>0</v>
      </c>
      <c r="F17" s="151"/>
      <c r="AK17" s="170" t="s">
        <v>1303</v>
      </c>
      <c r="AL17" s="171">
        <v>8220</v>
      </c>
      <c r="AM17" s="172" t="s">
        <v>1304</v>
      </c>
    </row>
    <row r="18" spans="2:39" ht="15" thickBot="1">
      <c r="B18" s="190">
        <f>B8</f>
        <v>0</v>
      </c>
      <c r="C18" s="191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2"/>
      <c r="E18" s="191">
        <f>SUM(C18:D18)</f>
        <v>0</v>
      </c>
      <c r="F18" s="151"/>
      <c r="AK18" s="170" t="s">
        <v>1305</v>
      </c>
      <c r="AL18" s="171">
        <v>8221</v>
      </c>
      <c r="AM18" s="172" t="s">
        <v>1306</v>
      </c>
    </row>
    <row r="19" spans="2:39" ht="15" thickBot="1">
      <c r="B19" s="190">
        <f>B9</f>
        <v>0</v>
      </c>
      <c r="C19" s="191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2"/>
      <c r="E19" s="191">
        <f>SUM(C19:D19)</f>
        <v>0</v>
      </c>
      <c r="F19" s="151"/>
      <c r="AK19" s="170" t="s">
        <v>1307</v>
      </c>
      <c r="AL19" s="171">
        <v>8231</v>
      </c>
      <c r="AM19" s="172" t="s">
        <v>1308</v>
      </c>
    </row>
    <row r="20" spans="2:39" ht="15" thickBot="1">
      <c r="B20" s="190">
        <f>B10</f>
        <v>0</v>
      </c>
      <c r="C20" s="191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2"/>
      <c r="E20" s="191">
        <f>SUM(C20:D20)</f>
        <v>0</v>
      </c>
      <c r="F20" s="151"/>
      <c r="AK20" s="170" t="s">
        <v>1309</v>
      </c>
      <c r="AL20" s="171">
        <v>8261</v>
      </c>
      <c r="AM20" s="172" t="s">
        <v>1310</v>
      </c>
    </row>
    <row r="21" spans="2:39">
      <c r="B21" s="1384" t="s">
        <v>836</v>
      </c>
      <c r="C21" s="1391">
        <f>SUM(C16:C20)</f>
        <v>0</v>
      </c>
      <c r="D21" s="1391">
        <f>SUM(D16:D20)</f>
        <v>0</v>
      </c>
      <c r="E21" s="1391">
        <f>SUM(E16:E20)</f>
        <v>0</v>
      </c>
      <c r="F21" s="151"/>
      <c r="AK21" s="173" t="s">
        <v>1311</v>
      </c>
      <c r="AL21" s="174">
        <v>8263</v>
      </c>
      <c r="AM21" s="175" t="s">
        <v>1312</v>
      </c>
    </row>
    <row r="24" spans="2:39">
      <c r="B24" s="176"/>
      <c r="C24" s="167"/>
      <c r="D24" s="167"/>
      <c r="E24" s="168"/>
      <c r="F24" s="168"/>
      <c r="G24" s="167"/>
      <c r="H24" s="167"/>
      <c r="I24" s="167"/>
    </row>
    <row r="25" spans="2:39">
      <c r="B25" s="72"/>
      <c r="C25" s="72"/>
      <c r="D25" s="72"/>
      <c r="E25" s="72"/>
      <c r="F25" s="72"/>
      <c r="G25" s="72"/>
      <c r="H25" s="72"/>
      <c r="I25" s="167"/>
    </row>
    <row r="26" spans="2:39">
      <c r="B26" s="72"/>
      <c r="C26" s="72"/>
      <c r="D26" s="72"/>
      <c r="E26" s="72"/>
      <c r="F26" s="177"/>
      <c r="G26" s="178"/>
      <c r="H26" s="116"/>
      <c r="I26" s="167"/>
    </row>
    <row r="27" spans="2:39">
      <c r="B27" s="97"/>
      <c r="C27" s="97"/>
      <c r="D27" s="97"/>
      <c r="E27" s="97"/>
      <c r="F27" s="97"/>
      <c r="G27" s="97"/>
      <c r="H27" s="97"/>
      <c r="I27" s="167"/>
    </row>
    <row r="28" spans="2:39">
      <c r="B28" s="176"/>
      <c r="C28" s="97"/>
      <c r="D28" s="97"/>
      <c r="E28" s="97"/>
      <c r="F28" s="97"/>
      <c r="G28" s="97"/>
      <c r="H28" s="97"/>
      <c r="I28" s="167"/>
    </row>
    <row r="29" spans="2:39">
      <c r="B29" s="179"/>
      <c r="C29" s="72"/>
      <c r="D29" s="72"/>
      <c r="E29" s="72"/>
      <c r="F29" s="72"/>
      <c r="G29" s="72"/>
      <c r="H29" s="89"/>
      <c r="I29" s="167"/>
    </row>
    <row r="30" spans="2:39">
      <c r="B30" s="179"/>
      <c r="C30" s="72"/>
      <c r="D30" s="72"/>
      <c r="E30" s="72"/>
      <c r="F30" s="72"/>
      <c r="G30" s="72"/>
      <c r="H30" s="89"/>
      <c r="I30" s="167"/>
    </row>
    <row r="31" spans="2:39">
      <c r="B31" s="179"/>
      <c r="C31" s="179"/>
      <c r="D31" s="179"/>
      <c r="E31" s="179"/>
      <c r="F31" s="179"/>
      <c r="G31" s="179"/>
      <c r="H31" s="180"/>
      <c r="I31" s="167"/>
    </row>
    <row r="32" spans="2:39">
      <c r="B32" s="167"/>
      <c r="C32" s="167"/>
      <c r="D32" s="167"/>
      <c r="E32" s="168"/>
      <c r="F32" s="168"/>
      <c r="G32" s="167"/>
      <c r="H32" s="167"/>
      <c r="I32" s="167"/>
    </row>
    <row r="33" spans="2:9">
      <c r="B33" s="167"/>
      <c r="C33" s="167"/>
      <c r="D33" s="167"/>
      <c r="E33" s="168"/>
      <c r="F33" s="168"/>
      <c r="G33" s="167"/>
      <c r="H33" s="167"/>
      <c r="I33" s="167"/>
    </row>
    <row r="76" spans="2:21" s="169" customFormat="1">
      <c r="B76" s="151"/>
      <c r="C76" s="151"/>
      <c r="D76" s="151"/>
      <c r="E76" s="154"/>
      <c r="F76" s="154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</row>
    <row r="77" spans="2:21" s="169" customFormat="1">
      <c r="B77" s="151"/>
      <c r="C77" s="151"/>
      <c r="D77" s="151"/>
      <c r="E77" s="154"/>
      <c r="F77" s="154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</row>
    <row r="78" spans="2:21" s="169" customFormat="1">
      <c r="B78" s="151"/>
      <c r="C78" s="151"/>
      <c r="D78" s="151"/>
      <c r="E78" s="154"/>
      <c r="F78" s="154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</row>
    <row r="79" spans="2:21" s="169" customFormat="1">
      <c r="B79" s="151"/>
      <c r="C79" s="151"/>
      <c r="D79" s="151"/>
      <c r="E79" s="154"/>
      <c r="F79" s="154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</row>
    <row r="80" spans="2:21" s="169" customFormat="1">
      <c r="B80" s="151"/>
      <c r="C80" s="151"/>
      <c r="D80" s="151"/>
      <c r="E80" s="154"/>
      <c r="F80" s="154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</row>
    <row r="81" spans="2:21" s="169" customFormat="1">
      <c r="B81" s="151"/>
      <c r="C81" s="151"/>
      <c r="D81" s="151"/>
      <c r="E81" s="154"/>
      <c r="F81" s="154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</row>
    <row r="82" spans="2:21" s="169" customFormat="1">
      <c r="B82" s="151"/>
      <c r="C82" s="151"/>
      <c r="D82" s="151"/>
      <c r="E82" s="154"/>
      <c r="F82" s="154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O23" sqref="O23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1038" t="s">
        <v>1031</v>
      </c>
      <c r="C1" s="1135"/>
      <c r="D1" s="1392"/>
      <c r="E1" s="1393"/>
      <c r="F1" s="1393"/>
      <c r="G1" s="1248" t="s">
        <v>952</v>
      </c>
      <c r="H1" s="1352">
        <f ca="1">LnkTXTIRTEco</f>
        <v>0.1024</v>
      </c>
    </row>
    <row r="2" spans="1:16" ht="46.5" customHeight="1">
      <c r="B2" s="138" t="str">
        <f>CAPA!C9</f>
        <v>Cerfox</v>
      </c>
      <c r="C2" s="70"/>
      <c r="D2" s="70"/>
      <c r="G2" s="121" t="s">
        <v>956</v>
      </c>
      <c r="H2" s="148">
        <f ca="1">LnkTXTIRTTotal</f>
        <v>-0.24399999999999999</v>
      </c>
      <c r="I2" s="91" t="s">
        <v>1313</v>
      </c>
    </row>
    <row r="3" spans="1:16">
      <c r="B3" s="1394" t="s">
        <v>1314</v>
      </c>
      <c r="C3" s="1395">
        <f>SUMPRODUCT(J6:J44,H6:H44)</f>
        <v>9770545.3238976002</v>
      </c>
      <c r="D3" s="73"/>
      <c r="E3" s="1394" t="s">
        <v>1205</v>
      </c>
      <c r="F3" s="68" t="s">
        <v>1315</v>
      </c>
      <c r="G3" s="1396">
        <f>LnkTXTDescTusdAnte</f>
        <v>0</v>
      </c>
      <c r="H3" s="91"/>
      <c r="I3" s="1397">
        <f>VLOOKUP(LnkTXTSigla,Informacoes[],13,FALSE)</f>
        <v>0</v>
      </c>
      <c r="J3" s="91"/>
    </row>
    <row r="4" spans="1:16">
      <c r="B4" s="72"/>
      <c r="C4" s="89"/>
      <c r="D4" s="150"/>
      <c r="E4" s="72"/>
      <c r="F4" s="72"/>
      <c r="G4" s="91"/>
      <c r="H4" s="91"/>
      <c r="I4" s="91"/>
      <c r="J4" s="91"/>
    </row>
    <row r="5" spans="1:16" ht="27">
      <c r="A5" s="74" t="s">
        <v>1316</v>
      </c>
      <c r="B5" s="1398" t="s">
        <v>27</v>
      </c>
      <c r="C5" s="1398" t="s">
        <v>21</v>
      </c>
      <c r="D5" s="1398" t="s">
        <v>22</v>
      </c>
      <c r="E5" s="1398" t="s">
        <v>78</v>
      </c>
      <c r="F5" s="1398" t="s">
        <v>893</v>
      </c>
      <c r="G5" s="1398" t="s">
        <v>1317</v>
      </c>
      <c r="H5" s="1398" t="s">
        <v>60</v>
      </c>
      <c r="I5" s="1398" t="s">
        <v>1206</v>
      </c>
      <c r="J5" s="1398" t="s">
        <v>1207</v>
      </c>
      <c r="L5" s="68"/>
      <c r="M5" s="69"/>
    </row>
    <row r="6" spans="1:16">
      <c r="A6" s="68" t="s">
        <v>2312</v>
      </c>
      <c r="B6" s="149" t="s">
        <v>2313</v>
      </c>
      <c r="C6" s="149" t="s">
        <v>2179</v>
      </c>
      <c r="D6" s="149" t="s">
        <v>217</v>
      </c>
      <c r="E6" s="149" t="str">
        <f>IF(ISERROR(VLOOKUP(D6,$A$36:$B$39,2,FALSE)),"",VLOOKUP(D6,$A$36:$B$39,2,FALSE))</f>
        <v>Fora Ponta</v>
      </c>
      <c r="F6" s="149" t="str">
        <f>IF(ISERROR(VLOOKUP(D6,$A$36:$C$39,3,FALSE)),"",VLOOKUP(D6,$A$36:$C$39,3,FALSE))</f>
        <v>Potência</v>
      </c>
      <c r="G6" s="149">
        <f>IF(B6="","",SUMIFS(Faturas!V:V,Faturas!R:R,CUSD!B6,Faturas!S:S,CUSD!C6,Faturas!U:U,CUSD!D6))</f>
        <v>194319.81999999998</v>
      </c>
      <c r="H6" s="149">
        <f>IF(B6="","",IF(LEFT(D6,7)="Demanda",G6,G6/1000))</f>
        <v>194319.81999999998</v>
      </c>
      <c r="I6" s="149">
        <f>IF(ISERROR(VLOOKUP(CONCATENATE(A6,A41,E6,F6),BD!$H$6:$V$30,14,FALSE)),"",VLOOKUP(CONCATENATE(A6,A41,E6,F6),BD!$H$6:$V$30,14,FALSE))</f>
        <v>19.98</v>
      </c>
      <c r="J6" s="149">
        <f t="shared" ref="J6:J13" si="0">IF(ISERROR(I6*(1-$G$3)),"",I6*(1-$G$3))</f>
        <v>19.98</v>
      </c>
      <c r="K6" s="69">
        <f>H6*J6</f>
        <v>3882510.0035999995</v>
      </c>
      <c r="L6" s="68"/>
      <c r="M6" s="69"/>
      <c r="N6" s="69"/>
    </row>
    <row r="7" spans="1:16">
      <c r="A7" s="68" t="s">
        <v>2312</v>
      </c>
      <c r="B7" s="149" t="s">
        <v>2313</v>
      </c>
      <c r="C7" s="149" t="s">
        <v>2179</v>
      </c>
      <c r="D7" s="149" t="s">
        <v>219</v>
      </c>
      <c r="E7" s="149" t="str">
        <f t="shared" ref="E7:E30" si="1">IF(ISERROR(VLOOKUP(D7,$A$36:$B$39,2,FALSE)),"",VLOOKUP(D7,$A$36:$B$39,2,FALSE))</f>
        <v>Ponta</v>
      </c>
      <c r="F7" s="149" t="str">
        <f t="shared" ref="F7:F30" si="2">IF(ISERROR(VLOOKUP(D7,$A$36:$C$39,3,FALSE)),"",VLOOKUP(D7,$A$36:$C$39,3,FALSE))</f>
        <v>Potência</v>
      </c>
      <c r="G7" s="149">
        <f>IF(B7="","",SUMIFS(Faturas!V:V,Faturas!R:R,CUSD!B7,Faturas!S:S,CUSD!C7,Faturas!U:U,CUSD!D7))</f>
        <v>188211.39</v>
      </c>
      <c r="H7" s="149">
        <f t="shared" ref="H7:H30" si="3">IF(B7="","",IF(LEFT(D7,7)="Demanda",G7,G7/1000))</f>
        <v>188211.39</v>
      </c>
      <c r="I7" s="149">
        <f>IF(ISERROR(VLOOKUP(CONCATENATE(A7,A42,E7,F7),BD!$H$6:$V$30,14,FALSE)),"",VLOOKUP(CONCATENATE(A7,A42,E7,F7),BD!$H$6:$V$30,14,FALSE))</f>
        <v>26.9</v>
      </c>
      <c r="J7" s="149">
        <f t="shared" si="0"/>
        <v>26.9</v>
      </c>
      <c r="K7" s="69">
        <f t="shared" ref="K7:K9" si="4">H7*J7</f>
        <v>5062886.3909999998</v>
      </c>
    </row>
    <row r="8" spans="1:16">
      <c r="A8" s="68" t="s">
        <v>2312</v>
      </c>
      <c r="B8" s="149" t="s">
        <v>2313</v>
      </c>
      <c r="C8" s="149" t="s">
        <v>2179</v>
      </c>
      <c r="D8" s="149" t="s">
        <v>221</v>
      </c>
      <c r="E8" s="149" t="str">
        <f t="shared" si="1"/>
        <v>Não se aplica</v>
      </c>
      <c r="F8" s="149" t="str">
        <f t="shared" si="2"/>
        <v>Energia</v>
      </c>
      <c r="G8" s="149">
        <f>IF(B8="","",SUMIFS(Faturas!V:V,Faturas!R:R,CUSD!B8,Faturas!S:S,CUSD!C8,Faturas!U:U,CUSD!D8))</f>
        <v>63726481.219999999</v>
      </c>
      <c r="H8" s="149">
        <f t="shared" si="3"/>
        <v>63726.481220000001</v>
      </c>
      <c r="I8" s="149">
        <f>IF(ISERROR(VLOOKUP(CONCATENATE(A8,A43,E8,F8),BD!$H$6:$V$30,14,FALSE)),"",VLOOKUP(CONCATENATE(A8,A43,E8,F8),BD!$H$6:$V$30,14,FALSE))</f>
        <v>11.36</v>
      </c>
      <c r="J8" s="149">
        <f t="shared" si="0"/>
        <v>11.36</v>
      </c>
      <c r="K8" s="69">
        <f t="shared" si="4"/>
        <v>723932.82665920001</v>
      </c>
      <c r="L8" s="68"/>
      <c r="M8" s="69"/>
    </row>
    <row r="9" spans="1:16">
      <c r="A9" s="68" t="s">
        <v>2312</v>
      </c>
      <c r="B9" s="149" t="s">
        <v>2313</v>
      </c>
      <c r="C9" s="149" t="s">
        <v>2179</v>
      </c>
      <c r="D9" s="149" t="s">
        <v>223</v>
      </c>
      <c r="E9" s="149" t="str">
        <f t="shared" si="1"/>
        <v>Não se aplica</v>
      </c>
      <c r="F9" s="149" t="str">
        <f t="shared" si="2"/>
        <v>Energia</v>
      </c>
      <c r="G9" s="149">
        <f>IF(B9="","",SUMIFS(Faturas!V:V,Faturas!R:R,CUSD!B9,Faturas!S:S,CUSD!C9,Faturas!U:U,CUSD!D9))</f>
        <v>8909868.1899999995</v>
      </c>
      <c r="H9" s="149">
        <f t="shared" si="3"/>
        <v>8909.8681899999992</v>
      </c>
      <c r="I9" s="149">
        <f>IF(ISERROR(VLOOKUP(CONCATENATE(A9,A44,E9,F9),BD!$H$6:$V$30,14,FALSE)),"",VLOOKUP(CONCATENATE(A9,A44,E9,F9),BD!$H$6:$V$30,14,FALSE))</f>
        <v>11.36</v>
      </c>
      <c r="J9" s="149">
        <f t="shared" si="0"/>
        <v>11.36</v>
      </c>
      <c r="K9" s="69">
        <f t="shared" si="4"/>
        <v>101216.10263839999</v>
      </c>
      <c r="L9" s="68"/>
      <c r="M9" s="69"/>
    </row>
    <row r="10" spans="1:16">
      <c r="B10" s="149"/>
      <c r="C10" s="149"/>
      <c r="D10" s="149"/>
      <c r="E10" s="149" t="str">
        <f t="shared" si="1"/>
        <v/>
      </c>
      <c r="F10" s="149" t="str">
        <f t="shared" si="2"/>
        <v/>
      </c>
      <c r="G10" s="149" t="str">
        <f>IF(B10="","",SUMIFS(Faturas!V:V,Faturas!R:R,CUSD!B10,Faturas!S:S,CUSD!C10,Faturas!U:U,CUSD!D10))</f>
        <v/>
      </c>
      <c r="H10" s="149" t="str">
        <f t="shared" si="3"/>
        <v/>
      </c>
      <c r="I10" s="149" t="str">
        <f>IF(ISERROR(VLOOKUP(CONCATENATE(A10,A45,E10,F10),BD!$H$6:$V$30,14,FALSE)),"",VLOOKUP(CONCATENATE(A10,A45,E10,F10),BD!$H$6:$V$30,14,FALSE))</f>
        <v/>
      </c>
      <c r="J10" s="149" t="str">
        <f t="shared" si="0"/>
        <v/>
      </c>
      <c r="K10" s="69"/>
      <c r="L10" s="68"/>
      <c r="M10" s="69"/>
    </row>
    <row r="11" spans="1:16">
      <c r="B11" s="149"/>
      <c r="C11" s="149"/>
      <c r="D11" s="149"/>
      <c r="E11" s="149" t="str">
        <f t="shared" si="1"/>
        <v/>
      </c>
      <c r="F11" s="149" t="str">
        <f t="shared" si="2"/>
        <v/>
      </c>
      <c r="G11" s="149" t="str">
        <f>IF(B11="","",SUMIFS(Faturas!V:V,Faturas!R:R,CUSD!B11,Faturas!S:S,CUSD!C11,Faturas!U:U,CUSD!D11))</f>
        <v/>
      </c>
      <c r="H11" s="149" t="str">
        <f t="shared" si="3"/>
        <v/>
      </c>
      <c r="I11" s="149" t="str">
        <f>IF(ISERROR(VLOOKUP(CONCATENATE(A11,A46,E11,F11),BD!$H$6:$V$30,14,FALSE)),"",VLOOKUP(CONCATENATE(A11,A46,E11,F11),BD!$H$6:$V$30,14,FALSE))</f>
        <v/>
      </c>
      <c r="J11" s="149" t="str">
        <f t="shared" ref="J11" si="5">IF(ISERROR(I11*(1-$G$3)),"",I11*(1-$G$3))</f>
        <v/>
      </c>
      <c r="L11" s="752"/>
      <c r="M11" s="243"/>
      <c r="N11" s="244"/>
      <c r="O11" s="244"/>
      <c r="P11" s="244"/>
    </row>
    <row r="12" spans="1:16">
      <c r="B12" s="149"/>
      <c r="C12" s="149"/>
      <c r="D12" s="149"/>
      <c r="E12" s="149" t="str">
        <f t="shared" si="1"/>
        <v/>
      </c>
      <c r="F12" s="149" t="str">
        <f t="shared" si="2"/>
        <v/>
      </c>
      <c r="G12" s="149" t="str">
        <f>IF(B12="","",SUMIFS(Faturas!V:V,Faturas!R:R,CUSD!B12,Faturas!S:S,CUSD!C12,Faturas!U:U,CUSD!D12))</f>
        <v/>
      </c>
      <c r="H12" s="149" t="str">
        <f t="shared" si="3"/>
        <v/>
      </c>
      <c r="I12" s="149" t="str">
        <f>IF(ISERROR(VLOOKUP(CONCATENATE(A12,A47,E12,F12),BD!$H$6:$V$30,14,FALSE)),"",VLOOKUP(CONCATENATE(A12,A47,E12,F12),BD!$H$6:$V$30,14,FALSE))</f>
        <v/>
      </c>
      <c r="J12" s="149" t="str">
        <f t="shared" si="0"/>
        <v/>
      </c>
      <c r="N12" s="244"/>
      <c r="O12" s="244"/>
      <c r="P12" s="244"/>
    </row>
    <row r="13" spans="1:16">
      <c r="B13" s="149"/>
      <c r="C13" s="149"/>
      <c r="D13" s="149"/>
      <c r="E13" s="149" t="str">
        <f t="shared" si="1"/>
        <v/>
      </c>
      <c r="F13" s="149" t="str">
        <f t="shared" si="2"/>
        <v/>
      </c>
      <c r="G13" s="149" t="str">
        <f>IF(B13="","",SUMIFS(Faturas!V:V,Faturas!R:R,CUSD!B13,Faturas!S:S,CUSD!C13,Faturas!U:U,CUSD!D13))</f>
        <v/>
      </c>
      <c r="H13" s="149" t="str">
        <f t="shared" si="3"/>
        <v/>
      </c>
      <c r="I13" s="149" t="str">
        <f>IF(ISERROR(VLOOKUP(CONCATENATE(A13,A48,E13,F13),BD!$H$6:$V$30,14,FALSE)),"",VLOOKUP(CONCATENATE(A13,A48,E13,F13),BD!$H$6:$V$30,14,FALSE))</f>
        <v/>
      </c>
      <c r="J13" s="149" t="str">
        <f t="shared" si="0"/>
        <v/>
      </c>
      <c r="K13" s="69"/>
      <c r="L13" s="68"/>
      <c r="M13" s="243"/>
      <c r="N13" s="244"/>
      <c r="O13" s="244"/>
      <c r="P13" s="244"/>
    </row>
    <row r="14" spans="1:16">
      <c r="B14" s="149"/>
      <c r="C14" s="149"/>
      <c r="D14" s="149"/>
      <c r="E14" s="149" t="str">
        <f t="shared" si="1"/>
        <v/>
      </c>
      <c r="F14" s="149" t="str">
        <f t="shared" si="2"/>
        <v/>
      </c>
      <c r="G14" s="149" t="str">
        <f>IF(B14="","",SUMIFS(Faturas!V:V,Faturas!R:R,CUSD!B14,Faturas!S:S,CUSD!C14,Faturas!U:U,CUSD!D14))</f>
        <v/>
      </c>
      <c r="H14" s="149" t="str">
        <f t="shared" si="3"/>
        <v/>
      </c>
      <c r="I14" s="149" t="str">
        <f>IF(ISERROR(VLOOKUP(CONCATENATE(A14,A49,E14,F14),BD!$H$6:$V$30,14,FALSE)),"",VLOOKUP(CONCATENATE(A14,A49,E14,F14),BD!$H$6:$V$30,14,FALSE))</f>
        <v/>
      </c>
      <c r="J14" s="149" t="str">
        <f t="shared" ref="J14:J30" si="6">IF(ISERROR(I14*(1-$G$3)),"",I14*(1-$G$3))</f>
        <v/>
      </c>
      <c r="K14" s="69"/>
      <c r="L14" s="243"/>
      <c r="M14" s="243"/>
      <c r="N14" s="244"/>
      <c r="O14" s="244"/>
      <c r="P14" s="244"/>
    </row>
    <row r="15" spans="1:16">
      <c r="B15" s="149"/>
      <c r="C15" s="149"/>
      <c r="D15" s="149"/>
      <c r="E15" s="149" t="str">
        <f t="shared" si="1"/>
        <v/>
      </c>
      <c r="F15" s="149" t="str">
        <f t="shared" si="2"/>
        <v/>
      </c>
      <c r="G15" s="149" t="str">
        <f>IF(B15="","",SUMIFS(Faturas!V:V,Faturas!R:R,CUSD!B15,Faturas!S:S,CUSD!C15,Faturas!U:U,CUSD!D15))</f>
        <v/>
      </c>
      <c r="H15" s="149" t="str">
        <f t="shared" si="3"/>
        <v/>
      </c>
      <c r="I15" s="149" t="str">
        <f>IF(ISERROR(VLOOKUP(CONCATENATE(A15,A50,E15,F15),BD!$H$6:$V$30,14,FALSE)),"",VLOOKUP(CONCATENATE(A15,A50,E15,F15),BD!$H$6:$V$30,14,FALSE))</f>
        <v/>
      </c>
      <c r="J15" s="149" t="str">
        <f t="shared" si="6"/>
        <v/>
      </c>
      <c r="K15" s="69"/>
      <c r="L15" s="243"/>
      <c r="M15" s="243"/>
      <c r="N15" s="245"/>
      <c r="O15" s="245"/>
      <c r="P15" s="244"/>
    </row>
    <row r="16" spans="1:16">
      <c r="B16" s="149"/>
      <c r="C16" s="149"/>
      <c r="D16" s="149"/>
      <c r="E16" s="149" t="str">
        <f t="shared" si="1"/>
        <v/>
      </c>
      <c r="F16" s="149" t="str">
        <f t="shared" si="2"/>
        <v/>
      </c>
      <c r="G16" s="149" t="str">
        <f>IF(B16="","",SUMIFS(Faturas!V:V,Faturas!R:R,CUSD!B16,Faturas!S:S,CUSD!C16,Faturas!U:U,CUSD!D16))</f>
        <v/>
      </c>
      <c r="H16" s="149" t="str">
        <f t="shared" si="3"/>
        <v/>
      </c>
      <c r="I16" s="149" t="str">
        <f>IF(ISERROR(VLOOKUP(CONCATENATE(A16,A51,E16,F16),BD!$H$6:$V$30,14,FALSE)),"",VLOOKUP(CONCATENATE(A16,A51,E16,F16),BD!$H$6:$V$30,14,FALSE))</f>
        <v/>
      </c>
      <c r="J16" s="149" t="str">
        <f t="shared" si="6"/>
        <v/>
      </c>
      <c r="K16" s="243"/>
      <c r="L16" s="243"/>
      <c r="M16" s="243"/>
      <c r="N16" s="245"/>
      <c r="O16" s="245"/>
      <c r="P16" s="244"/>
    </row>
    <row r="17" spans="2:16">
      <c r="B17" s="149"/>
      <c r="C17" s="149"/>
      <c r="D17" s="149"/>
      <c r="E17" s="149" t="str">
        <f t="shared" si="1"/>
        <v/>
      </c>
      <c r="F17" s="149" t="str">
        <f t="shared" si="2"/>
        <v/>
      </c>
      <c r="G17" s="149" t="str">
        <f>IF(B17="","",SUMIFS(Faturas!V:V,Faturas!R:R,CUSD!B17,Faturas!S:S,CUSD!C17,Faturas!U:U,CUSD!D17))</f>
        <v/>
      </c>
      <c r="H17" s="149" t="str">
        <f t="shared" si="3"/>
        <v/>
      </c>
      <c r="I17" s="149" t="str">
        <f>IF(ISERROR(VLOOKUP(CONCATENATE(A17,A52,E17,F17),BD!$H$6:$V$30,14,FALSE)),"",VLOOKUP(CONCATENATE(A17,A52,E17,F17),BD!$H$6:$V$30,14,FALSE))</f>
        <v/>
      </c>
      <c r="J17" s="149" t="str">
        <f t="shared" si="6"/>
        <v/>
      </c>
      <c r="K17" s="69"/>
      <c r="M17" s="243"/>
      <c r="N17" s="246"/>
      <c r="O17" s="246"/>
      <c r="P17" s="244"/>
    </row>
    <row r="18" spans="2:16">
      <c r="B18" s="149"/>
      <c r="C18" s="149"/>
      <c r="D18" s="149"/>
      <c r="E18" s="149" t="str">
        <f t="shared" si="1"/>
        <v/>
      </c>
      <c r="F18" s="149" t="str">
        <f t="shared" si="2"/>
        <v/>
      </c>
      <c r="G18" s="149" t="str">
        <f>IF(B18="","",SUMIFS(Faturas!V:V,Faturas!R:R,CUSD!B18,Faturas!S:S,CUSD!C18,Faturas!U:U,CUSD!D18))</f>
        <v/>
      </c>
      <c r="H18" s="149" t="str">
        <f t="shared" si="3"/>
        <v/>
      </c>
      <c r="I18" s="149" t="str">
        <f>IF(ISERROR(VLOOKUP(CONCATENATE(A18,A53,E18,F18),BD!$H$6:$V$30,14,FALSE)),"",VLOOKUP(CONCATENATE(A18,A53,E18,F18),BD!$H$6:$V$30,14,FALSE))</f>
        <v/>
      </c>
      <c r="J18" s="149" t="str">
        <f t="shared" si="6"/>
        <v/>
      </c>
      <c r="K18" s="69"/>
      <c r="L18" s="243"/>
      <c r="M18" s="243"/>
      <c r="N18" s="245"/>
      <c r="O18" s="245"/>
      <c r="P18" s="244"/>
    </row>
    <row r="19" spans="2:16">
      <c r="B19" s="149"/>
      <c r="C19" s="149"/>
      <c r="D19" s="149"/>
      <c r="E19" s="149" t="str">
        <f t="shared" si="1"/>
        <v/>
      </c>
      <c r="F19" s="149" t="str">
        <f t="shared" si="2"/>
        <v/>
      </c>
      <c r="G19" s="149" t="str">
        <f>IF(B19="","",SUMIFS(Faturas!V:V,Faturas!R:R,CUSD!B19,Faturas!S:S,CUSD!C19,Faturas!U:U,CUSD!D19))</f>
        <v/>
      </c>
      <c r="H19" s="149" t="str">
        <f t="shared" si="3"/>
        <v/>
      </c>
      <c r="I19" s="149" t="str">
        <f>IF(ISERROR(VLOOKUP(CONCATENATE(A19,A54,E19,F19),BD!$H$6:$V$30,14,FALSE)),"",VLOOKUP(CONCATENATE(A19,A54,E19,F19),BD!$H$6:$V$30,14,FALSE))</f>
        <v/>
      </c>
      <c r="J19" s="149" t="str">
        <f t="shared" si="6"/>
        <v/>
      </c>
      <c r="L19" s="243"/>
      <c r="M19" s="243"/>
      <c r="N19" s="245"/>
      <c r="O19" s="245"/>
      <c r="P19" s="244"/>
    </row>
    <row r="20" spans="2:16">
      <c r="B20" s="149"/>
      <c r="C20" s="149"/>
      <c r="D20" s="149"/>
      <c r="E20" s="149" t="str">
        <f t="shared" si="1"/>
        <v/>
      </c>
      <c r="F20" s="149" t="str">
        <f t="shared" si="2"/>
        <v/>
      </c>
      <c r="G20" s="149" t="str">
        <f>IF(B20="","",SUMIFS(Faturas!V:V,Faturas!R:R,CUSD!B20,Faturas!S:S,CUSD!C20,Faturas!U:U,CUSD!D20))</f>
        <v/>
      </c>
      <c r="H20" s="149" t="str">
        <f t="shared" si="3"/>
        <v/>
      </c>
      <c r="I20" s="149" t="str">
        <f>IF(ISERROR(VLOOKUP(CONCATENATE(A20,A55,E20,F20),BD!$H$6:$V$30,14,FALSE)),"",VLOOKUP(CONCATENATE(A20,A55,E20,F20),BD!$H$6:$V$30,14,FALSE))</f>
        <v/>
      </c>
      <c r="J20" s="149" t="str">
        <f t="shared" si="6"/>
        <v/>
      </c>
      <c r="L20" s="243"/>
      <c r="M20" s="243"/>
      <c r="N20" s="245"/>
      <c r="O20" s="245"/>
      <c r="P20" s="244"/>
    </row>
    <row r="21" spans="2:16">
      <c r="B21" s="149"/>
      <c r="C21" s="149"/>
      <c r="D21" s="149"/>
      <c r="E21" s="149" t="str">
        <f t="shared" si="1"/>
        <v/>
      </c>
      <c r="F21" s="149" t="str">
        <f t="shared" si="2"/>
        <v/>
      </c>
      <c r="G21" s="149" t="str">
        <f>IF(B21="","",SUMIFS(Faturas!V:V,Faturas!R:R,CUSD!B21,Faturas!S:S,CUSD!C21,Faturas!U:U,CUSD!D21))</f>
        <v/>
      </c>
      <c r="H21" s="149" t="str">
        <f t="shared" si="3"/>
        <v/>
      </c>
      <c r="I21" s="149" t="str">
        <f>IF(ISERROR(VLOOKUP(CONCATENATE(A21,A56,E21,F21),BD!$H$6:$V$30,14,FALSE)),"",VLOOKUP(CONCATENATE(A21,A56,E21,F21),BD!$H$6:$V$30,14,FALSE))</f>
        <v/>
      </c>
      <c r="J21" s="149" t="str">
        <f t="shared" si="6"/>
        <v/>
      </c>
      <c r="L21" s="243"/>
      <c r="M21" s="243"/>
      <c r="N21" s="244"/>
      <c r="O21" s="244"/>
      <c r="P21" s="243"/>
    </row>
    <row r="22" spans="2:16">
      <c r="B22" s="149"/>
      <c r="C22" s="149"/>
      <c r="D22" s="149"/>
      <c r="E22" s="149" t="str">
        <f t="shared" si="1"/>
        <v/>
      </c>
      <c r="F22" s="149" t="str">
        <f t="shared" si="2"/>
        <v/>
      </c>
      <c r="G22" s="149" t="str">
        <f>IF(B22="","",SUMIFS(Faturas!V:V,Faturas!R:R,CUSD!B22,Faturas!S:S,CUSD!C22,Faturas!U:U,CUSD!D22))</f>
        <v/>
      </c>
      <c r="H22" s="149" t="str">
        <f t="shared" si="3"/>
        <v/>
      </c>
      <c r="I22" s="149" t="str">
        <f>IF(ISERROR(VLOOKUP(CONCATENATE(A22,A57,E22,F22),BD!$H$6:$V$30,14,FALSE)),"",VLOOKUP(CONCATENATE(A22,A57,E22,F22),BD!$H$6:$V$30,14,FALSE))</f>
        <v/>
      </c>
      <c r="J22" s="149" t="str">
        <f t="shared" si="6"/>
        <v/>
      </c>
      <c r="L22" s="243"/>
      <c r="M22" s="243"/>
      <c r="N22" s="244"/>
      <c r="O22" s="247"/>
      <c r="P22" s="243"/>
    </row>
    <row r="23" spans="2:16">
      <c r="B23" s="149"/>
      <c r="C23" s="149"/>
      <c r="D23" s="149"/>
      <c r="E23" s="149" t="str">
        <f t="shared" si="1"/>
        <v/>
      </c>
      <c r="F23" s="149" t="str">
        <f t="shared" si="2"/>
        <v/>
      </c>
      <c r="G23" s="149" t="str">
        <f>IF(B23="","",SUMIFS(Faturas!V:V,Faturas!R:R,CUSD!B23,Faturas!S:S,CUSD!C23,Faturas!U:U,CUSD!D23))</f>
        <v/>
      </c>
      <c r="H23" s="149" t="str">
        <f t="shared" si="3"/>
        <v/>
      </c>
      <c r="I23" s="149" t="str">
        <f>IF(ISERROR(VLOOKUP(CONCATENATE(A23,A58,E23,F23),BD!$H$6:$V$30,14,FALSE)),"",VLOOKUP(CONCATENATE(A23,A58,E23,F23),BD!$H$6:$V$30,14,FALSE))</f>
        <v/>
      </c>
      <c r="J23" s="149" t="str">
        <f t="shared" si="6"/>
        <v/>
      </c>
      <c r="L23" s="243"/>
      <c r="M23" s="243"/>
      <c r="N23" s="244"/>
      <c r="O23" s="244"/>
      <c r="P23" s="243"/>
    </row>
    <row r="24" spans="2:16">
      <c r="B24" s="149"/>
      <c r="C24" s="149"/>
      <c r="D24" s="149"/>
      <c r="E24" s="149" t="str">
        <f t="shared" si="1"/>
        <v/>
      </c>
      <c r="F24" s="149" t="str">
        <f t="shared" si="2"/>
        <v/>
      </c>
      <c r="G24" s="149" t="str">
        <f>IF(B24="","",SUMIFS(Faturas!V:V,Faturas!R:R,CUSD!B24,Faturas!S:S,CUSD!C24,Faturas!U:U,CUSD!D24))</f>
        <v/>
      </c>
      <c r="H24" s="149" t="str">
        <f t="shared" si="3"/>
        <v/>
      </c>
      <c r="I24" s="149" t="str">
        <f>IF(ISERROR(VLOOKUP(CONCATENATE(A24,A59,E24,F24),BD!$H$6:$V$30,14,FALSE)),"",VLOOKUP(CONCATENATE(A24,A59,E24,F24),BD!$H$6:$V$30,14,FALSE))</f>
        <v/>
      </c>
      <c r="J24" s="149" t="str">
        <f t="shared" si="6"/>
        <v/>
      </c>
      <c r="L24" s="68"/>
      <c r="M24" s="69"/>
      <c r="P24" s="69"/>
    </row>
    <row r="25" spans="2:16">
      <c r="B25" s="149"/>
      <c r="C25" s="149"/>
      <c r="D25" s="149"/>
      <c r="E25" s="149" t="str">
        <f t="shared" si="1"/>
        <v/>
      </c>
      <c r="F25" s="149" t="str">
        <f t="shared" si="2"/>
        <v/>
      </c>
      <c r="G25" s="149" t="str">
        <f>IF(B25="","",SUMIFS(Faturas!V:V,Faturas!R:R,CUSD!B25,Faturas!S:S,CUSD!C25,Faturas!U:U,CUSD!D25))</f>
        <v/>
      </c>
      <c r="H25" s="149" t="str">
        <f t="shared" si="3"/>
        <v/>
      </c>
      <c r="I25" s="149" t="str">
        <f>IF(ISERROR(VLOOKUP(CONCATENATE(A25,A60,E25,F25),BD!$H$6:$V$30,14,FALSE)),"",VLOOKUP(CONCATENATE(A25,A60,E25,F25),BD!$H$6:$V$30,14,FALSE))</f>
        <v/>
      </c>
      <c r="J25" s="149" t="str">
        <f t="shared" si="6"/>
        <v/>
      </c>
      <c r="L25" s="68"/>
      <c r="M25" s="69"/>
      <c r="P25" s="69"/>
    </row>
    <row r="26" spans="2:16">
      <c r="B26" s="149"/>
      <c r="C26" s="149"/>
      <c r="D26" s="149"/>
      <c r="E26" s="149" t="str">
        <f t="shared" si="1"/>
        <v/>
      </c>
      <c r="F26" s="149" t="str">
        <f t="shared" si="2"/>
        <v/>
      </c>
      <c r="G26" s="149" t="str">
        <f>IF(B26="","",SUMIFS(Faturas!V:V,Faturas!R:R,CUSD!B26,Faturas!S:S,CUSD!C26,Faturas!U:U,CUSD!D26))</f>
        <v/>
      </c>
      <c r="H26" s="149" t="str">
        <f t="shared" si="3"/>
        <v/>
      </c>
      <c r="I26" s="149" t="str">
        <f>IF(ISERROR(VLOOKUP(CONCATENATE(A26,A61,E26,F26),BD!$H$6:$V$30,14,FALSE)),"",VLOOKUP(CONCATENATE(A26,A61,E26,F26),BD!$H$6:$V$30,14,FALSE))</f>
        <v/>
      </c>
      <c r="J26" s="149" t="str">
        <f t="shared" si="6"/>
        <v/>
      </c>
      <c r="K26" s="69"/>
      <c r="M26" s="69"/>
      <c r="P26" s="69"/>
    </row>
    <row r="27" spans="2:16">
      <c r="B27" s="149"/>
      <c r="C27" s="149"/>
      <c r="D27" s="149"/>
      <c r="E27" s="149" t="str">
        <f t="shared" si="1"/>
        <v/>
      </c>
      <c r="F27" s="149" t="str">
        <f t="shared" si="2"/>
        <v/>
      </c>
      <c r="G27" s="149" t="str">
        <f>IF(B27="","",SUMIFS(Faturas!V:V,Faturas!R:R,CUSD!B27,Faturas!S:S,CUSD!C27,Faturas!U:U,CUSD!D27))</f>
        <v/>
      </c>
      <c r="H27" s="149" t="str">
        <f t="shared" si="3"/>
        <v/>
      </c>
      <c r="I27" s="149" t="str">
        <f>IF(ISERROR(VLOOKUP(CONCATENATE(A27,A62,E27,F27),BD!$H$6:$V$30,14,FALSE)),"",VLOOKUP(CONCATENATE(A27,A62,E27,F27),BD!$H$6:$V$30,14,FALSE))</f>
        <v/>
      </c>
      <c r="J27" s="149" t="str">
        <f t="shared" si="6"/>
        <v/>
      </c>
      <c r="L27" s="68"/>
      <c r="M27" s="69"/>
      <c r="P27" s="69"/>
    </row>
    <row r="28" spans="2:16">
      <c r="B28" s="149"/>
      <c r="C28" s="149"/>
      <c r="D28" s="149"/>
      <c r="E28" s="149" t="str">
        <f t="shared" si="1"/>
        <v/>
      </c>
      <c r="F28" s="149" t="str">
        <f t="shared" si="2"/>
        <v/>
      </c>
      <c r="G28" s="149" t="str">
        <f>IF(B28="","",SUMIFS(Faturas!V:V,Faturas!R:R,CUSD!B28,Faturas!S:S,CUSD!C28,Faturas!U:U,CUSD!D28))</f>
        <v/>
      </c>
      <c r="H28" s="149" t="str">
        <f t="shared" si="3"/>
        <v/>
      </c>
      <c r="I28" s="149" t="str">
        <f>IF(ISERROR(VLOOKUP(CONCATENATE(A28,A63,E28,F28),BD!$H$6:$V$30,14,FALSE)),"",VLOOKUP(CONCATENATE(A28,A63,E28,F28),BD!$H$6:$V$30,14,FALSE))</f>
        <v/>
      </c>
      <c r="J28" s="149" t="str">
        <f t="shared" si="6"/>
        <v/>
      </c>
      <c r="L28" s="243"/>
      <c r="M28" s="243"/>
      <c r="P28" s="69"/>
    </row>
    <row r="29" spans="2:16">
      <c r="B29" s="149"/>
      <c r="C29" s="149"/>
      <c r="D29" s="149"/>
      <c r="E29" s="149" t="str">
        <f t="shared" si="1"/>
        <v/>
      </c>
      <c r="F29" s="149" t="str">
        <f t="shared" si="2"/>
        <v/>
      </c>
      <c r="G29" s="149" t="str">
        <f>IF(B29="","",SUMIFS(Faturas!V:V,Faturas!R:R,CUSD!B29,Faturas!S:S,CUSD!C29,Faturas!U:U,CUSD!D29))</f>
        <v/>
      </c>
      <c r="H29" s="149" t="str">
        <f t="shared" si="3"/>
        <v/>
      </c>
      <c r="I29" s="149" t="str">
        <f>IF(ISERROR(VLOOKUP(CONCATENATE(A29,A64,E29,F29),BD!$H$6:$V$30,14,FALSE)),"",VLOOKUP(CONCATENATE(A29,A64,E29,F29),BD!$H$6:$V$30,14,FALSE))</f>
        <v/>
      </c>
      <c r="J29" s="149" t="str">
        <f t="shared" si="6"/>
        <v/>
      </c>
      <c r="L29" s="68"/>
      <c r="M29" s="69"/>
      <c r="P29" s="69"/>
    </row>
    <row r="30" spans="2:16">
      <c r="B30" s="149"/>
      <c r="C30" s="149"/>
      <c r="D30" s="149"/>
      <c r="E30" s="149" t="str">
        <f t="shared" si="1"/>
        <v/>
      </c>
      <c r="F30" s="149" t="str">
        <f t="shared" si="2"/>
        <v/>
      </c>
      <c r="G30" s="149" t="str">
        <f>IF(B30="","",SUMIFS(Faturas!V:V,Faturas!R:R,CUSD!B30,Faturas!S:S,CUSD!C30,Faturas!U:U,CUSD!D30))</f>
        <v/>
      </c>
      <c r="H30" s="149" t="str">
        <f t="shared" si="3"/>
        <v/>
      </c>
      <c r="I30" s="149" t="str">
        <f>IF(ISERROR(VLOOKUP(CONCATENATE(A30,A65,E30,F30),BD!$H$6:$V$30,14,FALSE)),"",VLOOKUP(CONCATENATE(A30,A65,E30,F30),BD!$H$6:$V$30,14,FALSE))</f>
        <v/>
      </c>
      <c r="J30" s="149" t="str">
        <f t="shared" si="6"/>
        <v/>
      </c>
      <c r="L30" s="68"/>
      <c r="M30" s="69"/>
      <c r="P30" s="69"/>
    </row>
    <row r="31" spans="2:16">
      <c r="B31" s="377"/>
      <c r="C31" s="377"/>
      <c r="D31" s="377"/>
      <c r="E31" s="377"/>
      <c r="F31" s="377"/>
      <c r="G31" s="378"/>
      <c r="H31" s="378"/>
      <c r="I31" s="378"/>
      <c r="J31" s="142"/>
      <c r="O31" s="69"/>
    </row>
    <row r="32" spans="2:16">
      <c r="B32" s="377"/>
      <c r="C32" s="377"/>
      <c r="D32" s="377"/>
      <c r="E32" s="377"/>
      <c r="F32" s="377"/>
      <c r="G32" s="378"/>
      <c r="H32" s="378"/>
      <c r="I32" s="378"/>
      <c r="J32" s="142"/>
      <c r="O32" s="69"/>
    </row>
    <row r="33" spans="1:15">
      <c r="B33" s="377"/>
      <c r="C33" s="377"/>
      <c r="D33" s="377"/>
      <c r="E33" s="377"/>
      <c r="F33" s="377"/>
      <c r="G33" s="378"/>
      <c r="H33" s="378"/>
      <c r="I33" s="378"/>
      <c r="O33" s="69"/>
    </row>
    <row r="34" spans="1:15" ht="16.5">
      <c r="B34" s="377"/>
      <c r="C34" s="377"/>
      <c r="D34" s="377"/>
      <c r="E34" s="377"/>
      <c r="F34" s="377"/>
      <c r="G34" s="378"/>
      <c r="H34" s="378"/>
      <c r="I34" s="378"/>
      <c r="O34" s="234"/>
    </row>
    <row r="35" spans="1:15">
      <c r="A35" s="68" t="s">
        <v>1318</v>
      </c>
      <c r="B35" s="377"/>
      <c r="C35" s="377"/>
      <c r="D35" s="377"/>
      <c r="E35" s="377"/>
      <c r="F35" s="377"/>
      <c r="G35" s="378"/>
      <c r="H35" s="378"/>
      <c r="I35" s="378"/>
      <c r="O35" s="69"/>
    </row>
    <row r="36" spans="1:15">
      <c r="A36" s="149" t="s">
        <v>217</v>
      </c>
      <c r="B36" s="292" t="s">
        <v>1319</v>
      </c>
      <c r="C36" s="292" t="s">
        <v>1320</v>
      </c>
      <c r="D36" s="292"/>
      <c r="E36" s="292"/>
      <c r="F36" s="377"/>
      <c r="G36" s="378"/>
      <c r="H36" s="292"/>
      <c r="I36" s="292"/>
      <c r="O36" s="69"/>
    </row>
    <row r="37" spans="1:15">
      <c r="A37" s="149" t="s">
        <v>219</v>
      </c>
      <c r="B37" s="292" t="s">
        <v>972</v>
      </c>
      <c r="C37" s="292" t="s">
        <v>1320</v>
      </c>
      <c r="D37" s="292"/>
      <c r="E37" s="292"/>
      <c r="F37" s="377"/>
      <c r="G37" s="378"/>
      <c r="H37" s="292"/>
      <c r="I37" s="292"/>
      <c r="O37" s="69"/>
    </row>
    <row r="38" spans="1:15">
      <c r="A38" s="149" t="s">
        <v>221</v>
      </c>
      <c r="B38" s="292" t="s">
        <v>1321</v>
      </c>
      <c r="C38" s="292" t="s">
        <v>120</v>
      </c>
      <c r="D38" s="292"/>
      <c r="E38" s="292"/>
      <c r="F38" s="377"/>
      <c r="G38" s="378"/>
      <c r="H38" s="292"/>
      <c r="I38" s="292"/>
      <c r="O38" s="69"/>
    </row>
    <row r="39" spans="1:15">
      <c r="A39" s="149" t="s">
        <v>223</v>
      </c>
      <c r="B39" s="292" t="s">
        <v>1321</v>
      </c>
      <c r="C39" s="292" t="s">
        <v>120</v>
      </c>
      <c r="D39" s="292"/>
      <c r="E39" s="292"/>
      <c r="F39" s="377"/>
      <c r="G39" s="378"/>
      <c r="H39" s="292"/>
      <c r="I39" s="292"/>
      <c r="O39" s="69"/>
    </row>
    <row r="40" spans="1:15">
      <c r="B40" s="292"/>
      <c r="C40" s="292"/>
      <c r="D40" s="292"/>
      <c r="E40" s="292"/>
      <c r="F40" s="377"/>
      <c r="G40" s="378"/>
      <c r="H40" s="292"/>
      <c r="I40" s="292"/>
      <c r="O40" s="69"/>
    </row>
    <row r="41" spans="1:15">
      <c r="A41" s="68" t="str">
        <f>IF(LEFT(C6,1)="B","B",TRIM(LEFT(C6,3)))</f>
        <v>A4</v>
      </c>
      <c r="B41" s="292"/>
      <c r="C41" s="292"/>
      <c r="D41" s="292"/>
      <c r="E41" s="292"/>
      <c r="F41" s="377"/>
      <c r="G41" s="378"/>
      <c r="H41" s="292"/>
      <c r="I41" s="292"/>
      <c r="O41" s="69"/>
    </row>
    <row r="42" spans="1:15">
      <c r="A42" s="68" t="str">
        <f t="shared" ref="A42:A52" si="7">IF(LEFT(C7,1)="B","B",TRIM(LEFT(C7,3)))</f>
        <v>A4</v>
      </c>
      <c r="B42" s="292"/>
      <c r="C42" s="292"/>
      <c r="D42" s="292"/>
      <c r="E42" s="292"/>
      <c r="F42" s="377"/>
      <c r="G42" s="378"/>
      <c r="H42" s="292"/>
      <c r="I42" s="292"/>
      <c r="O42" s="69"/>
    </row>
    <row r="43" spans="1:15">
      <c r="A43" s="68" t="str">
        <f t="shared" si="7"/>
        <v>A4</v>
      </c>
      <c r="B43" s="292"/>
      <c r="C43" s="292"/>
      <c r="D43" s="292"/>
      <c r="E43" s="292"/>
      <c r="F43" s="377"/>
      <c r="G43" s="378"/>
      <c r="H43" s="292"/>
      <c r="I43" s="292"/>
      <c r="O43" s="69"/>
    </row>
    <row r="44" spans="1:15" ht="15.75" customHeight="1">
      <c r="A44" s="68" t="str">
        <f t="shared" si="7"/>
        <v>A4</v>
      </c>
      <c r="B44" s="292"/>
      <c r="C44" s="292"/>
      <c r="D44" s="292"/>
      <c r="E44" s="292"/>
      <c r="F44" s="377"/>
      <c r="G44" s="378"/>
      <c r="H44" s="292"/>
      <c r="I44" s="292"/>
      <c r="O44" s="69"/>
    </row>
    <row r="45" spans="1:15">
      <c r="A45" s="68" t="str">
        <f t="shared" si="7"/>
        <v/>
      </c>
    </row>
    <row r="46" spans="1:15">
      <c r="A46" s="68" t="str">
        <f t="shared" si="7"/>
        <v/>
      </c>
    </row>
    <row r="47" spans="1:15">
      <c r="A47" s="68" t="str">
        <f t="shared" si="7"/>
        <v/>
      </c>
    </row>
    <row r="48" spans="1:15">
      <c r="A48" s="68" t="str">
        <f t="shared" si="7"/>
        <v/>
      </c>
    </row>
    <row r="49" spans="1:1">
      <c r="A49" s="68" t="str">
        <f t="shared" si="7"/>
        <v/>
      </c>
    </row>
    <row r="50" spans="1:1">
      <c r="A50" s="68" t="str">
        <f t="shared" si="7"/>
        <v/>
      </c>
    </row>
    <row r="51" spans="1:1">
      <c r="A51" s="68" t="str">
        <f t="shared" si="7"/>
        <v/>
      </c>
    </row>
    <row r="52" spans="1:1">
      <c r="A52" s="68" t="str">
        <f t="shared" si="7"/>
        <v/>
      </c>
    </row>
    <row r="53" spans="1:1">
      <c r="A53" s="68" t="str">
        <f t="shared" ref="A53:A67" si="8">TRIM(LEFT(C18,3))</f>
        <v/>
      </c>
    </row>
    <row r="54" spans="1:1">
      <c r="A54" s="68" t="str">
        <f t="shared" si="8"/>
        <v/>
      </c>
    </row>
    <row r="55" spans="1:1">
      <c r="A55" s="68" t="str">
        <f t="shared" si="8"/>
        <v/>
      </c>
    </row>
    <row r="56" spans="1:1">
      <c r="A56" s="68" t="str">
        <f t="shared" si="8"/>
        <v/>
      </c>
    </row>
    <row r="57" spans="1:1">
      <c r="A57" s="68" t="str">
        <f t="shared" si="8"/>
        <v/>
      </c>
    </row>
    <row r="58" spans="1:1">
      <c r="A58" s="68" t="str">
        <f t="shared" si="8"/>
        <v/>
      </c>
    </row>
    <row r="59" spans="1:1">
      <c r="A59" s="68" t="str">
        <f t="shared" si="8"/>
        <v/>
      </c>
    </row>
    <row r="60" spans="1:1">
      <c r="A60" s="68" t="str">
        <f t="shared" si="8"/>
        <v/>
      </c>
    </row>
    <row r="61" spans="1:1">
      <c r="A61" s="68" t="str">
        <f t="shared" si="8"/>
        <v/>
      </c>
    </row>
    <row r="62" spans="1:1">
      <c r="A62" s="68" t="str">
        <f t="shared" si="8"/>
        <v/>
      </c>
    </row>
    <row r="63" spans="1:1">
      <c r="A63" s="68" t="str">
        <f t="shared" si="8"/>
        <v/>
      </c>
    </row>
    <row r="64" spans="1:1">
      <c r="A64" s="68" t="str">
        <f t="shared" si="8"/>
        <v/>
      </c>
    </row>
    <row r="65" spans="1:1">
      <c r="A65" s="68" t="str">
        <f t="shared" si="8"/>
        <v/>
      </c>
    </row>
    <row r="66" spans="1:1">
      <c r="A66" s="68" t="str">
        <f t="shared" si="8"/>
        <v/>
      </c>
    </row>
    <row r="67" spans="1:1">
      <c r="A67" s="68" t="str">
        <f t="shared" si="8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B1" zoomScale="115" zoomScaleNormal="115" workbookViewId="0">
      <selection activeCell="B12" sqref="B12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7" customFormat="1" ht="29.25" customHeight="1">
      <c r="A1" s="139"/>
      <c r="B1" s="1038" t="s">
        <v>819</v>
      </c>
      <c r="C1" s="1349"/>
      <c r="D1" s="1349"/>
      <c r="E1" s="1349"/>
      <c r="F1" s="1039"/>
      <c r="G1" s="1039"/>
      <c r="H1" s="1248" t="s">
        <v>952</v>
      </c>
      <c r="I1" s="1249">
        <f ca="1">LnkTXTIRTEco</f>
        <v>0.1024</v>
      </c>
      <c r="J1" s="195"/>
      <c r="K1" s="196"/>
    </row>
    <row r="2" spans="1:15" s="197" customFormat="1" ht="27" customHeight="1">
      <c r="B2" s="138" t="str">
        <f>CAPA!C9</f>
        <v>Cerfox</v>
      </c>
      <c r="C2" s="70"/>
      <c r="D2" s="70"/>
      <c r="E2" s="70"/>
      <c r="F2" s="70"/>
      <c r="G2" s="70"/>
      <c r="H2" s="121" t="s">
        <v>956</v>
      </c>
      <c r="I2" s="122">
        <f ca="1">LnkTXTIRTTotal</f>
        <v>-0.24399999999999999</v>
      </c>
    </row>
    <row r="3" spans="1:15">
      <c r="B3" s="1042" t="s">
        <v>1322</v>
      </c>
      <c r="C3" s="824"/>
      <c r="E3" s="824" t="str">
        <f>"Encargos "&amp;YEAR(CAPA!C14)</f>
        <v>Encargos 2021</v>
      </c>
      <c r="F3" s="824"/>
      <c r="H3" s="824"/>
      <c r="I3" s="824"/>
      <c r="J3" s="824"/>
      <c r="K3" s="824"/>
      <c r="L3" s="824"/>
      <c r="M3" s="824"/>
      <c r="N3" s="824"/>
      <c r="O3" s="824"/>
    </row>
    <row r="4" spans="1:15">
      <c r="E4" s="1354" t="s">
        <v>72</v>
      </c>
      <c r="F4" s="1354" t="s">
        <v>1323</v>
      </c>
      <c r="H4" s="72"/>
      <c r="I4" s="72"/>
    </row>
    <row r="5" spans="1:15">
      <c r="B5" s="1354" t="s">
        <v>72</v>
      </c>
      <c r="C5" s="1354" t="s">
        <v>37</v>
      </c>
      <c r="E5" s="68" t="s">
        <v>40</v>
      </c>
      <c r="F5" s="116">
        <f>CAPA!D42</f>
        <v>131134.69120345701</v>
      </c>
      <c r="H5" s="1772" t="s">
        <v>1324</v>
      </c>
      <c r="I5" s="1772"/>
      <c r="K5" s="1772" t="s">
        <v>1325</v>
      </c>
      <c r="L5" s="1772"/>
      <c r="N5" s="1772" t="s">
        <v>1326</v>
      </c>
      <c r="O5" s="1772"/>
    </row>
    <row r="6" spans="1:15">
      <c r="B6" s="68" t="s">
        <v>40</v>
      </c>
      <c r="C6" s="80">
        <f ca="1">L14</f>
        <v>152665.74938543511</v>
      </c>
      <c r="E6" s="68" t="s">
        <v>41</v>
      </c>
      <c r="F6" s="116">
        <f>CAPA!D43</f>
        <v>3787844.66078</v>
      </c>
      <c r="H6" s="201" t="s">
        <v>1327</v>
      </c>
      <c r="I6" s="202">
        <f ca="1">FornecimentoE+LivreE-Calc_Mercado!C16</f>
        <v>64691.249999999978</v>
      </c>
      <c r="K6" s="518" t="s">
        <v>821</v>
      </c>
      <c r="L6" s="422">
        <f ca="1">LnkTXTER</f>
        <v>68450.052945069459</v>
      </c>
      <c r="N6" s="203" t="s">
        <v>1328</v>
      </c>
      <c r="O6" s="403">
        <v>1E-14</v>
      </c>
    </row>
    <row r="7" spans="1:15" ht="13.5" customHeight="1">
      <c r="B7" s="68" t="s">
        <v>41</v>
      </c>
      <c r="C7" s="80">
        <f ca="1">I22</f>
        <v>5641186.5212899977</v>
      </c>
      <c r="D7" s="198"/>
      <c r="E7" s="68" t="s">
        <v>126</v>
      </c>
      <c r="F7" s="116">
        <f>CAPA!D44</f>
        <v>0</v>
      </c>
      <c r="H7" s="1399" t="s">
        <v>1329</v>
      </c>
      <c r="I7" s="1400">
        <v>14.13</v>
      </c>
      <c r="K7" s="518" t="s">
        <v>1167</v>
      </c>
      <c r="L7" s="422">
        <f ca="1">Energia!M7</f>
        <v>2888.5129999999999</v>
      </c>
      <c r="N7" s="203" t="s">
        <v>1330</v>
      </c>
      <c r="O7" s="204">
        <f ca="1">SUM(C12+C6+C9+C10+C8)</f>
        <v>1433474.2705386444</v>
      </c>
    </row>
    <row r="8" spans="1:15">
      <c r="B8" s="68" t="s">
        <v>126</v>
      </c>
      <c r="C8" s="80">
        <v>0</v>
      </c>
      <c r="D8" s="198"/>
      <c r="E8" s="68" t="s">
        <v>844</v>
      </c>
      <c r="F8" s="116">
        <f>CAPA!D45</f>
        <v>0</v>
      </c>
      <c r="K8" s="518" t="s">
        <v>1170</v>
      </c>
      <c r="L8" s="422">
        <f ca="1">LnkTXTPerdas</f>
        <v>6393.2349450694883</v>
      </c>
      <c r="N8" s="203" t="s">
        <v>793</v>
      </c>
      <c r="O8" s="269">
        <f>Resultado!D24</f>
        <v>9770545.3238976002</v>
      </c>
    </row>
    <row r="9" spans="1:15">
      <c r="B9" s="68" t="s">
        <v>1331</v>
      </c>
      <c r="C9" s="851">
        <f ca="1">L19</f>
        <v>366721.15865320963</v>
      </c>
      <c r="D9" s="69"/>
      <c r="E9" s="68" t="s">
        <v>47</v>
      </c>
      <c r="F9" s="116">
        <f>CAPA!D46</f>
        <v>597545.19212000002</v>
      </c>
      <c r="H9" s="1772" t="s">
        <v>1332</v>
      </c>
      <c r="I9" s="1772"/>
      <c r="K9" s="518" t="s">
        <v>1333</v>
      </c>
      <c r="L9" s="422">
        <f ca="1">SUM(L6:L7,-L8)</f>
        <v>64945.330999999976</v>
      </c>
      <c r="N9" s="203" t="s">
        <v>120</v>
      </c>
      <c r="O9" s="268">
        <f ca="1">Resultado!D33</f>
        <v>15476014.231197888</v>
      </c>
    </row>
    <row r="10" spans="1:15">
      <c r="B10" s="68" t="s">
        <v>47</v>
      </c>
      <c r="C10" s="80">
        <f ca="1">IFERROR(Encargos!I7*I6,0)</f>
        <v>914087.3624999997</v>
      </c>
      <c r="D10" s="198"/>
      <c r="E10" s="68" t="s">
        <v>49</v>
      </c>
      <c r="F10" s="116">
        <f>CAPA!D48</f>
        <v>0</v>
      </c>
      <c r="H10" s="1401" t="s">
        <v>1334</v>
      </c>
      <c r="I10" s="1402">
        <f ca="1">FornecimentoE_A1+Calc_Mercado!C10+Calc_Mercado!C11+Calc_Mercado!C114+Calc_Mercado!C115</f>
        <v>0</v>
      </c>
      <c r="K10" s="518" t="s">
        <v>1335</v>
      </c>
      <c r="L10" s="422">
        <f ca="1">SUM(L6:L7)</f>
        <v>71338.565945069466</v>
      </c>
      <c r="N10" s="203" t="s">
        <v>1336</v>
      </c>
      <c r="O10" s="204">
        <f>Resultado!D39</f>
        <v>34000000</v>
      </c>
    </row>
    <row r="11" spans="1:15">
      <c r="B11" s="68" t="s">
        <v>1337</v>
      </c>
      <c r="C11" s="80">
        <v>1E-4</v>
      </c>
      <c r="D11" s="198"/>
      <c r="E11" s="824" t="s">
        <v>2177</v>
      </c>
      <c r="F11" s="1270">
        <f>CAPA!D47</f>
        <v>0</v>
      </c>
      <c r="H11" s="201" t="s">
        <v>1338</v>
      </c>
      <c r="I11" s="141">
        <f ca="1">Calc_Mercado!C12+Calc_Mercado!C13+Calc_Mercado!C14+Calc_Mercado!C116+Calc_Mercado!C117</f>
        <v>9725.4490000000023</v>
      </c>
      <c r="K11" s="518" t="s">
        <v>1339</v>
      </c>
      <c r="L11" s="422">
        <v>0.81100000000000005</v>
      </c>
      <c r="N11" s="203" t="s">
        <v>1340</v>
      </c>
      <c r="O11" s="205">
        <f ca="1">IF(O6=0,0,O6*(SUM(O7:O10)-Q7))</f>
        <v>6.0680033825634141E-7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824" t="str">
        <f>"Encargos "&amp;YEAR(CAPA!C14)-1</f>
        <v>Encargos 2020</v>
      </c>
      <c r="F12" s="824"/>
      <c r="H12" s="201" t="s">
        <v>1341</v>
      </c>
      <c r="I12" s="141">
        <f ca="1">FornecimentoE_BT-Calc_Mercado!C16+Calc_Mercado!C119+Calc_Mercado!C118</f>
        <v>54965.800999999978</v>
      </c>
      <c r="K12" s="518" t="s">
        <v>1342</v>
      </c>
      <c r="L12" s="45">
        <v>4.0000000000000001E-3</v>
      </c>
      <c r="N12" s="203" t="s">
        <v>1343</v>
      </c>
      <c r="O12" s="205">
        <f ca="1">Financeiros!D7</f>
        <v>-20838049.576567985</v>
      </c>
    </row>
    <row r="13" spans="1:15">
      <c r="B13" s="1403" t="s">
        <v>845</v>
      </c>
      <c r="C13" s="1404">
        <f ca="1">SUM(C6:C12)</f>
        <v>7074660.7919286424</v>
      </c>
      <c r="D13" s="198"/>
      <c r="E13" s="1354" t="s">
        <v>72</v>
      </c>
      <c r="F13" s="1354" t="s">
        <v>1323</v>
      </c>
      <c r="H13" s="1405" t="s">
        <v>1344</v>
      </c>
      <c r="I13" s="1406">
        <v>23.38</v>
      </c>
      <c r="K13" s="1407" t="s">
        <v>1345</v>
      </c>
      <c r="L13" s="1408">
        <f ca="1">LnkTXTIParcelaBcomSub+Energia!F18</f>
        <v>34000000</v>
      </c>
      <c r="N13" s="1409" t="s">
        <v>1346</v>
      </c>
      <c r="O13" s="1410">
        <f ca="1">O12*O6+O11</f>
        <v>3.9841984249066157E-7</v>
      </c>
    </row>
    <row r="14" spans="1:15">
      <c r="E14" s="68" t="s">
        <v>40</v>
      </c>
      <c r="F14" s="1411">
        <f>BD!C37</f>
        <v>116164.76222225744</v>
      </c>
      <c r="H14" s="262" t="s">
        <v>1347</v>
      </c>
      <c r="I14" s="858">
        <v>31.67</v>
      </c>
      <c r="K14" s="1412" t="s">
        <v>40</v>
      </c>
      <c r="L14" s="1413">
        <f ca="1">L12*1/L11*L9/L10*L13</f>
        <v>152665.74938543511</v>
      </c>
    </row>
    <row r="15" spans="1:15">
      <c r="E15" s="68" t="s">
        <v>41</v>
      </c>
      <c r="F15" s="80">
        <f>BD!C35</f>
        <v>3396412.6616999977</v>
      </c>
      <c r="H15" s="1414" t="s">
        <v>1348</v>
      </c>
      <c r="I15" s="1415">
        <v>37.700000000000003</v>
      </c>
    </row>
    <row r="16" spans="1:15">
      <c r="E16" s="68" t="s">
        <v>126</v>
      </c>
      <c r="F16" s="80">
        <v>0</v>
      </c>
      <c r="H16" s="1304" t="s">
        <v>1349</v>
      </c>
      <c r="I16" s="1406">
        <v>55.4</v>
      </c>
      <c r="K16" s="1772" t="s">
        <v>844</v>
      </c>
      <c r="L16" s="1772"/>
    </row>
    <row r="17" spans="2:14">
      <c r="E17" s="68" t="s">
        <v>844</v>
      </c>
      <c r="F17" s="80">
        <v>0</v>
      </c>
      <c r="H17" s="68" t="s">
        <v>1350</v>
      </c>
      <c r="I17" s="858">
        <v>75.06</v>
      </c>
      <c r="K17" s="1401" t="s">
        <v>2199</v>
      </c>
      <c r="L17" s="1402">
        <f ca="1">20.29*LnkTXTER*3/12</f>
        <v>347212.89356386481</v>
      </c>
    </row>
    <row r="18" spans="2:14">
      <c r="C18" s="108"/>
      <c r="D18" s="108"/>
      <c r="E18" s="68" t="s">
        <v>47</v>
      </c>
      <c r="F18" s="80">
        <f>BD!C36</f>
        <v>446189.77779999969</v>
      </c>
      <c r="G18" s="108"/>
      <c r="H18" s="824" t="s">
        <v>1351</v>
      </c>
      <c r="I18" s="1415">
        <v>89.35</v>
      </c>
      <c r="K18" s="201" t="s">
        <v>2202</v>
      </c>
      <c r="L18" s="141">
        <f ca="1">1.14*LnkTXTER*3/12</f>
        <v>19508.265089344794</v>
      </c>
    </row>
    <row r="19" spans="2:14">
      <c r="C19" s="108"/>
      <c r="D19" s="108"/>
      <c r="E19" s="824" t="s">
        <v>49</v>
      </c>
      <c r="F19" s="1416">
        <v>0</v>
      </c>
      <c r="G19" s="108"/>
      <c r="H19" s="68" t="s">
        <v>1352</v>
      </c>
      <c r="I19" s="69">
        <f ca="1">IF(CAPA!C10="S/SE/CO",Encargos!I10*Encargos!I16+Encargos!I11*Encargos!I17+Encargos!I12*Encargos!I18,Encargos!I10*Encargos!I13+Encargos!I11*Encargos!I14+Encargos!I12*Encargos!I15)</f>
        <v>5641186.5212899977</v>
      </c>
      <c r="K19" s="1354" t="s">
        <v>845</v>
      </c>
      <c r="L19" s="1647">
        <f ca="1">SUM(L17:L18)</f>
        <v>366721.15865320963</v>
      </c>
    </row>
    <row r="20" spans="2:14">
      <c r="C20" s="108"/>
      <c r="D20" s="108"/>
      <c r="F20" s="80"/>
      <c r="G20" s="108"/>
      <c r="H20" s="1417" t="s">
        <v>1353</v>
      </c>
      <c r="I20" s="1418">
        <f>IFERROR(VLOOKUP("CDE Covid",TabEncargosBancoConsolidados[],2,FALSE),0)</f>
        <v>0</v>
      </c>
    </row>
    <row r="21" spans="2:14">
      <c r="C21" s="108"/>
      <c r="D21" s="108"/>
      <c r="F21" s="80"/>
      <c r="G21" s="108"/>
      <c r="H21" s="68" t="s">
        <v>2200</v>
      </c>
      <c r="I21" s="69">
        <f>IFERROR(VLOOKUP("CDE Eletrobras",TabEncargosBancoConsolidados[],2,FALSE),0)</f>
        <v>0</v>
      </c>
    </row>
    <row r="22" spans="2:14">
      <c r="C22" s="108"/>
      <c r="D22" s="108"/>
      <c r="F22" s="80"/>
      <c r="G22" s="108"/>
      <c r="H22" s="1354" t="s">
        <v>2203</v>
      </c>
      <c r="I22" s="1647">
        <f ca="1">I19+I20+I21</f>
        <v>5641186.5212899977</v>
      </c>
    </row>
    <row r="23" spans="2:14">
      <c r="C23" s="108"/>
      <c r="D23" s="108"/>
      <c r="F23" s="80"/>
      <c r="G23" s="108"/>
    </row>
    <row r="24" spans="2:14">
      <c r="C24" s="108"/>
      <c r="D24" s="108"/>
      <c r="F24" s="80"/>
      <c r="G24" s="108"/>
      <c r="I24" s="69"/>
    </row>
    <row r="25" spans="2:14">
      <c r="C25" s="108"/>
      <c r="D25" s="108"/>
      <c r="F25" s="80"/>
      <c r="G25" s="108"/>
      <c r="I25" s="69"/>
    </row>
    <row r="26" spans="2:14">
      <c r="C26" s="108"/>
      <c r="D26" s="108"/>
      <c r="F26" s="80"/>
      <c r="G26" s="108"/>
    </row>
    <row r="27" spans="2:14" ht="15" customHeight="1">
      <c r="B27" s="1042" t="s">
        <v>1354</v>
      </c>
      <c r="C27" s="824"/>
      <c r="D27" s="824"/>
      <c r="E27" s="824"/>
      <c r="F27" s="824"/>
      <c r="G27" s="824"/>
      <c r="J27" s="824"/>
      <c r="K27" s="824"/>
      <c r="L27" s="824"/>
      <c r="M27" s="193"/>
    </row>
    <row r="28" spans="2:14">
      <c r="B28" s="271"/>
      <c r="C28" s="270"/>
      <c r="D28" s="270"/>
      <c r="E28" s="267"/>
    </row>
    <row r="29" spans="2:14">
      <c r="C29" s="198" t="s">
        <v>119</v>
      </c>
      <c r="D29" s="198" t="s">
        <v>1355</v>
      </c>
      <c r="E29" s="198"/>
      <c r="F29" s="198"/>
      <c r="G29" s="198"/>
      <c r="L29" s="193"/>
      <c r="M29" s="194"/>
    </row>
    <row r="30" spans="2:14" ht="16.5" customHeight="1">
      <c r="C30" s="1354" t="s">
        <v>2231</v>
      </c>
      <c r="D30" s="1354" t="s">
        <v>46</v>
      </c>
      <c r="E30" s="1354" t="s">
        <v>40</v>
      </c>
      <c r="F30" s="1354" t="s">
        <v>41</v>
      </c>
      <c r="G30" s="1354" t="s">
        <v>47</v>
      </c>
      <c r="H30" s="1654" t="s">
        <v>2232</v>
      </c>
      <c r="I30" s="1654" t="s">
        <v>2258</v>
      </c>
      <c r="J30" s="1354" t="s">
        <v>1356</v>
      </c>
      <c r="L30" s="1771" t="s">
        <v>1357</v>
      </c>
      <c r="M30" s="1771"/>
      <c r="N30" s="273"/>
    </row>
    <row r="31" spans="2:14">
      <c r="B31" s="272">
        <f>Indexador!B68</f>
        <v>44378</v>
      </c>
      <c r="C31" s="1261">
        <f ca="1">IFERROR(IF(CAPA!$C$113="Não",C47-C62,IF(Indexador!$B68&lt;CAPA!$C$114,0,C47-C62)),0)</f>
        <v>0</v>
      </c>
      <c r="D31" s="1261">
        <f ca="1">IF(CAPA!$C$113="Não",D47-D62,IF(Indexador!$B68&lt;CAPA!$C$114,0,D47-D62))</f>
        <v>0</v>
      </c>
      <c r="E31" s="1261">
        <f ca="1">IF(CAPA!$C$113="Não",E47-E62,IF(Indexador!$B68&lt;CAPA!$C$114,0,E47-E62))</f>
        <v>649.72137558912618</v>
      </c>
      <c r="F31" s="1261">
        <f ca="1">IF(CAPA!$C$113="Não",F47-F62,IF(Indexador!$B68&lt;CAPA!$C$114,0,F47-F62))</f>
        <v>18859.761922723847</v>
      </c>
      <c r="G31" s="1261">
        <f ca="1">IF(CAPA!$C$113="Não",G47-G62,IF(Indexador!$B68&lt;CAPA!$C$114,0,G47-G62))</f>
        <v>2968.1827192501514</v>
      </c>
      <c r="H31" s="1261">
        <f ca="1">IF(CAPA!$C$113="Não",H47-H62,IF(Indexador!$B68&lt;CAPA!$C$114,0,H47-H62))</f>
        <v>0</v>
      </c>
      <c r="I31" s="1261">
        <f ca="1">IF(CAPA!$C$113="Não",I47-I62,IF(Indexador!$B68&lt;CAPA!$C$114,0,I47-I62))</f>
        <v>0</v>
      </c>
      <c r="J31" s="1261">
        <f ca="1">IF(CAPA!$C$113="Não",J47-J62,IF(Indexador!$B68&lt;CAPA!$C$114,0,J47-J62))</f>
        <v>22477.66601756314</v>
      </c>
      <c r="L31" s="68" t="s">
        <v>40</v>
      </c>
      <c r="M31" s="116">
        <f ca="1">Indexador!H80</f>
        <v>-1468.8637825615788</v>
      </c>
      <c r="N31" s="80"/>
    </row>
    <row r="32" spans="2:14">
      <c r="B32" s="272">
        <f>Indexador!B69</f>
        <v>44409</v>
      </c>
      <c r="C32" s="116">
        <f ca="1">IFERROR(IF(CAPA!$C$113="Não",C48-C63,IF(Indexador!$B69&lt;CAPA!$C$114,0,C48-C63)),0)</f>
        <v>0</v>
      </c>
      <c r="D32" s="116">
        <f ca="1">IF(CAPA!$C$113="Não",D48-D63,IF(Indexador!$B69&lt;CAPA!$C$114,0,D48-D63))</f>
        <v>0</v>
      </c>
      <c r="E32" s="116">
        <f ca="1">IF(CAPA!$C$113="Não",E48-E63,IF(Indexador!$B69&lt;CAPA!$C$114,0,E48-E63))</f>
        <v>843.03683974337218</v>
      </c>
      <c r="F32" s="116">
        <f ca="1">IF(CAPA!$C$113="Não",F48-F63,IF(Indexador!$B69&lt;CAPA!$C$114,0,F48-F63))</f>
        <v>24638.284229389159</v>
      </c>
      <c r="G32" s="116">
        <f ca="1">IF(CAPA!$C$113="Não",G48-G63,IF(Indexador!$B69&lt;CAPA!$C$114,0,G48-G63))</f>
        <v>3893.406163378917</v>
      </c>
      <c r="H32" s="116">
        <f ca="1">IF(CAPA!$C$113="Não",H48-H63,IF(Indexador!$B69&lt;CAPA!$C$114,0,H48-H63))</f>
        <v>0</v>
      </c>
      <c r="I32" s="116">
        <f ca="1">IF(CAPA!$C$113="Não",I48-I63,IF(Indexador!$B69&lt;CAPA!$C$114,0,I48-I63))</f>
        <v>0</v>
      </c>
      <c r="J32" s="116">
        <f ca="1">IF(CAPA!$C$113="Não",J48-J63,IF(Indexador!$B69&lt;CAPA!$C$114,0,J48-J63))</f>
        <v>29374.727232511446</v>
      </c>
      <c r="L32" s="68" t="s">
        <v>1358</v>
      </c>
      <c r="M32" s="116">
        <f ca="1">Indexador!J80+Indexador!L80</f>
        <v>-38569.859714027712</v>
      </c>
      <c r="N32" s="80"/>
    </row>
    <row r="33" spans="2:14">
      <c r="B33" s="272">
        <f>Indexador!B70</f>
        <v>44440</v>
      </c>
      <c r="C33" s="116">
        <f ca="1">IFERROR(IF(CAPA!$C$113="Não",C49-C64,IF(Indexador!$B70&lt;CAPA!$C$114,0,C49-C64)),0)</f>
        <v>0</v>
      </c>
      <c r="D33" s="116">
        <f ca="1">IF(CAPA!$C$113="Não",D49-D64,IF(Indexador!$B70&lt;CAPA!$C$114,0,D49-D64))</f>
        <v>0</v>
      </c>
      <c r="E33" s="116">
        <f ca="1">IF(CAPA!$C$113="Não",E49-E64,IF(Indexador!$B70&lt;CAPA!$C$114,0,E49-E64))</f>
        <v>831.93409729642372</v>
      </c>
      <c r="F33" s="116">
        <f ca="1">IF(CAPA!$C$113="Não",F49-F64,IF(Indexador!$B70&lt;CAPA!$C$114,0,F49-F64))</f>
        <v>24649.110535530199</v>
      </c>
      <c r="G33" s="116">
        <f ca="1">IF(CAPA!$C$113="Não",G49-G64,IF(Indexador!$B70&lt;CAPA!$C$114,0,G49-G64))</f>
        <v>3922.4882600441269</v>
      </c>
      <c r="H33" s="116">
        <f ca="1">IF(CAPA!$C$113="Não",H49-H64,IF(Indexador!$B70&lt;CAPA!$C$114,0,H49-H64))</f>
        <v>0</v>
      </c>
      <c r="I33" s="116">
        <f ca="1">IF(CAPA!$C$113="Não",I49-I64,IF(Indexador!$B70&lt;CAPA!$C$114,0,I49-I64))</f>
        <v>0</v>
      </c>
      <c r="J33" s="116">
        <f ca="1">IF(CAPA!$C$113="Não",J49-J64,IF(Indexador!$B70&lt;CAPA!$C$114,0,J49-J64))</f>
        <v>29403.532892870775</v>
      </c>
      <c r="L33" s="68" t="s">
        <v>126</v>
      </c>
      <c r="M33" s="116">
        <f>0</f>
        <v>0</v>
      </c>
      <c r="N33" s="80"/>
    </row>
    <row r="34" spans="2:14">
      <c r="B34" s="272">
        <f>Indexador!B71</f>
        <v>44470</v>
      </c>
      <c r="C34" s="116">
        <f ca="1">IFERROR(IF(CAPA!$C$113="Não",C50-C65,IF(Indexador!$B71&lt;CAPA!$C$114,0,C50-C65)),0)</f>
        <v>0</v>
      </c>
      <c r="D34" s="116">
        <f ca="1">IF(CAPA!$C$113="Não",D50-D65,IF(Indexador!$B71&lt;CAPA!$C$114,0,D50-D65))</f>
        <v>0</v>
      </c>
      <c r="E34" s="116">
        <f ca="1">IF(CAPA!$C$113="Não",E50-E65,IF(Indexador!$B71&lt;CAPA!$C$114,0,E50-E65))</f>
        <v>523.34423346320727</v>
      </c>
      <c r="F34" s="116">
        <f ca="1">IF(CAPA!$C$113="Não",F50-F65,IF(Indexador!$B71&lt;CAPA!$C$114,0,F50-F65))</f>
        <v>12677.658332681051</v>
      </c>
      <c r="G34" s="116">
        <f ca="1">IF(CAPA!$C$113="Não",G50-G65,IF(Indexador!$B71&lt;CAPA!$C$114,0,G50-G65))</f>
        <v>1801.1304120624918</v>
      </c>
      <c r="H34" s="116">
        <f ca="1">IF(CAPA!$C$113="Não",H50-H65,IF(Indexador!$B71&lt;CAPA!$C$114,0,H50-H65))</f>
        <v>0</v>
      </c>
      <c r="I34" s="116">
        <f ca="1">IF(CAPA!$C$113="Não",I50-I65,IF(Indexador!$B71&lt;CAPA!$C$114,0,I50-I65))</f>
        <v>0</v>
      </c>
      <c r="J34" s="116">
        <f ca="1">IF(CAPA!$C$113="Não",J50-J65,IF(Indexador!$B71&lt;CAPA!$C$114,0,J50-J65))</f>
        <v>15002.132978206733</v>
      </c>
      <c r="L34" s="68" t="s">
        <v>46</v>
      </c>
      <c r="M34" s="116">
        <f ca="1">Indexador!F80</f>
        <v>0</v>
      </c>
      <c r="N34" s="80"/>
    </row>
    <row r="35" spans="2:14">
      <c r="B35" s="272">
        <f>Indexador!B72</f>
        <v>44501</v>
      </c>
      <c r="C35" s="116">
        <f ca="1">IFERROR(IF(CAPA!$C$113="Não",C51-C66,IF(Indexador!$B72&lt;CAPA!$C$114,0,C51-C66)),0)</f>
        <v>0</v>
      </c>
      <c r="D35" s="116">
        <f ca="1">IF(CAPA!$C$113="Não",D51-D66,IF(Indexador!$B72&lt;CAPA!$C$114,0,D51-D66))</f>
        <v>0</v>
      </c>
      <c r="E35" s="116">
        <f ca="1">IF(CAPA!$C$113="Não",E51-E66,IF(Indexador!$B72&lt;CAPA!$C$114,0,E51-E66))</f>
        <v>545.69855192913019</v>
      </c>
      <c r="F35" s="116">
        <f ca="1">IF(CAPA!$C$113="Não",F51-F66,IF(Indexador!$B72&lt;CAPA!$C$114,0,F51-F66))</f>
        <v>14789.140280099411</v>
      </c>
      <c r="G35" s="116">
        <f ca="1">IF(CAPA!$C$113="Não",G51-G66,IF(Indexador!$B72&lt;CAPA!$C$114,0,G51-G66))</f>
        <v>2248.6149103271455</v>
      </c>
      <c r="H35" s="116">
        <f ca="1">IF(CAPA!$C$113="Não",H51-H66,IF(Indexador!$B72&lt;CAPA!$C$114,0,H51-H66))</f>
        <v>0</v>
      </c>
      <c r="I35" s="116">
        <f ca="1">IF(CAPA!$C$113="Não",I51-I66,IF(Indexador!$B72&lt;CAPA!$C$114,0,I51-I66))</f>
        <v>0</v>
      </c>
      <c r="J35" s="116">
        <f ca="1">IF(CAPA!$C$113="Não",J51-J66,IF(Indexador!$B72&lt;CAPA!$C$114,0,J51-J66))</f>
        <v>17583.45374235569</v>
      </c>
      <c r="L35" s="68" t="s">
        <v>47</v>
      </c>
      <c r="M35" s="116">
        <f ca="1">Indexador!N80</f>
        <v>-6041.0144003341793</v>
      </c>
      <c r="N35" s="80"/>
    </row>
    <row r="36" spans="2:14">
      <c r="B36" s="272">
        <f>Indexador!B73</f>
        <v>44531</v>
      </c>
      <c r="C36" s="116">
        <f ca="1">IFERROR(IF(CAPA!$C$113="Não",C52-C67,IF(Indexador!$B73&lt;CAPA!$C$114,0,C52-C67)),0)</f>
        <v>0</v>
      </c>
      <c r="D36" s="116">
        <f ca="1">IF(CAPA!$C$113="Não",D52-D67,IF(Indexador!$B73&lt;CAPA!$C$114,0,D52-D67))</f>
        <v>0</v>
      </c>
      <c r="E36" s="116">
        <f ca="1">IF(CAPA!$C$113="Não",E52-E67,IF(Indexador!$B73&lt;CAPA!$C$114,0,E52-E67))</f>
        <v>304.11119776073792</v>
      </c>
      <c r="F36" s="116">
        <f ca="1">IF(CAPA!$C$113="Não",F52-F67,IF(Indexador!$B73&lt;CAPA!$C$114,0,F52-F67))</f>
        <v>9057.1567662397283</v>
      </c>
      <c r="G36" s="116">
        <f ca="1">IF(CAPA!$C$113="Não",G52-G67,IF(Indexador!$B73&lt;CAPA!$C$114,0,G52-G67))</f>
        <v>1438.6629787296479</v>
      </c>
      <c r="H36" s="116">
        <f ca="1">IF(CAPA!$C$113="Não",H52-H67,IF(Indexador!$B73&lt;CAPA!$C$114,0,H52-H67))</f>
        <v>0</v>
      </c>
      <c r="I36" s="116">
        <f ca="1">IF(CAPA!$C$113="Não",I52-I67,IF(Indexador!$B73&lt;CAPA!$C$114,0,I52-I67))</f>
        <v>0</v>
      </c>
      <c r="J36" s="116">
        <f ca="1">IF(CAPA!$C$113="Não",J52-J67,IF(Indexador!$B73&lt;CAPA!$C$114,0,J52-J67))</f>
        <v>10799.930942730105</v>
      </c>
      <c r="L36" s="68" t="s">
        <v>2231</v>
      </c>
      <c r="M36" s="116">
        <f ca="1">Indexador!D80</f>
        <v>0</v>
      </c>
      <c r="N36" s="80"/>
    </row>
    <row r="37" spans="2:14">
      <c r="B37" s="272">
        <f>Indexador!B74</f>
        <v>44562</v>
      </c>
      <c r="C37" s="116">
        <f ca="1">IFERROR(IF(CAPA!$C$113="Não",C53-C68,IF(Indexador!$B74&lt;CAPA!$C$114,0,C53-C68)),0)</f>
        <v>0</v>
      </c>
      <c r="D37" s="116">
        <f ca="1">IF(CAPA!$C$113="Não",D53-D68,IF(Indexador!$B74&lt;CAPA!$C$114,0,D53-D68))</f>
        <v>0</v>
      </c>
      <c r="E37" s="116">
        <f ca="1">IF(CAPA!$C$113="Não",E53-E68,IF(Indexador!$B74&lt;CAPA!$C$114,0,E53-E68))</f>
        <v>-1132.9076876340441</v>
      </c>
      <c r="F37" s="116">
        <f ca="1">IF(CAPA!$C$113="Não",F53-F68,IF(Indexador!$B74&lt;CAPA!$C$114,0,F53-F68))</f>
        <v>-31061.139167492453</v>
      </c>
      <c r="G37" s="116">
        <f ca="1">IF(CAPA!$C$113="Não",G53-G68,IF(Indexador!$B74&lt;CAPA!$C$114,0,G53-G68))</f>
        <v>-4765.4614096225123</v>
      </c>
      <c r="H37" s="116">
        <f ca="1">IF(CAPA!$C$113="Não",H53-H68,IF(Indexador!$B74&lt;CAPA!$C$114,0,H53-H68))</f>
        <v>0</v>
      </c>
      <c r="I37" s="116">
        <f ca="1">IF(CAPA!$C$113="Não",I53-I68,IF(Indexador!$B74&lt;CAPA!$C$114,0,I53-I68))</f>
        <v>0</v>
      </c>
      <c r="J37" s="116">
        <f ca="1">IF(CAPA!$C$113="Não",J53-J68,IF(Indexador!$B74&lt;CAPA!$C$114,0,J53-J68))</f>
        <v>-36959.508264748962</v>
      </c>
      <c r="L37" s="824" t="s">
        <v>48</v>
      </c>
      <c r="M37" s="1301">
        <f ca="1">Indexador!L80</f>
        <v>0</v>
      </c>
      <c r="N37" s="80"/>
    </row>
    <row r="38" spans="2:14">
      <c r="B38" s="272">
        <f>Indexador!B75</f>
        <v>44593</v>
      </c>
      <c r="C38" s="116">
        <f ca="1">IFERROR(IF(CAPA!$C$113="Não",C54-C69,IF(Indexador!$B75&lt;CAPA!$C$114,0,C54-C69)),0)</f>
        <v>0</v>
      </c>
      <c r="D38" s="116">
        <f ca="1">IF(CAPA!$C$113="Não",D54-D69,IF(Indexador!$B75&lt;CAPA!$C$114,0,D54-D69))</f>
        <v>0</v>
      </c>
      <c r="E38" s="116">
        <f ca="1">IF(CAPA!$C$113="Não",E54-E69,IF(Indexador!$B75&lt;CAPA!$C$114,0,E54-E69))</f>
        <v>-2083.6304035931225</v>
      </c>
      <c r="F38" s="116">
        <f ca="1">IF(CAPA!$C$113="Não",F54-F69,IF(Indexador!$B75&lt;CAPA!$C$114,0,F54-F69))</f>
        <v>-56500.465800501232</v>
      </c>
      <c r="G38" s="116">
        <f ca="1">IF(CAPA!$C$113="Não",G54-G69,IF(Indexador!$B75&lt;CAPA!$C$114,0,G54-G69))</f>
        <v>-8619.1181679048459</v>
      </c>
      <c r="H38" s="116">
        <f ca="1">IF(CAPA!$C$113="Não",H54-H69,IF(Indexador!$B75&lt;CAPA!$C$114,0,H54-H69))</f>
        <v>0</v>
      </c>
      <c r="I38" s="116">
        <f ca="1">IF(CAPA!$C$113="Não",I54-I69,IF(Indexador!$B75&lt;CAPA!$C$114,0,I54-I69))</f>
        <v>0</v>
      </c>
      <c r="J38" s="116">
        <f ca="1">IF(CAPA!$C$113="Não",J54-J69,IF(Indexador!$B75&lt;CAPA!$C$114,0,J54-J69))</f>
        <v>-67203.214371999202</v>
      </c>
      <c r="L38" s="71" t="s">
        <v>836</v>
      </c>
      <c r="M38" s="274">
        <f ca="1">SUM(M31:M36)</f>
        <v>-46079.737896923471</v>
      </c>
      <c r="N38" s="80"/>
    </row>
    <row r="39" spans="2:14">
      <c r="B39" s="272">
        <f>Indexador!B76</f>
        <v>44621</v>
      </c>
      <c r="C39" s="116">
        <f ca="1">IFERROR(IF(CAPA!$C$113="Não",C55-C70,IF(Indexador!$B76&lt;CAPA!$C$114,0,C55-C70)),0)</f>
        <v>0</v>
      </c>
      <c r="D39" s="116">
        <f ca="1">IF(CAPA!$C$113="Não",D55-D70,IF(Indexador!$B76&lt;CAPA!$C$114,0,D55-D70))</f>
        <v>0</v>
      </c>
      <c r="E39" s="116">
        <f ca="1">IF(CAPA!$C$113="Não",E55-E70,IF(Indexador!$B76&lt;CAPA!$C$114,0,E55-E70))</f>
        <v>-1570.5390360654328</v>
      </c>
      <c r="F39" s="116">
        <f ca="1">IF(CAPA!$C$113="Não",F55-F70,IF(Indexador!$B76&lt;CAPA!$C$114,0,F55-F70))</f>
        <v>-45561.793163112598</v>
      </c>
      <c r="G39" s="116">
        <f ca="1">IF(CAPA!$C$113="Não",G55-G70,IF(Indexador!$B76&lt;CAPA!$C$114,0,G55-G70))</f>
        <v>-7219.9052099634719</v>
      </c>
      <c r="H39" s="116">
        <f ca="1">IF(CAPA!$C$113="Não",H55-H70,IF(Indexador!$B76&lt;CAPA!$C$114,0,H55-H70))</f>
        <v>0</v>
      </c>
      <c r="I39" s="116">
        <f ca="1">IF(CAPA!$C$113="Não",I55-I70,IF(Indexador!$B76&lt;CAPA!$C$114,0,I55-I70))</f>
        <v>0</v>
      </c>
      <c r="J39" s="116">
        <f ca="1">IF(CAPA!$C$113="Não",J55-J70,IF(Indexador!$B76&lt;CAPA!$C$114,0,J55-J70))</f>
        <v>-54352.237409141497</v>
      </c>
      <c r="N39" s="80"/>
    </row>
    <row r="40" spans="2:14">
      <c r="B40" s="272">
        <f>Indexador!B77</f>
        <v>44652</v>
      </c>
      <c r="C40" s="116">
        <f ca="1">IFERROR(IF(CAPA!$C$113="Não",C56-C71,IF(Indexador!$B77&lt;CAPA!$C$114,0,C56-C71)),0)</f>
        <v>0</v>
      </c>
      <c r="D40" s="116">
        <f ca="1">IF(CAPA!$C$113="Não",D56-D71,IF(Indexador!$B77&lt;CAPA!$C$114,0,D56-D71))</f>
        <v>0</v>
      </c>
      <c r="E40" s="116">
        <f ca="1">IF(CAPA!$C$113="Não",E56-E71,IF(Indexador!$B77&lt;CAPA!$C$114,0,E56-E71))</f>
        <v>-349.01731627898516</v>
      </c>
      <c r="F40" s="116">
        <f ca="1">IF(CAPA!$C$113="Não",F56-F71,IF(Indexador!$B77&lt;CAPA!$C$114,0,F56-F71))</f>
        <v>-9754.710488351353</v>
      </c>
      <c r="G40" s="116">
        <f ca="1">IF(CAPA!$C$113="Não",G56-G71,IF(Indexador!$B77&lt;CAPA!$C$114,0,G56-G71))</f>
        <v>-1550.1095795147703</v>
      </c>
      <c r="H40" s="116">
        <f ca="1">IF(CAPA!$C$113="Não",H56-H71,IF(Indexador!$B77&lt;CAPA!$C$114,0,H56-H71))</f>
        <v>0</v>
      </c>
      <c r="I40" s="116">
        <f ca="1">IF(CAPA!$C$113="Não",I56-I71,IF(Indexador!$B77&lt;CAPA!$C$114,0,I56-I71))</f>
        <v>0</v>
      </c>
      <c r="J40" s="116">
        <f ca="1">IF(CAPA!$C$113="Não",J56-J71,IF(Indexador!$B77&lt;CAPA!$C$114,0,J56-J71))</f>
        <v>-11653.837384145067</v>
      </c>
      <c r="L40" s="1771" t="s">
        <v>2257</v>
      </c>
      <c r="M40" s="1771"/>
      <c r="N40" s="80"/>
    </row>
    <row r="41" spans="2:14">
      <c r="B41" s="272">
        <f>Indexador!B78</f>
        <v>44682</v>
      </c>
      <c r="C41" s="116">
        <f ca="1">IFERROR(IF(CAPA!$C$113="Não",C57-C72,IF(Indexador!$B78&lt;CAPA!$C$114,0,C57-C72)),0)</f>
        <v>0</v>
      </c>
      <c r="D41" s="116">
        <f ca="1">IF(CAPA!$C$113="Não",D57-D72,IF(Indexador!$B78&lt;CAPA!$C$114,0,D57-D72))</f>
        <v>0</v>
      </c>
      <c r="E41" s="116">
        <f ca="1">IF(CAPA!$C$113="Não",E57-E72,IF(Indexador!$B78&lt;CAPA!$C$114,0,E57-E72))</f>
        <v>438.19887353144804</v>
      </c>
      <c r="F41" s="116">
        <f ca="1">IF(CAPA!$C$113="Não",F57-F72,IF(Indexador!$B78&lt;CAPA!$C$114,0,F57-F72))</f>
        <v>11696.227339098754</v>
      </c>
      <c r="G41" s="116">
        <f ca="1">IF(CAPA!$C$113="Não",G57-G72,IF(Indexador!$B78&lt;CAPA!$C$114,0,G57-G72))</f>
        <v>1712.2740997866786</v>
      </c>
      <c r="H41" s="116">
        <f ca="1">IF(CAPA!$C$113="Não",H57-H72,IF(Indexador!$B78&lt;CAPA!$C$114,0,H57-H72))</f>
        <v>0</v>
      </c>
      <c r="I41" s="116">
        <f ca="1">IF(CAPA!$C$113="Não",I57-I72,IF(Indexador!$B78&lt;CAPA!$C$114,0,I57-I72))</f>
        <v>0</v>
      </c>
      <c r="J41" s="116">
        <f ca="1">IF(CAPA!$C$113="Não",J57-J72,IF(Indexador!$B78&lt;CAPA!$C$114,0,J57-J72))</f>
        <v>13846.700312416884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72">
        <f>Indexador!B79</f>
        <v>44713</v>
      </c>
      <c r="C42" s="1270">
        <f ca="1">IFERROR(IF(CAPA!$C$113="Não",C58-C73,IF(Indexador!$B79&lt;CAPA!$C$114,0,C58-C73)),0)</f>
        <v>0</v>
      </c>
      <c r="D42" s="1270">
        <f ca="1">IF(CAPA!$C$113="Não",D58-D73,IF(Indexador!$B79&lt;CAPA!$C$114,0,D58-D73))</f>
        <v>0</v>
      </c>
      <c r="E42" s="1270">
        <f ca="1">IF(CAPA!$C$113="Não",E58-E73,IF(Indexador!$B79&lt;CAPA!$C$114,0,E58-E73))</f>
        <v>-590.93505685006494</v>
      </c>
      <c r="F42" s="1270">
        <f ca="1">IF(CAPA!$C$113="Não",F58-F73,IF(Indexador!$B79&lt;CAPA!$C$114,0,F58-F73))</f>
        <v>-15696.473893494345</v>
      </c>
      <c r="G42" s="1270">
        <f ca="1">IF(CAPA!$C$113="Não",G58-G73,IF(Indexador!$B79&lt;CAPA!$C$114,0,G58-G73))</f>
        <v>-2444.6385286322256</v>
      </c>
      <c r="H42" s="1270">
        <f ca="1">IF(CAPA!$C$113="Não",H58-H73,IF(Indexador!$B79&lt;CAPA!$C$114,0,H58-H73))</f>
        <v>0</v>
      </c>
      <c r="I42" s="1270">
        <f ca="1">IF(CAPA!$C$113="Não",I58-I73,IF(Indexador!$B79&lt;CAPA!$C$114,0,I58-I73))</f>
        <v>0</v>
      </c>
      <c r="J42" s="1270">
        <f ca="1">IF(CAPA!$C$113="Não",J58-J73,IF(Indexador!$B79&lt;CAPA!$C$114,0,J58-J73))</f>
        <v>-18732.047478976601</v>
      </c>
      <c r="L42" s="824" t="str">
        <f>I30</f>
        <v>Crédito Pis Cofins</v>
      </c>
      <c r="M42" s="1301">
        <f ca="1">Indexador!R80</f>
        <v>0</v>
      </c>
      <c r="N42" s="80"/>
    </row>
    <row r="43" spans="2:14">
      <c r="L43" s="71" t="s">
        <v>845</v>
      </c>
      <c r="M43" s="274">
        <f ca="1">SUM(M41:M42)</f>
        <v>0</v>
      </c>
    </row>
    <row r="44" spans="2:14">
      <c r="K44" s="142"/>
    </row>
    <row r="45" spans="2:14">
      <c r="C45" s="198" t="s">
        <v>1323</v>
      </c>
      <c r="D45" s="198"/>
      <c r="E45" s="198"/>
      <c r="F45" s="198"/>
      <c r="K45" s="142"/>
    </row>
    <row r="46" spans="2:14" ht="28.5">
      <c r="C46" s="1354" t="s">
        <v>2231</v>
      </c>
      <c r="D46" s="1354" t="s">
        <v>46</v>
      </c>
      <c r="E46" s="1354" t="s">
        <v>40</v>
      </c>
      <c r="F46" s="1354" t="s">
        <v>41</v>
      </c>
      <c r="G46" s="1354" t="s">
        <v>47</v>
      </c>
      <c r="H46" s="1654" t="s">
        <v>2232</v>
      </c>
      <c r="I46" s="1654" t="s">
        <v>2254</v>
      </c>
      <c r="J46" s="1354" t="s">
        <v>1359</v>
      </c>
      <c r="K46" s="142"/>
    </row>
    <row r="47" spans="2:14">
      <c r="B47" s="272">
        <f>Indexador!B37</f>
        <v>44378</v>
      </c>
      <c r="C47" s="1612">
        <f>$F$11/12</f>
        <v>0</v>
      </c>
      <c r="D47" s="1419">
        <f>$F$8/12</f>
        <v>0</v>
      </c>
      <c r="E47" s="1261">
        <f t="shared" ref="E47:E58" si="0">$F$5/12</f>
        <v>10927.890933621418</v>
      </c>
      <c r="F47" s="116">
        <f t="shared" ref="F47:F58" si="1">$F$6/12</f>
        <v>315653.72173166665</v>
      </c>
      <c r="G47" s="116">
        <f t="shared" ref="G47:G58" si="2">$F$9/12</f>
        <v>49795.432676666671</v>
      </c>
      <c r="H47" s="116">
        <f>IFERROR((VLOOKUP("Parcela B",TabFinanCovid[],4,FALSE)/12),0)</f>
        <v>0</v>
      </c>
      <c r="I47" s="116">
        <f>IFERROR(VLOOKUP("Créditos de Pis/Cofins",TabFinanNeutralidade[[#All],[Detalhe_Grupo_TARIFA]:[valor]],2,FALSE)/12,0)</f>
        <v>0</v>
      </c>
      <c r="J47" s="1420">
        <f>SUM(C47:G47)</f>
        <v>376377.04534195474</v>
      </c>
      <c r="K47" s="142"/>
    </row>
    <row r="48" spans="2:14">
      <c r="B48" s="272">
        <f>Indexador!B38</f>
        <v>44409</v>
      </c>
      <c r="C48" s="116">
        <f t="shared" ref="C48:C58" si="3">$F$11/12</f>
        <v>0</v>
      </c>
      <c r="D48" s="142">
        <f t="shared" ref="D48:D58" si="4">$F$8/12</f>
        <v>0</v>
      </c>
      <c r="E48" s="116">
        <f t="shared" si="0"/>
        <v>10927.890933621418</v>
      </c>
      <c r="F48" s="116">
        <f t="shared" si="1"/>
        <v>315653.72173166665</v>
      </c>
      <c r="G48" s="116">
        <f t="shared" si="2"/>
        <v>49795.432676666671</v>
      </c>
      <c r="H48" s="116">
        <f>IFERROR((VLOOKUP("Parcela B",TabFinanCovid[],4,FALSE)/12),0)</f>
        <v>0</v>
      </c>
      <c r="I48" s="116">
        <f>IFERROR(VLOOKUP("Créditos de Pis/Cofins",TabFinanNeutralidade[[#All],[Detalhe_Grupo_TARIFA]:[valor]],2,FALSE)/12,0)</f>
        <v>0</v>
      </c>
      <c r="J48" s="144">
        <f t="shared" ref="J48:J58" si="5">SUM(C48:G48)</f>
        <v>376377.04534195474</v>
      </c>
      <c r="K48" s="142"/>
    </row>
    <row r="49" spans="2:12">
      <c r="B49" s="272">
        <f>Indexador!B39</f>
        <v>44440</v>
      </c>
      <c r="C49" s="116">
        <f t="shared" si="3"/>
        <v>0</v>
      </c>
      <c r="D49" s="142">
        <f t="shared" si="4"/>
        <v>0</v>
      </c>
      <c r="E49" s="116">
        <f t="shared" si="0"/>
        <v>10927.890933621418</v>
      </c>
      <c r="F49" s="116">
        <f t="shared" si="1"/>
        <v>315653.72173166665</v>
      </c>
      <c r="G49" s="116">
        <f t="shared" si="2"/>
        <v>49795.432676666671</v>
      </c>
      <c r="H49" s="116">
        <f>IFERROR((VLOOKUP("Parcela B",TabFinanCovid[],4,FALSE)/12),0)</f>
        <v>0</v>
      </c>
      <c r="I49" s="116">
        <f>IFERROR(VLOOKUP("Créditos de Pis/Cofins",TabFinanNeutralidade[[#All],[Detalhe_Grupo_TARIFA]:[valor]],2,FALSE)/12,0)</f>
        <v>0</v>
      </c>
      <c r="J49" s="144">
        <f t="shared" si="5"/>
        <v>376377.04534195474</v>
      </c>
      <c r="K49" s="142"/>
    </row>
    <row r="50" spans="2:12">
      <c r="B50" s="272">
        <f>Indexador!B40</f>
        <v>44470</v>
      </c>
      <c r="C50" s="116">
        <f t="shared" si="3"/>
        <v>0</v>
      </c>
      <c r="D50" s="142">
        <f t="shared" si="4"/>
        <v>0</v>
      </c>
      <c r="E50" s="116">
        <f t="shared" si="0"/>
        <v>10927.890933621418</v>
      </c>
      <c r="F50" s="116">
        <f t="shared" si="1"/>
        <v>315653.72173166665</v>
      </c>
      <c r="G50" s="116">
        <f t="shared" si="2"/>
        <v>49795.432676666671</v>
      </c>
      <c r="H50" s="116">
        <f>IFERROR((VLOOKUP("Parcela B",TabFinanCovid[],4,FALSE)/12),0)</f>
        <v>0</v>
      </c>
      <c r="I50" s="116">
        <f>IFERROR(VLOOKUP("Créditos de Pis/Cofins",TabFinanNeutralidade[[#All],[Detalhe_Grupo_TARIFA]:[valor]],2,FALSE)/12,0)</f>
        <v>0</v>
      </c>
      <c r="J50" s="144">
        <f t="shared" si="5"/>
        <v>376377.04534195474</v>
      </c>
      <c r="K50" s="142"/>
    </row>
    <row r="51" spans="2:12">
      <c r="B51" s="272">
        <f>Indexador!B41</f>
        <v>44501</v>
      </c>
      <c r="C51" s="116">
        <f t="shared" si="3"/>
        <v>0</v>
      </c>
      <c r="D51" s="142">
        <f t="shared" si="4"/>
        <v>0</v>
      </c>
      <c r="E51" s="116">
        <f t="shared" si="0"/>
        <v>10927.890933621418</v>
      </c>
      <c r="F51" s="116">
        <f t="shared" si="1"/>
        <v>315653.72173166665</v>
      </c>
      <c r="G51" s="116">
        <f t="shared" si="2"/>
        <v>49795.432676666671</v>
      </c>
      <c r="H51" s="116">
        <f>IFERROR((VLOOKUP("Parcela B",TabFinanCovid[],4,FALSE)/12),0)</f>
        <v>0</v>
      </c>
      <c r="I51" s="116">
        <f>IFERROR(VLOOKUP("Créditos de Pis/Cofins",TabFinanNeutralidade[[#All],[Detalhe_Grupo_TARIFA]:[valor]],2,FALSE)/12,0)</f>
        <v>0</v>
      </c>
      <c r="J51" s="144">
        <f t="shared" si="5"/>
        <v>376377.04534195474</v>
      </c>
    </row>
    <row r="52" spans="2:12">
      <c r="B52" s="272">
        <f>Indexador!B42</f>
        <v>44531</v>
      </c>
      <c r="C52" s="116">
        <f t="shared" si="3"/>
        <v>0</v>
      </c>
      <c r="D52" s="142">
        <f t="shared" si="4"/>
        <v>0</v>
      </c>
      <c r="E52" s="116">
        <f t="shared" si="0"/>
        <v>10927.890933621418</v>
      </c>
      <c r="F52" s="116">
        <f t="shared" si="1"/>
        <v>315653.72173166665</v>
      </c>
      <c r="G52" s="116">
        <f t="shared" si="2"/>
        <v>49795.432676666671</v>
      </c>
      <c r="H52" s="116">
        <f>IFERROR((VLOOKUP("Parcela B",TabFinanCovid[],4,FALSE)/12),0)</f>
        <v>0</v>
      </c>
      <c r="I52" s="116">
        <f>IFERROR(VLOOKUP("Créditos de Pis/Cofins",TabFinanNeutralidade[[#All],[Detalhe_Grupo_TARIFA]:[valor]],2,FALSE)/12,0)</f>
        <v>0</v>
      </c>
      <c r="J52" s="144">
        <f t="shared" si="5"/>
        <v>376377.04534195474</v>
      </c>
    </row>
    <row r="53" spans="2:12">
      <c r="B53" s="272">
        <f>Indexador!B43</f>
        <v>44562</v>
      </c>
      <c r="C53" s="116">
        <f t="shared" si="3"/>
        <v>0</v>
      </c>
      <c r="D53" s="142">
        <f t="shared" si="4"/>
        <v>0</v>
      </c>
      <c r="E53" s="116">
        <f t="shared" si="0"/>
        <v>10927.890933621418</v>
      </c>
      <c r="F53" s="116">
        <f t="shared" si="1"/>
        <v>315653.72173166665</v>
      </c>
      <c r="G53" s="116">
        <f t="shared" si="2"/>
        <v>49795.432676666671</v>
      </c>
      <c r="H53" s="116">
        <f>IFERROR((VLOOKUP("Parcela B",TabFinanCovid[],4,FALSE)/12),0)</f>
        <v>0</v>
      </c>
      <c r="I53" s="116">
        <f>IFERROR(VLOOKUP("Créditos de Pis/Cofins",TabFinanNeutralidade[[#All],[Detalhe_Grupo_TARIFA]:[valor]],2,FALSE)/12,0)</f>
        <v>0</v>
      </c>
      <c r="J53" s="144">
        <f t="shared" si="5"/>
        <v>376377.04534195474</v>
      </c>
    </row>
    <row r="54" spans="2:12">
      <c r="B54" s="272">
        <f>Indexador!B44</f>
        <v>44593</v>
      </c>
      <c r="C54" s="116">
        <f t="shared" si="3"/>
        <v>0</v>
      </c>
      <c r="D54" s="142">
        <f t="shared" si="4"/>
        <v>0</v>
      </c>
      <c r="E54" s="116">
        <f t="shared" si="0"/>
        <v>10927.890933621418</v>
      </c>
      <c r="F54" s="116">
        <f t="shared" si="1"/>
        <v>315653.72173166665</v>
      </c>
      <c r="G54" s="116">
        <f t="shared" si="2"/>
        <v>49795.432676666671</v>
      </c>
      <c r="H54" s="116">
        <f>IFERROR((VLOOKUP("Parcela B",TabFinanCovid[],4,FALSE)/12),0)</f>
        <v>0</v>
      </c>
      <c r="I54" s="116">
        <f>IFERROR(VLOOKUP("Créditos de Pis/Cofins",TabFinanNeutralidade[[#All],[Detalhe_Grupo_TARIFA]:[valor]],2,FALSE)/12,0)</f>
        <v>0</v>
      </c>
      <c r="J54" s="144">
        <f t="shared" si="5"/>
        <v>376377.04534195474</v>
      </c>
    </row>
    <row r="55" spans="2:12">
      <c r="B55" s="272">
        <f>Indexador!B45</f>
        <v>44621</v>
      </c>
      <c r="C55" s="116">
        <f t="shared" si="3"/>
        <v>0</v>
      </c>
      <c r="D55" s="142">
        <f t="shared" si="4"/>
        <v>0</v>
      </c>
      <c r="E55" s="116">
        <f t="shared" si="0"/>
        <v>10927.890933621418</v>
      </c>
      <c r="F55" s="116">
        <f t="shared" si="1"/>
        <v>315653.72173166665</v>
      </c>
      <c r="G55" s="116">
        <f t="shared" si="2"/>
        <v>49795.432676666671</v>
      </c>
      <c r="H55" s="116">
        <f>IFERROR((VLOOKUP("Parcela B",TabFinanCovid[],4,FALSE)/12),0)</f>
        <v>0</v>
      </c>
      <c r="I55" s="116">
        <f>IFERROR(VLOOKUP("Créditos de Pis/Cofins",TabFinanNeutralidade[[#All],[Detalhe_Grupo_TARIFA]:[valor]],2,FALSE)/12,0)</f>
        <v>0</v>
      </c>
      <c r="J55" s="144">
        <f t="shared" si="5"/>
        <v>376377.04534195474</v>
      </c>
    </row>
    <row r="56" spans="2:12">
      <c r="B56" s="272">
        <f>Indexador!B46</f>
        <v>44652</v>
      </c>
      <c r="C56" s="116">
        <f t="shared" si="3"/>
        <v>0</v>
      </c>
      <c r="D56" s="142">
        <f t="shared" si="4"/>
        <v>0</v>
      </c>
      <c r="E56" s="116">
        <f t="shared" si="0"/>
        <v>10927.890933621418</v>
      </c>
      <c r="F56" s="116">
        <f t="shared" si="1"/>
        <v>315653.72173166665</v>
      </c>
      <c r="G56" s="116">
        <f t="shared" si="2"/>
        <v>49795.432676666671</v>
      </c>
      <c r="H56" s="116">
        <f>IFERROR((VLOOKUP("Parcela B",TabFinanCovid[],4,FALSE)/12),0)</f>
        <v>0</v>
      </c>
      <c r="I56" s="116">
        <f>IFERROR(VLOOKUP("Créditos de Pis/Cofins",TabFinanNeutralidade[[#All],[Detalhe_Grupo_TARIFA]:[valor]],2,FALSE)/12,0)</f>
        <v>0</v>
      </c>
      <c r="J56" s="144">
        <f t="shared" si="5"/>
        <v>376377.04534195474</v>
      </c>
    </row>
    <row r="57" spans="2:12">
      <c r="B57" s="272">
        <f>Indexador!B47</f>
        <v>44682</v>
      </c>
      <c r="C57" s="116">
        <f t="shared" si="3"/>
        <v>0</v>
      </c>
      <c r="D57" s="142">
        <f t="shared" si="4"/>
        <v>0</v>
      </c>
      <c r="E57" s="116">
        <f t="shared" si="0"/>
        <v>10927.890933621418</v>
      </c>
      <c r="F57" s="116">
        <f t="shared" si="1"/>
        <v>315653.72173166665</v>
      </c>
      <c r="G57" s="116">
        <f t="shared" si="2"/>
        <v>49795.432676666671</v>
      </c>
      <c r="H57" s="116">
        <f>IFERROR((VLOOKUP("Parcela B",TabFinanCovid[],4,FALSE)/12),0)</f>
        <v>0</v>
      </c>
      <c r="I57" s="116">
        <f>IFERROR(VLOOKUP("Créditos de Pis/Cofins",TabFinanNeutralidade[[#All],[Detalhe_Grupo_TARIFA]:[valor]],2,FALSE)/12,0)</f>
        <v>0</v>
      </c>
      <c r="J57" s="144">
        <f t="shared" si="5"/>
        <v>376377.04534195474</v>
      </c>
    </row>
    <row r="58" spans="2:12">
      <c r="B58" s="272">
        <f>Indexador!B48</f>
        <v>44713</v>
      </c>
      <c r="C58" s="1270">
        <f t="shared" si="3"/>
        <v>0</v>
      </c>
      <c r="D58" s="1421">
        <f t="shared" si="4"/>
        <v>0</v>
      </c>
      <c r="E58" s="1270">
        <f t="shared" si="0"/>
        <v>10927.890933621418</v>
      </c>
      <c r="F58" s="1270">
        <f t="shared" si="1"/>
        <v>315653.72173166665</v>
      </c>
      <c r="G58" s="1270">
        <f t="shared" si="2"/>
        <v>49795.432676666671</v>
      </c>
      <c r="H58" s="1270">
        <f>IFERROR((VLOOKUP("Parcela B",TabFinanCovid[],4,FALSE)/12),0)</f>
        <v>0</v>
      </c>
      <c r="I58" s="1270">
        <f>IFERROR(VLOOKUP("Créditos de Pis/Cofins",TabFinanNeutralidade[[#All],[Detalhe_Grupo_TARIFA]:[valor]],2,FALSE)/12,0)</f>
        <v>0</v>
      </c>
      <c r="J58" s="1422">
        <f t="shared" si="5"/>
        <v>376377.04534195474</v>
      </c>
    </row>
    <row r="60" spans="2:12">
      <c r="C60" s="68" t="s">
        <v>1360</v>
      </c>
      <c r="L60" s="198">
        <v>42491</v>
      </c>
    </row>
    <row r="61" spans="2:12" ht="28.5">
      <c r="C61" s="1613" t="s">
        <v>2231</v>
      </c>
      <c r="D61" s="1354" t="s">
        <v>46</v>
      </c>
      <c r="E61" s="1354" t="s">
        <v>40</v>
      </c>
      <c r="F61" s="1354" t="s">
        <v>41</v>
      </c>
      <c r="G61" s="1354" t="s">
        <v>47</v>
      </c>
      <c r="H61" s="1654" t="s">
        <v>2232</v>
      </c>
      <c r="I61" s="1654" t="s">
        <v>2252</v>
      </c>
      <c r="J61" s="1354" t="s">
        <v>1359</v>
      </c>
      <c r="L61" s="1354" t="s">
        <v>48</v>
      </c>
    </row>
    <row r="62" spans="2:12">
      <c r="B62" s="272">
        <f t="shared" ref="B62:B73" si="6">B47</f>
        <v>44378</v>
      </c>
      <c r="C62" s="1423">
        <f ca="1">Calc_Mercado!S63</f>
        <v>0</v>
      </c>
      <c r="D62" s="1423">
        <f ca="1">Calc_Mercado!F63</f>
        <v>0</v>
      </c>
      <c r="E62" s="1261">
        <f ca="1">Calc_Mercado!I63</f>
        <v>10278.169558032292</v>
      </c>
      <c r="F62" s="1411">
        <f ca="1">Calc_Mercado!H63</f>
        <v>296793.9598089428</v>
      </c>
      <c r="G62" s="1411">
        <f ca="1">Calc_Mercado!G63</f>
        <v>46827.249957416519</v>
      </c>
      <c r="H62" s="1655">
        <f ca="1">IFERROR((VLOOKUP("Parcela B",TabFinanCovid[],4,FALSE)/VLOOKUP("Parcela B",TabFinanNeutralidade[],3,FALSE))*Calc_Mercado!T63,0)</f>
        <v>0</v>
      </c>
      <c r="I62" s="1655">
        <f ca="1">Calc_Mercado!U63</f>
        <v>0</v>
      </c>
      <c r="J62" s="1420">
        <f t="shared" ref="J62:J73" ca="1" si="7">SUM(C62:G62)</f>
        <v>353899.3793243916</v>
      </c>
      <c r="L62" s="1423">
        <f ca="1">IF(B62&lt;$L$60,0,Calc_Mercado!D63)</f>
        <v>0</v>
      </c>
    </row>
    <row r="63" spans="2:12">
      <c r="B63" s="272">
        <f t="shared" si="6"/>
        <v>44409</v>
      </c>
      <c r="C63" s="143">
        <f ca="1">Calc_Mercado!S64</f>
        <v>0</v>
      </c>
      <c r="D63" s="143">
        <f ca="1">Calc_Mercado!F64</f>
        <v>0</v>
      </c>
      <c r="E63" s="116">
        <f ca="1">Calc_Mercado!I64</f>
        <v>10084.854093878046</v>
      </c>
      <c r="F63" s="80">
        <f ca="1">Calc_Mercado!H64</f>
        <v>291015.43750227749</v>
      </c>
      <c r="G63" s="80">
        <f ca="1">Calc_Mercado!G64</f>
        <v>45902.026513287754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4">
        <f t="shared" ca="1" si="7"/>
        <v>347002.31810944329</v>
      </c>
      <c r="L63" s="143">
        <f ca="1">IF(B63&lt;$L$60,0,Calc_Mercado!D64)</f>
        <v>0</v>
      </c>
    </row>
    <row r="64" spans="2:12">
      <c r="B64" s="272">
        <f t="shared" si="6"/>
        <v>44440</v>
      </c>
      <c r="C64" s="143">
        <f ca="1">Calc_Mercado!S65</f>
        <v>0</v>
      </c>
      <c r="D64" s="143">
        <f ca="1">Calc_Mercado!F65</f>
        <v>0</v>
      </c>
      <c r="E64" s="116">
        <f ca="1">Calc_Mercado!I65</f>
        <v>10095.956836324995</v>
      </c>
      <c r="F64" s="80">
        <f ca="1">Calc_Mercado!H65</f>
        <v>291004.61119613645</v>
      </c>
      <c r="G64" s="80">
        <f ca="1">Calc_Mercado!G65</f>
        <v>45872.944416622544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4">
        <f t="shared" ca="1" si="7"/>
        <v>346973.51244908397</v>
      </c>
      <c r="L64" s="143">
        <f ca="1">IF(B64&lt;$L$60,0,Calc_Mercado!D65)</f>
        <v>0</v>
      </c>
    </row>
    <row r="65" spans="2:12">
      <c r="B65" s="272">
        <f t="shared" si="6"/>
        <v>44470</v>
      </c>
      <c r="C65" s="143">
        <f ca="1">Calc_Mercado!S66</f>
        <v>0</v>
      </c>
      <c r="D65" s="143">
        <f ca="1">Calc_Mercado!F66</f>
        <v>0</v>
      </c>
      <c r="E65" s="116">
        <f ca="1">Calc_Mercado!I66</f>
        <v>10404.546700158211</v>
      </c>
      <c r="F65" s="80">
        <f ca="1">Calc_Mercado!H66</f>
        <v>302976.0633989856</v>
      </c>
      <c r="G65" s="80">
        <f ca="1">Calc_Mercado!G66</f>
        <v>47994.302264604179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4">
        <f t="shared" ca="1" si="7"/>
        <v>361374.91236374801</v>
      </c>
      <c r="L65" s="143">
        <f ca="1">IF(B65&lt;$L$60,0,Calc_Mercado!D66)</f>
        <v>0</v>
      </c>
    </row>
    <row r="66" spans="2:12">
      <c r="B66" s="272">
        <f t="shared" si="6"/>
        <v>44501</v>
      </c>
      <c r="C66" s="143">
        <f ca="1">Calc_Mercado!S67</f>
        <v>0</v>
      </c>
      <c r="D66" s="143">
        <f ca="1">Calc_Mercado!F67</f>
        <v>0</v>
      </c>
      <c r="E66" s="116">
        <f ca="1">Calc_Mercado!I67</f>
        <v>10382.192381692288</v>
      </c>
      <c r="F66" s="80">
        <f ca="1">Calc_Mercado!H67</f>
        <v>300864.58145156724</v>
      </c>
      <c r="G66" s="80">
        <f ca="1">Calc_Mercado!G67</f>
        <v>47546.817766339525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4">
        <f t="shared" ca="1" si="7"/>
        <v>358793.59159959905</v>
      </c>
      <c r="L66" s="143">
        <f ca="1">IF(B66&lt;$L$60,0,Calc_Mercado!D67)</f>
        <v>0</v>
      </c>
    </row>
    <row r="67" spans="2:12">
      <c r="B67" s="272">
        <f t="shared" si="6"/>
        <v>44531</v>
      </c>
      <c r="C67" s="143">
        <f ca="1">Calc_Mercado!S68</f>
        <v>0</v>
      </c>
      <c r="D67" s="143">
        <f ca="1">Calc_Mercado!F68</f>
        <v>0</v>
      </c>
      <c r="E67" s="116">
        <f ca="1">Calc_Mercado!I68</f>
        <v>10623.77973586068</v>
      </c>
      <c r="F67" s="80">
        <f ca="1">Calc_Mercado!H68</f>
        <v>306596.56496542692</v>
      </c>
      <c r="G67" s="80">
        <f ca="1">Calc_Mercado!G68</f>
        <v>48356.769697937023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4">
        <f t="shared" ca="1" si="7"/>
        <v>365577.11439922464</v>
      </c>
      <c r="L67" s="143">
        <f ca="1">IF(B67&lt;$L$60,0,Calc_Mercado!D68)</f>
        <v>0</v>
      </c>
    </row>
    <row r="68" spans="2:12">
      <c r="B68" s="272">
        <f t="shared" si="6"/>
        <v>44562</v>
      </c>
      <c r="C68" s="143">
        <f ca="1">Calc_Mercado!S69</f>
        <v>0</v>
      </c>
      <c r="D68" s="143">
        <f ca="1">Calc_Mercado!F69</f>
        <v>0</v>
      </c>
      <c r="E68" s="116">
        <f ca="1">Calc_Mercado!I69</f>
        <v>12060.798621255462</v>
      </c>
      <c r="F68" s="80">
        <f ca="1">Calc_Mercado!H69</f>
        <v>346714.8608991591</v>
      </c>
      <c r="G68" s="80">
        <f ca="1">Calc_Mercado!G69</f>
        <v>54560.894086289183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4">
        <f t="shared" ca="1" si="7"/>
        <v>413336.5536067037</v>
      </c>
      <c r="L68" s="143">
        <f ca="1">IF(B68&lt;$L$60,0,Calc_Mercado!D69)</f>
        <v>0</v>
      </c>
    </row>
    <row r="69" spans="2:12">
      <c r="B69" s="272">
        <f t="shared" si="6"/>
        <v>44593</v>
      </c>
      <c r="C69" s="143">
        <f ca="1">Calc_Mercado!S70</f>
        <v>0</v>
      </c>
      <c r="D69" s="143">
        <f ca="1">Calc_Mercado!F70</f>
        <v>0</v>
      </c>
      <c r="E69" s="116">
        <f ca="1">Calc_Mercado!I70</f>
        <v>13011.521337214541</v>
      </c>
      <c r="F69" s="80">
        <f ca="1">Calc_Mercado!H70</f>
        <v>372154.18753216788</v>
      </c>
      <c r="G69" s="80">
        <f ca="1">Calc_Mercado!G70</f>
        <v>58414.550844571517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4">
        <f t="shared" ca="1" si="7"/>
        <v>443580.25971395394</v>
      </c>
      <c r="L69" s="143">
        <f ca="1">IF(B69&lt;$L$60,0,Calc_Mercado!D70)</f>
        <v>0</v>
      </c>
    </row>
    <row r="70" spans="2:12">
      <c r="B70" s="272">
        <f t="shared" si="6"/>
        <v>44621</v>
      </c>
      <c r="C70" s="143">
        <f ca="1">Calc_Mercado!S71</f>
        <v>0</v>
      </c>
      <c r="D70" s="143">
        <f ca="1">Calc_Mercado!F71</f>
        <v>0</v>
      </c>
      <c r="E70" s="116">
        <f ca="1">Calc_Mercado!I71</f>
        <v>12498.429969686851</v>
      </c>
      <c r="F70" s="80">
        <f ca="1">Calc_Mercado!H71</f>
        <v>361215.51489477925</v>
      </c>
      <c r="G70" s="80">
        <f ca="1">Calc_Mercado!G71</f>
        <v>57015.337886630143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4">
        <f t="shared" ca="1" si="7"/>
        <v>430729.28275109624</v>
      </c>
      <c r="L70" s="143">
        <f ca="1">IF(B70&lt;$L$60,0,Calc_Mercado!D71)</f>
        <v>0</v>
      </c>
    </row>
    <row r="71" spans="2:12">
      <c r="B71" s="272">
        <f t="shared" si="6"/>
        <v>44652</v>
      </c>
      <c r="C71" s="143">
        <f ca="1">Calc_Mercado!S72</f>
        <v>0</v>
      </c>
      <c r="D71" s="143">
        <f ca="1">Calc_Mercado!F72</f>
        <v>0</v>
      </c>
      <c r="E71" s="116">
        <f ca="1">Calc_Mercado!I72</f>
        <v>11276.908249900403</v>
      </c>
      <c r="F71" s="80">
        <f ca="1">Calc_Mercado!H72</f>
        <v>325408.432220018</v>
      </c>
      <c r="G71" s="80">
        <f ca="1">Calc_Mercado!G72</f>
        <v>51345.542256181441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4">
        <f t="shared" ca="1" si="7"/>
        <v>388030.88272609981</v>
      </c>
      <c r="L71" s="143">
        <f ca="1">IF(B71&lt;$L$60,0,Calc_Mercado!D72)</f>
        <v>0</v>
      </c>
    </row>
    <row r="72" spans="2:12">
      <c r="B72" s="272">
        <f t="shared" si="6"/>
        <v>44682</v>
      </c>
      <c r="C72" s="143">
        <f ca="1">Calc_Mercado!S73</f>
        <v>0</v>
      </c>
      <c r="D72" s="143">
        <f ca="1">Calc_Mercado!F73</f>
        <v>0</v>
      </c>
      <c r="E72" s="116">
        <f ca="1">Calc_Mercado!I73</f>
        <v>10489.69206008997</v>
      </c>
      <c r="F72" s="80">
        <f ca="1">Calc_Mercado!H73</f>
        <v>303957.4943925679</v>
      </c>
      <c r="G72" s="80">
        <f ca="1">Calc_Mercado!G73</f>
        <v>48083.158576879992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4">
        <f t="shared" ca="1" si="7"/>
        <v>362530.34502953786</v>
      </c>
      <c r="L72" s="143">
        <f ca="1">IF(B72&lt;$L$60,0,Calc_Mercado!D73)</f>
        <v>0</v>
      </c>
    </row>
    <row r="73" spans="2:12">
      <c r="B73" s="272">
        <f t="shared" si="6"/>
        <v>44713</v>
      </c>
      <c r="C73" s="1424">
        <f ca="1">Calc_Mercado!S74</f>
        <v>0</v>
      </c>
      <c r="D73" s="1424">
        <f ca="1">Calc_Mercado!F74</f>
        <v>0</v>
      </c>
      <c r="E73" s="1270">
        <f ca="1">Calc_Mercado!I74</f>
        <v>11518.825990471483</v>
      </c>
      <c r="F73" s="1416">
        <f ca="1">Calc_Mercado!H74</f>
        <v>331350.195625161</v>
      </c>
      <c r="G73" s="1416">
        <f ca="1">Calc_Mercado!G74</f>
        <v>52240.071205298897</v>
      </c>
      <c r="H73" s="1416">
        <f ca="1">IFERROR((VLOOKUP("Parcela B",TabFinanCovid[],4,FALSE)/VLOOKUP("Parcela B",TabFinanNeutralidade[],3,FALSE))*Calc_Mercado!T74,0)</f>
        <v>0</v>
      </c>
      <c r="I73" s="1416">
        <f ca="1">Calc_Mercado!U74</f>
        <v>0</v>
      </c>
      <c r="J73" s="1422">
        <f t="shared" ca="1" si="7"/>
        <v>395109.09282093134</v>
      </c>
      <c r="L73" s="1424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83"/>
  <sheetViews>
    <sheetView showGridLines="0" topLeftCell="A25" zoomScale="85" zoomScaleNormal="85" workbookViewId="0">
      <selection activeCell="H41" sqref="H41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102" style="68" customWidth="1"/>
    <col min="4" max="4" width="22.140625" style="108" bestFit="1" customWidth="1"/>
    <col min="5" max="5" width="16.28515625" style="1004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19" ht="23.25" customHeight="1">
      <c r="C1" s="1038" t="s">
        <v>800</v>
      </c>
      <c r="D1" s="1425"/>
      <c r="E1" s="1426"/>
      <c r="F1" s="824"/>
      <c r="G1" s="1248" t="s">
        <v>952</v>
      </c>
      <c r="H1" s="1249">
        <f ca="1">LnkTXTIRTEco</f>
        <v>0.1024</v>
      </c>
    </row>
    <row r="2" spans="3:19" ht="16.5">
      <c r="C2" s="637" t="str">
        <f>CAPA!B2</f>
        <v>Cerfox</v>
      </c>
      <c r="D2" s="639"/>
      <c r="E2" s="998"/>
      <c r="F2" s="640"/>
      <c r="G2" s="641" t="s">
        <v>956</v>
      </c>
      <c r="H2" s="642">
        <f ca="1">LnkTXTIRTTotal</f>
        <v>-0.24399999999999999</v>
      </c>
      <c r="I2" s="640"/>
      <c r="J2" s="640"/>
      <c r="K2" s="640"/>
      <c r="L2" s="640"/>
      <c r="M2" s="640"/>
      <c r="N2" s="640"/>
      <c r="O2" s="640"/>
      <c r="P2" s="640"/>
      <c r="Q2" s="640"/>
      <c r="R2" s="640"/>
    </row>
    <row r="3" spans="3:19" ht="16.5">
      <c r="C3" s="643"/>
      <c r="D3" s="639"/>
      <c r="E3" s="998"/>
      <c r="F3" s="641"/>
      <c r="G3" s="642"/>
      <c r="H3" s="640"/>
      <c r="I3" s="640"/>
      <c r="J3" s="640"/>
      <c r="K3" s="640"/>
      <c r="L3" s="640"/>
      <c r="M3" s="640"/>
      <c r="N3" s="640"/>
      <c r="O3" s="640"/>
      <c r="P3" s="640"/>
      <c r="Q3" s="640"/>
      <c r="R3" s="640"/>
    </row>
    <row r="4" spans="3:19" ht="16.5">
      <c r="C4" s="1427" t="s">
        <v>1361</v>
      </c>
      <c r="D4" s="1428">
        <f ca="1">LnkTXTRA0</f>
        <v>60158541.498640008</v>
      </c>
      <c r="E4" s="999"/>
      <c r="F4" s="640"/>
      <c r="G4" s="640"/>
      <c r="H4" s="640"/>
      <c r="I4" s="640"/>
      <c r="J4" s="644"/>
      <c r="K4" s="640"/>
      <c r="L4" s="640"/>
      <c r="M4" s="640"/>
      <c r="N4" s="640"/>
      <c r="O4" s="640"/>
      <c r="P4" s="640"/>
      <c r="Q4" s="640"/>
      <c r="R4" s="640"/>
    </row>
    <row r="5" spans="3:19" ht="16.5">
      <c r="C5" s="1429" t="s">
        <v>1362</v>
      </c>
      <c r="D5" s="1430">
        <f ca="1">IF(CAPA!P1="VERDADEIRO",D7,IFERROR(D7/(1+IF(Calc_Mercado!J15&gt;0,Calc_Mercado!J15,0)),0))</f>
        <v>-20838049.576567985</v>
      </c>
      <c r="E5" s="1000"/>
      <c r="F5" s="735"/>
      <c r="G5" s="640"/>
      <c r="H5" s="640"/>
      <c r="I5" s="640"/>
      <c r="J5" s="644"/>
      <c r="K5" s="640"/>
      <c r="L5" s="640"/>
      <c r="M5" s="640"/>
      <c r="N5" s="640"/>
      <c r="O5" s="640"/>
      <c r="P5" s="640"/>
      <c r="Q5" s="640"/>
      <c r="R5" s="640"/>
    </row>
    <row r="6" spans="3:19" ht="16.5">
      <c r="C6" s="640"/>
      <c r="D6" s="1431"/>
      <c r="E6" s="1001"/>
      <c r="F6" s="640"/>
      <c r="G6" s="640"/>
      <c r="H6" s="644"/>
      <c r="I6" s="645"/>
      <c r="J6" s="640"/>
      <c r="K6" s="640"/>
      <c r="L6" s="640"/>
      <c r="M6" s="640"/>
      <c r="N6" s="640"/>
      <c r="O6" s="640"/>
      <c r="P6" s="640"/>
      <c r="Q6" s="640"/>
      <c r="R6" s="640"/>
    </row>
    <row r="7" spans="3:19" ht="16.5">
      <c r="C7" s="1432" t="s">
        <v>1363</v>
      </c>
      <c r="D7" s="1433">
        <f ca="1">SUM(D10:D82)-LnkTxTAjusteCUST-D31</f>
        <v>-20838049.576567985</v>
      </c>
      <c r="E7" s="1434">
        <f ca="1">SUM(E10:E82)-E26-E31</f>
        <v>-0.34638555153533879</v>
      </c>
      <c r="F7" s="646" t="s">
        <v>1364</v>
      </c>
      <c r="G7" s="640"/>
      <c r="H7" s="640"/>
      <c r="I7" s="640"/>
      <c r="J7" s="640"/>
      <c r="K7" s="640"/>
      <c r="L7" s="640"/>
      <c r="M7" s="640"/>
      <c r="N7" s="640"/>
      <c r="O7" s="640"/>
      <c r="P7" s="640"/>
      <c r="Q7" s="640"/>
      <c r="R7" s="640"/>
    </row>
    <row r="8" spans="3:19" ht="16.5">
      <c r="C8" s="1435" t="s">
        <v>1365</v>
      </c>
      <c r="D8" s="1436" t="s">
        <v>37</v>
      </c>
      <c r="E8" s="1437" t="s">
        <v>1366</v>
      </c>
      <c r="F8" s="1435" t="s">
        <v>1367</v>
      </c>
      <c r="G8" s="1435" t="s">
        <v>1368</v>
      </c>
      <c r="H8" s="1435" t="s">
        <v>1369</v>
      </c>
      <c r="I8" s="1435" t="s">
        <v>1370</v>
      </c>
      <c r="J8" s="1435" t="s">
        <v>1371</v>
      </c>
      <c r="K8" s="1435" t="s">
        <v>1372</v>
      </c>
      <c r="L8" s="1435" t="s">
        <v>802</v>
      </c>
      <c r="M8" s="640"/>
      <c r="N8" s="640"/>
      <c r="O8" s="640"/>
      <c r="P8" s="640"/>
      <c r="Q8" s="640"/>
      <c r="R8" s="640"/>
    </row>
    <row r="9" spans="3:19" ht="16.5">
      <c r="C9" s="647" t="s">
        <v>1373</v>
      </c>
      <c r="D9" s="648">
        <f>ABS(Indexador!D49)</f>
        <v>1320184.3375018844</v>
      </c>
      <c r="E9" s="1002">
        <f t="shared" ref="E9:E75" ca="1" si="0">IF(ISERROR(D9/$D$4),0,D9/$D$4)</f>
        <v>2.1945085512615519E-2</v>
      </c>
      <c r="F9" s="647"/>
      <c r="G9" s="647"/>
      <c r="H9" s="647"/>
      <c r="I9" s="647"/>
      <c r="J9" s="647"/>
      <c r="K9" s="647"/>
      <c r="L9" s="640"/>
      <c r="M9" s="640"/>
      <c r="N9" s="640"/>
      <c r="O9" s="640"/>
      <c r="P9" s="640"/>
      <c r="Q9" s="640"/>
      <c r="R9" s="640"/>
      <c r="S9" s="398"/>
    </row>
    <row r="10" spans="3:19" ht="16.5">
      <c r="C10" s="640" t="s">
        <v>1374</v>
      </c>
      <c r="D10" s="871">
        <f ca="1">IFERROR(ABS(Indexador!D49)*Resultado!C32/(Resultado!C32+Resultado!C33),0)</f>
        <v>430086.92823323829</v>
      </c>
      <c r="E10" s="1003">
        <f ca="1">IF(ISERROR(D10/$D$4),0,D10/$D$4)</f>
        <v>7.1492246573657573E-3</v>
      </c>
      <c r="F10" s="640">
        <v>22</v>
      </c>
      <c r="G10" s="640">
        <v>60</v>
      </c>
      <c r="H10" s="640">
        <v>999</v>
      </c>
      <c r="I10" s="640">
        <v>1</v>
      </c>
      <c r="J10" s="640">
        <v>7</v>
      </c>
      <c r="K10" s="640">
        <v>9</v>
      </c>
      <c r="L10" s="640"/>
      <c r="M10" s="640"/>
      <c r="N10" s="640"/>
      <c r="O10" s="640"/>
      <c r="P10" s="640"/>
      <c r="Q10" s="796"/>
      <c r="R10" s="640"/>
    </row>
    <row r="11" spans="3:19" ht="16.5">
      <c r="C11" s="640" t="s">
        <v>1375</v>
      </c>
      <c r="D11" s="871">
        <f ca="1">IFERROR(ABS(Indexador!D49)*(Resultado!C33/(Resultado!C32+Resultado!C33)),0)</f>
        <v>890097.40926864627</v>
      </c>
      <c r="E11" s="1003">
        <f ca="1">IF(ISERROR(D11/$D$4),0,D11/$D$4)</f>
        <v>1.4795860855249766E-2</v>
      </c>
      <c r="F11" s="640">
        <v>22</v>
      </c>
      <c r="G11" s="640">
        <v>60</v>
      </c>
      <c r="H11" s="640">
        <v>999</v>
      </c>
      <c r="I11" s="640">
        <v>2</v>
      </c>
      <c r="J11" s="640">
        <v>30</v>
      </c>
      <c r="K11" s="640">
        <v>9</v>
      </c>
      <c r="L11" s="640"/>
      <c r="M11" s="649" t="s">
        <v>22</v>
      </c>
      <c r="N11" s="649" t="s">
        <v>1376</v>
      </c>
      <c r="O11" s="649" t="s">
        <v>37</v>
      </c>
      <c r="P11" s="650" t="s">
        <v>1366</v>
      </c>
      <c r="Q11" s="796"/>
      <c r="R11" s="640"/>
    </row>
    <row r="12" spans="3:19" ht="16.5">
      <c r="C12" s="640" t="str">
        <f>"(Neutralidade) "&amp;Encargos!E5</f>
        <v>(Neutralidade) TFSEE</v>
      </c>
      <c r="D12" s="871">
        <f ca="1">Encargos!M31</f>
        <v>-1468.8637825615788</v>
      </c>
      <c r="E12" s="1003">
        <f t="shared" ca="1" si="0"/>
        <v>-2.4416545780033331E-5</v>
      </c>
      <c r="F12" s="640">
        <v>20</v>
      </c>
      <c r="G12" s="640">
        <v>60</v>
      </c>
      <c r="H12" s="640">
        <v>20</v>
      </c>
      <c r="I12" s="640">
        <v>3</v>
      </c>
      <c r="J12" s="640">
        <v>14</v>
      </c>
      <c r="K12" s="640">
        <v>9</v>
      </c>
      <c r="L12" s="640"/>
      <c r="M12" s="640" t="str">
        <f t="shared" ref="M12:M27" ca="1" si="1">IF(O12=0,,"CVA")</f>
        <v>CVA</v>
      </c>
      <c r="N12" s="640" t="str">
        <f ca="1">IF(Tabela1[[#This Row],[Percentual]]=0,,Tabela1[[#This Row],[Nome do Financeiro]])</f>
        <v>(Neutralidade) TFSEE</v>
      </c>
      <c r="O12" s="640">
        <f ca="1">IF(ISNUMBER(Tabela1[[#This Row],[Valor]]),Tabela1[[#This Row],[Valor]],)</f>
        <v>-1468.8637825615788</v>
      </c>
      <c r="P12" s="640">
        <f ca="1">IF(Tabela1[[#This Row],[Percentual]]=0,,Tabela1[[#This Row],[Percentual]])</f>
        <v>-2.4416545780033331E-5</v>
      </c>
      <c r="Q12" s="644"/>
      <c r="R12" s="640"/>
    </row>
    <row r="13" spans="3:19" ht="16.5">
      <c r="C13" s="640" t="str">
        <f>"(Neutralidade) "&amp;Encargos!E6&amp;""</f>
        <v>(Neutralidade) CDE</v>
      </c>
      <c r="D13" s="871">
        <f ca="1">IFERROR(Encargos!M32,0)</f>
        <v>-38569.859714027712</v>
      </c>
      <c r="E13" s="1003">
        <f ca="1">IF(ISERROR(D13/$D$4),0,D13/$D$4)</f>
        <v>-6.4113688186572231E-4</v>
      </c>
      <c r="F13" s="640">
        <v>20</v>
      </c>
      <c r="G13" s="640">
        <v>60</v>
      </c>
      <c r="H13" s="640">
        <v>20</v>
      </c>
      <c r="I13" s="640">
        <v>3</v>
      </c>
      <c r="J13" s="640">
        <v>15</v>
      </c>
      <c r="K13" s="640">
        <v>9</v>
      </c>
      <c r="L13" s="640"/>
      <c r="M13" s="640" t="str">
        <f t="shared" ca="1" si="1"/>
        <v>CVA</v>
      </c>
      <c r="N13" s="640" t="str">
        <f ca="1">IF(Tabela1[[#This Row],[Percentual]]=0,,Tabela1[[#This Row],[Nome do Financeiro]])</f>
        <v>(Neutralidade) CDE</v>
      </c>
      <c r="O13" s="640">
        <f ca="1">IF(ISNUMBER(Tabela1[[#This Row],[Valor]]),Tabela1[[#This Row],[Valor]],)</f>
        <v>-38569.859714027712</v>
      </c>
      <c r="P13" s="640">
        <f ca="1">IF(Tabela1[[#This Row],[Percentual]]=0,,Tabela1[[#This Row],[Percentual]])</f>
        <v>-6.4113688186572231E-4</v>
      </c>
      <c r="Q13" s="644"/>
      <c r="R13" s="640"/>
    </row>
    <row r="14" spans="3:19" ht="16.5">
      <c r="C14" s="640" t="str">
        <f>"(Neutralidade) "&amp;Encargos!E7</f>
        <v>(Neutralidade) CFURH</v>
      </c>
      <c r="D14" s="871">
        <f>Encargos!M33</f>
        <v>0</v>
      </c>
      <c r="E14" s="1003">
        <f t="shared" ca="1" si="0"/>
        <v>0</v>
      </c>
      <c r="F14" s="640">
        <v>20</v>
      </c>
      <c r="G14" s="640">
        <v>60</v>
      </c>
      <c r="H14" s="640">
        <v>20</v>
      </c>
      <c r="I14" s="640">
        <v>3</v>
      </c>
      <c r="J14" s="640">
        <v>16</v>
      </c>
      <c r="K14" s="640">
        <v>9</v>
      </c>
      <c r="L14" s="640"/>
      <c r="M14" s="640">
        <f t="shared" si="1"/>
        <v>0</v>
      </c>
      <c r="N14" s="640">
        <f ca="1">IF(Tabela1[[#This Row],[Percentual]]=0,,Tabela1[[#This Row],[Nome do Financeiro]])</f>
        <v>0</v>
      </c>
      <c r="O14" s="640">
        <f>IF(ISNUMBER(Tabela1[[#This Row],[Valor]]),Tabela1[[#This Row],[Valor]],)</f>
        <v>0</v>
      </c>
      <c r="P14" s="640">
        <f ca="1">IF(Tabela1[[#This Row],[Percentual]]=0,,Tabela1[[#This Row],[Percentual]])</f>
        <v>0</v>
      </c>
      <c r="Q14" s="644"/>
      <c r="R14" s="640"/>
    </row>
    <row r="15" spans="3:19" ht="16.5">
      <c r="C15" s="640" t="str">
        <f>"(Neutralidade) "&amp;Encargos!E8</f>
        <v>(Neutralidade) ESS/EER</v>
      </c>
      <c r="D15" s="871">
        <f ca="1">Encargos!M34</f>
        <v>0</v>
      </c>
      <c r="E15" s="1003">
        <f t="shared" ca="1" si="0"/>
        <v>0</v>
      </c>
      <c r="F15" s="640">
        <v>20</v>
      </c>
      <c r="G15" s="640">
        <v>60</v>
      </c>
      <c r="H15" s="640">
        <v>20</v>
      </c>
      <c r="I15" s="640">
        <v>3</v>
      </c>
      <c r="J15" s="640">
        <v>17</v>
      </c>
      <c r="K15" s="640">
        <v>9</v>
      </c>
      <c r="L15" s="640"/>
      <c r="M15" s="640">
        <f t="shared" ca="1" si="1"/>
        <v>0</v>
      </c>
      <c r="N15" s="640">
        <f ca="1">IF(Tabela1[[#This Row],[Percentual]]=0,,Tabela1[[#This Row],[Nome do Financeiro]])</f>
        <v>0</v>
      </c>
      <c r="O15" s="640">
        <f ca="1">IF(ISNUMBER(Tabela1[[#This Row],[Valor]]),Tabela1[[#This Row],[Valor]],)</f>
        <v>0</v>
      </c>
      <c r="P15" s="640">
        <f ca="1">IF(Tabela1[[#This Row],[Percentual]]=0,,Tabela1[[#This Row],[Percentual]])</f>
        <v>0</v>
      </c>
      <c r="Q15" s="644"/>
      <c r="R15" s="640"/>
    </row>
    <row r="16" spans="3:19" ht="16.5">
      <c r="C16" s="640" t="str">
        <f>"(Neutralidade) "&amp;Encargos!E9</f>
        <v>(Neutralidade) PROINFA</v>
      </c>
      <c r="D16" s="871">
        <f ca="1">Encargos!M35</f>
        <v>-6041.0144003341793</v>
      </c>
      <c r="E16" s="1003">
        <f t="shared" ca="1" si="0"/>
        <v>-1.0041823238801005E-4</v>
      </c>
      <c r="F16" s="640">
        <v>20</v>
      </c>
      <c r="G16" s="640">
        <v>60</v>
      </c>
      <c r="H16" s="640">
        <v>20</v>
      </c>
      <c r="I16" s="640">
        <v>3</v>
      </c>
      <c r="J16" s="640">
        <v>18</v>
      </c>
      <c r="K16" s="640">
        <v>9</v>
      </c>
      <c r="L16" s="640"/>
      <c r="M16" s="640" t="str">
        <f t="shared" ca="1" si="1"/>
        <v>CVA</v>
      </c>
      <c r="N16" s="640" t="str">
        <f ca="1">IF(Tabela1[[#This Row],[Percentual]]=0,,Tabela1[[#This Row],[Nome do Financeiro]])</f>
        <v>(Neutralidade) PROINFA</v>
      </c>
      <c r="O16" s="640">
        <f ca="1">IF(ISNUMBER(Tabela1[[#This Row],[Valor]]),Tabela1[[#This Row],[Valor]],)</f>
        <v>-6041.0144003341793</v>
      </c>
      <c r="P16" s="640">
        <f ca="1">IF(Tabela1[[#This Row],[Percentual]]=0,,Tabela1[[#This Row],[Percentual]])</f>
        <v>-1.0041823238801005E-4</v>
      </c>
      <c r="Q16" s="644"/>
      <c r="R16" s="640"/>
    </row>
    <row r="17" spans="3:23" ht="16.5">
      <c r="C17" s="640" t="str">
        <f>"(Neutralidade) "&amp;Encargos!B11</f>
        <v>(Neutralidade) P&amp;D e PEE</v>
      </c>
      <c r="D17" s="871"/>
      <c r="E17" s="1003">
        <f t="shared" ca="1" si="0"/>
        <v>0</v>
      </c>
      <c r="F17" s="640">
        <v>20</v>
      </c>
      <c r="G17" s="640">
        <v>60</v>
      </c>
      <c r="H17" s="640">
        <v>20</v>
      </c>
      <c r="I17" s="640">
        <v>3</v>
      </c>
      <c r="J17" s="640">
        <v>19</v>
      </c>
      <c r="K17" s="640">
        <v>9</v>
      </c>
      <c r="L17" s="640"/>
      <c r="M17" s="640">
        <f t="shared" si="1"/>
        <v>0</v>
      </c>
      <c r="N17" s="640">
        <f ca="1">IF(Tabela1[[#This Row],[Percentual]]=0,,Tabela1[[#This Row],[Nome do Financeiro]])</f>
        <v>0</v>
      </c>
      <c r="O17" s="640">
        <f>IF(ISNUMBER(Tabela1[[#This Row],[Valor]]),Tabela1[[#This Row],[Valor]],)</f>
        <v>0</v>
      </c>
      <c r="P17" s="640">
        <f ca="1">IF(Tabela1[[#This Row],[Percentual]]=0,,Tabela1[[#This Row],[Percentual]])</f>
        <v>0</v>
      </c>
      <c r="Q17" s="644"/>
      <c r="R17" s="640"/>
    </row>
    <row r="18" spans="3:23" ht="16.5">
      <c r="C18" s="640" t="str">
        <f>"(Neutralidade) "&amp; "CDE conta covid-19"</f>
        <v>(Neutralidade) CDE conta covid-19</v>
      </c>
      <c r="D18" s="871">
        <f ca="1">Encargos!M36</f>
        <v>0</v>
      </c>
      <c r="E18" s="1003">
        <f t="shared" ca="1" si="0"/>
        <v>0</v>
      </c>
      <c r="F18" s="1699">
        <v>20</v>
      </c>
      <c r="G18" s="1699">
        <v>60</v>
      </c>
      <c r="H18" s="1699">
        <v>73</v>
      </c>
      <c r="I18" s="1699">
        <v>3</v>
      </c>
      <c r="J18" s="1699">
        <v>12</v>
      </c>
      <c r="K18" s="1699">
        <v>9</v>
      </c>
      <c r="L18" s="640"/>
      <c r="M18" s="640">
        <f t="shared" ca="1" si="1"/>
        <v>0</v>
      </c>
      <c r="N18" s="640">
        <f ca="1">IF(Tabela1[[#This Row],[Percentual]]=0,,Tabela1[[#This Row],[Nome do Financeiro]])</f>
        <v>0</v>
      </c>
      <c r="O18" s="640">
        <f ca="1">IF(ISNUMBER(Tabela1[[#This Row],[Valor]]),Tabela1[[#This Row],[Valor]],)</f>
        <v>0</v>
      </c>
      <c r="P18" s="640">
        <f ca="1">IF(Tabela1[[#This Row],[Percentual]]=0,,Tabela1[[#This Row],[Percentual]])</f>
        <v>0</v>
      </c>
      <c r="Q18" s="644"/>
      <c r="R18" s="640"/>
      <c r="S18" s="398"/>
    </row>
    <row r="19" spans="3:23" ht="16.5">
      <c r="C19" s="640" t="str">
        <f>"(Neutralidade)" &amp; Encargos!L41</f>
        <v>(Neutralidade)Financeiro Covid</v>
      </c>
      <c r="D19" s="871">
        <f ca="1">Encargos!M41</f>
        <v>0</v>
      </c>
      <c r="E19" s="1003">
        <f t="shared" ca="1" si="0"/>
        <v>0</v>
      </c>
      <c r="F19" s="640">
        <v>20</v>
      </c>
      <c r="G19" s="640">
        <v>60</v>
      </c>
      <c r="H19" s="640">
        <v>235</v>
      </c>
      <c r="I19" s="640">
        <v>4</v>
      </c>
      <c r="J19" s="640">
        <v>999</v>
      </c>
      <c r="K19" s="640">
        <v>9</v>
      </c>
      <c r="L19" s="640"/>
      <c r="M19" s="640"/>
      <c r="N19" s="640"/>
      <c r="O19" s="640"/>
      <c r="P19" s="640"/>
      <c r="Q19" s="644"/>
      <c r="R19" s="640"/>
      <c r="S19" s="398"/>
    </row>
    <row r="20" spans="3:23" ht="16.5">
      <c r="C20" s="640" t="str">
        <f>"(Neutralidade)" &amp; Encargos!L42</f>
        <v>(Neutralidade)Crédito Pis Cofins</v>
      </c>
      <c r="D20" s="871">
        <f ca="1">Encargos!M42</f>
        <v>0</v>
      </c>
      <c r="E20" s="1003">
        <f t="shared" ca="1" si="0"/>
        <v>0</v>
      </c>
      <c r="F20" s="640">
        <v>20</v>
      </c>
      <c r="G20" s="640">
        <v>60</v>
      </c>
      <c r="H20" s="640">
        <v>179</v>
      </c>
      <c r="I20" s="640">
        <v>99</v>
      </c>
      <c r="J20" s="640">
        <v>999</v>
      </c>
      <c r="K20" s="640">
        <v>3</v>
      </c>
      <c r="L20" s="640"/>
      <c r="M20" s="640"/>
      <c r="N20" s="640"/>
      <c r="O20" s="640"/>
      <c r="P20" s="640"/>
      <c r="Q20" s="644"/>
      <c r="R20" s="640"/>
      <c r="S20" s="398"/>
    </row>
    <row r="21" spans="3:23" ht="16.5">
      <c r="C21" s="640" t="s">
        <v>1377</v>
      </c>
      <c r="D21" s="871">
        <f>IFERROR(LnkTxTAjusteCUST*Resultado!D25/(Resultado!D25+Resultado!D26),0)</f>
        <v>0</v>
      </c>
      <c r="E21" s="1003">
        <f ca="1">IF(ISERROR(D21/$D$4),0,D21/$D$4)</f>
        <v>0</v>
      </c>
      <c r="F21" s="640">
        <v>20</v>
      </c>
      <c r="G21" s="640">
        <v>60</v>
      </c>
      <c r="H21" s="640">
        <v>999</v>
      </c>
      <c r="I21" s="640">
        <v>1</v>
      </c>
      <c r="J21" s="640">
        <v>1</v>
      </c>
      <c r="K21" s="640">
        <v>9</v>
      </c>
      <c r="L21" s="640"/>
      <c r="M21" s="640">
        <f t="shared" si="1"/>
        <v>0</v>
      </c>
      <c r="N21" s="640">
        <f ca="1">IF(Tabela1[[#This Row],[Percentual]]=0,,Tabela1[[#This Row],[Nome do Financeiro]])</f>
        <v>0</v>
      </c>
      <c r="O21" s="640">
        <f>IF(ISNUMBER(Tabela1[[#This Row],[Valor]]),Tabela1[[#This Row],[Valor]],)</f>
        <v>0</v>
      </c>
      <c r="P21" s="640">
        <f ca="1">IF(Tabela1[[#This Row],[Percentual]]=0,,Tabela1[[#This Row],[Percentual]])</f>
        <v>0</v>
      </c>
      <c r="Q21" s="644"/>
      <c r="R21" s="640"/>
    </row>
    <row r="22" spans="3:23" ht="16.5">
      <c r="C22" s="640" t="s">
        <v>1378</v>
      </c>
      <c r="D22" s="871">
        <f>IFERROR(LnkTxTAjusteCUST*Resultado!D26/(Resultado!D25+Resultado!D26),0)</f>
        <v>0</v>
      </c>
      <c r="E22" s="1003">
        <f ca="1">IF(ISERROR(D22/$D$4),0,D22/$D$4)</f>
        <v>0</v>
      </c>
      <c r="F22" s="640">
        <v>20</v>
      </c>
      <c r="G22" s="640">
        <v>60</v>
      </c>
      <c r="H22" s="640">
        <v>999</v>
      </c>
      <c r="I22" s="640">
        <v>1</v>
      </c>
      <c r="J22" s="640">
        <v>2</v>
      </c>
      <c r="K22" s="640">
        <v>9</v>
      </c>
      <c r="L22" s="640"/>
      <c r="M22" s="640">
        <f t="shared" si="1"/>
        <v>0</v>
      </c>
      <c r="N22" s="640">
        <f ca="1">IF(Tabela1[[#This Row],[Percentual]]=0,,Tabela1[[#This Row],[Nome do Financeiro]])</f>
        <v>0</v>
      </c>
      <c r="O22" s="640">
        <f>IF(ISNUMBER(Tabela1[[#This Row],[Valor]]),Tabela1[[#This Row],[Valor]],)</f>
        <v>0</v>
      </c>
      <c r="P22" s="640">
        <f ca="1">IF(Tabela1[[#This Row],[Percentual]]=0,,Tabela1[[#This Row],[Percentual]])</f>
        <v>0</v>
      </c>
      <c r="Q22" s="644"/>
      <c r="R22" s="640"/>
      <c r="S22" s="143"/>
    </row>
    <row r="23" spans="3:23" ht="16.5">
      <c r="C23" s="640" t="s">
        <v>1379</v>
      </c>
      <c r="D23" s="871">
        <v>0</v>
      </c>
      <c r="E23" s="1003">
        <f t="shared" ca="1" si="0"/>
        <v>0</v>
      </c>
      <c r="F23" s="640">
        <v>20</v>
      </c>
      <c r="G23" s="640">
        <v>60</v>
      </c>
      <c r="H23" s="640">
        <v>167</v>
      </c>
      <c r="I23" s="640">
        <v>4</v>
      </c>
      <c r="J23" s="640">
        <v>999</v>
      </c>
      <c r="K23" s="640">
        <v>9</v>
      </c>
      <c r="L23" s="640"/>
      <c r="M23" s="640">
        <f t="shared" si="1"/>
        <v>0</v>
      </c>
      <c r="N23" s="640">
        <f ca="1">IF(Tabela1[[#This Row],[Percentual]]=0,,Tabela1[[#This Row],[Nome do Financeiro]])</f>
        <v>0</v>
      </c>
      <c r="O23" s="640">
        <f>IF(ISNUMBER(Tabela1[[#This Row],[Valor]]),Tabela1[[#This Row],[Valor]],)</f>
        <v>0</v>
      </c>
      <c r="P23" s="640">
        <f ca="1">IF(Tabela1[[#This Row],[Percentual]]=0,,Tabela1[[#This Row],[Percentual]])</f>
        <v>0</v>
      </c>
      <c r="Q23" s="644"/>
      <c r="R23" s="640"/>
    </row>
    <row r="24" spans="3:23" ht="16.5">
      <c r="C24" s="640" t="s">
        <v>2214</v>
      </c>
      <c r="D24" s="871"/>
      <c r="E24" s="1003">
        <f t="shared" ca="1" si="0"/>
        <v>0</v>
      </c>
      <c r="F24" s="640">
        <v>22</v>
      </c>
      <c r="G24" s="640">
        <v>60</v>
      </c>
      <c r="H24" s="640">
        <v>999</v>
      </c>
      <c r="I24" s="640">
        <v>3</v>
      </c>
      <c r="J24" s="640">
        <v>28</v>
      </c>
      <c r="K24" s="640">
        <v>9</v>
      </c>
      <c r="L24" s="640"/>
      <c r="M24" s="640">
        <f t="shared" si="1"/>
        <v>0</v>
      </c>
      <c r="N24" s="640">
        <f ca="1">IF(Tabela1[[#This Row],[Percentual]]=0,,Tabela1[[#This Row],[Nome do Financeiro]])</f>
        <v>0</v>
      </c>
      <c r="O24" s="640">
        <f>IF(ISNUMBER(Tabela1[[#This Row],[Valor]]),Tabela1[[#This Row],[Valor]],)</f>
        <v>0</v>
      </c>
      <c r="P24" s="640">
        <f ca="1">IF(Tabela1[[#This Row],[Percentual]]=0,,Tabela1[[#This Row],[Percentual]])</f>
        <v>0</v>
      </c>
      <c r="Q24" s="644"/>
      <c r="R24" s="640"/>
      <c r="S24" s="292"/>
    </row>
    <row r="25" spans="3:23" ht="16.5">
      <c r="C25" s="1611" t="s">
        <v>2190</v>
      </c>
      <c r="D25" s="1610"/>
      <c r="E25" s="1003">
        <f ca="1">IF(ISERROR(D25/$D$4),0,D25/$D$4)</f>
        <v>0</v>
      </c>
      <c r="F25" s="640">
        <v>22</v>
      </c>
      <c r="G25" s="640">
        <v>60</v>
      </c>
      <c r="H25" s="640">
        <v>999</v>
      </c>
      <c r="I25" s="640">
        <v>2</v>
      </c>
      <c r="J25" s="640">
        <v>30</v>
      </c>
      <c r="K25" s="640">
        <v>9</v>
      </c>
      <c r="L25" s="651"/>
      <c r="M25" s="640">
        <f t="shared" si="1"/>
        <v>0</v>
      </c>
      <c r="N25" s="640" t="e">
        <v>#REF!</v>
      </c>
      <c r="O25" s="640">
        <v>0</v>
      </c>
      <c r="P25" s="640" t="e">
        <v>#REF!</v>
      </c>
      <c r="Q25" s="644"/>
      <c r="R25" s="640"/>
    </row>
    <row r="26" spans="3:23" ht="16.5">
      <c r="C26" s="652" t="s">
        <v>1380</v>
      </c>
      <c r="D26" s="872">
        <f>Indexador!J49+Indexador!P49</f>
        <v>0</v>
      </c>
      <c r="E26" s="1002">
        <f t="shared" ca="1" si="0"/>
        <v>0</v>
      </c>
      <c r="F26" s="647"/>
      <c r="G26" s="647"/>
      <c r="H26" s="647"/>
      <c r="I26" s="647"/>
      <c r="J26" s="647"/>
      <c r="K26" s="647"/>
      <c r="L26" s="640"/>
      <c r="M26" s="640">
        <f t="shared" si="1"/>
        <v>0</v>
      </c>
      <c r="N26" s="640">
        <f ca="1">IF(Tabela1[[#This Row],[Percentual]]=0,,Tabela1[[#This Row],[Nome do Financeiro]])</f>
        <v>0</v>
      </c>
      <c r="O26" s="640">
        <f>IF(ISNUMBER(Tabela1[[#This Row],[Valor]]),Tabela1[[#This Row],[Valor]],)</f>
        <v>0</v>
      </c>
      <c r="P26" s="640">
        <f ca="1">IF(Tabela1[[#This Row],[Percentual]]=0,,Tabela1[[#This Row],[Percentual]])</f>
        <v>0</v>
      </c>
      <c r="Q26" s="644"/>
      <c r="R26" s="640"/>
      <c r="S26" s="142"/>
      <c r="V26" s="117"/>
    </row>
    <row r="27" spans="3:23" ht="16.5">
      <c r="C27" s="640" t="s">
        <v>1381</v>
      </c>
      <c r="D27" s="871">
        <f>(Indexador!H49)</f>
        <v>-245831.60901239348</v>
      </c>
      <c r="E27" s="1003">
        <f t="shared" ca="1" si="0"/>
        <v>-4.0863957617381886E-3</v>
      </c>
      <c r="F27" s="640">
        <v>22</v>
      </c>
      <c r="G27" s="640">
        <v>60</v>
      </c>
      <c r="H27" s="640">
        <v>178</v>
      </c>
      <c r="I27" s="640">
        <v>1</v>
      </c>
      <c r="J27" s="640">
        <v>7</v>
      </c>
      <c r="K27" s="640">
        <v>9</v>
      </c>
      <c r="L27" s="640"/>
      <c r="M27" s="640" t="str">
        <f t="shared" si="1"/>
        <v>CVA</v>
      </c>
      <c r="N27" s="640" t="str">
        <f ca="1">IF(Tabela1[[#This Row],[Percentual]]=0,,Tabela1[[#This Row],[Nome do Financeiro]])</f>
        <v>Compensação DIC FIC</v>
      </c>
      <c r="O27" s="640">
        <f>IF(ISNUMBER(Tabela1[[#This Row],[Valor]]),Tabela1[[#This Row],[Valor]],)</f>
        <v>-245831.60901239348</v>
      </c>
      <c r="P27" s="640">
        <f ca="1">IF(Tabela1[[#This Row],[Percentual]]=0,,Tabela1[[#This Row],[Percentual]])</f>
        <v>-4.0863957617381886E-3</v>
      </c>
      <c r="Q27" s="640"/>
      <c r="R27" s="640"/>
    </row>
    <row r="28" spans="3:23" ht="16.5">
      <c r="C28" s="640" t="s">
        <v>1382</v>
      </c>
      <c r="D28" s="871">
        <f ca="1">-LnkTXTISubvencaoPB</f>
        <v>-21494204.354071971</v>
      </c>
      <c r="E28" s="1003">
        <f ca="1">IF(ISERROR(D28/$D$4),0,D28/$D$4)</f>
        <v>-0.35729264404719463</v>
      </c>
      <c r="F28" s="640">
        <v>22</v>
      </c>
      <c r="G28" s="640">
        <v>60</v>
      </c>
      <c r="H28" s="640">
        <v>999</v>
      </c>
      <c r="I28" s="640">
        <v>4</v>
      </c>
      <c r="J28" s="640">
        <v>999</v>
      </c>
      <c r="K28" s="640">
        <v>9</v>
      </c>
      <c r="L28" s="640"/>
      <c r="M28" s="640"/>
      <c r="N28" s="640"/>
      <c r="O28" s="640"/>
      <c r="P28" s="640"/>
      <c r="Q28" s="640"/>
      <c r="R28" s="640"/>
    </row>
    <row r="29" spans="3:23" ht="16.5">
      <c r="C29" s="479" t="s">
        <v>1383</v>
      </c>
      <c r="D29" s="871">
        <f>IFERROR(-ABS(Indexador!L49),0)</f>
        <v>-586819.51200968993</v>
      </c>
      <c r="E29" s="1003">
        <f t="shared" ca="1" si="0"/>
        <v>-9.7545501834175284E-3</v>
      </c>
      <c r="F29" s="640">
        <v>22</v>
      </c>
      <c r="G29" s="640">
        <v>60</v>
      </c>
      <c r="H29" s="640">
        <v>999</v>
      </c>
      <c r="I29" s="640">
        <v>2</v>
      </c>
      <c r="J29" s="640">
        <v>30</v>
      </c>
      <c r="K29" s="640">
        <v>9</v>
      </c>
      <c r="L29" s="640"/>
      <c r="M29" s="640"/>
      <c r="N29" s="640"/>
      <c r="O29" s="640"/>
      <c r="P29" s="640"/>
      <c r="Q29" s="640"/>
      <c r="R29" s="640"/>
    </row>
    <row r="30" spans="3:23" ht="16.5">
      <c r="C30" s="479" t="s">
        <v>1384</v>
      </c>
      <c r="D30" s="873"/>
      <c r="E30" s="1003">
        <f t="shared" ca="1" si="0"/>
        <v>0</v>
      </c>
      <c r="F30" s="640">
        <v>22</v>
      </c>
      <c r="G30" s="640">
        <v>60</v>
      </c>
      <c r="H30" s="640">
        <v>120</v>
      </c>
      <c r="I30" s="640">
        <v>4</v>
      </c>
      <c r="J30" s="640">
        <v>999</v>
      </c>
      <c r="K30" s="640">
        <v>9</v>
      </c>
      <c r="L30" s="640"/>
      <c r="M30" s="640"/>
      <c r="N30" s="640"/>
      <c r="O30" s="640"/>
      <c r="P30" s="640"/>
      <c r="Q30" s="640"/>
      <c r="R30" s="640"/>
    </row>
    <row r="31" spans="3:23" ht="16.5">
      <c r="C31" s="647" t="s">
        <v>1385</v>
      </c>
      <c r="D31" s="872">
        <f>ICMS!E12</f>
        <v>0</v>
      </c>
      <c r="E31" s="1002">
        <f ca="1">IFERROR(Tabela1[[#This Row],[Valor]]/D4,0)</f>
        <v>0</v>
      </c>
      <c r="F31" s="647"/>
      <c r="G31" s="647"/>
      <c r="H31" s="647"/>
      <c r="I31" s="647"/>
      <c r="J31" s="647"/>
      <c r="K31" s="647"/>
      <c r="L31" s="640"/>
      <c r="M31" s="640"/>
      <c r="N31" s="640"/>
      <c r="O31" s="640"/>
      <c r="P31" s="640"/>
      <c r="Q31" s="640"/>
      <c r="R31" s="640"/>
      <c r="T31" s="93"/>
      <c r="U31" s="93"/>
      <c r="V31" s="93"/>
      <c r="W31" s="93"/>
    </row>
    <row r="32" spans="3:23" ht="16.5">
      <c r="C32" s="640" t="s">
        <v>1386</v>
      </c>
      <c r="D32" s="871">
        <f ca="1">ICMS!E13</f>
        <v>0</v>
      </c>
      <c r="E32" s="1003">
        <f ca="1">IF(ISERROR(D32/$D$4),0,D32/$D$4)</f>
        <v>0</v>
      </c>
      <c r="F32" s="640">
        <v>22</v>
      </c>
      <c r="G32" s="640">
        <v>60</v>
      </c>
      <c r="H32" s="640">
        <v>999</v>
      </c>
      <c r="I32" s="640">
        <v>1</v>
      </c>
      <c r="J32" s="640">
        <v>7</v>
      </c>
      <c r="K32" s="640">
        <v>9</v>
      </c>
      <c r="L32" s="640"/>
      <c r="M32" s="640"/>
      <c r="N32" s="640"/>
      <c r="O32" s="640"/>
      <c r="P32" s="640"/>
      <c r="Q32" s="640"/>
      <c r="R32" s="735"/>
      <c r="T32" s="93"/>
      <c r="V32" s="93"/>
      <c r="W32" s="93"/>
    </row>
    <row r="33" spans="3:23" ht="16.5">
      <c r="C33" s="640" t="s">
        <v>1387</v>
      </c>
      <c r="D33" s="871">
        <f ca="1">ICMS!E14</f>
        <v>0</v>
      </c>
      <c r="E33" s="1003">
        <f ca="1">IF(ISERROR(D33/$D$4),0,D33/$D$4)</f>
        <v>0</v>
      </c>
      <c r="F33" s="640">
        <v>22</v>
      </c>
      <c r="G33" s="640">
        <v>60</v>
      </c>
      <c r="H33" s="640">
        <v>999</v>
      </c>
      <c r="I33" s="640">
        <v>2</v>
      </c>
      <c r="J33" s="640">
        <v>30</v>
      </c>
      <c r="K33" s="640">
        <v>9</v>
      </c>
      <c r="L33" s="640"/>
      <c r="M33" s="640"/>
      <c r="N33" s="640"/>
      <c r="O33" s="640"/>
      <c r="P33" s="640"/>
      <c r="Q33" s="640"/>
      <c r="R33" s="640"/>
      <c r="T33" s="93"/>
      <c r="V33" s="93"/>
      <c r="W33" s="93"/>
    </row>
    <row r="34" spans="3:23" ht="16.5">
      <c r="C34" s="640" t="s">
        <v>1388</v>
      </c>
      <c r="D34" s="889"/>
      <c r="E34" s="1003">
        <f t="shared" ref="E34:E49" ca="1" si="2">IF(ISERROR(D34/$D$4),0,D34/$D$4)</f>
        <v>0</v>
      </c>
      <c r="F34" s="640">
        <v>22</v>
      </c>
      <c r="G34" s="640">
        <v>60</v>
      </c>
      <c r="H34" s="640">
        <v>231</v>
      </c>
      <c r="I34" s="640">
        <v>3</v>
      </c>
      <c r="J34" s="640">
        <v>19</v>
      </c>
      <c r="K34" s="640">
        <v>9</v>
      </c>
      <c r="L34" s="640"/>
      <c r="M34" s="640"/>
      <c r="N34" s="640"/>
      <c r="O34" s="640"/>
      <c r="P34" s="640"/>
      <c r="Q34" s="797"/>
      <c r="R34" s="640"/>
    </row>
    <row r="35" spans="3:23" ht="16.5">
      <c r="C35" s="640" t="s">
        <v>1389</v>
      </c>
      <c r="D35" s="894">
        <f>-'Conta covid'!J17</f>
        <v>0</v>
      </c>
      <c r="E35" s="1003">
        <f t="shared" ca="1" si="2"/>
        <v>0</v>
      </c>
      <c r="F35" s="640">
        <v>22</v>
      </c>
      <c r="G35" s="640">
        <v>60</v>
      </c>
      <c r="H35" s="640">
        <v>235</v>
      </c>
      <c r="I35" s="640">
        <v>4</v>
      </c>
      <c r="J35" s="640">
        <v>999</v>
      </c>
      <c r="K35" s="640">
        <v>9</v>
      </c>
      <c r="L35" s="640"/>
      <c r="M35" s="640"/>
      <c r="N35" s="640"/>
      <c r="O35" s="640"/>
      <c r="P35" s="640"/>
      <c r="Q35" s="644"/>
      <c r="R35" s="640"/>
    </row>
    <row r="36" spans="3:23" ht="16.5">
      <c r="C36" s="640" t="s">
        <v>1390</v>
      </c>
      <c r="D36" s="797">
        <f ca="1">Energia!K66</f>
        <v>214701.29892110906</v>
      </c>
      <c r="E36" s="1003">
        <f t="shared" ca="1" si="2"/>
        <v>3.5689246044298259E-3</v>
      </c>
      <c r="F36" s="640">
        <v>22</v>
      </c>
      <c r="G36" s="640">
        <v>60</v>
      </c>
      <c r="H36" s="640">
        <v>220</v>
      </c>
      <c r="I36" s="640">
        <v>2</v>
      </c>
      <c r="J36" s="640">
        <v>30</v>
      </c>
      <c r="K36" s="640">
        <v>9</v>
      </c>
      <c r="L36" s="640"/>
      <c r="M36" s="640"/>
      <c r="N36" s="640"/>
      <c r="O36" s="640"/>
      <c r="P36" s="640"/>
      <c r="Q36" s="640"/>
      <c r="R36" s="640"/>
      <c r="T36" s="292"/>
      <c r="U36" s="142"/>
      <c r="V36" s="142"/>
    </row>
    <row r="37" spans="3:23" ht="16.5">
      <c r="C37" s="653" t="s">
        <v>1391</v>
      </c>
      <c r="D37" s="654"/>
      <c r="E37" s="1003">
        <f t="shared" ca="1" si="2"/>
        <v>0</v>
      </c>
      <c r="F37" s="640">
        <v>22</v>
      </c>
      <c r="G37" s="653">
        <v>60</v>
      </c>
      <c r="H37" s="653">
        <v>999</v>
      </c>
      <c r="I37" s="653">
        <v>2</v>
      </c>
      <c r="J37" s="653">
        <v>30</v>
      </c>
      <c r="K37" s="653">
        <v>9</v>
      </c>
      <c r="L37" s="640"/>
      <c r="M37" s="640"/>
      <c r="N37" s="640"/>
      <c r="O37" s="640"/>
      <c r="P37" s="640"/>
      <c r="Q37" s="640"/>
      <c r="R37" s="871"/>
    </row>
    <row r="38" spans="3:23" ht="16.5">
      <c r="C38" s="653" t="s">
        <v>1392</v>
      </c>
      <c r="D38" s="654">
        <f>-'Financeiros Mitigação'!D10</f>
        <v>0</v>
      </c>
      <c r="E38" s="1003">
        <f t="shared" ca="1" si="2"/>
        <v>0</v>
      </c>
      <c r="F38" s="640">
        <v>22</v>
      </c>
      <c r="G38" s="653">
        <v>60</v>
      </c>
      <c r="H38" s="653">
        <v>179</v>
      </c>
      <c r="I38" s="653">
        <v>99</v>
      </c>
      <c r="J38" s="653">
        <v>999</v>
      </c>
      <c r="K38" s="653">
        <v>3</v>
      </c>
      <c r="L38" s="640"/>
      <c r="M38" s="640"/>
      <c r="N38" s="640"/>
      <c r="O38" s="640"/>
      <c r="P38" s="640"/>
      <c r="Q38" s="640"/>
      <c r="R38" s="871"/>
      <c r="T38" s="292"/>
      <c r="U38" s="142"/>
    </row>
    <row r="39" spans="3:23" ht="16.5">
      <c r="C39" s="653" t="s">
        <v>1393</v>
      </c>
      <c r="D39" s="654"/>
      <c r="E39" s="1003">
        <f t="shared" ca="1" si="2"/>
        <v>0</v>
      </c>
      <c r="F39" s="640">
        <v>22</v>
      </c>
      <c r="G39" s="640">
        <v>60</v>
      </c>
      <c r="H39" s="640">
        <v>999</v>
      </c>
      <c r="I39" s="640">
        <v>1</v>
      </c>
      <c r="J39" s="640">
        <v>7</v>
      </c>
      <c r="K39" s="640">
        <v>9</v>
      </c>
      <c r="L39" s="640"/>
      <c r="M39" s="640"/>
      <c r="N39" s="640"/>
      <c r="O39" s="640"/>
      <c r="P39" s="640"/>
      <c r="Q39" s="640"/>
      <c r="R39" s="640"/>
      <c r="U39" s="142"/>
    </row>
    <row r="40" spans="3:23" ht="16.5">
      <c r="C40" s="653" t="s">
        <v>1394</v>
      </c>
      <c r="D40" s="654"/>
      <c r="E40" s="1003">
        <f t="shared" ca="1" si="2"/>
        <v>0</v>
      </c>
      <c r="F40" s="640">
        <v>22</v>
      </c>
      <c r="G40" s="640">
        <v>60</v>
      </c>
      <c r="H40" s="640">
        <v>999</v>
      </c>
      <c r="I40" s="640">
        <v>2</v>
      </c>
      <c r="J40" s="640">
        <v>30</v>
      </c>
      <c r="K40" s="640">
        <v>9</v>
      </c>
      <c r="L40" s="640"/>
      <c r="M40" s="640"/>
      <c r="N40" s="640"/>
      <c r="O40" s="640"/>
      <c r="P40" s="640"/>
      <c r="Q40" s="640"/>
      <c r="R40" s="640"/>
    </row>
    <row r="41" spans="3:23" ht="16.5">
      <c r="C41" s="653" t="s">
        <v>1395</v>
      </c>
      <c r="D41" s="654">
        <f>'Financeiros Mitigação'!D12</f>
        <v>0</v>
      </c>
      <c r="E41" s="1003">
        <f t="shared" ca="1" si="2"/>
        <v>0</v>
      </c>
      <c r="F41" s="640">
        <v>22</v>
      </c>
      <c r="G41" s="653">
        <v>60</v>
      </c>
      <c r="H41" s="653">
        <v>999</v>
      </c>
      <c r="I41" s="653">
        <v>2</v>
      </c>
      <c r="J41" s="653">
        <v>30</v>
      </c>
      <c r="K41" s="653">
        <v>9</v>
      </c>
      <c r="L41" s="640"/>
      <c r="M41" s="640"/>
      <c r="N41" s="640"/>
      <c r="O41" s="640"/>
      <c r="P41" s="640"/>
      <c r="Q41" s="640"/>
      <c r="R41" s="640"/>
    </row>
    <row r="42" spans="3:23" ht="16.5">
      <c r="C42" s="653"/>
      <c r="D42" s="1697"/>
      <c r="E42" s="1657">
        <f>IF(ISERROR(D42/#REF!),0,D42/#REF!)</f>
        <v>0</v>
      </c>
      <c r="F42" s="640">
        <v>22</v>
      </c>
      <c r="G42" s="653"/>
      <c r="H42" s="653"/>
      <c r="I42" s="653"/>
      <c r="J42" s="653"/>
      <c r="K42" s="653"/>
      <c r="L42" s="640"/>
      <c r="M42" s="640"/>
      <c r="N42" s="640"/>
      <c r="O42" s="640"/>
      <c r="P42" s="640"/>
      <c r="Q42" s="640"/>
      <c r="R42" s="640"/>
    </row>
    <row r="43" spans="3:23" ht="16.5">
      <c r="C43" s="653"/>
      <c r="D43" s="1697"/>
      <c r="E43" s="1657">
        <f>IF(ISERROR(D43/#REF!),0,D43/#REF!)</f>
        <v>0</v>
      </c>
      <c r="F43" s="640">
        <v>22</v>
      </c>
      <c r="G43" s="653"/>
      <c r="H43" s="653"/>
      <c r="I43" s="653"/>
      <c r="J43" s="653"/>
      <c r="K43" s="653"/>
      <c r="L43" s="640"/>
      <c r="M43" s="640"/>
      <c r="N43" s="640"/>
      <c r="O43" s="640"/>
      <c r="P43" s="640"/>
      <c r="Q43" s="640"/>
      <c r="R43" s="640"/>
    </row>
    <row r="44" spans="3:23" ht="16.5">
      <c r="C44" s="653"/>
      <c r="D44" s="1697"/>
      <c r="E44" s="1657">
        <f>IF(ISERROR(D44/#REF!),0,D44/#REF!)</f>
        <v>0</v>
      </c>
      <c r="F44" s="640">
        <v>22</v>
      </c>
      <c r="G44" s="653"/>
      <c r="H44" s="653"/>
      <c r="I44" s="653"/>
      <c r="J44" s="653"/>
      <c r="K44" s="653"/>
      <c r="L44" s="640"/>
      <c r="M44" s="640"/>
      <c r="N44" s="640"/>
      <c r="O44" s="640"/>
      <c r="P44" s="640"/>
      <c r="Q44" s="640"/>
      <c r="R44" s="640"/>
    </row>
    <row r="45" spans="3:23" ht="16.5">
      <c r="C45" s="653"/>
      <c r="D45" s="654"/>
      <c r="E45" s="1003">
        <f t="shared" ca="1" si="2"/>
        <v>0</v>
      </c>
      <c r="F45" s="640">
        <v>22</v>
      </c>
      <c r="G45" s="653">
        <v>60</v>
      </c>
      <c r="H45" s="653">
        <v>999</v>
      </c>
      <c r="I45" s="653">
        <v>99</v>
      </c>
      <c r="J45" s="653">
        <v>999</v>
      </c>
      <c r="K45" s="653">
        <v>9</v>
      </c>
      <c r="L45" s="640"/>
      <c r="M45" s="640"/>
      <c r="N45" s="640"/>
      <c r="O45" s="640"/>
      <c r="P45" s="640"/>
      <c r="Q45" s="640"/>
      <c r="R45" s="640"/>
    </row>
    <row r="46" spans="3:23" ht="16.5">
      <c r="C46" s="653"/>
      <c r="D46" s="654"/>
      <c r="E46" s="1003">
        <f t="shared" ca="1" si="2"/>
        <v>0</v>
      </c>
      <c r="F46" s="640">
        <v>22</v>
      </c>
      <c r="G46" s="653">
        <v>60</v>
      </c>
      <c r="H46" s="653">
        <v>999</v>
      </c>
      <c r="I46" s="653">
        <v>99</v>
      </c>
      <c r="J46" s="653">
        <v>999</v>
      </c>
      <c r="K46" s="653">
        <v>9</v>
      </c>
      <c r="L46" s="640"/>
      <c r="M46" s="640"/>
      <c r="N46" s="640"/>
      <c r="O46" s="640"/>
      <c r="P46" s="640"/>
      <c r="Q46" s="640"/>
      <c r="R46" s="640"/>
    </row>
    <row r="47" spans="3:23" ht="16.5">
      <c r="C47" s="653"/>
      <c r="D47" s="655"/>
      <c r="E47" s="1003">
        <f t="shared" ca="1" si="2"/>
        <v>0</v>
      </c>
      <c r="F47" s="640">
        <v>22</v>
      </c>
      <c r="G47" s="653">
        <v>60</v>
      </c>
      <c r="H47" s="653">
        <v>999</v>
      </c>
      <c r="I47" s="653">
        <v>99</v>
      </c>
      <c r="J47" s="653">
        <v>999</v>
      </c>
      <c r="K47" s="653">
        <v>9</v>
      </c>
      <c r="L47" s="640"/>
      <c r="M47" s="640"/>
      <c r="N47" s="640"/>
      <c r="O47" s="640"/>
      <c r="P47" s="640"/>
      <c r="Q47" s="640"/>
      <c r="R47" s="640"/>
    </row>
    <row r="48" spans="3:23" ht="16.5">
      <c r="C48" s="1005" t="s">
        <v>2271</v>
      </c>
      <c r="D48" s="1005">
        <f>CVE!$E$9</f>
        <v>0</v>
      </c>
      <c r="E48" s="1003">
        <f t="shared" ca="1" si="2"/>
        <v>0</v>
      </c>
      <c r="F48" s="996">
        <v>22</v>
      </c>
      <c r="G48" s="996">
        <v>60</v>
      </c>
      <c r="H48" s="996">
        <v>241</v>
      </c>
      <c r="I48" s="996">
        <v>3</v>
      </c>
      <c r="J48" s="996">
        <v>13</v>
      </c>
      <c r="K48" s="996">
        <v>9</v>
      </c>
      <c r="L48" s="640"/>
      <c r="M48" s="640"/>
      <c r="N48" s="640"/>
      <c r="O48" s="640"/>
      <c r="P48" s="640"/>
      <c r="Q48" s="640"/>
      <c r="R48" s="640"/>
    </row>
    <row r="49" spans="3:12" ht="16.5">
      <c r="C49" s="1005" t="s">
        <v>2272</v>
      </c>
      <c r="D49" s="1005">
        <f>CVE!$E$10</f>
        <v>0</v>
      </c>
      <c r="E49" s="1003">
        <f t="shared" ca="1" si="2"/>
        <v>0</v>
      </c>
      <c r="F49" s="996">
        <v>22</v>
      </c>
      <c r="G49" s="996">
        <v>60</v>
      </c>
      <c r="H49" s="996">
        <v>241</v>
      </c>
      <c r="I49" s="996">
        <v>3</v>
      </c>
      <c r="J49" s="996">
        <v>15</v>
      </c>
      <c r="K49" s="996">
        <v>9</v>
      </c>
      <c r="L49" s="640"/>
    </row>
    <row r="50" spans="3:12" ht="16.5">
      <c r="C50" s="1005" t="s">
        <v>2273</v>
      </c>
      <c r="D50" s="1005">
        <f>CVE!$E$11</f>
        <v>0</v>
      </c>
      <c r="E50" s="1003">
        <f t="shared" ca="1" si="0"/>
        <v>0</v>
      </c>
      <c r="F50" s="996">
        <v>22</v>
      </c>
      <c r="G50" s="996">
        <v>60</v>
      </c>
      <c r="H50" s="996">
        <v>241</v>
      </c>
      <c r="I50" s="996">
        <v>3</v>
      </c>
      <c r="J50" s="996">
        <v>25</v>
      </c>
      <c r="K50" s="996">
        <v>9</v>
      </c>
      <c r="L50" s="640"/>
    </row>
    <row r="51" spans="3:12" ht="16.5">
      <c r="C51" s="1005" t="s">
        <v>2274</v>
      </c>
      <c r="D51" s="1005">
        <f>IFERROR(CVE!$E$12*Resultado!D25/SUM(Resultado!$D$25:$D$29),0)</f>
        <v>0</v>
      </c>
      <c r="E51" s="1003">
        <f t="shared" ca="1" si="0"/>
        <v>0</v>
      </c>
      <c r="F51" s="996">
        <v>22</v>
      </c>
      <c r="G51" s="996">
        <v>60</v>
      </c>
      <c r="H51" s="996">
        <v>241</v>
      </c>
      <c r="I51" s="996">
        <v>1</v>
      </c>
      <c r="J51" s="996">
        <v>1</v>
      </c>
      <c r="K51" s="997">
        <v>9</v>
      </c>
      <c r="L51" s="640"/>
    </row>
    <row r="52" spans="3:12" ht="16.5">
      <c r="C52" s="1005" t="s">
        <v>2275</v>
      </c>
      <c r="D52" s="1005">
        <f>IFERROR(CVE!$E$12*Resultado!D26/SUM(Resultado!$D$25:$D$29),0)</f>
        <v>0</v>
      </c>
      <c r="E52" s="1003">
        <f t="shared" ca="1" si="0"/>
        <v>0</v>
      </c>
      <c r="F52" s="996">
        <v>22</v>
      </c>
      <c r="G52" s="996">
        <v>60</v>
      </c>
      <c r="H52" s="996">
        <v>241</v>
      </c>
      <c r="I52" s="996">
        <v>1</v>
      </c>
      <c r="J52" s="996">
        <v>1</v>
      </c>
      <c r="K52" s="997">
        <v>9</v>
      </c>
      <c r="L52" s="640"/>
    </row>
    <row r="53" spans="3:12" ht="16.5">
      <c r="C53" s="1005" t="s">
        <v>2276</v>
      </c>
      <c r="D53" s="1005">
        <f>IFERROR(CVE!$E$12*Resultado!D28/SUM(Resultado!$D$25:$D$29),0)</f>
        <v>0</v>
      </c>
      <c r="E53" s="1003">
        <f t="shared" ca="1" si="0"/>
        <v>0</v>
      </c>
      <c r="F53" s="996">
        <v>22</v>
      </c>
      <c r="G53" s="996">
        <v>60</v>
      </c>
      <c r="H53" s="996">
        <v>241</v>
      </c>
      <c r="I53" s="996">
        <v>1</v>
      </c>
      <c r="J53" s="996">
        <v>1</v>
      </c>
      <c r="K53" s="997">
        <v>9</v>
      </c>
      <c r="L53" s="640"/>
    </row>
    <row r="54" spans="3:12" ht="16.5">
      <c r="C54" s="1005" t="s">
        <v>2277</v>
      </c>
      <c r="D54" s="1005">
        <f>IFERROR(CVE!$E$12*Resultado!D27/SUM(Resultado!$D$25:$D$29),0)</f>
        <v>0</v>
      </c>
      <c r="E54" s="1003">
        <f t="shared" ca="1" si="0"/>
        <v>0</v>
      </c>
      <c r="F54" s="996">
        <v>22</v>
      </c>
      <c r="G54" s="996">
        <v>60</v>
      </c>
      <c r="H54" s="996">
        <v>241</v>
      </c>
      <c r="I54" s="996">
        <v>1</v>
      </c>
      <c r="J54" s="996">
        <v>1</v>
      </c>
      <c r="K54" s="997">
        <v>9</v>
      </c>
      <c r="L54" s="640"/>
    </row>
    <row r="55" spans="3:12" ht="16.5">
      <c r="C55" s="1005" t="s">
        <v>2278</v>
      </c>
      <c r="D55" s="1005">
        <f>IFERROR(CVE!$E$12*Resultado!D29/SUM(Resultado!$D$25:$D$29),0)</f>
        <v>0</v>
      </c>
      <c r="E55" s="1003">
        <f t="shared" ca="1" si="0"/>
        <v>0</v>
      </c>
      <c r="F55" s="996">
        <v>22</v>
      </c>
      <c r="G55" s="996">
        <v>60</v>
      </c>
      <c r="H55" s="996">
        <v>241</v>
      </c>
      <c r="I55" s="996">
        <v>1</v>
      </c>
      <c r="J55" s="996">
        <v>1</v>
      </c>
      <c r="K55" s="997">
        <v>9</v>
      </c>
      <c r="L55" s="640"/>
    </row>
    <row r="56" spans="3:12" ht="16.5">
      <c r="C56" s="1005" t="s">
        <v>2279</v>
      </c>
      <c r="D56" s="1005">
        <f>CVE!E15</f>
        <v>0</v>
      </c>
      <c r="E56" s="1003">
        <f t="shared" ca="1" si="0"/>
        <v>0</v>
      </c>
      <c r="F56" s="996">
        <v>22</v>
      </c>
      <c r="G56" s="996">
        <v>60</v>
      </c>
      <c r="H56" s="996">
        <v>241</v>
      </c>
      <c r="I56" s="996">
        <v>1</v>
      </c>
      <c r="J56" s="996">
        <v>21</v>
      </c>
      <c r="K56" s="997">
        <v>9</v>
      </c>
      <c r="L56" s="640"/>
    </row>
    <row r="57" spans="3:12" ht="16.5">
      <c r="C57" s="1005" t="s">
        <v>2280</v>
      </c>
      <c r="D57" s="1005">
        <f ca="1">IFERROR(CVE!$E$13*Energia!C6/Energia!$C$5,0)</f>
        <v>0</v>
      </c>
      <c r="E57" s="1003">
        <f t="shared" ca="1" si="0"/>
        <v>0</v>
      </c>
      <c r="F57" s="996">
        <v>22</v>
      </c>
      <c r="G57" s="996">
        <v>60</v>
      </c>
      <c r="H57" s="996">
        <v>241</v>
      </c>
      <c r="I57" s="996">
        <v>2</v>
      </c>
      <c r="J57" s="996">
        <v>11</v>
      </c>
      <c r="K57" s="997">
        <v>9</v>
      </c>
      <c r="L57" s="640"/>
    </row>
    <row r="58" spans="3:12" ht="16.5">
      <c r="C58" s="1005" t="s">
        <v>2281</v>
      </c>
      <c r="D58" s="1005">
        <f ca="1">IFERROR(CVE!$E$13*Energia!C7/Energia!$C$5,0)</f>
        <v>0</v>
      </c>
      <c r="E58" s="1003">
        <f t="shared" ca="1" si="0"/>
        <v>0</v>
      </c>
      <c r="F58" s="996">
        <v>22</v>
      </c>
      <c r="G58" s="996">
        <v>60</v>
      </c>
      <c r="H58" s="996">
        <v>241</v>
      </c>
      <c r="I58" s="996">
        <v>2</v>
      </c>
      <c r="J58" s="996">
        <v>9</v>
      </c>
      <c r="K58" s="996">
        <v>9</v>
      </c>
      <c r="L58" s="640"/>
    </row>
    <row r="59" spans="3:12" ht="16.5">
      <c r="C59" s="1005" t="s">
        <v>2282</v>
      </c>
      <c r="D59" s="1005">
        <f ca="1">IFERROR(CVE!$E$13*Energia!C8/Energia!$C$5,0)</f>
        <v>0</v>
      </c>
      <c r="E59" s="1003">
        <f t="shared" ca="1" si="0"/>
        <v>0</v>
      </c>
      <c r="F59" s="996">
        <v>22</v>
      </c>
      <c r="G59" s="996">
        <v>60</v>
      </c>
      <c r="H59" s="996">
        <v>241</v>
      </c>
      <c r="I59" s="996">
        <v>2</v>
      </c>
      <c r="J59" s="996">
        <v>8</v>
      </c>
      <c r="K59" s="996">
        <v>9</v>
      </c>
      <c r="L59" s="640"/>
    </row>
    <row r="60" spans="3:12" ht="16.5">
      <c r="C60" s="1005" t="s">
        <v>2283</v>
      </c>
      <c r="D60" s="1005">
        <f ca="1">IFERROR(CVE!$E$13*Energia!C9/Energia!$C$5,0)</f>
        <v>0</v>
      </c>
      <c r="E60" s="1003">
        <f t="shared" ca="1" si="0"/>
        <v>0</v>
      </c>
      <c r="F60" s="996">
        <v>22</v>
      </c>
      <c r="G60" s="996">
        <v>60</v>
      </c>
      <c r="H60" s="996">
        <v>241</v>
      </c>
      <c r="I60" s="996">
        <v>2</v>
      </c>
      <c r="J60" s="996">
        <v>10</v>
      </c>
      <c r="K60" s="996">
        <v>9</v>
      </c>
      <c r="L60" s="640"/>
    </row>
    <row r="61" spans="3:12" ht="16.5">
      <c r="C61" s="1005" t="s">
        <v>2284</v>
      </c>
      <c r="D61" s="1005">
        <f ca="1">IFERROR(CVE!$E$13*Energia!C10/Energia!$C$5,0)</f>
        <v>0</v>
      </c>
      <c r="E61" s="1003">
        <f t="shared" ca="1" si="0"/>
        <v>0</v>
      </c>
      <c r="F61" s="996">
        <v>22</v>
      </c>
      <c r="G61" s="996">
        <v>60</v>
      </c>
      <c r="H61" s="996">
        <v>241</v>
      </c>
      <c r="I61" s="996">
        <v>2</v>
      </c>
      <c r="J61" s="996">
        <v>24</v>
      </c>
      <c r="K61" s="996">
        <v>9</v>
      </c>
      <c r="L61" s="640"/>
    </row>
    <row r="62" spans="3:12" ht="16.5">
      <c r="C62" s="1005" t="s">
        <v>2285</v>
      </c>
      <c r="D62" s="1005">
        <f ca="1">IFERROR(CVE!$E$13*Energia!C11/Energia!$C$5,0)</f>
        <v>0</v>
      </c>
      <c r="E62" s="1003">
        <f t="shared" ca="1" si="0"/>
        <v>0</v>
      </c>
      <c r="F62" s="996">
        <v>22</v>
      </c>
      <c r="G62" s="996">
        <v>60</v>
      </c>
      <c r="H62" s="996">
        <v>241</v>
      </c>
      <c r="I62" s="996">
        <v>3</v>
      </c>
      <c r="J62" s="996">
        <v>18</v>
      </c>
      <c r="K62" s="996">
        <v>9</v>
      </c>
      <c r="L62" s="640"/>
    </row>
    <row r="63" spans="3:12" ht="16.5">
      <c r="C63" s="1005" t="s">
        <v>2286</v>
      </c>
      <c r="D63" s="1005">
        <f>CVE!E14</f>
        <v>0</v>
      </c>
      <c r="E63" s="1003">
        <f t="shared" ca="1" si="0"/>
        <v>0</v>
      </c>
      <c r="F63" s="996">
        <v>22</v>
      </c>
      <c r="G63" s="996">
        <v>60</v>
      </c>
      <c r="H63" s="996">
        <v>241</v>
      </c>
      <c r="I63" s="996">
        <v>3</v>
      </c>
      <c r="J63" s="996">
        <v>16</v>
      </c>
      <c r="K63" s="997">
        <v>9</v>
      </c>
      <c r="L63" s="640"/>
    </row>
    <row r="64" spans="3:12" ht="16.5">
      <c r="C64" s="1005" t="s">
        <v>2287</v>
      </c>
      <c r="D64" s="1005">
        <f>CVE!E17</f>
        <v>0</v>
      </c>
      <c r="E64" s="1003">
        <f t="shared" ca="1" si="0"/>
        <v>0</v>
      </c>
      <c r="F64" s="996">
        <v>22</v>
      </c>
      <c r="G64" s="996">
        <v>60</v>
      </c>
      <c r="H64" s="996">
        <v>241</v>
      </c>
      <c r="I64" s="996">
        <v>3</v>
      </c>
      <c r="J64" s="996">
        <v>17</v>
      </c>
      <c r="K64" s="997">
        <v>9</v>
      </c>
      <c r="L64" s="640"/>
    </row>
    <row r="65" spans="3:12" ht="16.5">
      <c r="C65" s="1658" t="s">
        <v>2259</v>
      </c>
      <c r="D65" s="1658">
        <f ca="1">IFERROR('Financeiros Mitigação'!$D$5*Energia!C6/Energia!$C$5,0)</f>
        <v>0</v>
      </c>
      <c r="E65" s="1003">
        <f t="shared" ca="1" si="0"/>
        <v>0</v>
      </c>
      <c r="F65" s="996">
        <v>22</v>
      </c>
      <c r="G65" s="996">
        <v>60</v>
      </c>
      <c r="H65" s="996">
        <v>240</v>
      </c>
      <c r="I65" s="996">
        <v>2</v>
      </c>
      <c r="J65" s="996">
        <v>11</v>
      </c>
      <c r="K65" s="997">
        <v>9</v>
      </c>
      <c r="L65" s="640"/>
    </row>
    <row r="66" spans="3:12" ht="16.5">
      <c r="C66" s="1658" t="s">
        <v>2260</v>
      </c>
      <c r="D66" s="1658">
        <f ca="1">IFERROR('Financeiros Mitigação'!$D$5*Energia!N16/Energia!$C$5,0)</f>
        <v>0</v>
      </c>
      <c r="E66" s="1003">
        <f t="shared" ca="1" si="0"/>
        <v>0</v>
      </c>
      <c r="F66" s="996">
        <v>22</v>
      </c>
      <c r="G66" s="996">
        <v>60</v>
      </c>
      <c r="H66" s="996">
        <v>240</v>
      </c>
      <c r="I66" s="996">
        <v>2</v>
      </c>
      <c r="J66" s="996">
        <v>9</v>
      </c>
      <c r="K66" s="997">
        <v>9</v>
      </c>
      <c r="L66" s="640"/>
    </row>
    <row r="67" spans="3:12" ht="16.5">
      <c r="C67" s="1658" t="s">
        <v>2261</v>
      </c>
      <c r="D67" s="1658">
        <f ca="1">IFERROR('Financeiros Mitigação'!$D$5*Energia!N17/Energia!$C$5,0)</f>
        <v>0</v>
      </c>
      <c r="E67" s="1003">
        <f t="shared" ca="1" si="0"/>
        <v>0</v>
      </c>
      <c r="F67" s="996">
        <v>22</v>
      </c>
      <c r="G67" s="996">
        <v>60</v>
      </c>
      <c r="H67" s="996">
        <v>240</v>
      </c>
      <c r="I67" s="996">
        <v>2</v>
      </c>
      <c r="J67" s="996">
        <v>8</v>
      </c>
      <c r="K67" s="997">
        <v>9</v>
      </c>
      <c r="L67" s="640"/>
    </row>
    <row r="68" spans="3:12" ht="16.5">
      <c r="C68" s="1658" t="s">
        <v>2262</v>
      </c>
      <c r="D68" s="1658">
        <f ca="1">IFERROR('Financeiros Mitigação'!$D$5*Energia!C11/Energia!$C$5,0)</f>
        <v>0</v>
      </c>
      <c r="E68" s="1003">
        <f t="shared" ca="1" si="0"/>
        <v>0</v>
      </c>
      <c r="F68" s="996">
        <v>22</v>
      </c>
      <c r="G68" s="996">
        <v>60</v>
      </c>
      <c r="H68" s="996">
        <v>240</v>
      </c>
      <c r="I68" s="996">
        <v>2</v>
      </c>
      <c r="J68" s="996">
        <v>10</v>
      </c>
      <c r="K68" s="997">
        <v>9</v>
      </c>
      <c r="L68" s="640"/>
    </row>
    <row r="69" spans="3:12" ht="16.5">
      <c r="C69" s="1658" t="s">
        <v>2263</v>
      </c>
      <c r="D69" s="1658">
        <f ca="1">IFERROR('Financeiros Mitigação'!$D$5*Energia!C12/Energia!$C$5,0)</f>
        <v>0</v>
      </c>
      <c r="E69" s="1003">
        <f t="shared" ca="1" si="0"/>
        <v>0</v>
      </c>
      <c r="F69" s="996">
        <v>22</v>
      </c>
      <c r="G69" s="996">
        <v>60</v>
      </c>
      <c r="H69" s="996">
        <v>240</v>
      </c>
      <c r="I69" s="996">
        <v>2</v>
      </c>
      <c r="J69" s="996">
        <v>24</v>
      </c>
      <c r="K69" s="997">
        <v>9</v>
      </c>
      <c r="L69" s="640"/>
    </row>
    <row r="70" spans="3:12" ht="16.5">
      <c r="C70" s="1658" t="s">
        <v>2264</v>
      </c>
      <c r="D70" s="1658">
        <v>0</v>
      </c>
      <c r="E70" s="1003">
        <f t="shared" ca="1" si="0"/>
        <v>0</v>
      </c>
      <c r="F70" s="996">
        <v>22</v>
      </c>
      <c r="G70" s="996">
        <v>60</v>
      </c>
      <c r="H70" s="996">
        <v>240</v>
      </c>
      <c r="I70" s="996">
        <v>3</v>
      </c>
      <c r="J70" s="996">
        <v>17</v>
      </c>
      <c r="K70" s="997">
        <v>9</v>
      </c>
      <c r="L70" s="640"/>
    </row>
    <row r="71" spans="3:12" ht="16.5">
      <c r="C71" s="1658" t="s">
        <v>2265</v>
      </c>
      <c r="D71" s="1658">
        <f ca="1">IFERROR('Financeiros Mitigação'!$D$7*Energia!C6/Energia!$C$5,0)</f>
        <v>0</v>
      </c>
      <c r="E71" s="1003">
        <f t="shared" ca="1" si="0"/>
        <v>0</v>
      </c>
      <c r="F71" s="996">
        <v>22</v>
      </c>
      <c r="G71" s="996">
        <v>60</v>
      </c>
      <c r="H71" s="996">
        <v>240</v>
      </c>
      <c r="I71" s="996">
        <v>2</v>
      </c>
      <c r="J71" s="996">
        <v>11</v>
      </c>
      <c r="K71" s="997">
        <v>9</v>
      </c>
      <c r="L71" s="640"/>
    </row>
    <row r="72" spans="3:12" ht="16.5">
      <c r="C72" s="1658" t="s">
        <v>2266</v>
      </c>
      <c r="D72" s="1658">
        <f ca="1">IFERROR('Financeiros Mitigação'!$D$7*Energia!N16/Energia!$C$5,0)</f>
        <v>0</v>
      </c>
      <c r="E72" s="1003">
        <f t="shared" ca="1" si="0"/>
        <v>0</v>
      </c>
      <c r="F72" s="996">
        <v>22</v>
      </c>
      <c r="G72" s="996">
        <v>60</v>
      </c>
      <c r="H72" s="996">
        <v>240</v>
      </c>
      <c r="I72" s="996">
        <v>2</v>
      </c>
      <c r="J72" s="996">
        <v>9</v>
      </c>
      <c r="K72" s="997">
        <v>9</v>
      </c>
      <c r="L72" s="640"/>
    </row>
    <row r="73" spans="3:12" ht="16.5">
      <c r="C73" s="1658" t="s">
        <v>2267</v>
      </c>
      <c r="D73" s="1658">
        <f ca="1">IFERROR('Financeiros Mitigação'!$D$7*Energia!N17/Energia!$C$5,0)</f>
        <v>0</v>
      </c>
      <c r="E73" s="1003">
        <f t="shared" ca="1" si="0"/>
        <v>0</v>
      </c>
      <c r="F73" s="996">
        <v>22</v>
      </c>
      <c r="G73" s="996">
        <v>60</v>
      </c>
      <c r="H73" s="996">
        <v>240</v>
      </c>
      <c r="I73" s="996">
        <v>2</v>
      </c>
      <c r="J73" s="996">
        <v>8</v>
      </c>
      <c r="K73" s="997">
        <v>9</v>
      </c>
      <c r="L73" s="640"/>
    </row>
    <row r="74" spans="3:12" ht="16.5">
      <c r="C74" s="1658" t="s">
        <v>2268</v>
      </c>
      <c r="D74" s="1658">
        <f ca="1">IFERROR('Financeiros Mitigação'!$D$7*Energia!C11/Energia!$C$5,0)</f>
        <v>0</v>
      </c>
      <c r="E74" s="1003">
        <f t="shared" ca="1" si="0"/>
        <v>0</v>
      </c>
      <c r="F74" s="996">
        <v>22</v>
      </c>
      <c r="G74" s="996">
        <v>60</v>
      </c>
      <c r="H74" s="996">
        <v>240</v>
      </c>
      <c r="I74" s="996">
        <v>2</v>
      </c>
      <c r="J74" s="996">
        <v>10</v>
      </c>
      <c r="K74" s="997">
        <v>9</v>
      </c>
      <c r="L74" s="640"/>
    </row>
    <row r="75" spans="3:12" ht="16.5">
      <c r="C75" s="1658" t="s">
        <v>2269</v>
      </c>
      <c r="D75" s="1658">
        <f ca="1">IFERROR('Financeiros Mitigação'!$D$7*Energia!C12/Energia!$C$5,0)</f>
        <v>0</v>
      </c>
      <c r="E75" s="1003">
        <f t="shared" ca="1" si="0"/>
        <v>0</v>
      </c>
      <c r="F75" s="996">
        <v>22</v>
      </c>
      <c r="G75" s="996">
        <v>60</v>
      </c>
      <c r="H75" s="996">
        <v>240</v>
      </c>
      <c r="I75" s="996">
        <v>2</v>
      </c>
      <c r="J75" s="996">
        <v>24</v>
      </c>
      <c r="K75" s="997">
        <v>9</v>
      </c>
      <c r="L75" s="640"/>
    </row>
    <row r="76" spans="3:12" ht="16.5">
      <c r="C76" s="1658"/>
      <c r="D76" s="1658"/>
      <c r="E76" s="1003"/>
      <c r="F76" s="996"/>
      <c r="G76" s="996"/>
      <c r="H76" s="996"/>
      <c r="I76" s="996"/>
      <c r="J76" s="996"/>
      <c r="K76" s="997"/>
      <c r="L76" s="640"/>
    </row>
    <row r="77" spans="3:12" ht="16.5">
      <c r="C77" s="1658"/>
      <c r="D77" s="1658"/>
      <c r="E77" s="1003"/>
      <c r="F77" s="996"/>
      <c r="G77" s="996"/>
      <c r="H77" s="996"/>
      <c r="I77" s="996"/>
      <c r="J77" s="996"/>
      <c r="K77" s="997"/>
      <c r="L77" s="640"/>
    </row>
    <row r="78" spans="3:12" ht="16.5">
      <c r="C78" s="1658"/>
      <c r="D78" s="1658"/>
      <c r="E78" s="1003"/>
      <c r="F78" s="996"/>
      <c r="G78" s="996"/>
      <c r="H78" s="996"/>
      <c r="I78" s="996"/>
      <c r="J78" s="996"/>
      <c r="K78" s="997"/>
      <c r="L78" s="640"/>
    </row>
    <row r="79" spans="3:12" ht="16.5">
      <c r="C79" s="1658"/>
      <c r="D79" s="1658"/>
      <c r="E79" s="1003"/>
      <c r="F79" s="996"/>
      <c r="G79" s="996"/>
      <c r="H79" s="996"/>
      <c r="I79" s="996"/>
      <c r="J79" s="996"/>
      <c r="K79" s="997"/>
      <c r="L79" s="640"/>
    </row>
    <row r="80" spans="3:12" ht="16.5">
      <c r="C80" s="1658"/>
      <c r="D80" s="1658"/>
      <c r="E80" s="1003"/>
      <c r="F80" s="997"/>
      <c r="G80" s="997"/>
      <c r="H80" s="997"/>
      <c r="I80" s="997"/>
      <c r="J80" s="997"/>
      <c r="K80" s="997"/>
      <c r="L80" s="640"/>
    </row>
    <row r="81" spans="3:12" ht="16.5">
      <c r="C81" s="1658"/>
      <c r="D81" s="1658"/>
      <c r="E81" s="1003"/>
      <c r="F81" s="997"/>
      <c r="G81" s="997"/>
      <c r="H81" s="997"/>
      <c r="I81" s="997"/>
      <c r="J81" s="997"/>
      <c r="K81" s="997"/>
      <c r="L81" s="640"/>
    </row>
    <row r="82" spans="3:12" ht="16.5">
      <c r="C82" s="1005" t="s">
        <v>1397</v>
      </c>
      <c r="D82" s="1005">
        <f ca="1">IFERROR(CVE!$I$15,0)</f>
        <v>0</v>
      </c>
      <c r="E82" s="1439">
        <f t="shared" ref="E82" ca="1" si="3">IF(ISERROR(D82/$D$5),0,D82/$D$5)</f>
        <v>0</v>
      </c>
      <c r="F82" s="1440">
        <v>22</v>
      </c>
      <c r="G82" s="1440">
        <v>62</v>
      </c>
      <c r="H82" s="1440">
        <v>220</v>
      </c>
      <c r="I82" s="1440">
        <v>2</v>
      </c>
      <c r="J82" s="1440">
        <v>30</v>
      </c>
      <c r="K82" s="1440">
        <v>9</v>
      </c>
      <c r="L82" s="640"/>
    </row>
    <row r="83" spans="3:12" ht="16.5">
      <c r="C83" s="1006"/>
    </row>
  </sheetData>
  <conditionalFormatting sqref="D27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46:D47 D9:E9 E24:E28 E14:E18 E12 E11 F12:F17 E21:F23 D21:D24 D29:E30 D26:D27 E32:E35 D35:D36 D10:D18" calculatedColumn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2:E14"/>
  <sheetViews>
    <sheetView workbookViewId="0">
      <selection activeCell="E15" sqref="E15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3" t="s">
        <v>2187</v>
      </c>
    </row>
    <row r="4" spans="1:5">
      <c r="B4" t="s">
        <v>2188</v>
      </c>
    </row>
    <row r="7" spans="1:5">
      <c r="A7" s="755"/>
      <c r="B7" s="755" t="s">
        <v>2182</v>
      </c>
    </row>
    <row r="8" spans="1:5">
      <c r="A8" s="755" t="s">
        <v>1031</v>
      </c>
      <c r="B8" s="1605"/>
    </row>
    <row r="9" spans="1:5">
      <c r="A9" s="755" t="s">
        <v>1050</v>
      </c>
      <c r="B9" s="1605"/>
    </row>
    <row r="11" spans="1:5" ht="47.25">
      <c r="A11" s="1607"/>
      <c r="B11" s="1608" t="s">
        <v>2189</v>
      </c>
      <c r="C11" s="1609" t="s">
        <v>2183</v>
      </c>
      <c r="D11" s="1609" t="s">
        <v>2184</v>
      </c>
      <c r="E11" s="1609" t="s">
        <v>845</v>
      </c>
    </row>
    <row r="12" spans="1:5">
      <c r="A12" s="892" t="s">
        <v>845</v>
      </c>
      <c r="B12" s="1606">
        <f>B13+B14</f>
        <v>0</v>
      </c>
      <c r="C12" s="1606">
        <f>Indexador!R49</f>
        <v>0</v>
      </c>
      <c r="D12" s="1606">
        <f>C12*85%</f>
        <v>0</v>
      </c>
      <c r="E12" s="1606">
        <f>SUM(B12:D12)</f>
        <v>0</v>
      </c>
    </row>
    <row r="13" spans="1:5">
      <c r="A13" s="755" t="s">
        <v>1031</v>
      </c>
      <c r="B13" s="1606">
        <f>Indexador!V49</f>
        <v>0</v>
      </c>
      <c r="C13" s="1606">
        <f ca="1">IFERROR($C$12*(Resultado!D32/(Resultado!$D$32+Resultado!$D$33)),0)</f>
        <v>0</v>
      </c>
      <c r="D13" s="1606">
        <f t="shared" ref="D13:D14" ca="1" si="0">C13*85%</f>
        <v>0</v>
      </c>
      <c r="E13" s="1606">
        <f t="shared" ref="E13:E14" ca="1" si="1">SUM(B13:D13)</f>
        <v>0</v>
      </c>
    </row>
    <row r="14" spans="1:5">
      <c r="A14" s="755" t="s">
        <v>1050</v>
      </c>
      <c r="B14" s="1606">
        <f>Indexador!T49</f>
        <v>0</v>
      </c>
      <c r="C14" s="1606">
        <f ca="1">IFERROR($C$12*(Resultado!D33/(Resultado!$D$32+Resultado!$D$33)),0)</f>
        <v>0</v>
      </c>
      <c r="D14" s="1606">
        <f t="shared" ca="1" si="0"/>
        <v>0</v>
      </c>
      <c r="E14" s="1606">
        <f t="shared" ca="1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101"/>
  <sheetViews>
    <sheetView topLeftCell="B1" workbookViewId="0">
      <selection activeCell="F23" sqref="F23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684" t="s">
        <v>2302</v>
      </c>
    </row>
    <row r="4" spans="1:15">
      <c r="B4" s="1675" t="s">
        <v>2289</v>
      </c>
      <c r="C4" s="1677" t="s">
        <v>2290</v>
      </c>
      <c r="D4" s="1676" t="s">
        <v>2291</v>
      </c>
      <c r="E4" s="1682"/>
      <c r="F4" s="1682"/>
      <c r="G4" s="1682"/>
      <c r="N4" t="s">
        <v>34</v>
      </c>
      <c r="O4" t="s">
        <v>2292</v>
      </c>
    </row>
    <row r="5" spans="1:15">
      <c r="A5" s="836" t="s">
        <v>2221</v>
      </c>
      <c r="B5" s="905" t="s">
        <v>2300</v>
      </c>
      <c r="C5" s="1685">
        <f>IFERROR(VLOOKUP(A5,Escassez[#All],2,FALSE),0)</f>
        <v>0</v>
      </c>
      <c r="D5" s="1685" t="e">
        <f>C5/$C$8*$O$87</f>
        <v>#DIV/0!</v>
      </c>
      <c r="E5" s="1683"/>
      <c r="F5" s="1681"/>
      <c r="G5" s="1671"/>
      <c r="N5" s="8">
        <v>44690</v>
      </c>
      <c r="O5" s="234">
        <f>C8</f>
        <v>0</v>
      </c>
    </row>
    <row r="6" spans="1:15">
      <c r="A6" s="1659" t="s">
        <v>2222</v>
      </c>
      <c r="B6" s="905" t="s">
        <v>2301</v>
      </c>
      <c r="C6" s="1685">
        <f>IFERROR(VLOOKUP(A6,Escassez[#All],2,FALSE),0)</f>
        <v>0</v>
      </c>
      <c r="D6" s="1685" t="e">
        <f>C6/$C$8*$O$87</f>
        <v>#DIV/0!</v>
      </c>
      <c r="E6" s="1683"/>
      <c r="F6" s="1681"/>
      <c r="G6" s="1671"/>
      <c r="N6" s="8">
        <f>N5+1</f>
        <v>44691</v>
      </c>
      <c r="O6" s="234">
        <f>O5*VLOOKUP(N6,Índices!$K$6:$N$3249,4,FALSE)/VLOOKUP(N5,Índices!$K$6:$N$3249,4,FALSE)</f>
        <v>0</v>
      </c>
    </row>
    <row r="7" spans="1:15">
      <c r="A7" s="1659" t="s">
        <v>2223</v>
      </c>
      <c r="B7" s="905" t="s">
        <v>111</v>
      </c>
      <c r="C7" s="1685">
        <f>IFERROR(VLOOKUP(A7,Escassez[#All],2,FALSE),0)</f>
        <v>0</v>
      </c>
      <c r="D7" s="1685" t="e">
        <f>C7/$C$8*$O$87</f>
        <v>#DIV/0!</v>
      </c>
      <c r="E7" s="1683"/>
      <c r="F7" s="1681"/>
      <c r="G7" s="1671"/>
      <c r="N7" s="8">
        <f t="shared" ref="N7:N70" si="0">N6+1</f>
        <v>44692</v>
      </c>
      <c r="O7" s="234">
        <f>O6*VLOOKUP(N7,Índices!$K$6:$N$3249,4,FALSE)/VLOOKUP(N6,Índices!$K$6:$N$3249,4,FALSE)</f>
        <v>0</v>
      </c>
    </row>
    <row r="8" spans="1:15">
      <c r="B8" s="1678"/>
      <c r="C8" s="1686">
        <f>SUM(C5:C7)</f>
        <v>0</v>
      </c>
      <c r="D8" s="1686" t="e">
        <f>SUM(D5:D7)</f>
        <v>#DIV/0!</v>
      </c>
      <c r="E8" s="905"/>
      <c r="F8" s="1672"/>
      <c r="G8" s="1672"/>
      <c r="N8" s="8">
        <f t="shared" si="0"/>
        <v>44693</v>
      </c>
      <c r="O8" s="234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4">
        <f>O8*VLOOKUP(N9,Índices!$K$6:$N$3249,4,FALSE)/VLOOKUP(N8,Índices!$K$6:$N$3249,4,FALSE)</f>
        <v>0</v>
      </c>
    </row>
    <row r="10" spans="1:15">
      <c r="B10" s="1687" t="s">
        <v>2303</v>
      </c>
      <c r="C10" s="1679"/>
      <c r="D10" s="1688"/>
      <c r="E10" s="1680"/>
      <c r="L10" s="8">
        <f>N9+1</f>
        <v>44695</v>
      </c>
      <c r="M10" s="234"/>
      <c r="N10" s="8">
        <f t="shared" si="0"/>
        <v>44695</v>
      </c>
      <c r="O10" s="234">
        <f>O9*VLOOKUP(N10,Índices!$K$6:$N$3249,4,FALSE)/VLOOKUP(N9,Índices!$K$6:$N$3249,4,FALSE)</f>
        <v>0</v>
      </c>
    </row>
    <row r="11" spans="1:15">
      <c r="N11" s="8">
        <f>L10+1</f>
        <v>44696</v>
      </c>
      <c r="O11" s="234">
        <f>O10*VLOOKUP(N11,Índices!$K$6:$N$3249,4,FALSE)/VLOOKUP(N10,Índices!$K$6:$N$3249,4,FALSE)</f>
        <v>0</v>
      </c>
    </row>
    <row r="12" spans="1:15">
      <c r="B12" s="1687" t="s">
        <v>1395</v>
      </c>
      <c r="C12" s="1679"/>
      <c r="D12" s="1688"/>
      <c r="E12" s="1669"/>
      <c r="F12" s="1669"/>
      <c r="G12" s="1669"/>
      <c r="H12" s="1669"/>
      <c r="I12" s="1669"/>
      <c r="J12" s="1669"/>
      <c r="K12" s="1669"/>
      <c r="L12" s="1669"/>
      <c r="N12" s="8">
        <f t="shared" si="0"/>
        <v>44697</v>
      </c>
      <c r="O12" s="234">
        <f>O11*VLOOKUP(N12,Índices!$K$6:$N$3249,4,FALSE)/VLOOKUP(N11,Índices!$K$6:$N$3249,4,FALSE)</f>
        <v>0</v>
      </c>
    </row>
    <row r="13" spans="1:15">
      <c r="B13" s="1689"/>
      <c r="C13" s="1670"/>
      <c r="D13" s="1670"/>
      <c r="E13" s="1670"/>
      <c r="F13" s="1670"/>
      <c r="G13" s="1670"/>
      <c r="H13" s="1670"/>
      <c r="I13" s="1670"/>
      <c r="J13" s="1670"/>
      <c r="K13" s="1670"/>
      <c r="L13" s="1670"/>
      <c r="N13" s="8">
        <f t="shared" si="0"/>
        <v>44698</v>
      </c>
      <c r="O13" s="234">
        <f>O12*VLOOKUP(N13,Índices!$K$6:$N$3249,4,FALSE)/VLOOKUP(N12,Índices!$K$6:$N$3249,4,FALSE)</f>
        <v>0</v>
      </c>
    </row>
    <row r="14" spans="1:15">
      <c r="B14" s="1690"/>
      <c r="C14" s="1691"/>
      <c r="D14" s="1691"/>
      <c r="E14" s="1692"/>
      <c r="F14" s="1693"/>
      <c r="G14" s="1671"/>
      <c r="H14" s="1671"/>
      <c r="I14" s="1671"/>
      <c r="J14" s="1671"/>
      <c r="K14" s="1671"/>
      <c r="L14" s="1671"/>
      <c r="N14" s="8">
        <f t="shared" si="0"/>
        <v>44699</v>
      </c>
      <c r="O14" s="234">
        <f>O13*VLOOKUP(N14,Índices!$K$6:$N$3249,4,FALSE)/VLOOKUP(N13,Índices!$K$6:$N$3249,4,FALSE)</f>
        <v>0</v>
      </c>
    </row>
    <row r="15" spans="1:15">
      <c r="B15" s="1690"/>
      <c r="C15" s="1691"/>
      <c r="D15" s="1691"/>
      <c r="E15" s="1692"/>
      <c r="F15" s="1693"/>
      <c r="G15" s="1671"/>
      <c r="H15" s="1671"/>
      <c r="I15" s="1671"/>
      <c r="J15" s="1671"/>
      <c r="K15" s="1671"/>
      <c r="L15" s="1671"/>
      <c r="N15" s="8">
        <f t="shared" si="0"/>
        <v>44700</v>
      </c>
      <c r="O15" s="234">
        <f>O14*VLOOKUP(N15,Índices!$K$6:$N$3249,4,FALSE)/VLOOKUP(N14,Índices!$K$6:$N$3249,4,FALSE)</f>
        <v>0</v>
      </c>
    </row>
    <row r="16" spans="1:15">
      <c r="B16" s="1690"/>
      <c r="C16" s="1691"/>
      <c r="D16" s="1691"/>
      <c r="E16" s="1692"/>
      <c r="F16" s="1693"/>
      <c r="G16" s="1671"/>
      <c r="H16" s="1671"/>
      <c r="I16" s="1671"/>
      <c r="J16" s="1671"/>
      <c r="K16" s="1671"/>
      <c r="L16" s="1671"/>
      <c r="N16" s="8">
        <f t="shared" si="0"/>
        <v>44701</v>
      </c>
      <c r="O16" s="234">
        <f>O15*VLOOKUP(N16,Índices!$K$6:$N$3249,4,FALSE)/VLOOKUP(N15,Índices!$K$6:$N$3249,4,FALSE)</f>
        <v>0</v>
      </c>
    </row>
    <row r="17" spans="2:15">
      <c r="B17" s="1690"/>
      <c r="C17" s="1691"/>
      <c r="D17" s="1691"/>
      <c r="E17" s="1692"/>
      <c r="F17" s="1693"/>
      <c r="G17" s="1671"/>
      <c r="H17" s="1671"/>
      <c r="I17" s="1671"/>
      <c r="J17" s="1671"/>
      <c r="K17" s="1671"/>
      <c r="L17" s="1671"/>
      <c r="N17" s="8">
        <f t="shared" si="0"/>
        <v>44702</v>
      </c>
      <c r="O17" s="234">
        <f>O16*VLOOKUP(N17,Índices!$K$6:$N$3249,4,FALSE)/VLOOKUP(N16,Índices!$K$6:$N$3249,4,FALSE)</f>
        <v>0</v>
      </c>
    </row>
    <row r="18" spans="2:15">
      <c r="B18" s="1690"/>
      <c r="C18" s="1691"/>
      <c r="D18" s="1691"/>
      <c r="E18" s="1692"/>
      <c r="F18" s="1693"/>
      <c r="G18" s="1671"/>
      <c r="H18" s="1671"/>
      <c r="I18" s="1671"/>
      <c r="J18" s="1671"/>
      <c r="K18" s="1671"/>
      <c r="L18" s="1671"/>
      <c r="N18" s="8">
        <f t="shared" si="0"/>
        <v>44703</v>
      </c>
      <c r="O18" s="234">
        <f>O17*VLOOKUP(N18,Índices!$K$6:$N$3249,4,FALSE)/VLOOKUP(N17,Índices!$K$6:$N$3249,4,FALSE)</f>
        <v>0</v>
      </c>
    </row>
    <row r="19" spans="2:15">
      <c r="B19" s="1690"/>
      <c r="C19" s="1691"/>
      <c r="D19" s="1691"/>
      <c r="E19" s="1691"/>
      <c r="F19" s="1693"/>
      <c r="G19" s="1671"/>
      <c r="H19" s="1671"/>
      <c r="I19" s="1671"/>
      <c r="J19" s="1671"/>
      <c r="K19" s="1671"/>
      <c r="L19" s="1671"/>
      <c r="N19" s="8">
        <f t="shared" si="0"/>
        <v>44704</v>
      </c>
      <c r="O19" s="234">
        <f>O18*VLOOKUP(N19,Índices!$K$6:$N$3249,4,FALSE)/VLOOKUP(N18,Índices!$K$6:$N$3249,4,FALSE)</f>
        <v>0</v>
      </c>
    </row>
    <row r="20" spans="2:15">
      <c r="B20" s="1690"/>
      <c r="C20" s="1691"/>
      <c r="D20" s="1691"/>
      <c r="E20" s="1691"/>
      <c r="F20" s="1693"/>
      <c r="G20" s="1671"/>
      <c r="H20" s="1671"/>
      <c r="I20" s="1671"/>
      <c r="J20" s="1671"/>
      <c r="K20" s="1671"/>
      <c r="L20" s="1671"/>
      <c r="N20" s="8">
        <f t="shared" si="0"/>
        <v>44705</v>
      </c>
      <c r="O20" s="234">
        <f>O19*VLOOKUP(N20,Índices!$K$6:$N$3249,4,FALSE)/VLOOKUP(N19,Índices!$K$6:$N$3249,4,FALSE)</f>
        <v>0</v>
      </c>
    </row>
    <row r="21" spans="2:15">
      <c r="B21" s="1690"/>
      <c r="C21" s="1691"/>
      <c r="D21" s="1691"/>
      <c r="E21" s="1691"/>
      <c r="F21" s="1693"/>
      <c r="G21" s="1671"/>
      <c r="H21" s="1671"/>
      <c r="I21" s="1671"/>
      <c r="J21" s="1671"/>
      <c r="K21" s="1671"/>
      <c r="L21" s="1671"/>
      <c r="N21" s="8">
        <f t="shared" si="0"/>
        <v>44706</v>
      </c>
      <c r="O21" s="234">
        <f>O20*VLOOKUP(N21,Índices!$K$6:$N$3249,4,FALSE)/VLOOKUP(N20,Índices!$K$6:$N$3249,4,FALSE)</f>
        <v>0</v>
      </c>
    </row>
    <row r="22" spans="2:15">
      <c r="B22" s="1690"/>
      <c r="C22" s="1691"/>
      <c r="D22" s="1691"/>
      <c r="E22" s="1691"/>
      <c r="F22" s="1693"/>
      <c r="G22" s="1671"/>
      <c r="H22" s="1671"/>
      <c r="I22" s="1671"/>
      <c r="J22" s="1671"/>
      <c r="K22" s="1671"/>
      <c r="L22" s="1671"/>
      <c r="N22" s="8">
        <f t="shared" si="0"/>
        <v>44707</v>
      </c>
      <c r="O22" s="234">
        <f>O21*VLOOKUP(N22,Índices!$K$6:$N$3249,4,FALSE)/VLOOKUP(N21,Índices!$K$6:$N$3249,4,FALSE)</f>
        <v>0</v>
      </c>
    </row>
    <row r="23" spans="2:15">
      <c r="B23" s="1690"/>
      <c r="C23" s="1691"/>
      <c r="D23" s="1691"/>
      <c r="E23" s="1691"/>
      <c r="F23" s="1693"/>
      <c r="G23" s="1671"/>
      <c r="H23" s="1671"/>
      <c r="I23" s="1671"/>
      <c r="J23" s="1671"/>
      <c r="K23" s="1671"/>
      <c r="L23" s="1671"/>
      <c r="N23" s="8">
        <f t="shared" si="0"/>
        <v>44708</v>
      </c>
      <c r="O23" s="234">
        <f>O22*VLOOKUP(N23,Índices!$K$6:$N$3249,4,FALSE)/VLOOKUP(N22,Índices!$K$6:$N$3249,4,FALSE)</f>
        <v>0</v>
      </c>
    </row>
    <row r="24" spans="2:15">
      <c r="B24" s="1690"/>
      <c r="C24" s="1691"/>
      <c r="D24" s="1691"/>
      <c r="E24" s="1691"/>
      <c r="F24" s="1693"/>
      <c r="G24" s="1671"/>
      <c r="H24" s="1671"/>
      <c r="I24" s="1671"/>
      <c r="J24" s="1671"/>
      <c r="K24" s="1671"/>
      <c r="L24" s="1671"/>
      <c r="N24" s="8">
        <f t="shared" si="0"/>
        <v>44709</v>
      </c>
      <c r="O24" s="234">
        <f>O23*VLOOKUP(N24,Índices!$K$6:$N$3249,4,FALSE)/VLOOKUP(N23,Índices!$K$6:$N$3249,4,FALSE)</f>
        <v>0</v>
      </c>
    </row>
    <row r="25" spans="2:15">
      <c r="B25" s="1694"/>
      <c r="C25" s="1691"/>
      <c r="D25" s="1691"/>
      <c r="E25" s="1695"/>
      <c r="F25" s="1693"/>
      <c r="G25" s="1671"/>
      <c r="H25" s="1671"/>
      <c r="I25" s="1671"/>
      <c r="J25" s="1671"/>
      <c r="K25" s="1671"/>
      <c r="L25" s="1671"/>
      <c r="N25" s="8">
        <f t="shared" si="0"/>
        <v>44710</v>
      </c>
      <c r="O25" s="234">
        <f>O24*VLOOKUP(N25,Índices!$K$6:$N$3249,4,FALSE)/VLOOKUP(N24,Índices!$K$6:$N$3249,4,FALSE)</f>
        <v>0</v>
      </c>
    </row>
    <row r="26" spans="2:15">
      <c r="B26" s="1696"/>
      <c r="C26" s="905"/>
      <c r="D26" s="905"/>
      <c r="E26" s="905"/>
      <c r="F26" s="1672"/>
      <c r="G26" s="1672"/>
      <c r="H26" s="1672"/>
      <c r="I26" s="1672"/>
      <c r="J26" s="1672"/>
      <c r="K26" s="1672"/>
      <c r="L26" s="1672"/>
      <c r="N26" s="8">
        <f t="shared" si="0"/>
        <v>44711</v>
      </c>
      <c r="O26" s="234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4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4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4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4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4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4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4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4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4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4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4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4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4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4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4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4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4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4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4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4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4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4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4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4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4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4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4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4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4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4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4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4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4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4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4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4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4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4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4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4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4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4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4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4">
        <f>O69*VLOOKUP(N70,Índices!$K$6:$N$3249,4,FALSE)/VLOOKUP(N69,Índices!$K$6:$N$3249,4,FALSE)</f>
        <v>0</v>
      </c>
    </row>
    <row r="71" spans="14:15">
      <c r="N71" s="8">
        <f t="shared" ref="N71:N87" si="1">N70+1</f>
        <v>44756</v>
      </c>
      <c r="O71" s="234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4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4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4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4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4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4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4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4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4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4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4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4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4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4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4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4">
        <f>O86*VLOOKUP(N87,Índices!$K$6:$N$3249,4,FALSE)/VLOOKUP(N86,Índices!$K$6:$N$3249,4,FALSE)</f>
        <v>0</v>
      </c>
    </row>
    <row r="88" spans="14:15">
      <c r="N88" s="8"/>
    </row>
    <row r="90" spans="14:15">
      <c r="N90" s="8"/>
    </row>
    <row r="91" spans="14:15">
      <c r="N91" s="8"/>
    </row>
    <row r="92" spans="14:15">
      <c r="N92" s="8"/>
    </row>
    <row r="101" spans="15:15">
      <c r="O101" s="8"/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showGridLines="0" zoomScale="85" zoomScaleNormal="85" workbookViewId="0">
      <selection activeCell="I21" sqref="I21"/>
    </sheetView>
  </sheetViews>
  <sheetFormatPr defaultColWidth="9.140625" defaultRowHeight="15" customHeight="1"/>
  <cols>
    <col min="1" max="1" width="4.42578125" style="914" customWidth="1"/>
    <col min="2" max="2" width="27.28515625" style="914" customWidth="1"/>
    <col min="3" max="5" width="17.7109375" style="915" customWidth="1"/>
    <col min="6" max="7" width="17.7109375" style="914" customWidth="1"/>
    <col min="8" max="8" width="46.42578125" style="914" customWidth="1"/>
    <col min="9" max="9" width="14.7109375" style="914" customWidth="1"/>
    <col min="10" max="13" width="12.7109375" style="914" customWidth="1"/>
    <col min="14" max="17" width="9.140625" style="914"/>
    <col min="18" max="18" width="17" style="914" customWidth="1"/>
    <col min="19" max="19" width="14.28515625" style="914" customWidth="1"/>
    <col min="20" max="20" width="15.42578125" style="914" customWidth="1"/>
    <col min="21" max="21" width="13.85546875" style="914" customWidth="1"/>
    <col min="22" max="22" width="17.140625" style="914" customWidth="1"/>
    <col min="23" max="23" width="13" style="914" customWidth="1"/>
    <col min="24" max="24" width="14.140625" style="914" customWidth="1"/>
    <col min="25" max="25" width="17.7109375" style="914" customWidth="1"/>
    <col min="26" max="26" width="17" style="914" customWidth="1"/>
    <col min="27" max="27" width="14" style="914" customWidth="1"/>
    <col min="28" max="28" width="14.85546875" style="914" customWidth="1"/>
    <col min="29" max="16384" width="9.140625" style="914"/>
  </cols>
  <sheetData>
    <row r="1" spans="1:18" ht="14.45" customHeight="1"/>
    <row r="2" spans="1:18" ht="14.45" customHeight="1">
      <c r="B2" s="916" t="s">
        <v>1398</v>
      </c>
      <c r="C2" s="917"/>
      <c r="D2" s="917"/>
      <c r="E2" s="917"/>
      <c r="F2" s="918"/>
      <c r="G2" s="918"/>
      <c r="H2" s="919" t="s">
        <v>13</v>
      </c>
      <c r="I2" s="920">
        <f>Resultado!$D$6</f>
        <v>0</v>
      </c>
      <c r="J2" s="921"/>
      <c r="K2" s="921"/>
    </row>
    <row r="3" spans="1:18" ht="14.45" customHeight="1">
      <c r="B3" s="922"/>
      <c r="C3" s="923"/>
      <c r="D3" s="923"/>
      <c r="E3" s="923"/>
      <c r="H3" s="924" t="s">
        <v>14</v>
      </c>
      <c r="I3" s="925">
        <f>Resultado!$D$8</f>
        <v>0</v>
      </c>
      <c r="J3" s="921"/>
      <c r="K3" s="921"/>
    </row>
    <row r="4" spans="1:18" ht="14.45" customHeight="1">
      <c r="B4" s="921"/>
      <c r="C4" s="923"/>
      <c r="D4" s="923"/>
      <c r="E4" s="923"/>
      <c r="F4" s="926"/>
      <c r="G4" s="921"/>
      <c r="H4" s="921"/>
      <c r="I4" s="921"/>
      <c r="J4" s="921"/>
      <c r="K4" s="921"/>
    </row>
    <row r="5" spans="1:18" ht="15" customHeight="1">
      <c r="B5" s="921"/>
      <c r="C5" s="927"/>
      <c r="D5" s="923"/>
      <c r="E5" s="923"/>
      <c r="F5" s="926"/>
      <c r="G5" s="921"/>
      <c r="H5" s="921"/>
      <c r="I5" s="921"/>
      <c r="J5" s="921"/>
      <c r="K5" s="921"/>
      <c r="R5" s="1441" t="s">
        <v>953</v>
      </c>
    </row>
    <row r="6" spans="1:18" s="931" customFormat="1" ht="15" customHeight="1">
      <c r="A6" s="928"/>
      <c r="B6" s="929"/>
      <c r="C6" s="930"/>
      <c r="D6" s="930"/>
      <c r="E6" s="930"/>
      <c r="F6" s="929"/>
      <c r="G6" s="929"/>
      <c r="H6" s="929"/>
      <c r="I6" s="929"/>
      <c r="J6" s="929"/>
      <c r="K6" s="929"/>
      <c r="R6" s="977">
        <f>DATE(YEAR(R8),MONTH(R8)-1,1)</f>
        <v>44378</v>
      </c>
    </row>
    <row r="7" spans="1:18" s="931" customFormat="1" ht="15" customHeight="1">
      <c r="A7" s="928"/>
      <c r="B7" s="932" t="s">
        <v>2305</v>
      </c>
      <c r="C7" s="930"/>
      <c r="D7" s="933"/>
      <c r="E7" s="933"/>
      <c r="F7" s="934"/>
      <c r="G7" s="929"/>
      <c r="H7" s="929"/>
      <c r="I7" s="929"/>
      <c r="J7" s="929"/>
      <c r="K7" s="929"/>
      <c r="R7" s="1441" t="s">
        <v>953</v>
      </c>
    </row>
    <row r="8" spans="1:18" ht="27.95" customHeight="1">
      <c r="B8" s="935" t="s">
        <v>854</v>
      </c>
      <c r="C8" s="935" t="s">
        <v>1399</v>
      </c>
      <c r="D8" s="935" t="s">
        <v>1400</v>
      </c>
      <c r="E8" s="935" t="s">
        <v>1401</v>
      </c>
      <c r="F8" s="921"/>
      <c r="G8" s="921"/>
      <c r="H8" s="921"/>
      <c r="I8" s="936"/>
      <c r="R8" s="977">
        <f>DATE(YEAR(R10),MONTH(R10)-1,1)</f>
        <v>44409</v>
      </c>
    </row>
    <row r="9" spans="1:18" ht="14.45" customHeight="1">
      <c r="B9" s="1442" t="s">
        <v>1402</v>
      </c>
      <c r="C9" s="1443"/>
      <c r="D9" s="1443"/>
      <c r="E9" s="1443"/>
      <c r="F9" s="921"/>
      <c r="G9" s="448"/>
      <c r="H9" s="1444" t="s">
        <v>1403</v>
      </c>
      <c r="I9" s="1445"/>
      <c r="R9" s="1441" t="s">
        <v>953</v>
      </c>
    </row>
    <row r="10" spans="1:18" ht="14.45" customHeight="1">
      <c r="B10" s="937" t="s">
        <v>41</v>
      </c>
      <c r="C10" s="938"/>
      <c r="D10" s="938"/>
      <c r="E10" s="938"/>
      <c r="F10" s="921"/>
      <c r="G10" s="448"/>
      <c r="H10" s="939" t="s">
        <v>1404</v>
      </c>
      <c r="I10" s="940">
        <f>Indexador!F173</f>
        <v>0</v>
      </c>
      <c r="R10" s="977">
        <f>DATE(YEAR(R12),MONTH(R12)-1,1)</f>
        <v>44440</v>
      </c>
    </row>
    <row r="11" spans="1:18" ht="14.45" customHeight="1">
      <c r="B11" s="937" t="s">
        <v>1405</v>
      </c>
      <c r="C11" s="938"/>
      <c r="D11" s="938"/>
      <c r="E11" s="938"/>
      <c r="F11" s="921"/>
      <c r="G11" s="921"/>
      <c r="H11" s="939" t="s">
        <v>1406</v>
      </c>
      <c r="I11" s="941"/>
      <c r="R11" s="1441" t="s">
        <v>953</v>
      </c>
    </row>
    <row r="12" spans="1:18" ht="14.45" customHeight="1">
      <c r="B12" s="937" t="s">
        <v>704</v>
      </c>
      <c r="C12" s="938"/>
      <c r="D12" s="938"/>
      <c r="E12" s="938"/>
      <c r="F12" s="921"/>
      <c r="G12" s="448"/>
      <c r="H12" s="939" t="s">
        <v>1407</v>
      </c>
      <c r="I12" s="941"/>
      <c r="R12" s="977">
        <f>DATE(YEAR(R14),MONTH(R14)-1,1)</f>
        <v>44470</v>
      </c>
    </row>
    <row r="13" spans="1:18" ht="14.45" customHeight="1">
      <c r="B13" s="937" t="s">
        <v>1408</v>
      </c>
      <c r="C13" s="938"/>
      <c r="D13" s="938"/>
      <c r="E13" s="938"/>
      <c r="F13" s="921"/>
      <c r="G13" s="448"/>
      <c r="H13" s="939" t="s">
        <v>1409</v>
      </c>
      <c r="I13" s="1446"/>
      <c r="R13" s="1441" t="s">
        <v>953</v>
      </c>
    </row>
    <row r="14" spans="1:18" ht="14.45" customHeight="1">
      <c r="B14" s="937" t="s">
        <v>126</v>
      </c>
      <c r="C14" s="938"/>
      <c r="D14" s="938"/>
      <c r="E14" s="938"/>
      <c r="F14" s="921"/>
      <c r="G14" s="448"/>
      <c r="H14" s="1444" t="s">
        <v>1410</v>
      </c>
      <c r="I14" s="1447"/>
      <c r="J14" s="921"/>
      <c r="K14" s="921"/>
      <c r="R14" s="977">
        <f>DATE(YEAR(R16),MONTH(R16)-1,1)</f>
        <v>44501</v>
      </c>
    </row>
    <row r="15" spans="1:18" ht="14.45" customHeight="1">
      <c r="B15" s="937" t="s">
        <v>1411</v>
      </c>
      <c r="C15" s="938"/>
      <c r="D15" s="938"/>
      <c r="E15" s="938"/>
      <c r="F15" s="921"/>
      <c r="G15" s="448"/>
      <c r="H15" s="1448" t="s">
        <v>1412</v>
      </c>
      <c r="I15" s="1449" t="e">
        <f ca="1">-I14*K67/K66</f>
        <v>#DIV/0!</v>
      </c>
      <c r="J15" s="921"/>
      <c r="K15" s="921"/>
      <c r="R15" s="1441" t="s">
        <v>953</v>
      </c>
    </row>
    <row r="16" spans="1:18" ht="14.45" customHeight="1">
      <c r="B16" s="937" t="s">
        <v>122</v>
      </c>
      <c r="C16" s="938"/>
      <c r="D16" s="938"/>
      <c r="E16" s="938"/>
      <c r="F16" s="922"/>
      <c r="G16" s="448"/>
      <c r="H16" s="921"/>
      <c r="I16" s="936"/>
      <c r="J16" s="921"/>
      <c r="K16" s="921"/>
      <c r="R16" s="977">
        <f>DATE(YEAR(R18),MONTH(R18)-1,1)</f>
        <v>44531</v>
      </c>
    </row>
    <row r="17" spans="1:18" ht="14.45" customHeight="1">
      <c r="B17" s="937" t="s">
        <v>46</v>
      </c>
      <c r="C17" s="938"/>
      <c r="D17" s="938"/>
      <c r="E17" s="938"/>
      <c r="F17" s="921"/>
      <c r="G17" s="448"/>
      <c r="H17" s="921"/>
      <c r="I17" s="921"/>
      <c r="J17" s="921"/>
      <c r="K17" s="921"/>
      <c r="R17" s="1441" t="s">
        <v>953</v>
      </c>
    </row>
    <row r="18" spans="1:18" ht="14.45" customHeight="1">
      <c r="B18" s="942" t="s">
        <v>845</v>
      </c>
      <c r="C18" s="943">
        <f>SUM(C9:C17)</f>
        <v>0</v>
      </c>
      <c r="D18" s="943">
        <f t="shared" ref="D18:E18" si="0">SUM(D9:D17)</f>
        <v>0</v>
      </c>
      <c r="E18" s="943">
        <f t="shared" si="0"/>
        <v>0</v>
      </c>
      <c r="F18" s="921"/>
      <c r="G18" s="921"/>
      <c r="H18" s="921"/>
      <c r="I18" s="921"/>
      <c r="J18" s="921"/>
      <c r="K18" s="921"/>
      <c r="R18" s="977">
        <f>DATE(YEAR(R20),MONTH(R20)-1,1)</f>
        <v>44562</v>
      </c>
    </row>
    <row r="19" spans="1:18" ht="14.45" hidden="1" customHeight="1">
      <c r="B19" s="921"/>
      <c r="C19" s="923"/>
      <c r="D19" s="923"/>
      <c r="E19" s="923"/>
      <c r="F19" s="921"/>
      <c r="G19" s="921"/>
      <c r="R19" s="1441" t="s">
        <v>953</v>
      </c>
    </row>
    <row r="20" spans="1:18" ht="14.45" customHeight="1">
      <c r="B20" s="921"/>
      <c r="C20" s="923"/>
      <c r="D20" s="923"/>
      <c r="E20" s="923"/>
      <c r="F20" s="921"/>
      <c r="G20" s="921"/>
      <c r="R20" s="977">
        <f>DATE(YEAR(R22),MONTH(R22)-1,1)</f>
        <v>44593</v>
      </c>
    </row>
    <row r="21" spans="1:18" s="931" customFormat="1" ht="14.45" customHeight="1">
      <c r="A21" s="928"/>
      <c r="B21" s="929"/>
      <c r="C21" s="930"/>
      <c r="D21" s="930"/>
      <c r="E21" s="930"/>
      <c r="F21" s="929"/>
      <c r="G21" s="929"/>
      <c r="R21" s="1441" t="s">
        <v>953</v>
      </c>
    </row>
    <row r="22" spans="1:18" ht="14.45" customHeight="1">
      <c r="B22" s="932" t="s">
        <v>1413</v>
      </c>
      <c r="C22" s="923"/>
      <c r="D22" s="923"/>
      <c r="E22" s="923"/>
      <c r="F22" s="921"/>
      <c r="G22" s="921"/>
      <c r="R22" s="977">
        <f>DATE(YEAR(R24),MONTH(R24)-1,1)</f>
        <v>44621</v>
      </c>
    </row>
    <row r="23" spans="1:18" ht="42" customHeight="1">
      <c r="B23" s="1450" t="s">
        <v>854</v>
      </c>
      <c r="C23" s="1450" t="s">
        <v>1414</v>
      </c>
      <c r="D23" s="1450" t="s">
        <v>1415</v>
      </c>
      <c r="E23" s="1450" t="s">
        <v>1416</v>
      </c>
      <c r="F23" s="1450" t="s">
        <v>1417</v>
      </c>
      <c r="G23" s="1450" t="s">
        <v>1418</v>
      </c>
      <c r="R23" s="1441" t="s">
        <v>953</v>
      </c>
    </row>
    <row r="24" spans="1:18" ht="14.45" customHeight="1">
      <c r="B24" s="1451" t="s">
        <v>1402</v>
      </c>
      <c r="C24" s="1452">
        <f>BD!AM7</f>
        <v>0</v>
      </c>
      <c r="D24" s="944"/>
      <c r="E24" s="1453">
        <f t="shared" ref="E24:E32" si="1">D24-C24</f>
        <v>0</v>
      </c>
      <c r="F24" s="1454"/>
      <c r="G24" s="1454"/>
      <c r="H24" s="924"/>
      <c r="I24" s="949"/>
      <c r="J24" s="949"/>
      <c r="K24" s="979"/>
      <c r="R24" s="977">
        <f>DATE(YEAR(R26),MONTH(R26)-1,1)</f>
        <v>44652</v>
      </c>
    </row>
    <row r="25" spans="1:18" ht="14.45" customHeight="1">
      <c r="B25" s="945" t="s">
        <v>41</v>
      </c>
      <c r="C25" s="946">
        <f>BD!AM8</f>
        <v>0</v>
      </c>
      <c r="D25" s="947"/>
      <c r="E25" s="948">
        <f t="shared" si="1"/>
        <v>0</v>
      </c>
      <c r="F25" s="949">
        <f ca="1">M66</f>
        <v>0</v>
      </c>
      <c r="G25" s="980" t="e">
        <f ca="1">(D25+D39)/$D$33*Indexador!$X$80-M67</f>
        <v>#DIV/0!</v>
      </c>
      <c r="H25" s="924"/>
      <c r="I25" s="949"/>
      <c r="J25" s="949"/>
      <c r="K25" s="936"/>
      <c r="R25" s="1441" t="s">
        <v>953</v>
      </c>
    </row>
    <row r="26" spans="1:18" ht="14.45" customHeight="1">
      <c r="B26" s="945" t="s">
        <v>1405</v>
      </c>
      <c r="C26" s="946">
        <f>BD!AM14</f>
        <v>0</v>
      </c>
      <c r="D26" s="947"/>
      <c r="E26" s="948">
        <f t="shared" si="1"/>
        <v>0</v>
      </c>
      <c r="F26" s="949">
        <f ca="1">X66</f>
        <v>0</v>
      </c>
      <c r="G26" s="980" t="e">
        <f ca="1">(D26+D40)/$D$33*Indexador!$X$80-X67</f>
        <v>#DIV/0!</v>
      </c>
      <c r="H26" s="924"/>
      <c r="I26" s="949"/>
      <c r="J26" s="949"/>
      <c r="K26" s="936"/>
      <c r="R26" s="977">
        <f>DATE(YEAR(R28),MONTH(R28)-1,1)</f>
        <v>44682</v>
      </c>
    </row>
    <row r="27" spans="1:18" ht="14.45" customHeight="1">
      <c r="B27" s="945" t="s">
        <v>704</v>
      </c>
      <c r="C27" s="946">
        <f>BD!AM6</f>
        <v>0</v>
      </c>
      <c r="D27" s="947"/>
      <c r="E27" s="950">
        <f t="shared" si="1"/>
        <v>0</v>
      </c>
      <c r="F27" s="951">
        <f ca="1">L66</f>
        <v>0</v>
      </c>
      <c r="G27" s="981" t="e">
        <f ca="1">D27/$D$33*Indexador!$X$80-L67</f>
        <v>#DIV/0!</v>
      </c>
      <c r="H27" s="924"/>
      <c r="I27" s="951"/>
      <c r="J27" s="951"/>
      <c r="K27" s="936"/>
      <c r="R27" s="1441" t="s">
        <v>953</v>
      </c>
    </row>
    <row r="28" spans="1:18" ht="14.45" customHeight="1">
      <c r="B28" s="945" t="s">
        <v>1408</v>
      </c>
      <c r="C28" s="946">
        <f>BD!AM13</f>
        <v>0</v>
      </c>
      <c r="D28" s="947"/>
      <c r="E28" s="950">
        <f t="shared" si="1"/>
        <v>0</v>
      </c>
      <c r="F28" s="951">
        <f ca="1">K66</f>
        <v>0</v>
      </c>
      <c r="G28" s="981" t="e">
        <f ca="1">(IF(C42=0,D28,C42)+D42)/$D$33*Indexador!$X$80-K67</f>
        <v>#DIV/0!</v>
      </c>
      <c r="H28" s="924"/>
      <c r="I28" s="951"/>
      <c r="J28" s="951"/>
      <c r="K28" s="936"/>
      <c r="R28" s="977">
        <f>B65</f>
        <v>44713</v>
      </c>
    </row>
    <row r="29" spans="1:18" ht="14.45" customHeight="1">
      <c r="B29" s="945" t="s">
        <v>126</v>
      </c>
      <c r="C29" s="946">
        <f>BD!AM9</f>
        <v>0</v>
      </c>
      <c r="D29" s="947"/>
      <c r="E29" s="950">
        <f t="shared" si="1"/>
        <v>0</v>
      </c>
      <c r="F29" s="951">
        <f ca="1">N66</f>
        <v>0</v>
      </c>
      <c r="G29" s="981" t="e">
        <f ca="1">D29/$D$33*Indexador!$X$80-N67</f>
        <v>#DIV/0!</v>
      </c>
      <c r="H29" s="924"/>
      <c r="I29" s="951"/>
      <c r="J29" s="951"/>
      <c r="K29" s="936"/>
    </row>
    <row r="30" spans="1:18" ht="14.45" customHeight="1">
      <c r="B30" s="945" t="s">
        <v>1411</v>
      </c>
      <c r="C30" s="946">
        <f>BD!AM12</f>
        <v>0</v>
      </c>
      <c r="D30" s="947"/>
      <c r="E30" s="950">
        <f t="shared" si="1"/>
        <v>0</v>
      </c>
      <c r="F30" s="951">
        <f ca="1">O66</f>
        <v>0</v>
      </c>
      <c r="G30" s="981" t="e">
        <f ca="1">D30/$D$33*Indexador!$X$80-O67</f>
        <v>#DIV/0!</v>
      </c>
      <c r="H30" s="921"/>
      <c r="I30" s="951"/>
      <c r="J30" s="951"/>
      <c r="K30" s="936"/>
    </row>
    <row r="31" spans="1:18" ht="14.45" customHeight="1">
      <c r="B31" s="945" t="s">
        <v>122</v>
      </c>
      <c r="C31" s="946">
        <f>BD!AM11</f>
        <v>0</v>
      </c>
      <c r="D31" s="947"/>
      <c r="E31" s="950">
        <f t="shared" si="1"/>
        <v>0</v>
      </c>
      <c r="F31" s="951">
        <f ca="1">Q66</f>
        <v>0</v>
      </c>
      <c r="G31" s="981" t="e">
        <f ca="1">D31/$D$33*Indexador!$X$80-Q67</f>
        <v>#DIV/0!</v>
      </c>
      <c r="I31" s="951"/>
      <c r="J31" s="951"/>
      <c r="K31" s="921"/>
    </row>
    <row r="32" spans="1:18" ht="14.45" customHeight="1">
      <c r="B32" s="952" t="s">
        <v>46</v>
      </c>
      <c r="C32" s="953">
        <f>BD!AM10</f>
        <v>0</v>
      </c>
      <c r="D32" s="947"/>
      <c r="E32" s="954">
        <f t="shared" si="1"/>
        <v>0</v>
      </c>
      <c r="F32" s="955">
        <f ca="1">P66</f>
        <v>0</v>
      </c>
      <c r="G32" s="982" t="e">
        <f ca="1">IF(C46=0,D32,C46)/$D$33*Indexador!$X$80-P67</f>
        <v>#DIV/0!</v>
      </c>
      <c r="I32" s="951"/>
      <c r="J32" s="951"/>
      <c r="K32" s="921"/>
    </row>
    <row r="33" spans="2:11" ht="14.45" customHeight="1">
      <c r="B33" s="942" t="s">
        <v>845</v>
      </c>
      <c r="C33" s="956">
        <f>SUM(C24:C32)</f>
        <v>0</v>
      </c>
      <c r="D33" s="1455">
        <f>SUM(D24:D32)</f>
        <v>0</v>
      </c>
      <c r="E33" s="956">
        <f>SUM(E24:E32)</f>
        <v>0</v>
      </c>
      <c r="F33" s="957">
        <f ca="1">SUM(F24:F32)</f>
        <v>0</v>
      </c>
      <c r="G33" s="957" t="e">
        <f ca="1">SUM(G24:G32)</f>
        <v>#DIV/0!</v>
      </c>
      <c r="I33" s="978"/>
      <c r="J33" s="978"/>
      <c r="K33" s="921"/>
    </row>
    <row r="34" spans="2:11" ht="14.45" customHeight="1">
      <c r="B34" s="921"/>
      <c r="C34" s="958"/>
      <c r="D34" s="923"/>
      <c r="E34" s="923"/>
      <c r="F34" s="921"/>
      <c r="G34" s="921"/>
      <c r="K34" s="921"/>
    </row>
    <row r="35" spans="2:11" ht="14.45" customHeight="1">
      <c r="B35" s="921"/>
      <c r="C35" s="923"/>
      <c r="D35" s="923"/>
      <c r="E35" s="923"/>
      <c r="F35" s="448"/>
      <c r="G35" s="921"/>
      <c r="K35" s="921"/>
    </row>
    <row r="36" spans="2:11" ht="14.45" customHeight="1">
      <c r="B36" s="932" t="s">
        <v>1419</v>
      </c>
      <c r="C36" s="958"/>
      <c r="D36" s="923"/>
      <c r="E36" s="923"/>
      <c r="F36" s="921"/>
      <c r="G36" s="959"/>
      <c r="K36" s="921"/>
    </row>
    <row r="37" spans="2:11" ht="43.5" customHeight="1">
      <c r="B37" s="1456" t="s">
        <v>854</v>
      </c>
      <c r="C37" s="1456" t="s">
        <v>1420</v>
      </c>
      <c r="D37" s="1456" t="s">
        <v>1421</v>
      </c>
      <c r="E37" s="960"/>
      <c r="F37" s="448"/>
      <c r="G37" s="921"/>
      <c r="H37" s="921"/>
      <c r="I37" s="921"/>
      <c r="J37" s="921"/>
      <c r="K37" s="921"/>
    </row>
    <row r="38" spans="2:11" ht="14.45" customHeight="1">
      <c r="B38" s="1442" t="s">
        <v>1402</v>
      </c>
      <c r="C38" s="1457"/>
      <c r="D38" s="961"/>
      <c r="E38" s="960"/>
      <c r="F38" s="448"/>
      <c r="G38" s="921"/>
      <c r="H38" s="921"/>
      <c r="I38" s="921"/>
      <c r="J38" s="921"/>
      <c r="K38" s="921"/>
    </row>
    <row r="39" spans="2:11" ht="14.45" customHeight="1">
      <c r="B39" s="937" t="s">
        <v>41</v>
      </c>
      <c r="C39" s="962"/>
      <c r="D39" s="963">
        <v>0</v>
      </c>
      <c r="E39" s="960"/>
      <c r="F39" s="448"/>
      <c r="G39" s="448"/>
      <c r="H39" s="921"/>
      <c r="I39" s="921"/>
      <c r="J39" s="921"/>
      <c r="K39" s="921"/>
    </row>
    <row r="40" spans="2:11" ht="14.45" customHeight="1">
      <c r="B40" s="937" t="s">
        <v>1405</v>
      </c>
      <c r="C40" s="964"/>
      <c r="D40" s="963">
        <v>0</v>
      </c>
      <c r="E40" s="960"/>
      <c r="F40" s="448"/>
      <c r="G40" s="921"/>
      <c r="H40" s="921"/>
      <c r="I40" s="921"/>
      <c r="J40" s="921"/>
      <c r="K40" s="921"/>
    </row>
    <row r="41" spans="2:11" ht="14.45" customHeight="1">
      <c r="B41" s="937" t="s">
        <v>704</v>
      </c>
      <c r="C41" s="964"/>
      <c r="D41" s="965"/>
      <c r="E41" s="960"/>
      <c r="F41" s="448"/>
      <c r="G41" s="921"/>
      <c r="H41" s="921"/>
      <c r="I41" s="921"/>
      <c r="J41" s="921"/>
      <c r="K41" s="921"/>
    </row>
    <row r="42" spans="2:11" ht="14.45" customHeight="1">
      <c r="B42" s="937" t="s">
        <v>1408</v>
      </c>
      <c r="C42" s="966"/>
      <c r="D42" s="963">
        <v>0</v>
      </c>
      <c r="E42" s="960"/>
      <c r="F42" s="448"/>
      <c r="G42" s="921"/>
      <c r="H42" s="921"/>
      <c r="I42" s="921"/>
      <c r="J42" s="921"/>
      <c r="K42" s="921"/>
    </row>
    <row r="43" spans="2:11" ht="14.45" customHeight="1">
      <c r="B43" s="937" t="s">
        <v>126</v>
      </c>
      <c r="C43" s="967"/>
      <c r="D43" s="961"/>
      <c r="E43" s="960"/>
      <c r="F43" s="448"/>
      <c r="G43" s="921"/>
      <c r="H43" s="921"/>
      <c r="I43" s="921"/>
      <c r="J43" s="921"/>
      <c r="K43" s="921"/>
    </row>
    <row r="44" spans="2:11" ht="14.45" customHeight="1">
      <c r="B44" s="937" t="s">
        <v>1411</v>
      </c>
      <c r="C44" s="967"/>
      <c r="D44" s="961"/>
      <c r="E44" s="960"/>
      <c r="F44" s="448"/>
      <c r="G44" s="921"/>
      <c r="H44" s="921"/>
      <c r="I44" s="921"/>
      <c r="J44" s="921"/>
      <c r="K44" s="921"/>
    </row>
    <row r="45" spans="2:11" ht="14.45" customHeight="1">
      <c r="B45" s="937" t="s">
        <v>122</v>
      </c>
      <c r="C45" s="967"/>
      <c r="D45" s="961"/>
      <c r="E45" s="960"/>
      <c r="F45" s="448"/>
      <c r="G45" s="921"/>
      <c r="H45" s="921"/>
      <c r="I45" s="921"/>
      <c r="J45" s="921"/>
      <c r="K45" s="921"/>
    </row>
    <row r="46" spans="2:11" ht="14.45" customHeight="1">
      <c r="B46" s="952" t="s">
        <v>46</v>
      </c>
      <c r="C46" s="968"/>
      <c r="D46" s="969"/>
      <c r="E46" s="960"/>
      <c r="F46" s="448"/>
      <c r="G46" s="921"/>
      <c r="H46" s="921"/>
      <c r="I46" s="921"/>
      <c r="J46" s="921"/>
      <c r="K46" s="921"/>
    </row>
    <row r="47" spans="2:11" ht="14.45" customHeight="1">
      <c r="B47" s="448"/>
      <c r="C47" s="960"/>
      <c r="D47" s="960"/>
      <c r="E47" s="960"/>
      <c r="F47" s="448"/>
      <c r="G47" s="921"/>
      <c r="H47" s="921"/>
      <c r="I47" s="921"/>
      <c r="J47" s="921"/>
      <c r="K47" s="921"/>
    </row>
    <row r="48" spans="2:11" ht="14.45" customHeight="1">
      <c r="B48" s="65"/>
      <c r="C48" s="970"/>
      <c r="D48" s="970"/>
      <c r="E48" s="970"/>
      <c r="F48" s="65"/>
    </row>
    <row r="49" spans="2:28" ht="14.45" customHeight="1">
      <c r="B49" s="65"/>
      <c r="C49" s="970"/>
      <c r="D49" s="970"/>
      <c r="E49" s="970"/>
      <c r="F49" s="65"/>
    </row>
    <row r="50" spans="2:28" ht="14.45" customHeight="1"/>
    <row r="52" spans="2:28" ht="15" customHeight="1">
      <c r="B52" s="905" t="s">
        <v>1003</v>
      </c>
      <c r="C52" s="905"/>
      <c r="D52" s="905"/>
      <c r="E52" s="905"/>
      <c r="F52" s="905"/>
      <c r="G52" s="905"/>
      <c r="H52" s="905"/>
      <c r="I52" s="905"/>
      <c r="J52" s="905"/>
      <c r="K52" s="971"/>
      <c r="L52" s="971"/>
      <c r="M52" s="971"/>
      <c r="N52" s="971"/>
      <c r="O52" s="971"/>
      <c r="P52" s="971"/>
      <c r="Q52" s="971"/>
      <c r="R52" s="971"/>
      <c r="S52" s="971"/>
      <c r="T52" s="971"/>
      <c r="U52" s="971"/>
      <c r="V52" s="971"/>
      <c r="W52" s="971"/>
      <c r="X52" s="971"/>
      <c r="Y52" s="971"/>
      <c r="Z52" s="971"/>
      <c r="AA52" s="971"/>
      <c r="AB52" s="971"/>
    </row>
    <row r="53" spans="2:28" ht="15" customHeight="1">
      <c r="B53" s="1458" t="s">
        <v>1004</v>
      </c>
      <c r="C53" s="1458"/>
      <c r="D53" s="972" t="s">
        <v>967</v>
      </c>
      <c r="E53" s="972" t="s">
        <v>49</v>
      </c>
      <c r="F53" s="972" t="s">
        <v>970</v>
      </c>
      <c r="G53" s="972" t="s">
        <v>47</v>
      </c>
      <c r="H53" s="972" t="s">
        <v>41</v>
      </c>
      <c r="I53" s="972" t="s">
        <v>40</v>
      </c>
      <c r="J53" s="972" t="s">
        <v>126</v>
      </c>
      <c r="K53" s="972" t="s">
        <v>1062</v>
      </c>
      <c r="L53" s="972" t="s">
        <v>1063</v>
      </c>
      <c r="M53" s="972" t="s">
        <v>1056</v>
      </c>
      <c r="N53" s="972" t="s">
        <v>1060</v>
      </c>
      <c r="O53" s="972" t="s">
        <v>1058</v>
      </c>
      <c r="P53" s="972" t="s">
        <v>1059</v>
      </c>
      <c r="Q53" s="972" t="s">
        <v>1057</v>
      </c>
      <c r="R53" s="1459" t="s">
        <v>1422</v>
      </c>
      <c r="S53" s="972" t="s">
        <v>1076</v>
      </c>
      <c r="T53" s="972" t="s">
        <v>1077</v>
      </c>
      <c r="U53" s="972" t="s">
        <v>1078</v>
      </c>
      <c r="V53" s="972" t="s">
        <v>1075</v>
      </c>
      <c r="W53" s="972" t="s">
        <v>1079</v>
      </c>
      <c r="X53" s="972" t="s">
        <v>1061</v>
      </c>
      <c r="Y53" s="972" t="s">
        <v>1055</v>
      </c>
      <c r="Z53" s="972" t="s">
        <v>1032</v>
      </c>
      <c r="AA53" s="972" t="s">
        <v>1423</v>
      </c>
      <c r="AB53" s="972" t="s">
        <v>1091</v>
      </c>
    </row>
    <row r="54" spans="2:28" ht="15" customHeight="1">
      <c r="B54" s="973">
        <f t="shared" ref="B54:B64" si="2">DATE(YEAR(B55),MONTH(B55)-1,1)</f>
        <v>44378</v>
      </c>
      <c r="C54" s="974"/>
      <c r="D54" s="1460" cm="1">
        <f t="array" aca="1" ref="D54" ca="1">DSUM(MercadoBase1,D$53,INDIRECT("r"&amp;5+2*(ROW()-54)&amp;":r"&amp;6+2*(ROW()-54)))</f>
        <v>0</v>
      </c>
      <c r="E54" s="1460" cm="1">
        <f t="array" aca="1" ref="E54" ca="1">DSUM(MercadoBase1,E$53,INDIRECT("r"&amp;5+2*(ROW()-54)&amp;":r"&amp;6+2*(ROW()-54)))</f>
        <v>0</v>
      </c>
      <c r="F54" s="1460" cm="1">
        <f t="array" aca="1" ref="F54" ca="1">DSUM(MercadoBase1,F$53,INDIRECT("r"&amp;5+2*(ROW()-54)&amp;":r"&amp;6+2*(ROW()-54)))</f>
        <v>0</v>
      </c>
      <c r="G54" s="1460" cm="1">
        <f t="array" aca="1" ref="G54" ca="1">DSUM(MercadoBase1,G$53,INDIRECT("r"&amp;5+2*(ROW()-54)&amp;":r"&amp;6+2*(ROW()-54)))</f>
        <v>46827.249957416519</v>
      </c>
      <c r="H54" s="1460" cm="1">
        <f t="array" aca="1" ref="H54" ca="1">DSUM(MercadoBase1,H$53,INDIRECT("r"&amp;5+2*(ROW()-54)&amp;":r"&amp;6+2*(ROW()-54)))</f>
        <v>296793.9598089428</v>
      </c>
      <c r="I54" s="1460" cm="1">
        <f t="array" aca="1" ref="I54" ca="1">DSUM(MercadoBase1,I$53,INDIRECT("r"&amp;5+2*(ROW()-54)&amp;":r"&amp;6+2*(ROW()-54)))</f>
        <v>10278.169558032292</v>
      </c>
      <c r="J54" s="1460" cm="1">
        <f t="array" aca="1" ref="J54" ca="1">DSUM(MercadoBase1,J$53,INDIRECT("r"&amp;5+2*(ROW()-54)&amp;":r"&amp;6+2*(ROW()-54)))</f>
        <v>0</v>
      </c>
      <c r="K54" s="1460" cm="1">
        <f t="array" aca="1" ref="K54" ca="1">DSUM(MercadoBase1,K$53,INDIRECT("r"&amp;5+2*(ROW()-54)&amp;":r"&amp;6+2*(ROW()-54)))</f>
        <v>0</v>
      </c>
      <c r="L54" s="1460" cm="1">
        <f t="array" aca="1" ref="L54" ca="1">DSUM(MercadoBase1,L$53,INDIRECT("r"&amp;5+2*(ROW()-54)&amp;":r"&amp;6+2*(ROW()-54)))</f>
        <v>0</v>
      </c>
      <c r="M54" s="1460" cm="1">
        <f t="array" aca="1" ref="M54" ca="1">DSUM(MercadoBase1,M$53,INDIRECT("r"&amp;5+2*(ROW()-54)&amp;":r"&amp;6+2*(ROW()-54)))</f>
        <v>0</v>
      </c>
      <c r="N54" s="1460" cm="1">
        <f t="array" aca="1" ref="N54" ca="1">DSUM(MercadoBase1,N$53,INDIRECT("r"&amp;5+2*(ROW()-54)&amp;":r"&amp;6+2*(ROW()-54)))</f>
        <v>0</v>
      </c>
      <c r="O54" s="1460" cm="1">
        <f t="array" aca="1" ref="O54" ca="1">DSUM(MercadoBase1,O$53,INDIRECT("r"&amp;5+2*(ROW()-54)&amp;":r"&amp;6+2*(ROW()-54)))</f>
        <v>0</v>
      </c>
      <c r="P54" s="1460" cm="1">
        <f t="array" aca="1" ref="P54" ca="1">DSUM(MercadoBase1,P$53,INDIRECT("r"&amp;5+2*(ROW()-54)&amp;":r"&amp;6+2*(ROW()-54)))</f>
        <v>0</v>
      </c>
      <c r="Q54" s="1461" cm="1">
        <f t="array" aca="1" ref="Q54" ca="1">DSUM(MercadoBase1,Q$53,INDIRECT("r"&amp;5+2*(ROW()-54)&amp;":r"&amp;6+2*(ROW()-54)))</f>
        <v>0</v>
      </c>
      <c r="R54" s="1462">
        <f>VLOOKUP(CAPA!$C$17,Índices!B:F,5,FALSE)/VLOOKUP(DATE(YEAR(B54),MONTH(B54),1),Índices!B:F,5,FALSE)</f>
        <v>1.0830593980554473</v>
      </c>
      <c r="S54" s="1463" cm="1">
        <f t="array" aca="1" ref="S54" ca="1">DSUM(MercadoBase1,S$53,INDIRECT("r"&amp;5+2*(ROW()-54)&amp;":r"&amp;6+2*(ROW()-54)))</f>
        <v>0</v>
      </c>
      <c r="T54" s="1460" cm="1">
        <f t="array" aca="1" ref="T54" ca="1">DSUM(MercadoBase1,T$53,INDIRECT("r"&amp;5+2*(ROW()-54)&amp;":r"&amp;6+2*(ROW()-54)))</f>
        <v>0</v>
      </c>
      <c r="U54" s="1460" cm="1">
        <f t="array" aca="1" ref="U54" ca="1">DSUM(MercadoBase1,U$53,INDIRECT("r"&amp;5+2*(ROW()-54)&amp;":r"&amp;6+2*(ROW()-54)))</f>
        <v>0</v>
      </c>
      <c r="V54" s="1460" cm="1">
        <f t="array" aca="1" ref="V54" ca="1">DSUM(MercadoBase1,V$53,INDIRECT("r"&amp;5+2*(ROW()-54)&amp;":r"&amp;6+2*(ROW()-54)))</f>
        <v>0</v>
      </c>
      <c r="W54" s="1460" cm="1">
        <f t="array" aca="1" ref="W54" ca="1">DSUM(MercadoBase1,W$53,INDIRECT("r"&amp;5+2*(ROW()-54)&amp;":r"&amp;6+2*(ROW()-54)))</f>
        <v>0</v>
      </c>
      <c r="X54" s="1460" cm="1">
        <f t="array" aca="1" ref="X54" ca="1">DSUM(MercadoBase1,X$53,INDIRECT("r"&amp;5+2*(ROW()-54)&amp;":r"&amp;6+2*(ROW()-54)))</f>
        <v>0</v>
      </c>
      <c r="Y54" s="1460" cm="1">
        <f t="array" aca="1" ref="Y54" ca="1">DSUM(MercadoBase1,Y$53,INDIRECT("r"&amp;5+2*(ROW()-54)&amp;":r"&amp;6+2*(ROW()-54)))</f>
        <v>0</v>
      </c>
      <c r="Z54" s="1460" cm="1">
        <f t="array" aca="1" ref="Z54" ca="1">DSUM(MercadoBase1,Z$53,INDIRECT("r"&amp;5+2*(ROW()-54)&amp;":r"&amp;6+2*(ROW()-54)))</f>
        <v>2244195.3077355619</v>
      </c>
      <c r="AA54" s="1460" cm="1">
        <f t="array" aca="1" ref="AA54" ca="1">DSUM(MercadoBase1,AA$53,INDIRECT("r"&amp;5+2*(ROW()-54)&amp;":r"&amp;6+2*(ROW()-54)))</f>
        <v>0</v>
      </c>
      <c r="AB54" s="1460" cm="1">
        <f t="array" aca="1" ref="AB54" ca="1">DSUM(MercadoBase1,AB$53,INDIRECT("r"&amp;5+2*(ROW()-54)&amp;":r"&amp;6+2*(ROW()-54)))</f>
        <v>0</v>
      </c>
    </row>
    <row r="55" spans="2:28" ht="15" customHeight="1">
      <c r="B55" s="973">
        <f t="shared" si="2"/>
        <v>44409</v>
      </c>
      <c r="C55" s="974"/>
      <c r="D55" s="975" cm="1">
        <f t="array" aca="1" ref="D55" ca="1">DSUM(MercadoBase1,D$53,INDIRECT("r"&amp;5+2*(ROW()-54)&amp;":r"&amp;6+2*(ROW()-54)))</f>
        <v>0</v>
      </c>
      <c r="E55" s="975" cm="1">
        <f t="array" aca="1" ref="E55" ca="1">DSUM(MercadoBase1,E$53,INDIRECT("r"&amp;5+2*(ROW()-54)&amp;":r"&amp;6+2*(ROW()-54)))</f>
        <v>0</v>
      </c>
      <c r="F55" s="975" cm="1">
        <f t="array" aca="1" ref="F55" ca="1">DSUM(MercadoBase1,F$53,INDIRECT("r"&amp;5+2*(ROW()-54)&amp;":r"&amp;6+2*(ROW()-54)))</f>
        <v>0</v>
      </c>
      <c r="G55" s="975" cm="1">
        <f t="array" aca="1" ref="G55" ca="1">DSUM(MercadoBase1,G$53,INDIRECT("r"&amp;5+2*(ROW()-54)&amp;":r"&amp;6+2*(ROW()-54)))</f>
        <v>45902.026513287754</v>
      </c>
      <c r="H55" s="975" cm="1">
        <f t="array" aca="1" ref="H55" ca="1">DSUM(MercadoBase1,H$53,INDIRECT("r"&amp;5+2*(ROW()-54)&amp;":r"&amp;6+2*(ROW()-54)))</f>
        <v>291015.43750227749</v>
      </c>
      <c r="I55" s="975" cm="1">
        <f t="array" aca="1" ref="I55" ca="1">DSUM(MercadoBase1,I$53,INDIRECT("r"&amp;5+2*(ROW()-54)&amp;":r"&amp;6+2*(ROW()-54)))</f>
        <v>10084.854093878046</v>
      </c>
      <c r="J55" s="975" cm="1">
        <f t="array" aca="1" ref="J55" ca="1">DSUM(MercadoBase1,J$53,INDIRECT("r"&amp;5+2*(ROW()-54)&amp;":r"&amp;6+2*(ROW()-54)))</f>
        <v>0</v>
      </c>
      <c r="K55" s="975" cm="1">
        <f t="array" aca="1" ref="K55" ca="1">DSUM(MercadoBase1,K$53,INDIRECT("r"&amp;5+2*(ROW()-54)&amp;":r"&amp;6+2*(ROW()-54)))</f>
        <v>0</v>
      </c>
      <c r="L55" s="975" cm="1">
        <f t="array" aca="1" ref="L55" ca="1">DSUM(MercadoBase1,L$53,INDIRECT("r"&amp;5+2*(ROW()-54)&amp;":r"&amp;6+2*(ROW()-54)))</f>
        <v>0</v>
      </c>
      <c r="M55" s="975" cm="1">
        <f t="array" aca="1" ref="M55" ca="1">DSUM(MercadoBase1,M$53,INDIRECT("r"&amp;5+2*(ROW()-54)&amp;":r"&amp;6+2*(ROW()-54)))</f>
        <v>0</v>
      </c>
      <c r="N55" s="975" cm="1">
        <f t="array" aca="1" ref="N55" ca="1">DSUM(MercadoBase1,N$53,INDIRECT("r"&amp;5+2*(ROW()-54)&amp;":r"&amp;6+2*(ROW()-54)))</f>
        <v>0</v>
      </c>
      <c r="O55" s="975" cm="1">
        <f t="array" aca="1" ref="O55" ca="1">DSUM(MercadoBase1,O$53,INDIRECT("r"&amp;5+2*(ROW()-54)&amp;":r"&amp;6+2*(ROW()-54)))</f>
        <v>0</v>
      </c>
      <c r="P55" s="975" cm="1">
        <f t="array" aca="1" ref="P55" ca="1">DSUM(MercadoBase1,P$53,INDIRECT("r"&amp;5+2*(ROW()-54)&amp;":r"&amp;6+2*(ROW()-54)))</f>
        <v>0</v>
      </c>
      <c r="Q55" s="983" cm="1">
        <f t="array" aca="1" ref="Q55" ca="1">DSUM(MercadoBase1,Q$53,INDIRECT("r"&amp;5+2*(ROW()-54)&amp;":r"&amp;6+2*(ROW()-54)))</f>
        <v>0</v>
      </c>
      <c r="R55" s="976">
        <f>VLOOKUP(CAPA!$C$17,Índices!B:F,5,FALSE)/VLOOKUP(DATE(YEAR(B55),MONTH(B55),1),Índices!B:F,5,FALSE)</f>
        <v>1.0784441695152505</v>
      </c>
      <c r="S55" s="985" cm="1">
        <f t="array" aca="1" ref="S55" ca="1">DSUM(MercadoBase1,S$53,INDIRECT("r"&amp;5+2*(ROW()-54)&amp;":r"&amp;6+2*(ROW()-54)))</f>
        <v>0</v>
      </c>
      <c r="T55" s="975" cm="1">
        <f t="array" aca="1" ref="T55" ca="1">DSUM(MercadoBase1,T$53,INDIRECT("r"&amp;5+2*(ROW()-54)&amp;":r"&amp;6+2*(ROW()-54)))</f>
        <v>0</v>
      </c>
      <c r="U55" s="975" cm="1">
        <f t="array" aca="1" ref="U55" ca="1">DSUM(MercadoBase1,U$53,INDIRECT("r"&amp;5+2*(ROW()-54)&amp;":r"&amp;6+2*(ROW()-54)))</f>
        <v>0</v>
      </c>
      <c r="V55" s="975" cm="1">
        <f t="array" aca="1" ref="V55" ca="1">DSUM(MercadoBase1,V$53,INDIRECT("r"&amp;5+2*(ROW()-54)&amp;":r"&amp;6+2*(ROW()-54)))</f>
        <v>0</v>
      </c>
      <c r="W55" s="975" cm="1">
        <f t="array" aca="1" ref="W55" ca="1">DSUM(MercadoBase1,W$53,INDIRECT("r"&amp;5+2*(ROW()-54)&amp;":r"&amp;6+2*(ROW()-54)))</f>
        <v>0</v>
      </c>
      <c r="X55" s="975" cm="1">
        <f t="array" aca="1" ref="X55" ca="1">DSUM(MercadoBase1,X$53,INDIRECT("r"&amp;5+2*(ROW()-54)&amp;":r"&amp;6+2*(ROW()-54)))</f>
        <v>0</v>
      </c>
      <c r="Y55" s="975" cm="1">
        <f t="array" aca="1" ref="Y55" ca="1">DSUM(MercadoBase1,Y$53,INDIRECT("r"&amp;5+2*(ROW()-54)&amp;":r"&amp;6+2*(ROW()-54)))</f>
        <v>0</v>
      </c>
      <c r="Z55" s="975" cm="1">
        <f t="array" aca="1" ref="Z55" ca="1">DSUM(MercadoBase1,Z$53,INDIRECT("r"&amp;5+2*(ROW()-54)&amp;":r"&amp;6+2*(ROW()-54)))</f>
        <v>2208999.5155105595</v>
      </c>
      <c r="AA55" s="975" cm="1">
        <f t="array" aca="1" ref="AA55" ca="1">DSUM(MercadoBase1,AA$53,INDIRECT("r"&amp;5+2*(ROW()-54)&amp;":r"&amp;6+2*(ROW()-54)))</f>
        <v>0</v>
      </c>
      <c r="AB55" s="975" cm="1">
        <f t="array" aca="1" ref="AB55" ca="1">DSUM(MercadoBase1,AB$53,INDIRECT("r"&amp;5+2*(ROW()-54)&amp;":r"&amp;6+2*(ROW()-54)))</f>
        <v>0</v>
      </c>
    </row>
    <row r="56" spans="2:28" ht="15" customHeight="1">
      <c r="B56" s="973">
        <f t="shared" si="2"/>
        <v>44440</v>
      </c>
      <c r="C56" s="974"/>
      <c r="D56" s="975" cm="1">
        <f t="array" aca="1" ref="D56" ca="1">DSUM(MercadoBase1,D$53,INDIRECT("r"&amp;5+2*(ROW()-54)&amp;":r"&amp;6+2*(ROW()-54)))</f>
        <v>0</v>
      </c>
      <c r="E56" s="975" cm="1">
        <f t="array" aca="1" ref="E56" ca="1">DSUM(MercadoBase1,E$53,INDIRECT("r"&amp;5+2*(ROW()-54)&amp;":r"&amp;6+2*(ROW()-54)))</f>
        <v>0</v>
      </c>
      <c r="F56" s="975" cm="1">
        <f t="array" aca="1" ref="F56" ca="1">DSUM(MercadoBase1,F$53,INDIRECT("r"&amp;5+2*(ROW()-54)&amp;":r"&amp;6+2*(ROW()-54)))</f>
        <v>0</v>
      </c>
      <c r="G56" s="975" cm="1">
        <f t="array" aca="1" ref="G56" ca="1">DSUM(MercadoBase1,G$53,INDIRECT("r"&amp;5+2*(ROW()-54)&amp;":r"&amp;6+2*(ROW()-54)))</f>
        <v>45872.944416622544</v>
      </c>
      <c r="H56" s="975" cm="1">
        <f t="array" aca="1" ref="H56" ca="1">DSUM(MercadoBase1,H$53,INDIRECT("r"&amp;5+2*(ROW()-54)&amp;":r"&amp;6+2*(ROW()-54)))</f>
        <v>291004.61119613645</v>
      </c>
      <c r="I56" s="975" cm="1">
        <f t="array" aca="1" ref="I56" ca="1">DSUM(MercadoBase1,I$53,INDIRECT("r"&amp;5+2*(ROW()-54)&amp;":r"&amp;6+2*(ROW()-54)))</f>
        <v>10095.956836324995</v>
      </c>
      <c r="J56" s="975" cm="1">
        <f t="array" aca="1" ref="J56" ca="1">DSUM(MercadoBase1,J$53,INDIRECT("r"&amp;5+2*(ROW()-54)&amp;":r"&amp;6+2*(ROW()-54)))</f>
        <v>0</v>
      </c>
      <c r="K56" s="975" cm="1">
        <f t="array" aca="1" ref="K56" ca="1">DSUM(MercadoBase1,K$53,INDIRECT("r"&amp;5+2*(ROW()-54)&amp;":r"&amp;6+2*(ROW()-54)))</f>
        <v>0</v>
      </c>
      <c r="L56" s="975" cm="1">
        <f t="array" aca="1" ref="L56" ca="1">DSUM(MercadoBase1,L$53,INDIRECT("r"&amp;5+2*(ROW()-54)&amp;":r"&amp;6+2*(ROW()-54)))</f>
        <v>0</v>
      </c>
      <c r="M56" s="975" cm="1">
        <f t="array" aca="1" ref="M56" ca="1">DSUM(MercadoBase1,M$53,INDIRECT("r"&amp;5+2*(ROW()-54)&amp;":r"&amp;6+2*(ROW()-54)))</f>
        <v>0</v>
      </c>
      <c r="N56" s="975" cm="1">
        <f t="array" aca="1" ref="N56" ca="1">DSUM(MercadoBase1,N$53,INDIRECT("r"&amp;5+2*(ROW()-54)&amp;":r"&amp;6+2*(ROW()-54)))</f>
        <v>0</v>
      </c>
      <c r="O56" s="975" cm="1">
        <f t="array" aca="1" ref="O56" ca="1">DSUM(MercadoBase1,O$53,INDIRECT("r"&amp;5+2*(ROW()-54)&amp;":r"&amp;6+2*(ROW()-54)))</f>
        <v>0</v>
      </c>
      <c r="P56" s="975" cm="1">
        <f t="array" aca="1" ref="P56" ca="1">DSUM(MercadoBase1,P$53,INDIRECT("r"&amp;5+2*(ROW()-54)&amp;":r"&amp;6+2*(ROW()-54)))</f>
        <v>0</v>
      </c>
      <c r="Q56" s="983" cm="1">
        <f t="array" aca="1" ref="Q56" ca="1">DSUM(MercadoBase1,Q$53,INDIRECT("r"&amp;5+2*(ROW()-54)&amp;":r"&amp;6+2*(ROW()-54)))</f>
        <v>0</v>
      </c>
      <c r="R56" s="976">
        <f>VLOOKUP(CAPA!$C$17,Índices!B:F,5,FALSE)/VLOOKUP(DATE(YEAR(B56),MONTH(B56),1),Índices!B:F,5,FALSE)</f>
        <v>1.073698429626083</v>
      </c>
      <c r="S56" s="985" cm="1">
        <f t="array" aca="1" ref="S56" ca="1">DSUM(MercadoBase1,S$53,INDIRECT("r"&amp;5+2*(ROW()-54)&amp;":r"&amp;6+2*(ROW()-54)))</f>
        <v>0</v>
      </c>
      <c r="T56" s="975" cm="1">
        <f t="array" aca="1" ref="T56" ca="1">DSUM(MercadoBase1,T$53,INDIRECT("r"&amp;5+2*(ROW()-54)&amp;":r"&amp;6+2*(ROW()-54)))</f>
        <v>0</v>
      </c>
      <c r="U56" s="975" cm="1">
        <f t="array" aca="1" ref="U56" ca="1">DSUM(MercadoBase1,U$53,INDIRECT("r"&amp;5+2*(ROW()-54)&amp;":r"&amp;6+2*(ROW()-54)))</f>
        <v>0</v>
      </c>
      <c r="V56" s="975" cm="1">
        <f t="array" aca="1" ref="V56" ca="1">DSUM(MercadoBase1,V$53,INDIRECT("r"&amp;5+2*(ROW()-54)&amp;":r"&amp;6+2*(ROW()-54)))</f>
        <v>0</v>
      </c>
      <c r="W56" s="975" cm="1">
        <f t="array" aca="1" ref="W56" ca="1">DSUM(MercadoBase1,W$53,INDIRECT("r"&amp;5+2*(ROW()-54)&amp;":r"&amp;6+2*(ROW()-54)))</f>
        <v>0</v>
      </c>
      <c r="X56" s="975" cm="1">
        <f t="array" aca="1" ref="X56" ca="1">DSUM(MercadoBase1,X$53,INDIRECT("r"&amp;5+2*(ROW()-54)&amp;":r"&amp;6+2*(ROW()-54)))</f>
        <v>0</v>
      </c>
      <c r="Y56" s="975" cm="1">
        <f t="array" aca="1" ref="Y56" ca="1">DSUM(MercadoBase1,Y$53,INDIRECT("r"&amp;5+2*(ROW()-54)&amp;":r"&amp;6+2*(ROW()-54)))</f>
        <v>0</v>
      </c>
      <c r="Z56" s="975" cm="1">
        <f t="array" aca="1" ref="Z56" ca="1">DSUM(MercadoBase1,Z$53,INDIRECT("r"&amp;5+2*(ROW()-54)&amp;":r"&amp;6+2*(ROW()-54)))</f>
        <v>2217465.9726961479</v>
      </c>
      <c r="AA56" s="975" cm="1">
        <f t="array" aca="1" ref="AA56" ca="1">DSUM(MercadoBase1,AA$53,INDIRECT("r"&amp;5+2*(ROW()-54)&amp;":r"&amp;6+2*(ROW()-54)))</f>
        <v>0</v>
      </c>
      <c r="AB56" s="975" cm="1">
        <f t="array" aca="1" ref="AB56" ca="1">DSUM(MercadoBase1,AB$53,INDIRECT("r"&amp;5+2*(ROW()-54)&amp;":r"&amp;6+2*(ROW()-54)))</f>
        <v>0</v>
      </c>
    </row>
    <row r="57" spans="2:28" ht="15" customHeight="1">
      <c r="B57" s="973">
        <f t="shared" si="2"/>
        <v>44470</v>
      </c>
      <c r="C57" s="974"/>
      <c r="D57" s="975" cm="1">
        <f t="array" aca="1" ref="D57" ca="1">DSUM(MercadoBase1,D$53,INDIRECT("r"&amp;5+2*(ROW()-54)&amp;":r"&amp;6+2*(ROW()-54)))</f>
        <v>0</v>
      </c>
      <c r="E57" s="975" cm="1">
        <f t="array" aca="1" ref="E57" ca="1">DSUM(MercadoBase1,E$53,INDIRECT("r"&amp;5+2*(ROW()-54)&amp;":r"&amp;6+2*(ROW()-54)))</f>
        <v>0</v>
      </c>
      <c r="F57" s="975" cm="1">
        <f t="array" aca="1" ref="F57" ca="1">DSUM(MercadoBase1,F$53,INDIRECT("r"&amp;5+2*(ROW()-54)&amp;":r"&amp;6+2*(ROW()-54)))</f>
        <v>0</v>
      </c>
      <c r="G57" s="975" cm="1">
        <f t="array" aca="1" ref="G57" ca="1">DSUM(MercadoBase1,G$53,INDIRECT("r"&amp;5+2*(ROW()-54)&amp;":r"&amp;6+2*(ROW()-54)))</f>
        <v>47994.302264604179</v>
      </c>
      <c r="H57" s="975" cm="1">
        <f t="array" aca="1" ref="H57" ca="1">DSUM(MercadoBase1,H$53,INDIRECT("r"&amp;5+2*(ROW()-54)&amp;":r"&amp;6+2*(ROW()-54)))</f>
        <v>302976.0633989856</v>
      </c>
      <c r="I57" s="975" cm="1">
        <f t="array" aca="1" ref="I57" ca="1">DSUM(MercadoBase1,I$53,INDIRECT("r"&amp;5+2*(ROW()-54)&amp;":r"&amp;6+2*(ROW()-54)))</f>
        <v>10404.546700158211</v>
      </c>
      <c r="J57" s="975" cm="1">
        <f t="array" aca="1" ref="J57" ca="1">DSUM(MercadoBase1,J$53,INDIRECT("r"&amp;5+2*(ROW()-54)&amp;":r"&amp;6+2*(ROW()-54)))</f>
        <v>0</v>
      </c>
      <c r="K57" s="975" cm="1">
        <f t="array" aca="1" ref="K57" ca="1">DSUM(MercadoBase1,K$53,INDIRECT("r"&amp;5+2*(ROW()-54)&amp;":r"&amp;6+2*(ROW()-54)))</f>
        <v>0</v>
      </c>
      <c r="L57" s="975" cm="1">
        <f t="array" aca="1" ref="L57" ca="1">DSUM(MercadoBase1,L$53,INDIRECT("r"&amp;5+2*(ROW()-54)&amp;":r"&amp;6+2*(ROW()-54)))</f>
        <v>0</v>
      </c>
      <c r="M57" s="975" cm="1">
        <f t="array" aca="1" ref="M57" ca="1">DSUM(MercadoBase1,M$53,INDIRECT("r"&amp;5+2*(ROW()-54)&amp;":r"&amp;6+2*(ROW()-54)))</f>
        <v>0</v>
      </c>
      <c r="N57" s="975" cm="1">
        <f t="array" aca="1" ref="N57" ca="1">DSUM(MercadoBase1,N$53,INDIRECT("r"&amp;5+2*(ROW()-54)&amp;":r"&amp;6+2*(ROW()-54)))</f>
        <v>0</v>
      </c>
      <c r="O57" s="975" cm="1">
        <f t="array" aca="1" ref="O57" ca="1">DSUM(MercadoBase1,O$53,INDIRECT("r"&amp;5+2*(ROW()-54)&amp;":r"&amp;6+2*(ROW()-54)))</f>
        <v>0</v>
      </c>
      <c r="P57" s="975" cm="1">
        <f t="array" aca="1" ref="P57" ca="1">DSUM(MercadoBase1,P$53,INDIRECT("r"&amp;5+2*(ROW()-54)&amp;":r"&amp;6+2*(ROW()-54)))</f>
        <v>0</v>
      </c>
      <c r="Q57" s="983" cm="1">
        <f t="array" aca="1" ref="Q57" ca="1">DSUM(MercadoBase1,Q$53,INDIRECT("r"&amp;5+2*(ROW()-54)&amp;":r"&amp;6+2*(ROW()-54)))</f>
        <v>0</v>
      </c>
      <c r="R57" s="976">
        <f>VLOOKUP(CAPA!$C$17,Índices!B:F,5,FALSE)/VLOOKUP(DATE(YEAR(B57),MONTH(B57),1),Índices!B:F,5,FALSE)</f>
        <v>1.0685055343738492</v>
      </c>
      <c r="S57" s="985" cm="1">
        <f t="array" aca="1" ref="S57" ca="1">DSUM(MercadoBase1,S$53,INDIRECT("r"&amp;5+2*(ROW()-54)&amp;":r"&amp;6+2*(ROW()-54)))</f>
        <v>0</v>
      </c>
      <c r="T57" s="975" cm="1">
        <f t="array" aca="1" ref="T57" ca="1">DSUM(MercadoBase1,T$53,INDIRECT("r"&amp;5+2*(ROW()-54)&amp;":r"&amp;6+2*(ROW()-54)))</f>
        <v>0</v>
      </c>
      <c r="U57" s="975" cm="1">
        <f t="array" aca="1" ref="U57" ca="1">DSUM(MercadoBase1,U$53,INDIRECT("r"&amp;5+2*(ROW()-54)&amp;":r"&amp;6+2*(ROW()-54)))</f>
        <v>0</v>
      </c>
      <c r="V57" s="975" cm="1">
        <f t="array" aca="1" ref="V57" ca="1">DSUM(MercadoBase1,V$53,INDIRECT("r"&amp;5+2*(ROW()-54)&amp;":r"&amp;6+2*(ROW()-54)))</f>
        <v>0</v>
      </c>
      <c r="W57" s="975" cm="1">
        <f t="array" aca="1" ref="W57" ca="1">DSUM(MercadoBase1,W$53,INDIRECT("r"&amp;5+2*(ROW()-54)&amp;":r"&amp;6+2*(ROW()-54)))</f>
        <v>0</v>
      </c>
      <c r="X57" s="975" cm="1">
        <f t="array" aca="1" ref="X57" ca="1">DSUM(MercadoBase1,X$53,INDIRECT("r"&amp;5+2*(ROW()-54)&amp;":r"&amp;6+2*(ROW()-54)))</f>
        <v>0</v>
      </c>
      <c r="Y57" s="975" cm="1">
        <f t="array" aca="1" ref="Y57" ca="1">DSUM(MercadoBase1,Y$53,INDIRECT("r"&amp;5+2*(ROW()-54)&amp;":r"&amp;6+2*(ROW()-54)))</f>
        <v>0</v>
      </c>
      <c r="Z57" s="975" cm="1">
        <f t="array" aca="1" ref="Z57" ca="1">DSUM(MercadoBase1,Z$53,INDIRECT("r"&amp;5+2*(ROW()-54)&amp;":r"&amp;6+2*(ROW()-54)))</f>
        <v>2250390.0235859323</v>
      </c>
      <c r="AA57" s="975" cm="1">
        <f t="array" aca="1" ref="AA57" ca="1">DSUM(MercadoBase1,AA$53,INDIRECT("r"&amp;5+2*(ROW()-54)&amp;":r"&amp;6+2*(ROW()-54)))</f>
        <v>0</v>
      </c>
      <c r="AB57" s="975" cm="1">
        <f t="array" aca="1" ref="AB57" ca="1">DSUM(MercadoBase1,AB$53,INDIRECT("r"&amp;5+2*(ROW()-54)&amp;":r"&amp;6+2*(ROW()-54)))</f>
        <v>0</v>
      </c>
    </row>
    <row r="58" spans="2:28" ht="15" customHeight="1">
      <c r="B58" s="973">
        <f t="shared" si="2"/>
        <v>44501</v>
      </c>
      <c r="C58" s="974"/>
      <c r="D58" s="975" cm="1">
        <f t="array" aca="1" ref="D58" ca="1">DSUM(MercadoBase1,D$53,INDIRECT("r"&amp;5+2*(ROW()-54)&amp;":r"&amp;6+2*(ROW()-54)))</f>
        <v>0</v>
      </c>
      <c r="E58" s="975" cm="1">
        <f t="array" aca="1" ref="E58" ca="1">DSUM(MercadoBase1,E$53,INDIRECT("r"&amp;5+2*(ROW()-54)&amp;":r"&amp;6+2*(ROW()-54)))</f>
        <v>0</v>
      </c>
      <c r="F58" s="975" cm="1">
        <f t="array" aca="1" ref="F58" ca="1">DSUM(MercadoBase1,F$53,INDIRECT("r"&amp;5+2*(ROW()-54)&amp;":r"&amp;6+2*(ROW()-54)))</f>
        <v>0</v>
      </c>
      <c r="G58" s="975" cm="1">
        <f t="array" aca="1" ref="G58" ca="1">DSUM(MercadoBase1,G$53,INDIRECT("r"&amp;5+2*(ROW()-54)&amp;":r"&amp;6+2*(ROW()-54)))</f>
        <v>47546.817766339525</v>
      </c>
      <c r="H58" s="975" cm="1">
        <f t="array" aca="1" ref="H58" ca="1">DSUM(MercadoBase1,H$53,INDIRECT("r"&amp;5+2*(ROW()-54)&amp;":r"&amp;6+2*(ROW()-54)))</f>
        <v>300864.58145156724</v>
      </c>
      <c r="I58" s="975" cm="1">
        <f t="array" aca="1" ref="I58" ca="1">DSUM(MercadoBase1,I$53,INDIRECT("r"&amp;5+2*(ROW()-54)&amp;":r"&amp;6+2*(ROW()-54)))</f>
        <v>10382.192381692288</v>
      </c>
      <c r="J58" s="975" cm="1">
        <f t="array" aca="1" ref="J58" ca="1">DSUM(MercadoBase1,J$53,INDIRECT("r"&amp;5+2*(ROW()-54)&amp;":r"&amp;6+2*(ROW()-54)))</f>
        <v>0</v>
      </c>
      <c r="K58" s="975" cm="1">
        <f t="array" aca="1" ref="K58" ca="1">DSUM(MercadoBase1,K$53,INDIRECT("r"&amp;5+2*(ROW()-54)&amp;":r"&amp;6+2*(ROW()-54)))</f>
        <v>0</v>
      </c>
      <c r="L58" s="975" cm="1">
        <f t="array" aca="1" ref="L58" ca="1">DSUM(MercadoBase1,L$53,INDIRECT("r"&amp;5+2*(ROW()-54)&amp;":r"&amp;6+2*(ROW()-54)))</f>
        <v>0</v>
      </c>
      <c r="M58" s="975" cm="1">
        <f t="array" aca="1" ref="M58" ca="1">DSUM(MercadoBase1,M$53,INDIRECT("r"&amp;5+2*(ROW()-54)&amp;":r"&amp;6+2*(ROW()-54)))</f>
        <v>0</v>
      </c>
      <c r="N58" s="975" cm="1">
        <f t="array" aca="1" ref="N58" ca="1">DSUM(MercadoBase1,N$53,INDIRECT("r"&amp;5+2*(ROW()-54)&amp;":r"&amp;6+2*(ROW()-54)))</f>
        <v>0</v>
      </c>
      <c r="O58" s="975" cm="1">
        <f t="array" aca="1" ref="O58" ca="1">DSUM(MercadoBase1,O$53,INDIRECT("r"&amp;5+2*(ROW()-54)&amp;":r"&amp;6+2*(ROW()-54)))</f>
        <v>0</v>
      </c>
      <c r="P58" s="975" cm="1">
        <f t="array" aca="1" ref="P58" ca="1">DSUM(MercadoBase1,P$53,INDIRECT("r"&amp;5+2*(ROW()-54)&amp;":r"&amp;6+2*(ROW()-54)))</f>
        <v>0</v>
      </c>
      <c r="Q58" s="983" cm="1">
        <f t="array" aca="1" ref="Q58" ca="1">DSUM(MercadoBase1,Q$53,INDIRECT("r"&amp;5+2*(ROW()-54)&amp;":r"&amp;6+2*(ROW()-54)))</f>
        <v>0</v>
      </c>
      <c r="R58" s="976">
        <f>VLOOKUP(CAPA!$C$17,Índices!B:F,5,FALSE)/VLOOKUP(DATE(YEAR(B58),MONTH(B58),1),Índices!B:F,5,FALSE)</f>
        <v>1.0622726591714087</v>
      </c>
      <c r="S58" s="985" cm="1">
        <f t="array" aca="1" ref="S58" ca="1">DSUM(MercadoBase1,S$53,INDIRECT("r"&amp;5+2*(ROW()-54)&amp;":r"&amp;6+2*(ROW()-54)))</f>
        <v>0</v>
      </c>
      <c r="T58" s="975" cm="1">
        <f t="array" aca="1" ref="T58" ca="1">DSUM(MercadoBase1,T$53,INDIRECT("r"&amp;5+2*(ROW()-54)&amp;":r"&amp;6+2*(ROW()-54)))</f>
        <v>0</v>
      </c>
      <c r="U58" s="975" cm="1">
        <f t="array" aca="1" ref="U58" ca="1">DSUM(MercadoBase1,U$53,INDIRECT("r"&amp;5+2*(ROW()-54)&amp;":r"&amp;6+2*(ROW()-54)))</f>
        <v>0</v>
      </c>
      <c r="V58" s="975" cm="1">
        <f t="array" aca="1" ref="V58" ca="1">DSUM(MercadoBase1,V$53,INDIRECT("r"&amp;5+2*(ROW()-54)&amp;":r"&amp;6+2*(ROW()-54)))</f>
        <v>0</v>
      </c>
      <c r="W58" s="975" cm="1">
        <f t="array" aca="1" ref="W58" ca="1">DSUM(MercadoBase1,W$53,INDIRECT("r"&amp;5+2*(ROW()-54)&amp;":r"&amp;6+2*(ROW()-54)))</f>
        <v>0</v>
      </c>
      <c r="X58" s="975" cm="1">
        <f t="array" aca="1" ref="X58" ca="1">DSUM(MercadoBase1,X$53,INDIRECT("r"&amp;5+2*(ROW()-54)&amp;":r"&amp;6+2*(ROW()-54)))</f>
        <v>0</v>
      </c>
      <c r="Y58" s="975" cm="1">
        <f t="array" aca="1" ref="Y58" ca="1">DSUM(MercadoBase1,Y$53,INDIRECT("r"&amp;5+2*(ROW()-54)&amp;":r"&amp;6+2*(ROW()-54)))</f>
        <v>0</v>
      </c>
      <c r="Z58" s="975" cm="1">
        <f t="array" aca="1" ref="Z58" ca="1">DSUM(MercadoBase1,Z$53,INDIRECT("r"&amp;5+2*(ROW()-54)&amp;":r"&amp;6+2*(ROW()-54)))</f>
        <v>2290099.2192082349</v>
      </c>
      <c r="AA58" s="975" cm="1">
        <f t="array" aca="1" ref="AA58" ca="1">DSUM(MercadoBase1,AA$53,INDIRECT("r"&amp;5+2*(ROW()-54)&amp;":r"&amp;6+2*(ROW()-54)))</f>
        <v>0</v>
      </c>
      <c r="AB58" s="975" cm="1">
        <f t="array" aca="1" ref="AB58" ca="1">DSUM(MercadoBase1,AB$53,INDIRECT("r"&amp;5+2*(ROW()-54)&amp;":r"&amp;6+2*(ROW()-54)))</f>
        <v>0</v>
      </c>
    </row>
    <row r="59" spans="2:28" ht="15" customHeight="1">
      <c r="B59" s="973">
        <f t="shared" si="2"/>
        <v>44531</v>
      </c>
      <c r="C59" s="974"/>
      <c r="D59" s="975" cm="1">
        <f t="array" aca="1" ref="D59" ca="1">DSUM(MercadoBase1,D$53,INDIRECT("r"&amp;5+2*(ROW()-54)&amp;":r"&amp;6+2*(ROW()-54)))</f>
        <v>0</v>
      </c>
      <c r="E59" s="975" cm="1">
        <f t="array" aca="1" ref="E59" ca="1">DSUM(MercadoBase1,E$53,INDIRECT("r"&amp;5+2*(ROW()-54)&amp;":r"&amp;6+2*(ROW()-54)))</f>
        <v>0</v>
      </c>
      <c r="F59" s="975" cm="1">
        <f t="array" aca="1" ref="F59" ca="1">DSUM(MercadoBase1,F$53,INDIRECT("r"&amp;5+2*(ROW()-54)&amp;":r"&amp;6+2*(ROW()-54)))</f>
        <v>0</v>
      </c>
      <c r="G59" s="975" cm="1">
        <f t="array" aca="1" ref="G59" ca="1">DSUM(MercadoBase1,G$53,INDIRECT("r"&amp;5+2*(ROW()-54)&amp;":r"&amp;6+2*(ROW()-54)))</f>
        <v>48356.769697937023</v>
      </c>
      <c r="H59" s="975" cm="1">
        <f t="array" aca="1" ref="H59" ca="1">DSUM(MercadoBase1,H$53,INDIRECT("r"&amp;5+2*(ROW()-54)&amp;":r"&amp;6+2*(ROW()-54)))</f>
        <v>306596.56496542692</v>
      </c>
      <c r="I59" s="975" cm="1">
        <f t="array" aca="1" ref="I59" ca="1">DSUM(MercadoBase1,I$53,INDIRECT("r"&amp;5+2*(ROW()-54)&amp;":r"&amp;6+2*(ROW()-54)))</f>
        <v>10623.77973586068</v>
      </c>
      <c r="J59" s="975" cm="1">
        <f t="array" aca="1" ref="J59" ca="1">DSUM(MercadoBase1,J$53,INDIRECT("r"&amp;5+2*(ROW()-54)&amp;":r"&amp;6+2*(ROW()-54)))</f>
        <v>0</v>
      </c>
      <c r="K59" s="975" cm="1">
        <f t="array" aca="1" ref="K59" ca="1">DSUM(MercadoBase1,K$53,INDIRECT("r"&amp;5+2*(ROW()-54)&amp;":r"&amp;6+2*(ROW()-54)))</f>
        <v>0</v>
      </c>
      <c r="L59" s="975" cm="1">
        <f t="array" aca="1" ref="L59" ca="1">DSUM(MercadoBase1,L$53,INDIRECT("r"&amp;5+2*(ROW()-54)&amp;":r"&amp;6+2*(ROW()-54)))</f>
        <v>0</v>
      </c>
      <c r="M59" s="975" cm="1">
        <f t="array" aca="1" ref="M59" ca="1">DSUM(MercadoBase1,M$53,INDIRECT("r"&amp;5+2*(ROW()-54)&amp;":r"&amp;6+2*(ROW()-54)))</f>
        <v>0</v>
      </c>
      <c r="N59" s="975" cm="1">
        <f t="array" aca="1" ref="N59" ca="1">DSUM(MercadoBase1,N$53,INDIRECT("r"&amp;5+2*(ROW()-54)&amp;":r"&amp;6+2*(ROW()-54)))</f>
        <v>0</v>
      </c>
      <c r="O59" s="975" cm="1">
        <f t="array" aca="1" ref="O59" ca="1">DSUM(MercadoBase1,O$53,INDIRECT("r"&amp;5+2*(ROW()-54)&amp;":r"&amp;6+2*(ROW()-54)))</f>
        <v>0</v>
      </c>
      <c r="P59" s="975" cm="1">
        <f t="array" aca="1" ref="P59" ca="1">DSUM(MercadoBase1,P$53,INDIRECT("r"&amp;5+2*(ROW()-54)&amp;":r"&amp;6+2*(ROW()-54)))</f>
        <v>0</v>
      </c>
      <c r="Q59" s="983" cm="1">
        <f t="array" aca="1" ref="Q59" ca="1">DSUM(MercadoBase1,Q$53,INDIRECT("r"&amp;5+2*(ROW()-54)&amp;":r"&amp;6+2*(ROW()-54)))</f>
        <v>0</v>
      </c>
      <c r="R59" s="976">
        <f>VLOOKUP(CAPA!$C$17,Índices!B:F,5,FALSE)/VLOOKUP(DATE(YEAR(B59),MONTH(B59),1),Índices!B:F,5,FALSE)</f>
        <v>1.0541652525590945</v>
      </c>
      <c r="S59" s="985" cm="1">
        <f t="array" aca="1" ref="S59" ca="1">DSUM(MercadoBase1,S$53,INDIRECT("r"&amp;5+2*(ROW()-54)&amp;":r"&amp;6+2*(ROW()-54)))</f>
        <v>0</v>
      </c>
      <c r="T59" s="975" cm="1">
        <f t="array" aca="1" ref="T59" ca="1">DSUM(MercadoBase1,T$53,INDIRECT("r"&amp;5+2*(ROW()-54)&amp;":r"&amp;6+2*(ROW()-54)))</f>
        <v>0</v>
      </c>
      <c r="U59" s="975" cm="1">
        <f t="array" aca="1" ref="U59" ca="1">DSUM(MercadoBase1,U$53,INDIRECT("r"&amp;5+2*(ROW()-54)&amp;":r"&amp;6+2*(ROW()-54)))</f>
        <v>0</v>
      </c>
      <c r="V59" s="975" cm="1">
        <f t="array" aca="1" ref="V59" ca="1">DSUM(MercadoBase1,V$53,INDIRECT("r"&amp;5+2*(ROW()-54)&amp;":r"&amp;6+2*(ROW()-54)))</f>
        <v>0</v>
      </c>
      <c r="W59" s="975" cm="1">
        <f t="array" aca="1" ref="W59" ca="1">DSUM(MercadoBase1,W$53,INDIRECT("r"&amp;5+2*(ROW()-54)&amp;":r"&amp;6+2*(ROW()-54)))</f>
        <v>0</v>
      </c>
      <c r="X59" s="975" cm="1">
        <f t="array" aca="1" ref="X59" ca="1">DSUM(MercadoBase1,X$53,INDIRECT("r"&amp;5+2*(ROW()-54)&amp;":r"&amp;6+2*(ROW()-54)))</f>
        <v>0</v>
      </c>
      <c r="Y59" s="975" cm="1">
        <f t="array" aca="1" ref="Y59" ca="1">DSUM(MercadoBase1,Y$53,INDIRECT("r"&amp;5+2*(ROW()-54)&amp;":r"&amp;6+2*(ROW()-54)))</f>
        <v>0</v>
      </c>
      <c r="Z59" s="975" cm="1">
        <f t="array" aca="1" ref="Z59" ca="1">DSUM(MercadoBase1,Z$53,INDIRECT("r"&amp;5+2*(ROW()-54)&amp;":r"&amp;6+2*(ROW()-54)))</f>
        <v>2359558.705326221</v>
      </c>
      <c r="AA59" s="975" cm="1">
        <f t="array" aca="1" ref="AA59" ca="1">DSUM(MercadoBase1,AA$53,INDIRECT("r"&amp;5+2*(ROW()-54)&amp;":r"&amp;6+2*(ROW()-54)))</f>
        <v>0</v>
      </c>
      <c r="AB59" s="975" cm="1">
        <f t="array" aca="1" ref="AB59" ca="1">DSUM(MercadoBase1,AB$53,INDIRECT("r"&amp;5+2*(ROW()-54)&amp;":r"&amp;6+2*(ROW()-54)))</f>
        <v>0</v>
      </c>
    </row>
    <row r="60" spans="2:28" ht="15" customHeight="1">
      <c r="B60" s="973">
        <f t="shared" si="2"/>
        <v>44562</v>
      </c>
      <c r="C60" s="974"/>
      <c r="D60" s="975" cm="1">
        <f t="array" aca="1" ref="D60" ca="1">DSUM(MercadoBase1,D$53,INDIRECT("r"&amp;5+2*(ROW()-54)&amp;":r"&amp;6+2*(ROW()-54)))</f>
        <v>0</v>
      </c>
      <c r="E60" s="975" cm="1">
        <f t="array" aca="1" ref="E60" ca="1">DSUM(MercadoBase1,E$53,INDIRECT("r"&amp;5+2*(ROW()-54)&amp;":r"&amp;6+2*(ROW()-54)))</f>
        <v>0</v>
      </c>
      <c r="F60" s="975" cm="1">
        <f t="array" aca="1" ref="F60" ca="1">DSUM(MercadoBase1,F$53,INDIRECT("r"&amp;5+2*(ROW()-54)&amp;":r"&amp;6+2*(ROW()-54)))</f>
        <v>0</v>
      </c>
      <c r="G60" s="975" cm="1">
        <f t="array" aca="1" ref="G60" ca="1">DSUM(MercadoBase1,G$53,INDIRECT("r"&amp;5+2*(ROW()-54)&amp;":r"&amp;6+2*(ROW()-54)))</f>
        <v>54560.894086289183</v>
      </c>
      <c r="H60" s="975" cm="1">
        <f t="array" aca="1" ref="H60" ca="1">DSUM(MercadoBase1,H$53,INDIRECT("r"&amp;5+2*(ROW()-54)&amp;":r"&amp;6+2*(ROW()-54)))</f>
        <v>346714.8608991591</v>
      </c>
      <c r="I60" s="975" cm="1">
        <f t="array" aca="1" ref="I60" ca="1">DSUM(MercadoBase1,I$53,INDIRECT("r"&amp;5+2*(ROW()-54)&amp;":r"&amp;6+2*(ROW()-54)))</f>
        <v>12060.798621255462</v>
      </c>
      <c r="J60" s="975" cm="1">
        <f t="array" aca="1" ref="J60" ca="1">DSUM(MercadoBase1,J$53,INDIRECT("r"&amp;5+2*(ROW()-54)&amp;":r"&amp;6+2*(ROW()-54)))</f>
        <v>0</v>
      </c>
      <c r="K60" s="975" cm="1">
        <f t="array" aca="1" ref="K60" ca="1">DSUM(MercadoBase1,K$53,INDIRECT("r"&amp;5+2*(ROW()-54)&amp;":r"&amp;6+2*(ROW()-54)))</f>
        <v>0</v>
      </c>
      <c r="L60" s="975" cm="1">
        <f t="array" aca="1" ref="L60" ca="1">DSUM(MercadoBase1,L$53,INDIRECT("r"&amp;5+2*(ROW()-54)&amp;":r"&amp;6+2*(ROW()-54)))</f>
        <v>0</v>
      </c>
      <c r="M60" s="975" cm="1">
        <f t="array" aca="1" ref="M60" ca="1">DSUM(MercadoBase1,M$53,INDIRECT("r"&amp;5+2*(ROW()-54)&amp;":r"&amp;6+2*(ROW()-54)))</f>
        <v>0</v>
      </c>
      <c r="N60" s="975" cm="1">
        <f t="array" aca="1" ref="N60" ca="1">DSUM(MercadoBase1,N$53,INDIRECT("r"&amp;5+2*(ROW()-54)&amp;":r"&amp;6+2*(ROW()-54)))</f>
        <v>0</v>
      </c>
      <c r="O60" s="975" cm="1">
        <f t="array" aca="1" ref="O60" ca="1">DSUM(MercadoBase1,O$53,INDIRECT("r"&amp;5+2*(ROW()-54)&amp;":r"&amp;6+2*(ROW()-54)))</f>
        <v>0</v>
      </c>
      <c r="P60" s="975" cm="1">
        <f t="array" aca="1" ref="P60" ca="1">DSUM(MercadoBase1,P$53,INDIRECT("r"&amp;5+2*(ROW()-54)&amp;":r"&amp;6+2*(ROW()-54)))</f>
        <v>0</v>
      </c>
      <c r="Q60" s="983" cm="1">
        <f t="array" aca="1" ref="Q60" ca="1">DSUM(MercadoBase1,Q$53,INDIRECT("r"&amp;5+2*(ROW()-54)&amp;":r"&amp;6+2*(ROW()-54)))</f>
        <v>0</v>
      </c>
      <c r="R60" s="976">
        <f>VLOOKUP(CAPA!$C$17,Índices!B:F,5,FALSE)/VLOOKUP(DATE(YEAR(B60),MONTH(B60),1),Índices!B:F,5,FALSE)</f>
        <v>1.0465020287560824</v>
      </c>
      <c r="S60" s="985" cm="1">
        <f t="array" aca="1" ref="S60" ca="1">DSUM(MercadoBase1,S$53,INDIRECT("r"&amp;5+2*(ROW()-54)&amp;":r"&amp;6+2*(ROW()-54)))</f>
        <v>0</v>
      </c>
      <c r="T60" s="975" cm="1">
        <f t="array" aca="1" ref="T60" ca="1">DSUM(MercadoBase1,T$53,INDIRECT("r"&amp;5+2*(ROW()-54)&amp;":r"&amp;6+2*(ROW()-54)))</f>
        <v>0</v>
      </c>
      <c r="U60" s="975" cm="1">
        <f t="array" aca="1" ref="U60" ca="1">DSUM(MercadoBase1,U$53,INDIRECT("r"&amp;5+2*(ROW()-54)&amp;":r"&amp;6+2*(ROW()-54)))</f>
        <v>0</v>
      </c>
      <c r="V60" s="975" cm="1">
        <f t="array" aca="1" ref="V60" ca="1">DSUM(MercadoBase1,V$53,INDIRECT("r"&amp;5+2*(ROW()-54)&amp;":r"&amp;6+2*(ROW()-54)))</f>
        <v>0</v>
      </c>
      <c r="W60" s="975" cm="1">
        <f t="array" aca="1" ref="W60" ca="1">DSUM(MercadoBase1,W$53,INDIRECT("r"&amp;5+2*(ROW()-54)&amp;":r"&amp;6+2*(ROW()-54)))</f>
        <v>0</v>
      </c>
      <c r="X60" s="975" cm="1">
        <f t="array" aca="1" ref="X60" ca="1">DSUM(MercadoBase1,X$53,INDIRECT("r"&amp;5+2*(ROW()-54)&amp;":r"&amp;6+2*(ROW()-54)))</f>
        <v>0</v>
      </c>
      <c r="Y60" s="975" cm="1">
        <f t="array" aca="1" ref="Y60" ca="1">DSUM(MercadoBase1,Y$53,INDIRECT("r"&amp;5+2*(ROW()-54)&amp;":r"&amp;6+2*(ROW()-54)))</f>
        <v>0</v>
      </c>
      <c r="Z60" s="975" cm="1">
        <f t="array" aca="1" ref="Z60" ca="1">DSUM(MercadoBase1,Z$53,INDIRECT("r"&amp;5+2*(ROW()-54)&amp;":r"&amp;6+2*(ROW()-54)))</f>
        <v>2650040.0794134862</v>
      </c>
      <c r="AA60" s="975" cm="1">
        <f t="array" aca="1" ref="AA60" ca="1">DSUM(MercadoBase1,AA$53,INDIRECT("r"&amp;5+2*(ROW()-54)&amp;":r"&amp;6+2*(ROW()-54)))</f>
        <v>0</v>
      </c>
      <c r="AB60" s="975" cm="1">
        <f t="array" aca="1" ref="AB60" ca="1">DSUM(MercadoBase1,AB$53,INDIRECT("r"&amp;5+2*(ROW()-54)&amp;":r"&amp;6+2*(ROW()-54)))</f>
        <v>0</v>
      </c>
    </row>
    <row r="61" spans="2:28" ht="15" customHeight="1">
      <c r="B61" s="973">
        <f t="shared" si="2"/>
        <v>44593</v>
      </c>
      <c r="C61" s="974"/>
      <c r="D61" s="975" cm="1">
        <f t="array" aca="1" ref="D61" ca="1">DSUM(MercadoBase1,D$53,INDIRECT("r"&amp;5+2*(ROW()-54)&amp;":r"&amp;6+2*(ROW()-54)))</f>
        <v>0</v>
      </c>
      <c r="E61" s="975" cm="1">
        <f t="array" aca="1" ref="E61" ca="1">DSUM(MercadoBase1,E$53,INDIRECT("r"&amp;5+2*(ROW()-54)&amp;":r"&amp;6+2*(ROW()-54)))</f>
        <v>0</v>
      </c>
      <c r="F61" s="975" cm="1">
        <f t="array" aca="1" ref="F61" ca="1">DSUM(MercadoBase1,F$53,INDIRECT("r"&amp;5+2*(ROW()-54)&amp;":r"&amp;6+2*(ROW()-54)))</f>
        <v>0</v>
      </c>
      <c r="G61" s="975" cm="1">
        <f t="array" aca="1" ref="G61" ca="1">DSUM(MercadoBase1,G$53,INDIRECT("r"&amp;5+2*(ROW()-54)&amp;":r"&amp;6+2*(ROW()-54)))</f>
        <v>58414.550844571517</v>
      </c>
      <c r="H61" s="975" cm="1">
        <f t="array" aca="1" ref="H61" ca="1">DSUM(MercadoBase1,H$53,INDIRECT("r"&amp;5+2*(ROW()-54)&amp;":r"&amp;6+2*(ROW()-54)))</f>
        <v>372154.18753216788</v>
      </c>
      <c r="I61" s="975" cm="1">
        <f t="array" aca="1" ref="I61" ca="1">DSUM(MercadoBase1,I$53,INDIRECT("r"&amp;5+2*(ROW()-54)&amp;":r"&amp;6+2*(ROW()-54)))</f>
        <v>13011.521337214541</v>
      </c>
      <c r="J61" s="975" cm="1">
        <f t="array" aca="1" ref="J61" ca="1">DSUM(MercadoBase1,J$53,INDIRECT("r"&amp;5+2*(ROW()-54)&amp;":r"&amp;6+2*(ROW()-54)))</f>
        <v>0</v>
      </c>
      <c r="K61" s="975" cm="1">
        <f t="array" aca="1" ref="K61" ca="1">DSUM(MercadoBase1,K$53,INDIRECT("r"&amp;5+2*(ROW()-54)&amp;":r"&amp;6+2*(ROW()-54)))</f>
        <v>0</v>
      </c>
      <c r="L61" s="975" cm="1">
        <f t="array" aca="1" ref="L61" ca="1">DSUM(MercadoBase1,L$53,INDIRECT("r"&amp;5+2*(ROW()-54)&amp;":r"&amp;6+2*(ROW()-54)))</f>
        <v>0</v>
      </c>
      <c r="M61" s="975" cm="1">
        <f t="array" aca="1" ref="M61" ca="1">DSUM(MercadoBase1,M$53,INDIRECT("r"&amp;5+2*(ROW()-54)&amp;":r"&amp;6+2*(ROW()-54)))</f>
        <v>0</v>
      </c>
      <c r="N61" s="975" cm="1">
        <f t="array" aca="1" ref="N61" ca="1">DSUM(MercadoBase1,N$53,INDIRECT("r"&amp;5+2*(ROW()-54)&amp;":r"&amp;6+2*(ROW()-54)))</f>
        <v>0</v>
      </c>
      <c r="O61" s="975" cm="1">
        <f t="array" aca="1" ref="O61" ca="1">DSUM(MercadoBase1,O$53,INDIRECT("r"&amp;5+2*(ROW()-54)&amp;":r"&amp;6+2*(ROW()-54)))</f>
        <v>0</v>
      </c>
      <c r="P61" s="975" cm="1">
        <f t="array" aca="1" ref="P61" ca="1">DSUM(MercadoBase1,P$53,INDIRECT("r"&amp;5+2*(ROW()-54)&amp;":r"&amp;6+2*(ROW()-54)))</f>
        <v>0</v>
      </c>
      <c r="Q61" s="983" cm="1">
        <f t="array" aca="1" ref="Q61" ca="1">DSUM(MercadoBase1,Q$53,INDIRECT("r"&amp;5+2*(ROW()-54)&amp;":r"&amp;6+2*(ROW()-54)))</f>
        <v>0</v>
      </c>
      <c r="R61" s="976">
        <f>VLOOKUP(CAPA!$C$17,Índices!B:F,5,FALSE)/VLOOKUP(DATE(YEAR(B61),MONTH(B61),1),Índices!B:F,5,FALSE)</f>
        <v>1.038659722138076</v>
      </c>
      <c r="S61" s="985" cm="1">
        <f t="array" aca="1" ref="S61" ca="1">DSUM(MercadoBase1,S$53,INDIRECT("r"&amp;5+2*(ROW()-54)&amp;":r"&amp;6+2*(ROW()-54)))</f>
        <v>0</v>
      </c>
      <c r="T61" s="975" cm="1">
        <f t="array" aca="1" ref="T61" ca="1">DSUM(MercadoBase1,T$53,INDIRECT("r"&amp;5+2*(ROW()-54)&amp;":r"&amp;6+2*(ROW()-54)))</f>
        <v>0</v>
      </c>
      <c r="U61" s="975" cm="1">
        <f t="array" aca="1" ref="U61" ca="1">DSUM(MercadoBase1,U$53,INDIRECT("r"&amp;5+2*(ROW()-54)&amp;":r"&amp;6+2*(ROW()-54)))</f>
        <v>0</v>
      </c>
      <c r="V61" s="975" cm="1">
        <f t="array" aca="1" ref="V61" ca="1">DSUM(MercadoBase1,V$53,INDIRECT("r"&amp;5+2*(ROW()-54)&amp;":r"&amp;6+2*(ROW()-54)))</f>
        <v>0</v>
      </c>
      <c r="W61" s="975" cm="1">
        <f t="array" aca="1" ref="W61" ca="1">DSUM(MercadoBase1,W$53,INDIRECT("r"&amp;5+2*(ROW()-54)&amp;":r"&amp;6+2*(ROW()-54)))</f>
        <v>0</v>
      </c>
      <c r="X61" s="975" cm="1">
        <f t="array" aca="1" ref="X61" ca="1">DSUM(MercadoBase1,X$53,INDIRECT("r"&amp;5+2*(ROW()-54)&amp;":r"&amp;6+2*(ROW()-54)))</f>
        <v>0</v>
      </c>
      <c r="Y61" s="975" cm="1">
        <f t="array" aca="1" ref="Y61" ca="1">DSUM(MercadoBase1,Y$53,INDIRECT("r"&amp;5+2*(ROW()-54)&amp;":r"&amp;6+2*(ROW()-54)))</f>
        <v>0</v>
      </c>
      <c r="Z61" s="975" cm="1">
        <f t="array" aca="1" ref="Z61" ca="1">DSUM(MercadoBase1,Z$53,INDIRECT("r"&amp;5+2*(ROW()-54)&amp;":r"&amp;6+2*(ROW()-54)))</f>
        <v>2868244.9171472369</v>
      </c>
      <c r="AA61" s="975" cm="1">
        <f t="array" aca="1" ref="AA61" ca="1">DSUM(MercadoBase1,AA$53,INDIRECT("r"&amp;5+2*(ROW()-54)&amp;":r"&amp;6+2*(ROW()-54)))</f>
        <v>0</v>
      </c>
      <c r="AB61" s="975" cm="1">
        <f t="array" aca="1" ref="AB61" ca="1">DSUM(MercadoBase1,AB$53,INDIRECT("r"&amp;5+2*(ROW()-54)&amp;":r"&amp;6+2*(ROW()-54)))</f>
        <v>0</v>
      </c>
    </row>
    <row r="62" spans="2:28" ht="15" customHeight="1">
      <c r="B62" s="973">
        <f t="shared" si="2"/>
        <v>44621</v>
      </c>
      <c r="C62" s="974"/>
      <c r="D62" s="975" cm="1">
        <f t="array" aca="1" ref="D62" ca="1">DSUM(MercadoBase1,D$53,INDIRECT("r"&amp;5+2*(ROW()-54)&amp;":r"&amp;6+2*(ROW()-54)))</f>
        <v>0</v>
      </c>
      <c r="E62" s="975" cm="1">
        <f t="array" aca="1" ref="E62" ca="1">DSUM(MercadoBase1,E$53,INDIRECT("r"&amp;5+2*(ROW()-54)&amp;":r"&amp;6+2*(ROW()-54)))</f>
        <v>0</v>
      </c>
      <c r="F62" s="975" cm="1">
        <f t="array" aca="1" ref="F62" ca="1">DSUM(MercadoBase1,F$53,INDIRECT("r"&amp;5+2*(ROW()-54)&amp;":r"&amp;6+2*(ROW()-54)))</f>
        <v>0</v>
      </c>
      <c r="G62" s="975" cm="1">
        <f t="array" aca="1" ref="G62" ca="1">DSUM(MercadoBase1,G$53,INDIRECT("r"&amp;5+2*(ROW()-54)&amp;":r"&amp;6+2*(ROW()-54)))</f>
        <v>57015.337886630143</v>
      </c>
      <c r="H62" s="975" cm="1">
        <f t="array" aca="1" ref="H62" ca="1">DSUM(MercadoBase1,H$53,INDIRECT("r"&amp;5+2*(ROW()-54)&amp;":r"&amp;6+2*(ROW()-54)))</f>
        <v>361215.51489477925</v>
      </c>
      <c r="I62" s="975" cm="1">
        <f t="array" aca="1" ref="I62" ca="1">DSUM(MercadoBase1,I$53,INDIRECT("r"&amp;5+2*(ROW()-54)&amp;":r"&amp;6+2*(ROW()-54)))</f>
        <v>12498.429969686851</v>
      </c>
      <c r="J62" s="975" cm="1">
        <f t="array" aca="1" ref="J62" ca="1">DSUM(MercadoBase1,J$53,INDIRECT("r"&amp;5+2*(ROW()-54)&amp;":r"&amp;6+2*(ROW()-54)))</f>
        <v>0</v>
      </c>
      <c r="K62" s="975" cm="1">
        <f t="array" aca="1" ref="K62" ca="1">DSUM(MercadoBase1,K$53,INDIRECT("r"&amp;5+2*(ROW()-54)&amp;":r"&amp;6+2*(ROW()-54)))</f>
        <v>0</v>
      </c>
      <c r="L62" s="975" cm="1">
        <f t="array" aca="1" ref="L62" ca="1">DSUM(MercadoBase1,L$53,INDIRECT("r"&amp;5+2*(ROW()-54)&amp;":r"&amp;6+2*(ROW()-54)))</f>
        <v>0</v>
      </c>
      <c r="M62" s="975" cm="1">
        <f t="array" aca="1" ref="M62" ca="1">DSUM(MercadoBase1,M$53,INDIRECT("r"&amp;5+2*(ROW()-54)&amp;":r"&amp;6+2*(ROW()-54)))</f>
        <v>0</v>
      </c>
      <c r="N62" s="975" cm="1">
        <f t="array" aca="1" ref="N62" ca="1">DSUM(MercadoBase1,N$53,INDIRECT("r"&amp;5+2*(ROW()-54)&amp;":r"&amp;6+2*(ROW()-54)))</f>
        <v>0</v>
      </c>
      <c r="O62" s="975" cm="1">
        <f t="array" aca="1" ref="O62" ca="1">DSUM(MercadoBase1,O$53,INDIRECT("r"&amp;5+2*(ROW()-54)&amp;":r"&amp;6+2*(ROW()-54)))</f>
        <v>0</v>
      </c>
      <c r="P62" s="975" cm="1">
        <f t="array" aca="1" ref="P62" ca="1">DSUM(MercadoBase1,P$53,INDIRECT("r"&amp;5+2*(ROW()-54)&amp;":r"&amp;6+2*(ROW()-54)))</f>
        <v>0</v>
      </c>
      <c r="Q62" s="983" cm="1">
        <f t="array" aca="1" ref="Q62" ca="1">DSUM(MercadoBase1,Q$53,INDIRECT("r"&amp;5+2*(ROW()-54)&amp;":r"&amp;6+2*(ROW()-54)))</f>
        <v>0</v>
      </c>
      <c r="R62" s="976">
        <f>VLOOKUP(CAPA!$C$17,Índices!B:F,5,FALSE)/VLOOKUP(DATE(YEAR(B62),MONTH(B62),1),Índices!B:F,5,FALSE)</f>
        <v>1.0291192325390464</v>
      </c>
      <c r="S62" s="985" cm="1">
        <f t="array" aca="1" ref="S62" ca="1">DSUM(MercadoBase1,S$53,INDIRECT("r"&amp;5+2*(ROW()-54)&amp;":r"&amp;6+2*(ROW()-54)))</f>
        <v>0</v>
      </c>
      <c r="T62" s="975" cm="1">
        <f t="array" aca="1" ref="T62" ca="1">DSUM(MercadoBase1,T$53,INDIRECT("r"&amp;5+2*(ROW()-54)&amp;":r"&amp;6+2*(ROW()-54)))</f>
        <v>0</v>
      </c>
      <c r="U62" s="975" cm="1">
        <f t="array" aca="1" ref="U62" ca="1">DSUM(MercadoBase1,U$53,INDIRECT("r"&amp;5+2*(ROW()-54)&amp;":r"&amp;6+2*(ROW()-54)))</f>
        <v>0</v>
      </c>
      <c r="V62" s="975" cm="1">
        <f t="array" aca="1" ref="V62" ca="1">DSUM(MercadoBase1,V$53,INDIRECT("r"&amp;5+2*(ROW()-54)&amp;":r"&amp;6+2*(ROW()-54)))</f>
        <v>0</v>
      </c>
      <c r="W62" s="975" cm="1">
        <f t="array" aca="1" ref="W62" ca="1">DSUM(MercadoBase1,W$53,INDIRECT("r"&amp;5+2*(ROW()-54)&amp;":r"&amp;6+2*(ROW()-54)))</f>
        <v>0</v>
      </c>
      <c r="X62" s="975" cm="1">
        <f t="array" aca="1" ref="X62" ca="1">DSUM(MercadoBase1,X$53,INDIRECT("r"&amp;5+2*(ROW()-54)&amp;":r"&amp;6+2*(ROW()-54)))</f>
        <v>0</v>
      </c>
      <c r="Y62" s="975" cm="1">
        <f t="array" aca="1" ref="Y62" ca="1">DSUM(MercadoBase1,Y$53,INDIRECT("r"&amp;5+2*(ROW()-54)&amp;":r"&amp;6+2*(ROW()-54)))</f>
        <v>0</v>
      </c>
      <c r="Z62" s="975" cm="1">
        <f t="array" aca="1" ref="Z62" ca="1">DSUM(MercadoBase1,Z$53,INDIRECT("r"&amp;5+2*(ROW()-54)&amp;":r"&amp;6+2*(ROW()-54)))</f>
        <v>2737119.3715580031</v>
      </c>
      <c r="AA62" s="975" cm="1">
        <f t="array" aca="1" ref="AA62" ca="1">DSUM(MercadoBase1,AA$53,INDIRECT("r"&amp;5+2*(ROW()-54)&amp;":r"&amp;6+2*(ROW()-54)))</f>
        <v>0</v>
      </c>
      <c r="AB62" s="975" cm="1">
        <f t="array" aca="1" ref="AB62" ca="1">DSUM(MercadoBase1,AB$53,INDIRECT("r"&amp;5+2*(ROW()-54)&amp;":r"&amp;6+2*(ROW()-54)))</f>
        <v>0</v>
      </c>
    </row>
    <row r="63" spans="2:28" ht="15" customHeight="1">
      <c r="B63" s="973">
        <f t="shared" si="2"/>
        <v>44652</v>
      </c>
      <c r="C63" s="974"/>
      <c r="D63" s="975" cm="1">
        <f t="array" aca="1" ref="D63" ca="1">DSUM(MercadoBase1,D$53,INDIRECT("r"&amp;5+2*(ROW()-54)&amp;":r"&amp;6+2*(ROW()-54)))</f>
        <v>0</v>
      </c>
      <c r="E63" s="975" cm="1">
        <f t="array" aca="1" ref="E63" ca="1">DSUM(MercadoBase1,E$53,INDIRECT("r"&amp;5+2*(ROW()-54)&amp;":r"&amp;6+2*(ROW()-54)))</f>
        <v>0</v>
      </c>
      <c r="F63" s="975" cm="1">
        <f t="array" aca="1" ref="F63" ca="1">DSUM(MercadoBase1,F$53,INDIRECT("r"&amp;5+2*(ROW()-54)&amp;":r"&amp;6+2*(ROW()-54)))</f>
        <v>0</v>
      </c>
      <c r="G63" s="975" cm="1">
        <f t="array" aca="1" ref="G63" ca="1">DSUM(MercadoBase1,G$53,INDIRECT("r"&amp;5+2*(ROW()-54)&amp;":r"&amp;6+2*(ROW()-54)))</f>
        <v>51345.542256181441</v>
      </c>
      <c r="H63" s="975" cm="1">
        <f t="array" aca="1" ref="H63" ca="1">DSUM(MercadoBase1,H$53,INDIRECT("r"&amp;5+2*(ROW()-54)&amp;":r"&amp;6+2*(ROW()-54)))</f>
        <v>325408.432220018</v>
      </c>
      <c r="I63" s="975" cm="1">
        <f t="array" aca="1" ref="I63" ca="1">DSUM(MercadoBase1,I$53,INDIRECT("r"&amp;5+2*(ROW()-54)&amp;":r"&amp;6+2*(ROW()-54)))</f>
        <v>11276.908249900403</v>
      </c>
      <c r="J63" s="975" cm="1">
        <f t="array" aca="1" ref="J63" ca="1">DSUM(MercadoBase1,J$53,INDIRECT("r"&amp;5+2*(ROW()-54)&amp;":r"&amp;6+2*(ROW()-54)))</f>
        <v>0</v>
      </c>
      <c r="K63" s="975" cm="1">
        <f t="array" aca="1" ref="K63" ca="1">DSUM(MercadoBase1,K$53,INDIRECT("r"&amp;5+2*(ROW()-54)&amp;":r"&amp;6+2*(ROW()-54)))</f>
        <v>0</v>
      </c>
      <c r="L63" s="975" cm="1">
        <f t="array" aca="1" ref="L63" ca="1">DSUM(MercadoBase1,L$53,INDIRECT("r"&amp;5+2*(ROW()-54)&amp;":r"&amp;6+2*(ROW()-54)))</f>
        <v>0</v>
      </c>
      <c r="M63" s="975" cm="1">
        <f t="array" aca="1" ref="M63" ca="1">DSUM(MercadoBase1,M$53,INDIRECT("r"&amp;5+2*(ROW()-54)&amp;":r"&amp;6+2*(ROW()-54)))</f>
        <v>0</v>
      </c>
      <c r="N63" s="975" cm="1">
        <f t="array" aca="1" ref="N63" ca="1">DSUM(MercadoBase1,N$53,INDIRECT("r"&amp;5+2*(ROW()-54)&amp;":r"&amp;6+2*(ROW()-54)))</f>
        <v>0</v>
      </c>
      <c r="O63" s="975" cm="1">
        <f t="array" aca="1" ref="O63" ca="1">DSUM(MercadoBase1,O$53,INDIRECT("r"&amp;5+2*(ROW()-54)&amp;":r"&amp;6+2*(ROW()-54)))</f>
        <v>0</v>
      </c>
      <c r="P63" s="975" cm="1">
        <f t="array" aca="1" ref="P63" ca="1">DSUM(MercadoBase1,P$53,INDIRECT("r"&amp;5+2*(ROW()-54)&amp;":r"&amp;6+2*(ROW()-54)))</f>
        <v>0</v>
      </c>
      <c r="Q63" s="983" cm="1">
        <f t="array" aca="1" ref="Q63" ca="1">DSUM(MercadoBase1,Q$53,INDIRECT("r"&amp;5+2*(ROW()-54)&amp;":r"&amp;6+2*(ROW()-54)))</f>
        <v>0</v>
      </c>
      <c r="R63" s="976">
        <f>VLOOKUP(CAPA!$C$17,Índices!B:F,5,FALSE)/VLOOKUP(DATE(YEAR(B63),MONTH(B63),1),Índices!B:F,5,FALSE)</f>
        <v>1.0206041228759459</v>
      </c>
      <c r="S63" s="985" cm="1">
        <f t="array" aca="1" ref="S63" ca="1">DSUM(MercadoBase1,S$53,INDIRECT("r"&amp;5+2*(ROW()-54)&amp;":r"&amp;6+2*(ROW()-54)))</f>
        <v>0</v>
      </c>
      <c r="T63" s="975" cm="1">
        <f t="array" aca="1" ref="T63" ca="1">DSUM(MercadoBase1,T$53,INDIRECT("r"&amp;5+2*(ROW()-54)&amp;":r"&amp;6+2*(ROW()-54)))</f>
        <v>0</v>
      </c>
      <c r="U63" s="975" cm="1">
        <f t="array" aca="1" ref="U63" ca="1">DSUM(MercadoBase1,U$53,INDIRECT("r"&amp;5+2*(ROW()-54)&amp;":r"&amp;6+2*(ROW()-54)))</f>
        <v>0</v>
      </c>
      <c r="V63" s="975" cm="1">
        <f t="array" aca="1" ref="V63" ca="1">DSUM(MercadoBase1,V$53,INDIRECT("r"&amp;5+2*(ROW()-54)&amp;":r"&amp;6+2*(ROW()-54)))</f>
        <v>0</v>
      </c>
      <c r="W63" s="975" cm="1">
        <f t="array" aca="1" ref="W63" ca="1">DSUM(MercadoBase1,W$53,INDIRECT("r"&amp;5+2*(ROW()-54)&amp;":r"&amp;6+2*(ROW()-54)))</f>
        <v>0</v>
      </c>
      <c r="X63" s="975" cm="1">
        <f t="array" aca="1" ref="X63" ca="1">DSUM(MercadoBase1,X$53,INDIRECT("r"&amp;5+2*(ROW()-54)&amp;":r"&amp;6+2*(ROW()-54)))</f>
        <v>0</v>
      </c>
      <c r="Y63" s="975" cm="1">
        <f t="array" aca="1" ref="Y63" ca="1">DSUM(MercadoBase1,Y$53,INDIRECT("r"&amp;5+2*(ROW()-54)&amp;":r"&amp;6+2*(ROW()-54)))</f>
        <v>0</v>
      </c>
      <c r="Z63" s="975" cm="1">
        <f t="array" aca="1" ref="Z63" ca="1">DSUM(MercadoBase1,Z$53,INDIRECT("r"&amp;5+2*(ROW()-54)&amp;":r"&amp;6+2*(ROW()-54)))</f>
        <v>2478439.3110056976</v>
      </c>
      <c r="AA63" s="975" cm="1">
        <f t="array" aca="1" ref="AA63" ca="1">DSUM(MercadoBase1,AA$53,INDIRECT("r"&amp;5+2*(ROW()-54)&amp;":r"&amp;6+2*(ROW()-54)))</f>
        <v>0</v>
      </c>
      <c r="AB63" s="975" cm="1">
        <f t="array" aca="1" ref="AB63" ca="1">DSUM(MercadoBase1,AB$53,INDIRECT("r"&amp;5+2*(ROW()-54)&amp;":r"&amp;6+2*(ROW()-54)))</f>
        <v>0</v>
      </c>
    </row>
    <row r="64" spans="2:28" ht="15" customHeight="1">
      <c r="B64" s="973">
        <f t="shared" si="2"/>
        <v>44682</v>
      </c>
      <c r="C64" s="974"/>
      <c r="D64" s="975" cm="1">
        <f t="array" aca="1" ref="D64" ca="1">DSUM(MercadoBase1,D$53,INDIRECT("r"&amp;5+2*(ROW()-54)&amp;":r"&amp;6+2*(ROW()-54)))</f>
        <v>0</v>
      </c>
      <c r="E64" s="975" cm="1">
        <f t="array" aca="1" ref="E64" ca="1">DSUM(MercadoBase1,E$53,INDIRECT("r"&amp;5+2*(ROW()-54)&amp;":r"&amp;6+2*(ROW()-54)))</f>
        <v>0</v>
      </c>
      <c r="F64" s="975" cm="1">
        <f t="array" aca="1" ref="F64" ca="1">DSUM(MercadoBase1,F$53,INDIRECT("r"&amp;5+2*(ROW()-54)&amp;":r"&amp;6+2*(ROW()-54)))</f>
        <v>0</v>
      </c>
      <c r="G64" s="975" cm="1">
        <f t="array" aca="1" ref="G64" ca="1">DSUM(MercadoBase1,G$53,INDIRECT("r"&amp;5+2*(ROW()-54)&amp;":r"&amp;6+2*(ROW()-54)))</f>
        <v>48083.158576879992</v>
      </c>
      <c r="H64" s="975" cm="1">
        <f t="array" aca="1" ref="H64" ca="1">DSUM(MercadoBase1,H$53,INDIRECT("r"&amp;5+2*(ROW()-54)&amp;":r"&amp;6+2*(ROW()-54)))</f>
        <v>303957.4943925679</v>
      </c>
      <c r="I64" s="975" cm="1">
        <f t="array" aca="1" ref="I64" ca="1">DSUM(MercadoBase1,I$53,INDIRECT("r"&amp;5+2*(ROW()-54)&amp;":r"&amp;6+2*(ROW()-54)))</f>
        <v>10489.69206008997</v>
      </c>
      <c r="J64" s="975" cm="1">
        <f t="array" aca="1" ref="J64" ca="1">DSUM(MercadoBase1,J$53,INDIRECT("r"&amp;5+2*(ROW()-54)&amp;":r"&amp;6+2*(ROW()-54)))</f>
        <v>0</v>
      </c>
      <c r="K64" s="975" cm="1">
        <f t="array" aca="1" ref="K64" ca="1">DSUM(MercadoBase1,K$53,INDIRECT("r"&amp;5+2*(ROW()-54)&amp;":r"&amp;6+2*(ROW()-54)))</f>
        <v>0</v>
      </c>
      <c r="L64" s="975" cm="1">
        <f t="array" aca="1" ref="L64" ca="1">DSUM(MercadoBase1,L$53,INDIRECT("r"&amp;5+2*(ROW()-54)&amp;":r"&amp;6+2*(ROW()-54)))</f>
        <v>0</v>
      </c>
      <c r="M64" s="975" cm="1">
        <f t="array" aca="1" ref="M64" ca="1">DSUM(MercadoBase1,M$53,INDIRECT("r"&amp;5+2*(ROW()-54)&amp;":r"&amp;6+2*(ROW()-54)))</f>
        <v>0</v>
      </c>
      <c r="N64" s="975" cm="1">
        <f t="array" aca="1" ref="N64" ca="1">DSUM(MercadoBase1,N$53,INDIRECT("r"&amp;5+2*(ROW()-54)&amp;":r"&amp;6+2*(ROW()-54)))</f>
        <v>0</v>
      </c>
      <c r="O64" s="975" cm="1">
        <f t="array" aca="1" ref="O64" ca="1">DSUM(MercadoBase1,O$53,INDIRECT("r"&amp;5+2*(ROW()-54)&amp;":r"&amp;6+2*(ROW()-54)))</f>
        <v>0</v>
      </c>
      <c r="P64" s="975" cm="1">
        <f t="array" aca="1" ref="P64" ca="1">DSUM(MercadoBase1,P$53,INDIRECT("r"&amp;5+2*(ROW()-54)&amp;":r"&amp;6+2*(ROW()-54)))</f>
        <v>0</v>
      </c>
      <c r="Q64" s="983" cm="1">
        <f t="array" aca="1" ref="Q64" ca="1">DSUM(MercadoBase1,Q$53,INDIRECT("r"&amp;5+2*(ROW()-54)&amp;":r"&amp;6+2*(ROW()-54)))</f>
        <v>0</v>
      </c>
      <c r="R64" s="976">
        <f>VLOOKUP(CAPA!$C$17,Índices!B:F,5,FALSE)/VLOOKUP(DATE(YEAR(B64),MONTH(B64),1),Índices!B:F,5,FALSE)</f>
        <v>1.0101531560893695</v>
      </c>
      <c r="S64" s="985" cm="1">
        <f t="array" aca="1" ref="S64" ca="1">DSUM(MercadoBase1,S$53,INDIRECT("r"&amp;5+2*(ROW()-54)&amp;":r"&amp;6+2*(ROW()-54)))</f>
        <v>0</v>
      </c>
      <c r="T64" s="975" cm="1">
        <f t="array" aca="1" ref="T64" ca="1">DSUM(MercadoBase1,T$53,INDIRECT("r"&amp;5+2*(ROW()-54)&amp;":r"&amp;6+2*(ROW()-54)))</f>
        <v>0</v>
      </c>
      <c r="U64" s="975" cm="1">
        <f t="array" aca="1" ref="U64" ca="1">DSUM(MercadoBase1,U$53,INDIRECT("r"&amp;5+2*(ROW()-54)&amp;":r"&amp;6+2*(ROW()-54)))</f>
        <v>0</v>
      </c>
      <c r="V64" s="975" cm="1">
        <f t="array" aca="1" ref="V64" ca="1">DSUM(MercadoBase1,V$53,INDIRECT("r"&amp;5+2*(ROW()-54)&amp;":r"&amp;6+2*(ROW()-54)))</f>
        <v>0</v>
      </c>
      <c r="W64" s="975" cm="1">
        <f t="array" aca="1" ref="W64" ca="1">DSUM(MercadoBase1,W$53,INDIRECT("r"&amp;5+2*(ROW()-54)&amp;":r"&amp;6+2*(ROW()-54)))</f>
        <v>0</v>
      </c>
      <c r="X64" s="975" cm="1">
        <f t="array" aca="1" ref="X64" ca="1">DSUM(MercadoBase1,X$53,INDIRECT("r"&amp;5+2*(ROW()-54)&amp;":r"&amp;6+2*(ROW()-54)))</f>
        <v>0</v>
      </c>
      <c r="Y64" s="975" cm="1">
        <f t="array" aca="1" ref="Y64" ca="1">DSUM(MercadoBase1,Y$53,INDIRECT("r"&amp;5+2*(ROW()-54)&amp;":r"&amp;6+2*(ROW()-54)))</f>
        <v>0</v>
      </c>
      <c r="Z64" s="975" cm="1">
        <f t="array" aca="1" ref="Z64" ca="1">DSUM(MercadoBase1,Z$53,INDIRECT("r"&amp;5+2*(ROW()-54)&amp;":r"&amp;6+2*(ROW()-54)))</f>
        <v>2300246.1683255103</v>
      </c>
      <c r="AA64" s="975" cm="1">
        <f t="array" aca="1" ref="AA64" ca="1">DSUM(MercadoBase1,AA$53,INDIRECT("r"&amp;5+2*(ROW()-54)&amp;":r"&amp;6+2*(ROW()-54)))</f>
        <v>0</v>
      </c>
      <c r="AB64" s="975" cm="1">
        <f t="array" aca="1" ref="AB64" ca="1">DSUM(MercadoBase1,AB$53,INDIRECT("r"&amp;5+2*(ROW()-54)&amp;":r"&amp;6+2*(ROW()-54)))</f>
        <v>0</v>
      </c>
    </row>
    <row r="65" spans="2:28" ht="15" customHeight="1">
      <c r="B65" s="973">
        <f>DATE(YEAR(CAPA!$C$15),MONTH(CAPA!$C$15)-1,1)</f>
        <v>44713</v>
      </c>
      <c r="C65" s="974"/>
      <c r="D65" s="1464" cm="1">
        <f t="array" aca="1" ref="D65" ca="1">DSUM(MercadoBase1,D$53,INDIRECT("r"&amp;5+2*(ROW()-54)&amp;":r"&amp;6+2*(ROW()-54)))</f>
        <v>0</v>
      </c>
      <c r="E65" s="1464" cm="1">
        <f t="array" aca="1" ref="E65" ca="1">DSUM(MercadoBase1,E$53,INDIRECT("r"&amp;5+2*(ROW()-54)&amp;":r"&amp;6+2*(ROW()-54)))</f>
        <v>0</v>
      </c>
      <c r="F65" s="975" cm="1">
        <f t="array" aca="1" ref="F65" ca="1">DSUM(MercadoBase1,F$53,INDIRECT("r"&amp;5+2*(ROW()-54)&amp;":r"&amp;6+2*(ROW()-54)))</f>
        <v>0</v>
      </c>
      <c r="G65" s="1464" cm="1">
        <f t="array" aca="1" ref="G65" ca="1">DSUM(MercadoBase1,G$53,INDIRECT("r"&amp;5+2*(ROW()-54)&amp;":r"&amp;6+2*(ROW()-54)))</f>
        <v>52240.071205298897</v>
      </c>
      <c r="H65" s="1464" cm="1">
        <f t="array" aca="1" ref="H65" ca="1">DSUM(MercadoBase1,H$53,INDIRECT("r"&amp;5+2*(ROW()-54)&amp;":r"&amp;6+2*(ROW()-54)))</f>
        <v>331350.195625161</v>
      </c>
      <c r="I65" s="975" cm="1">
        <f t="array" aca="1" ref="I65" ca="1">DSUM(MercadoBase1,I$53,INDIRECT("r"&amp;5+2*(ROW()-54)&amp;":r"&amp;6+2*(ROW()-54)))</f>
        <v>11518.825990471483</v>
      </c>
      <c r="J65" s="1464" cm="1">
        <f t="array" aca="1" ref="J65" ca="1">DSUM(MercadoBase1,J$53,INDIRECT("r"&amp;5+2*(ROW()-54)&amp;":r"&amp;6+2*(ROW()-54)))</f>
        <v>0</v>
      </c>
      <c r="K65" s="1464" cm="1">
        <f t="array" aca="1" ref="K65" ca="1">DSUM(MercadoBase1,K$53,INDIRECT("r"&amp;5+2*(ROW()-54)&amp;":r"&amp;6+2*(ROW()-54)))</f>
        <v>0</v>
      </c>
      <c r="L65" s="975" cm="1">
        <f t="array" aca="1" ref="L65" ca="1">DSUM(MercadoBase1,L$53,INDIRECT("r"&amp;5+2*(ROW()-54)&amp;":r"&amp;6+2*(ROW()-54)))</f>
        <v>0</v>
      </c>
      <c r="M65" s="1464" cm="1">
        <f t="array" aca="1" ref="M65" ca="1">DSUM(MercadoBase1,M$53,INDIRECT("r"&amp;5+2*(ROW()-54)&amp;":r"&amp;6+2*(ROW()-54)))</f>
        <v>0</v>
      </c>
      <c r="N65" s="1464" cm="1">
        <f t="array" aca="1" ref="N65" ca="1">DSUM(MercadoBase1,N$53,INDIRECT("r"&amp;5+2*(ROW()-54)&amp;":r"&amp;6+2*(ROW()-54)))</f>
        <v>0</v>
      </c>
      <c r="O65" s="975" cm="1">
        <f t="array" aca="1" ref="O65" ca="1">DSUM(MercadoBase1,O$53,INDIRECT("r"&amp;5+2*(ROW()-54)&amp;":r"&amp;6+2*(ROW()-54)))</f>
        <v>0</v>
      </c>
      <c r="P65" s="1464" cm="1">
        <f t="array" aca="1" ref="P65" ca="1">DSUM(MercadoBase1,P$53,INDIRECT("r"&amp;5+2*(ROW()-54)&amp;":r"&amp;6+2*(ROW()-54)))</f>
        <v>0</v>
      </c>
      <c r="Q65" s="984" cm="1">
        <f t="array" aca="1" ref="Q65" ca="1">DSUM(MercadoBase1,Q$53,INDIRECT("r"&amp;5+2*(ROW()-54)&amp;":r"&amp;6+2*(ROW()-54)))</f>
        <v>0</v>
      </c>
      <c r="R65" s="1465">
        <f>VLOOKUP(CAPA!$C$17,Índices!B:F,5,FALSE)/VLOOKUP(DATE(YEAR(B65),MONTH(B65),1),Índices!B:F,5,FALSE)</f>
        <v>1</v>
      </c>
      <c r="S65" s="985" cm="1">
        <f t="array" aca="1" ref="S65" ca="1">DSUM(MercadoBase1,S$53,INDIRECT("r"&amp;5+2*(ROW()-54)&amp;":r"&amp;6+2*(ROW()-54)))</f>
        <v>0</v>
      </c>
      <c r="T65" s="1464" cm="1">
        <f t="array" aca="1" ref="T65" ca="1">DSUM(MercadoBase1,T$53,INDIRECT("r"&amp;5+2*(ROW()-54)&amp;":r"&amp;6+2*(ROW()-54)))</f>
        <v>0</v>
      </c>
      <c r="U65" s="1464" cm="1">
        <f t="array" aca="1" ref="U65" ca="1">DSUM(MercadoBase1,U$53,INDIRECT("r"&amp;5+2*(ROW()-54)&amp;":r"&amp;6+2*(ROW()-54)))</f>
        <v>0</v>
      </c>
      <c r="V65" s="975" cm="1">
        <f t="array" aca="1" ref="V65" ca="1">DSUM(MercadoBase1,V$53,INDIRECT("r"&amp;5+2*(ROW()-54)&amp;":r"&amp;6+2*(ROW()-54)))</f>
        <v>0</v>
      </c>
      <c r="W65" s="1464" cm="1">
        <f t="array" aca="1" ref="W65" ca="1">DSUM(MercadoBase1,W$53,INDIRECT("r"&amp;5+2*(ROW()-54)&amp;":r"&amp;6+2*(ROW()-54)))</f>
        <v>0</v>
      </c>
      <c r="X65" s="1464" cm="1">
        <f t="array" aca="1" ref="X65" ca="1">DSUM(MercadoBase1,X$53,INDIRECT("r"&amp;5+2*(ROW()-54)&amp;":r"&amp;6+2*(ROW()-54)))</f>
        <v>0</v>
      </c>
      <c r="Y65" s="975" cm="1">
        <f t="array" aca="1" ref="Y65" ca="1">DSUM(MercadoBase1,Y$53,INDIRECT("r"&amp;5+2*(ROW()-54)&amp;":r"&amp;6+2*(ROW()-54)))</f>
        <v>0</v>
      </c>
      <c r="Z65" s="1464" cm="1">
        <f t="array" aca="1" ref="Z65" ca="1">DSUM(MercadoBase1,Z$53,INDIRECT("r"&amp;5+2*(ROW()-54)&amp;":r"&amp;6+2*(ROW()-54)))</f>
        <v>2514183.8609349034</v>
      </c>
      <c r="AA65" s="1464" cm="1">
        <f t="array" aca="1" ref="AA65" ca="1">DSUM(MercadoBase1,AA$53,INDIRECT("r"&amp;5+2*(ROW()-54)&amp;":r"&amp;6+2*(ROW()-54)))</f>
        <v>0</v>
      </c>
      <c r="AB65" s="975" cm="1">
        <f t="array" aca="1" ref="AB65" ca="1">DSUM(MercadoBase1,AB$53,INDIRECT("r"&amp;5+2*(ROW()-54)&amp;":r"&amp;6+2*(ROW()-54)))</f>
        <v>0</v>
      </c>
    </row>
    <row r="66" spans="2:28" ht="15" customHeight="1">
      <c r="B66" s="1466" t="s">
        <v>1013</v>
      </c>
      <c r="C66" s="1467"/>
      <c r="D66" s="1468">
        <f ca="1">SUM(D54:D65)</f>
        <v>0</v>
      </c>
      <c r="E66" s="1468">
        <f t="shared" ref="E66:Q66" ca="1" si="3">SUM(E54:E65)</f>
        <v>0</v>
      </c>
      <c r="F66" s="1468">
        <f t="shared" ca="1" si="3"/>
        <v>0</v>
      </c>
      <c r="G66" s="1468">
        <f ca="1">SUM(G54:G65)</f>
        <v>604159.66547205858</v>
      </c>
      <c r="H66" s="1468">
        <f t="shared" ca="1" si="3"/>
        <v>3830051.9038871895</v>
      </c>
      <c r="I66" s="1468">
        <f t="shared" ca="1" si="3"/>
        <v>132725.67553456523</v>
      </c>
      <c r="J66" s="1468">
        <f t="shared" ca="1" si="3"/>
        <v>0</v>
      </c>
      <c r="K66" s="1468">
        <f t="shared" ca="1" si="3"/>
        <v>0</v>
      </c>
      <c r="L66" s="1468">
        <f t="shared" ca="1" si="3"/>
        <v>0</v>
      </c>
      <c r="M66" s="1468">
        <f t="shared" ca="1" si="3"/>
        <v>0</v>
      </c>
      <c r="N66" s="1468">
        <f t="shared" ca="1" si="3"/>
        <v>0</v>
      </c>
      <c r="O66" s="1468">
        <f t="shared" ca="1" si="3"/>
        <v>0</v>
      </c>
      <c r="P66" s="1468">
        <f t="shared" ca="1" si="3"/>
        <v>0</v>
      </c>
      <c r="Q66" s="1468">
        <f t="shared" ca="1" si="3"/>
        <v>0</v>
      </c>
      <c r="R66" s="1464"/>
      <c r="S66" s="1468">
        <f t="shared" ref="S66:AB66" ca="1" si="4">SUM(S54:S65)</f>
        <v>0</v>
      </c>
      <c r="T66" s="1468">
        <f t="shared" ca="1" si="4"/>
        <v>0</v>
      </c>
      <c r="U66" s="1468">
        <f t="shared" ca="1" si="4"/>
        <v>0</v>
      </c>
      <c r="V66" s="1468">
        <f t="shared" ca="1" si="4"/>
        <v>0</v>
      </c>
      <c r="W66" s="1468">
        <f t="shared" ca="1" si="4"/>
        <v>0</v>
      </c>
      <c r="X66" s="1468">
        <f t="shared" ca="1" si="4"/>
        <v>0</v>
      </c>
      <c r="Y66" s="1468">
        <f t="shared" ca="1" si="4"/>
        <v>0</v>
      </c>
      <c r="Z66" s="1468">
        <f t="shared" ca="1" si="4"/>
        <v>29118982.452447493</v>
      </c>
      <c r="AA66" s="1468">
        <f t="shared" ca="1" si="4"/>
        <v>0</v>
      </c>
      <c r="AB66" s="1468">
        <f t="shared" ca="1" si="4"/>
        <v>0</v>
      </c>
    </row>
    <row r="67" spans="2:28" ht="15" customHeight="1">
      <c r="B67" s="1469" t="s">
        <v>1424</v>
      </c>
      <c r="C67" s="1470"/>
      <c r="D67" s="1471">
        <f t="shared" ref="D67:AB67" ca="1" si="5">SUMPRODUCT(D54:D65,$R$54:$R$65)</f>
        <v>0</v>
      </c>
      <c r="E67" s="1472">
        <f t="shared" ca="1" si="5"/>
        <v>0</v>
      </c>
      <c r="F67" s="1473">
        <f t="shared" ca="1" si="5"/>
        <v>0</v>
      </c>
      <c r="G67" s="1472">
        <f t="shared" ca="1" si="5"/>
        <v>631900.46885398333</v>
      </c>
      <c r="H67" s="1472">
        <f t="shared" ca="1" si="5"/>
        <v>4005896.0574402912</v>
      </c>
      <c r="I67" s="1473">
        <f t="shared" ca="1" si="5"/>
        <v>138815.93612794287</v>
      </c>
      <c r="J67" s="1471">
        <f t="shared" ca="1" si="5"/>
        <v>0</v>
      </c>
      <c r="K67" s="1472">
        <f t="shared" ca="1" si="5"/>
        <v>0</v>
      </c>
      <c r="L67" s="1473">
        <f t="shared" ca="1" si="5"/>
        <v>0</v>
      </c>
      <c r="M67" s="1472">
        <f t="shared" ca="1" si="5"/>
        <v>0</v>
      </c>
      <c r="N67" s="1472">
        <f t="shared" ca="1" si="5"/>
        <v>0</v>
      </c>
      <c r="O67" s="1473">
        <f t="shared" ca="1" si="5"/>
        <v>0</v>
      </c>
      <c r="P67" s="1471">
        <f t="shared" ca="1" si="5"/>
        <v>0</v>
      </c>
      <c r="Q67" s="1471">
        <f t="shared" ca="1" si="5"/>
        <v>0</v>
      </c>
      <c r="R67" s="1472">
        <f t="shared" si="5"/>
        <v>13.165388547125795</v>
      </c>
      <c r="S67" s="1473">
        <f t="shared" ca="1" si="5"/>
        <v>0</v>
      </c>
      <c r="T67" s="1472">
        <f t="shared" ca="1" si="5"/>
        <v>0</v>
      </c>
      <c r="U67" s="1472">
        <f t="shared" ca="1" si="5"/>
        <v>0</v>
      </c>
      <c r="V67" s="1473">
        <f t="shared" ca="1" si="5"/>
        <v>0</v>
      </c>
      <c r="W67" s="1471">
        <f t="shared" ca="1" si="5"/>
        <v>0</v>
      </c>
      <c r="X67" s="1472">
        <f t="shared" ca="1" si="5"/>
        <v>0</v>
      </c>
      <c r="Y67" s="1473">
        <f t="shared" ca="1" si="5"/>
        <v>0</v>
      </c>
      <c r="Z67" s="1472">
        <f t="shared" ca="1" si="5"/>
        <v>30454913.122143034</v>
      </c>
      <c r="AA67" s="1472">
        <f t="shared" ca="1" si="5"/>
        <v>0</v>
      </c>
      <c r="AB67" s="1473">
        <f t="shared" ca="1" si="5"/>
        <v>0</v>
      </c>
    </row>
    <row r="71" spans="2:28" ht="15" customHeight="1">
      <c r="H71" s="986"/>
      <c r="J71" s="986"/>
    </row>
    <row r="72" spans="2:28" ht="15" customHeight="1">
      <c r="H72" s="986"/>
      <c r="J72" s="986"/>
    </row>
    <row r="73" spans="2:28" ht="15" customHeight="1">
      <c r="H73" s="986"/>
      <c r="J73" s="986"/>
    </row>
    <row r="74" spans="2:28" ht="15" customHeight="1">
      <c r="H74" s="986"/>
      <c r="J74" s="986"/>
    </row>
    <row r="75" spans="2:28" ht="15" customHeight="1">
      <c r="H75" s="986"/>
      <c r="J75" s="986"/>
    </row>
    <row r="76" spans="2:28" ht="15" customHeight="1">
      <c r="H76" s="986"/>
      <c r="J76" s="986"/>
    </row>
    <row r="77" spans="2:28" ht="15" customHeight="1">
      <c r="H77" s="986"/>
      <c r="J77" s="986"/>
    </row>
    <row r="78" spans="2:28" ht="15" customHeight="1">
      <c r="H78" s="986"/>
      <c r="J78" s="986"/>
    </row>
    <row r="79" spans="2:28" ht="15" customHeight="1">
      <c r="H79" s="986"/>
      <c r="J79" s="986"/>
    </row>
    <row r="80" spans="2:28" ht="15" customHeight="1">
      <c r="H80" s="986"/>
      <c r="J80" s="986"/>
    </row>
    <row r="81" spans="8:10" ht="15" customHeight="1">
      <c r="H81" s="986"/>
      <c r="J81" s="986"/>
    </row>
    <row r="82" spans="8:10" ht="15" customHeight="1">
      <c r="H82" s="986"/>
      <c r="J82" s="986"/>
    </row>
  </sheetData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H27" sqref="H27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882" t="str">
        <f>CAPA!C9</f>
        <v>Cerfox</v>
      </c>
    </row>
    <row r="3" spans="1:14">
      <c r="A3" s="882" t="s">
        <v>1425</v>
      </c>
      <c r="B3" s="883">
        <v>0</v>
      </c>
    </row>
    <row r="7" spans="1:14">
      <c r="A7" s="884"/>
      <c r="B7" s="1773" t="s">
        <v>1426</v>
      </c>
      <c r="C7" s="1773"/>
      <c r="D7" s="1773"/>
      <c r="E7" s="884"/>
      <c r="F7" s="1773" t="s">
        <v>1427</v>
      </c>
      <c r="G7" s="1773"/>
      <c r="H7" s="1773"/>
      <c r="I7" s="884"/>
      <c r="J7" s="1773" t="s">
        <v>1428</v>
      </c>
      <c r="K7" s="1773"/>
      <c r="L7" s="1773"/>
    </row>
    <row r="8" spans="1:14">
      <c r="A8" s="1474" t="s">
        <v>1429</v>
      </c>
      <c r="B8" s="1474" t="s">
        <v>1430</v>
      </c>
      <c r="C8" s="1474" t="s">
        <v>110</v>
      </c>
      <c r="D8" s="1474" t="s">
        <v>1431</v>
      </c>
      <c r="E8" s="1474"/>
      <c r="F8" s="1474" t="s">
        <v>1430</v>
      </c>
      <c r="G8" s="1474" t="s">
        <v>1432</v>
      </c>
      <c r="H8" s="1474" t="s">
        <v>1433</v>
      </c>
      <c r="I8" s="1474"/>
      <c r="J8" s="1474" t="s">
        <v>1430</v>
      </c>
      <c r="K8" s="1474" t="s">
        <v>1432</v>
      </c>
      <c r="L8" s="1474" t="s">
        <v>1434</v>
      </c>
    </row>
    <row r="9" spans="1:14">
      <c r="A9" s="1475">
        <v>44013</v>
      </c>
      <c r="B9" s="1476">
        <f>SUMIFS(BDCOVID!F:F,BDCOVID!$C:$C,'Conta covid'!$A$1,BDCOVID!$AH:$AH,'Conta covid'!$A9)</f>
        <v>0</v>
      </c>
      <c r="C9" s="1476">
        <f>SUMIFS(BDCOVID!G:G,BDCOVID!$C:$C,'Conta covid'!$A$1,BDCOVID!$AH:$AH,'Conta covid'!$A9)</f>
        <v>0</v>
      </c>
      <c r="D9" s="1477">
        <f>B9-C9</f>
        <v>0</v>
      </c>
      <c r="E9" s="1476"/>
      <c r="F9" s="1478">
        <f>B9*VLOOKUP(SAS_RA0_DataFim,Índices!$B$6:$F$405,5,FALSE)/VLOOKUP(EDATE('Conta covid'!$A9,-1),Índices!$B$6:$F$405,5,FALSE)</f>
        <v>0</v>
      </c>
      <c r="G9" s="1478">
        <f>C9*VLOOKUP(SAS_RA0_DataFim,Índices!$B$6:$F$405,5,FALSE)/VLOOKUP(EDATE('Conta covid'!$A9,-1),Índices!$B$6:$F$405,5,FALSE)</f>
        <v>0</v>
      </c>
      <c r="H9" s="1478">
        <f>F9-G9</f>
        <v>0</v>
      </c>
      <c r="I9" s="1476"/>
      <c r="J9" s="1478">
        <f>IFERROR(IF($C$19,H9*$B$3,0),0)</f>
        <v>0</v>
      </c>
      <c r="K9" s="1478"/>
      <c r="L9" s="1478"/>
    </row>
    <row r="10" spans="1:14">
      <c r="A10" s="1475">
        <v>44044</v>
      </c>
      <c r="B10" s="1476">
        <f>SUMIFS(BDCOVID!F:F,BDCOVID!$C:$C,'Conta covid'!$A$1,BDCOVID!$AH:$AH,'Conta covid'!$A10)</f>
        <v>0</v>
      </c>
      <c r="C10" s="1476">
        <f>SUMIFS(BDCOVID!G:G,BDCOVID!$C:$C,'Conta covid'!$A$1,BDCOVID!$AH:$AH,'Conta covid'!$A10)</f>
        <v>0</v>
      </c>
      <c r="D10" s="1477">
        <f t="shared" ref="D10:D15" si="0">B10-C10</f>
        <v>0</v>
      </c>
      <c r="E10" s="1476"/>
      <c r="F10" s="1478">
        <f>B10*VLOOKUP(SAS_RA0_DataFim,Índices!$B$6:$F$405,5,FALSE)/VLOOKUP(EDATE('Conta covid'!$A10,-1),Índices!$B$6:$F$405,5,FALSE)</f>
        <v>0</v>
      </c>
      <c r="G10" s="1478">
        <f>C10*VLOOKUP(SAS_RA0_DataFim,Índices!$B$6:$F$405,5,FALSE)/VLOOKUP(EDATE('Conta covid'!$A10,-1),Índices!$B$6:$F$405,5,FALSE)</f>
        <v>0</v>
      </c>
      <c r="H10" s="1478">
        <f t="shared" ref="H10:H15" si="1">F10-G10</f>
        <v>0</v>
      </c>
      <c r="I10" s="1476"/>
      <c r="J10" s="1478">
        <f t="shared" ref="J10:J16" si="2">IFERROR(IF($C$19,H10*$B$3,0),0)</f>
        <v>0</v>
      </c>
      <c r="K10" s="1478"/>
      <c r="L10" s="1478"/>
    </row>
    <row r="11" spans="1:14">
      <c r="A11" s="1475">
        <v>44075</v>
      </c>
      <c r="B11" s="1476">
        <f>SUMIFS(BDCOVID!F:F,BDCOVID!$C:$C,'Conta covid'!$A$1,BDCOVID!$AH:$AH,'Conta covid'!$A11)</f>
        <v>0</v>
      </c>
      <c r="C11" s="1476">
        <f>SUMIFS(BDCOVID!G:G,BDCOVID!$C:$C,'Conta covid'!$A$1,BDCOVID!$AH:$AH,'Conta covid'!$A11)</f>
        <v>0</v>
      </c>
      <c r="D11" s="1477">
        <f t="shared" si="0"/>
        <v>0</v>
      </c>
      <c r="E11" s="1476"/>
      <c r="F11" s="1478">
        <f>B11*VLOOKUP(SAS_RA0_DataFim,Índices!$B$6:$F$405,5,FALSE)/VLOOKUP(EDATE('Conta covid'!$A11,-1),Índices!$B$6:$F$405,5,FALSE)</f>
        <v>0</v>
      </c>
      <c r="G11" s="1478">
        <f>C11*VLOOKUP(SAS_RA0_DataFim,Índices!$B$6:$F$405,5,FALSE)/VLOOKUP(EDATE('Conta covid'!$A11,-1),Índices!$B$6:$F$405,5,FALSE)</f>
        <v>0</v>
      </c>
      <c r="H11" s="1478">
        <f t="shared" si="1"/>
        <v>0</v>
      </c>
      <c r="I11" s="1476"/>
      <c r="J11" s="1478">
        <f t="shared" si="2"/>
        <v>0</v>
      </c>
      <c r="K11" s="1478"/>
      <c r="L11" s="1478"/>
    </row>
    <row r="12" spans="1:14">
      <c r="A12" s="1475">
        <v>44105</v>
      </c>
      <c r="B12" s="1476">
        <f>SUMIFS(BDCOVID!F:F,BDCOVID!$C:$C,'Conta covid'!$A$1,BDCOVID!$AH:$AH,'Conta covid'!$A12)</f>
        <v>0</v>
      </c>
      <c r="C12" s="1476">
        <f>SUMIFS(BDCOVID!G:G,BDCOVID!$C:$C,'Conta covid'!$A$1,BDCOVID!$AH:$AH,'Conta covid'!$A12)</f>
        <v>0</v>
      </c>
      <c r="D12" s="1477">
        <f t="shared" si="0"/>
        <v>0</v>
      </c>
      <c r="E12" s="1476"/>
      <c r="F12" s="1478">
        <f>B12*VLOOKUP(SAS_RA0_DataFim,Índices!$B$6:$F$405,5,FALSE)/VLOOKUP(EDATE('Conta covid'!$A12,-1),Índices!$B$6:$F$405,5,FALSE)</f>
        <v>0</v>
      </c>
      <c r="G12" s="1478">
        <f>C12*VLOOKUP(SAS_RA0_DataFim,Índices!$B$6:$F$405,5,FALSE)/VLOOKUP(EDATE('Conta covid'!$A12,-1),Índices!$B$6:$F$405,5,FALSE)</f>
        <v>0</v>
      </c>
      <c r="H12" s="1478">
        <f t="shared" si="1"/>
        <v>0</v>
      </c>
      <c r="I12" s="1476"/>
      <c r="J12" s="1478">
        <f t="shared" si="2"/>
        <v>0</v>
      </c>
      <c r="K12" s="1478"/>
      <c r="L12" s="1478"/>
    </row>
    <row r="13" spans="1:14">
      <c r="A13" s="1475">
        <v>44136</v>
      </c>
      <c r="B13" s="1476">
        <f>SUMIFS(BDCOVID!F:F,BDCOVID!$C:$C,'Conta covid'!$A$1,BDCOVID!$AH:$AH,'Conta covid'!$A13)</f>
        <v>0</v>
      </c>
      <c r="C13" s="1476">
        <f>SUMIFS(BDCOVID!G:G,BDCOVID!$C:$C,'Conta covid'!$A$1,BDCOVID!$AH:$AH,'Conta covid'!$A13)</f>
        <v>0</v>
      </c>
      <c r="D13" s="1477">
        <f t="shared" si="0"/>
        <v>0</v>
      </c>
      <c r="E13" s="1476"/>
      <c r="F13" s="1478">
        <f>B13*VLOOKUP(SAS_RA0_DataFim,Índices!$B$6:$F$405,5,FALSE)/VLOOKUP(EDATE('Conta covid'!$A13,-1),Índices!$B$6:$F$405,5,FALSE)</f>
        <v>0</v>
      </c>
      <c r="G13" s="1478">
        <f>C13*VLOOKUP(SAS_RA0_DataFim,Índices!$B$6:$F$405,5,FALSE)/VLOOKUP(EDATE('Conta covid'!$A13,-1),Índices!$B$6:$F$405,5,FALSE)</f>
        <v>0</v>
      </c>
      <c r="H13" s="1478">
        <f t="shared" si="1"/>
        <v>0</v>
      </c>
      <c r="I13" s="1476"/>
      <c r="J13" s="1478">
        <f t="shared" si="2"/>
        <v>0</v>
      </c>
      <c r="K13" s="1478"/>
      <c r="L13" s="1478"/>
      <c r="M13" s="885">
        <f t="shared" ref="M13:N13" si="3">SUM(M5:M12)</f>
        <v>0</v>
      </c>
      <c r="N13" s="885">
        <f t="shared" si="3"/>
        <v>0</v>
      </c>
    </row>
    <row r="14" spans="1:14">
      <c r="A14" s="1475">
        <v>44166</v>
      </c>
      <c r="B14" s="1476">
        <f>SUMIFS(BDCOVID!F:F,BDCOVID!$C:$C,'Conta covid'!$A$1,BDCOVID!$AH:$AH,'Conta covid'!$A14)</f>
        <v>0</v>
      </c>
      <c r="C14" s="1476">
        <f>SUMIFS(BDCOVID!G:G,BDCOVID!$C:$C,'Conta covid'!$A$1,BDCOVID!$AH:$AH,'Conta covid'!$A14)</f>
        <v>0</v>
      </c>
      <c r="D14" s="1477">
        <f t="shared" si="0"/>
        <v>0</v>
      </c>
      <c r="E14" s="1476"/>
      <c r="F14" s="1478">
        <f>B14*VLOOKUP(SAS_RA0_DataFim,Índices!$B$6:$F$405,5,FALSE)/VLOOKUP(EDATE('Conta covid'!$A14,-1),Índices!$B$6:$F$405,5,FALSE)</f>
        <v>0</v>
      </c>
      <c r="G14" s="1478">
        <f>C14*VLOOKUP(SAS_RA0_DataFim,Índices!$B$6:$F$405,5,FALSE)/VLOOKUP(EDATE('Conta covid'!$A14,-1),Índices!$B$6:$F$405,5,FALSE)</f>
        <v>0</v>
      </c>
      <c r="H14" s="1478">
        <f t="shared" si="1"/>
        <v>0</v>
      </c>
      <c r="I14" s="1476"/>
      <c r="J14" s="1478">
        <f t="shared" si="2"/>
        <v>0</v>
      </c>
      <c r="K14" s="1478"/>
      <c r="L14" s="1478"/>
    </row>
    <row r="15" spans="1:14">
      <c r="A15" s="1475">
        <v>44197</v>
      </c>
      <c r="B15" s="1476">
        <f>SUMIFS(BDCOVID!F:F,BDCOVID!$C:$C,'Conta covid'!$A$1,BDCOVID!$AH:$AH,'Conta covid'!$A15)</f>
        <v>0</v>
      </c>
      <c r="C15" s="1476">
        <f>SUMIFS(BDCOVID!G:G,BDCOVID!$C:$C,'Conta covid'!$A$1,BDCOVID!$AH:$AH,'Conta covid'!$A15)</f>
        <v>0</v>
      </c>
      <c r="D15" s="1477">
        <f t="shared" si="0"/>
        <v>0</v>
      </c>
      <c r="E15" s="1476"/>
      <c r="F15" s="1478">
        <f>B15*VLOOKUP(SAS_RA0_DataFim,Índices!$B$6:$F$405,5,FALSE)/VLOOKUP(EDATE('Conta covid'!$A15,-1),Índices!$B$6:$F$405,5,FALSE)</f>
        <v>0</v>
      </c>
      <c r="G15" s="1478">
        <f>C15*VLOOKUP(SAS_RA0_DataFim,Índices!$B$6:$F$405,5,FALSE)/VLOOKUP(EDATE('Conta covid'!$A15,-1),Índices!$B$6:$F$405,5,FALSE)</f>
        <v>0</v>
      </c>
      <c r="H15" s="1478">
        <f t="shared" si="1"/>
        <v>0</v>
      </c>
      <c r="I15" s="1476"/>
      <c r="J15" s="1478">
        <f t="shared" si="2"/>
        <v>0</v>
      </c>
      <c r="K15" s="1478"/>
      <c r="L15" s="1478"/>
    </row>
    <row r="16" spans="1:14">
      <c r="A16" s="1476"/>
      <c r="B16" s="1476"/>
      <c r="C16" s="1476"/>
      <c r="D16" s="1476"/>
      <c r="E16" s="1476"/>
      <c r="F16" s="1476"/>
      <c r="G16" s="1478"/>
      <c r="H16" s="1476"/>
      <c r="I16" s="1476"/>
      <c r="J16" s="1478">
        <f t="shared" si="2"/>
        <v>0</v>
      </c>
      <c r="K16" s="1476"/>
      <c r="L16" s="1476"/>
    </row>
    <row r="17" spans="1:12">
      <c r="A17" s="1479" t="s">
        <v>845</v>
      </c>
      <c r="B17" s="1480">
        <f>SUM(B9:B16)</f>
        <v>0</v>
      </c>
      <c r="C17" s="1480">
        <f t="shared" ref="C17:L17" si="4">SUM(C9:C16)</f>
        <v>0</v>
      </c>
      <c r="D17" s="1480">
        <f t="shared" si="4"/>
        <v>0</v>
      </c>
      <c r="E17" s="1480">
        <f t="shared" si="4"/>
        <v>0</v>
      </c>
      <c r="F17" s="1480">
        <f t="shared" si="4"/>
        <v>0</v>
      </c>
      <c r="G17" s="1480">
        <f t="shared" si="4"/>
        <v>0</v>
      </c>
      <c r="H17" s="1480">
        <f t="shared" si="4"/>
        <v>0</v>
      </c>
      <c r="I17" s="1480">
        <f t="shared" si="4"/>
        <v>0</v>
      </c>
      <c r="J17" s="1480">
        <f t="shared" si="4"/>
        <v>0</v>
      </c>
      <c r="K17" s="1480">
        <f t="shared" si="4"/>
        <v>0</v>
      </c>
      <c r="L17" s="1480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H30" sqref="H3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96" t="s">
        <v>1435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58"/>
      <c r="P1" s="358"/>
      <c r="Q1" s="358"/>
      <c r="R1" s="9"/>
      <c r="S1" s="9"/>
      <c r="T1" s="9"/>
      <c r="U1" s="9"/>
      <c r="V1" s="9"/>
    </row>
    <row r="2" spans="1:22">
      <c r="A2" s="695"/>
      <c r="B2" s="695"/>
      <c r="C2" s="695"/>
      <c r="D2" s="695"/>
      <c r="E2" s="695"/>
      <c r="F2" s="695"/>
      <c r="G2" s="695"/>
      <c r="H2" s="695"/>
      <c r="I2" s="695"/>
      <c r="J2" s="695"/>
      <c r="K2" s="695"/>
      <c r="L2" s="695"/>
      <c r="M2" s="695"/>
      <c r="N2" s="695"/>
      <c r="O2" s="358"/>
      <c r="P2" s="358"/>
      <c r="Q2" s="358"/>
      <c r="R2" s="9"/>
      <c r="S2" s="9"/>
      <c r="T2" s="9"/>
      <c r="U2" s="9"/>
      <c r="V2" s="9"/>
    </row>
    <row r="3" spans="1:22">
      <c r="A3" s="697" t="s">
        <v>1436</v>
      </c>
      <c r="B3" s="65"/>
      <c r="C3" s="65"/>
      <c r="D3" s="65"/>
      <c r="E3" s="65"/>
      <c r="F3" s="695"/>
      <c r="G3" s="358"/>
      <c r="H3" s="358"/>
      <c r="I3" s="697" t="s">
        <v>1437</v>
      </c>
      <c r="J3" s="358"/>
      <c r="K3" s="698"/>
      <c r="L3" s="9"/>
      <c r="M3" s="9"/>
      <c r="N3" s="695"/>
      <c r="O3" s="358"/>
      <c r="P3" s="358"/>
      <c r="Q3" s="358"/>
      <c r="R3" s="9"/>
      <c r="S3" s="9"/>
      <c r="T3" s="9"/>
      <c r="U3" s="9"/>
      <c r="V3" s="9"/>
    </row>
    <row r="4" spans="1:22" ht="25.5">
      <c r="A4" s="1481" t="s">
        <v>22</v>
      </c>
      <c r="B4" s="1482"/>
      <c r="C4" s="699" t="s">
        <v>929</v>
      </c>
      <c r="D4" s="699" t="s">
        <v>1438</v>
      </c>
      <c r="E4" s="699" t="s">
        <v>1439</v>
      </c>
      <c r="F4" s="699" t="s">
        <v>8</v>
      </c>
      <c r="G4" s="700" t="s">
        <v>1440</v>
      </c>
      <c r="H4" s="358"/>
      <c r="I4" s="1481" t="s">
        <v>22</v>
      </c>
      <c r="J4" s="1481"/>
      <c r="K4" s="1481"/>
      <c r="L4" s="699" t="s">
        <v>1439</v>
      </c>
      <c r="M4" s="699" t="s">
        <v>8</v>
      </c>
      <c r="N4" s="700" t="str">
        <f>G4</f>
        <v>Repasse CDE</v>
      </c>
      <c r="P4" s="358"/>
      <c r="Q4" s="358"/>
      <c r="R4" s="9"/>
      <c r="S4" s="9"/>
      <c r="T4" s="9"/>
      <c r="U4" s="9"/>
      <c r="V4" s="9"/>
    </row>
    <row r="5" spans="1:22">
      <c r="A5" s="1483" t="s">
        <v>773</v>
      </c>
      <c r="B5" s="1484"/>
      <c r="C5" s="1485">
        <f>SUMPRODUCT(C16:Q16,$C$22:$Q$22)</f>
        <v>492799.66354707046</v>
      </c>
      <c r="D5" s="704">
        <f>SUMPRODUCT(C28:Q28,$C$34:$Q$34)</f>
        <v>340977.96557611297</v>
      </c>
      <c r="E5" s="1486">
        <f>C5-D5</f>
        <v>151821.6979709575</v>
      </c>
      <c r="F5" s="1487">
        <f>Resultado!M9</f>
        <v>568297.80930411129</v>
      </c>
      <c r="G5" s="701">
        <f>F5+E5</f>
        <v>720119.50727506878</v>
      </c>
      <c r="H5" s="358"/>
      <c r="I5" s="1483" t="s">
        <v>773</v>
      </c>
      <c r="J5" s="1483"/>
      <c r="K5" s="1483"/>
      <c r="L5" s="1487">
        <f t="shared" ref="L5:N10" si="0">E5/12</f>
        <v>12651.808164246459</v>
      </c>
      <c r="M5" s="1487">
        <f t="shared" si="0"/>
        <v>47358.150775342605</v>
      </c>
      <c r="N5" s="1485">
        <f t="shared" si="0"/>
        <v>60009.958939589065</v>
      </c>
      <c r="P5" s="358"/>
      <c r="Q5" s="358"/>
      <c r="R5" s="9"/>
      <c r="S5" s="9"/>
      <c r="T5" s="9"/>
      <c r="U5" s="9"/>
      <c r="V5" s="9"/>
    </row>
    <row r="6" spans="1:22">
      <c r="A6" s="65" t="s">
        <v>775</v>
      </c>
      <c r="B6" s="702"/>
      <c r="C6" s="703">
        <f t="shared" ref="C6:C10" si="1">SUMPRODUCT(C17:Q17,$C$22:$Q$22)</f>
        <v>59603.561682094733</v>
      </c>
      <c r="D6" s="704">
        <f t="shared" ref="D6:D10" si="2">SUMPRODUCT(C29:Q29,$C$34:$Q$34)</f>
        <v>59643.263238006744</v>
      </c>
      <c r="E6" s="722">
        <f t="shared" ref="E6:E10" si="3">C6-D6</f>
        <v>-39.701555912011827</v>
      </c>
      <c r="F6" s="704">
        <f>Resultado!M10</f>
        <v>76946.517463314289</v>
      </c>
      <c r="G6" s="701">
        <f t="shared" ref="G6:G10" si="4">F6+E6</f>
        <v>76906.815907402284</v>
      </c>
      <c r="H6" s="358"/>
      <c r="I6" s="65" t="s">
        <v>775</v>
      </c>
      <c r="J6" s="65"/>
      <c r="K6" s="65"/>
      <c r="L6" s="704">
        <f t="shared" si="0"/>
        <v>-3.3084629926676521</v>
      </c>
      <c r="M6" s="704">
        <f t="shared" si="0"/>
        <v>6412.2097886095244</v>
      </c>
      <c r="N6" s="703">
        <f t="shared" si="0"/>
        <v>6408.9013256168573</v>
      </c>
      <c r="P6" s="358"/>
      <c r="Q6" s="358"/>
      <c r="R6" s="9"/>
      <c r="S6" s="9"/>
      <c r="T6" s="9"/>
      <c r="U6" s="9"/>
      <c r="V6" s="9"/>
    </row>
    <row r="7" spans="1:22">
      <c r="A7" s="65" t="s">
        <v>777</v>
      </c>
      <c r="B7" s="702"/>
      <c r="C7" s="703">
        <f t="shared" si="1"/>
        <v>0</v>
      </c>
      <c r="D7" s="704">
        <f t="shared" si="2"/>
        <v>0</v>
      </c>
      <c r="E7" s="722">
        <f t="shared" si="3"/>
        <v>0</v>
      </c>
      <c r="F7" s="704">
        <f>-Financeiros!D37+Resultado!M11</f>
        <v>0</v>
      </c>
      <c r="G7" s="701">
        <f t="shared" si="4"/>
        <v>0</v>
      </c>
      <c r="H7" s="358"/>
      <c r="I7" s="65" t="s">
        <v>777</v>
      </c>
      <c r="J7" s="65"/>
      <c r="K7" s="65"/>
      <c r="L7" s="704">
        <f t="shared" si="0"/>
        <v>0</v>
      </c>
      <c r="M7" s="704">
        <f t="shared" si="0"/>
        <v>0</v>
      </c>
      <c r="N7" s="703">
        <f t="shared" si="0"/>
        <v>0</v>
      </c>
      <c r="P7" s="358"/>
      <c r="Q7" s="358"/>
      <c r="R7" s="9"/>
      <c r="S7" s="9"/>
      <c r="T7" s="9"/>
      <c r="U7" s="9"/>
      <c r="V7" s="9"/>
    </row>
    <row r="8" spans="1:22">
      <c r="A8" s="65" t="s">
        <v>778</v>
      </c>
      <c r="B8" s="702"/>
      <c r="C8" s="703">
        <f t="shared" si="1"/>
        <v>26681.52927775466</v>
      </c>
      <c r="D8" s="704">
        <f t="shared" si="2"/>
        <v>27780.331297450059</v>
      </c>
      <c r="E8" s="722">
        <f t="shared" si="3"/>
        <v>-1098.8020196953985</v>
      </c>
      <c r="F8" s="704">
        <f>Resultado!M12</f>
        <v>13711.088954421561</v>
      </c>
      <c r="G8" s="701">
        <f t="shared" si="4"/>
        <v>12612.286934726162</v>
      </c>
      <c r="H8" s="358"/>
      <c r="I8" s="65" t="s">
        <v>778</v>
      </c>
      <c r="J8" s="65"/>
      <c r="K8" s="65"/>
      <c r="L8" s="704">
        <f t="shared" si="0"/>
        <v>-91.56683497461654</v>
      </c>
      <c r="M8" s="704">
        <f t="shared" si="0"/>
        <v>1142.5907462017967</v>
      </c>
      <c r="N8" s="703">
        <f t="shared" si="0"/>
        <v>1051.0239112271802</v>
      </c>
      <c r="P8" s="358"/>
      <c r="Q8" s="358"/>
      <c r="R8" s="9"/>
      <c r="S8" s="9"/>
      <c r="T8" s="9"/>
      <c r="U8" s="9"/>
      <c r="V8" s="9"/>
    </row>
    <row r="9" spans="1:22">
      <c r="A9" s="65" t="s">
        <v>781</v>
      </c>
      <c r="B9" s="702"/>
      <c r="C9" s="703">
        <f t="shared" si="1"/>
        <v>3094364.6108982558</v>
      </c>
      <c r="D9" s="704">
        <f t="shared" si="2"/>
        <v>3293600.7365567456</v>
      </c>
      <c r="E9" s="722">
        <f>C9-D9</f>
        <v>-199236.12565848976</v>
      </c>
      <c r="F9" s="704">
        <f>Resultado!M13</f>
        <v>1595276.9044466505</v>
      </c>
      <c r="G9" s="701">
        <f t="shared" si="4"/>
        <v>1396040.7787881608</v>
      </c>
      <c r="H9" s="358"/>
      <c r="I9" s="65" t="s">
        <v>781</v>
      </c>
      <c r="J9" s="65"/>
      <c r="K9" s="65"/>
      <c r="L9" s="704">
        <f t="shared" si="0"/>
        <v>-16603.010471540812</v>
      </c>
      <c r="M9" s="704">
        <f t="shared" si="0"/>
        <v>132939.74203722089</v>
      </c>
      <c r="N9" s="703">
        <f t="shared" si="0"/>
        <v>116336.73156568006</v>
      </c>
      <c r="P9" s="358"/>
      <c r="Q9" s="358"/>
      <c r="R9" s="9"/>
      <c r="S9" s="9"/>
      <c r="T9" s="9"/>
      <c r="U9" s="9"/>
      <c r="V9" s="9"/>
    </row>
    <row r="10" spans="1:22">
      <c r="A10" s="1181" t="s">
        <v>783</v>
      </c>
      <c r="B10" s="705"/>
      <c r="C10" s="703">
        <f t="shared" si="1"/>
        <v>0</v>
      </c>
      <c r="D10" s="704">
        <f t="shared" si="2"/>
        <v>0</v>
      </c>
      <c r="E10" s="1488">
        <f t="shared" si="3"/>
        <v>0</v>
      </c>
      <c r="F10" s="1489">
        <f>Resultado!M14</f>
        <v>0</v>
      </c>
      <c r="G10" s="701">
        <f t="shared" si="4"/>
        <v>0</v>
      </c>
      <c r="H10" s="358"/>
      <c r="I10" s="1181" t="s">
        <v>783</v>
      </c>
      <c r="J10" s="1181"/>
      <c r="K10" s="1181"/>
      <c r="L10" s="1489">
        <f t="shared" si="0"/>
        <v>0</v>
      </c>
      <c r="M10" s="1489">
        <f t="shared" si="0"/>
        <v>0</v>
      </c>
      <c r="N10" s="706">
        <f t="shared" si="0"/>
        <v>0</v>
      </c>
      <c r="P10" s="358"/>
      <c r="Q10" s="358"/>
      <c r="R10" s="9"/>
      <c r="S10" s="9"/>
      <c r="T10" s="9"/>
      <c r="U10" s="9"/>
      <c r="V10" s="9"/>
    </row>
    <row r="11" spans="1:22">
      <c r="A11" s="1490" t="s">
        <v>845</v>
      </c>
      <c r="B11" s="1490"/>
      <c r="C11" s="1491">
        <f>SUM(C5:C10)</f>
        <v>3673449.3654051758</v>
      </c>
      <c r="D11" s="1491">
        <f>SUM(D5:D10)</f>
        <v>3722002.2966683153</v>
      </c>
      <c r="E11" s="1491">
        <f t="shared" ref="E11" si="5">SUM(E5:E10)</f>
        <v>-48552.931263139675</v>
      </c>
      <c r="F11" s="1491">
        <f>SUM(F5:F10)</f>
        <v>2254232.3201684975</v>
      </c>
      <c r="G11" s="1492">
        <f>SUM(G5:G10)</f>
        <v>2205679.388905358</v>
      </c>
      <c r="H11" s="358"/>
      <c r="I11" s="1490" t="s">
        <v>845</v>
      </c>
      <c r="J11" s="1490"/>
      <c r="K11" s="1490"/>
      <c r="L11" s="1491">
        <f>SUM(L5:L10)</f>
        <v>-4046.0776052616384</v>
      </c>
      <c r="M11" s="1491">
        <f>SUM(M5:M10)</f>
        <v>187852.69334737479</v>
      </c>
      <c r="N11" s="1492">
        <f>SUM(N5:N10)</f>
        <v>183806.61574211315</v>
      </c>
      <c r="P11" s="358"/>
      <c r="Q11" s="358"/>
      <c r="R11" s="9"/>
      <c r="S11" s="9"/>
      <c r="T11" s="9"/>
      <c r="U11" s="9"/>
      <c r="V11" s="9"/>
    </row>
    <row r="12" spans="1:22">
      <c r="A12" s="695"/>
      <c r="B12" s="695"/>
      <c r="C12" s="695"/>
      <c r="D12" s="695"/>
      <c r="E12" s="695"/>
      <c r="F12" s="695"/>
      <c r="G12" s="695"/>
      <c r="H12" s="695"/>
      <c r="I12" s="9"/>
      <c r="J12" s="695"/>
      <c r="K12" s="695"/>
      <c r="L12" s="358"/>
      <c r="M12" s="358"/>
      <c r="N12" s="358"/>
      <c r="O12" s="358"/>
      <c r="P12" s="358"/>
      <c r="Q12" s="358"/>
      <c r="R12" s="9"/>
      <c r="S12" s="9"/>
      <c r="T12" s="9"/>
      <c r="U12" s="9"/>
      <c r="V12" s="9"/>
    </row>
    <row r="13" spans="1:22">
      <c r="A13" s="697" t="s">
        <v>1441</v>
      </c>
      <c r="B13" s="695"/>
      <c r="C13" s="358"/>
      <c r="D13" s="358"/>
      <c r="E13" s="358"/>
      <c r="F13" s="695"/>
      <c r="G13" s="695"/>
      <c r="H13" s="695"/>
      <c r="I13" s="695"/>
      <c r="J13" s="695"/>
      <c r="K13" s="695"/>
      <c r="L13" s="695"/>
      <c r="M13" s="695"/>
      <c r="N13" s="695"/>
      <c r="O13" s="358"/>
      <c r="P13" s="358"/>
      <c r="Q13" s="358"/>
      <c r="R13" s="9"/>
      <c r="S13" s="9"/>
      <c r="T13" s="9"/>
      <c r="U13" s="9"/>
      <c r="V13" s="9"/>
    </row>
    <row r="14" spans="1:22">
      <c r="A14" s="1774" t="s">
        <v>22</v>
      </c>
      <c r="B14" s="1775" t="s">
        <v>1442</v>
      </c>
      <c r="C14" s="358"/>
      <c r="D14" s="358"/>
      <c r="E14" s="358"/>
      <c r="F14" s="707" t="s">
        <v>953</v>
      </c>
      <c r="G14" s="707" t="s">
        <v>953</v>
      </c>
      <c r="H14" s="707" t="s">
        <v>953</v>
      </c>
      <c r="I14" s="707" t="s">
        <v>953</v>
      </c>
      <c r="J14" s="707" t="s">
        <v>953</v>
      </c>
      <c r="K14" s="707" t="s">
        <v>953</v>
      </c>
      <c r="L14" s="707" t="s">
        <v>953</v>
      </c>
      <c r="M14" s="707" t="s">
        <v>953</v>
      </c>
      <c r="N14" s="707" t="s">
        <v>953</v>
      </c>
      <c r="O14" s="707" t="s">
        <v>953</v>
      </c>
      <c r="P14" s="707" t="s">
        <v>953</v>
      </c>
      <c r="Q14" s="707" t="s">
        <v>953</v>
      </c>
      <c r="R14" s="9"/>
      <c r="S14" s="9"/>
      <c r="T14" s="9"/>
      <c r="U14" s="9"/>
      <c r="V14" s="9"/>
    </row>
    <row r="15" spans="1:22">
      <c r="A15" s="1774"/>
      <c r="B15" s="1775"/>
      <c r="C15" s="708">
        <f t="shared" ref="C15:P15" si="6">EDATE(D15,-1)</f>
        <v>44287</v>
      </c>
      <c r="D15" s="708">
        <f>EDATE(E15,-1)</f>
        <v>44317</v>
      </c>
      <c r="E15" s="708">
        <f>EDATE(F15,-1)</f>
        <v>44348</v>
      </c>
      <c r="F15" s="709">
        <f>EDATE(G15,-1)</f>
        <v>44378</v>
      </c>
      <c r="G15" s="709">
        <f t="shared" si="6"/>
        <v>44409</v>
      </c>
      <c r="H15" s="709">
        <f t="shared" si="6"/>
        <v>44440</v>
      </c>
      <c r="I15" s="709">
        <f t="shared" si="6"/>
        <v>44470</v>
      </c>
      <c r="J15" s="709">
        <f t="shared" si="6"/>
        <v>44501</v>
      </c>
      <c r="K15" s="709">
        <f t="shared" si="6"/>
        <v>44531</v>
      </c>
      <c r="L15" s="709">
        <f t="shared" si="6"/>
        <v>44562</v>
      </c>
      <c r="M15" s="709">
        <f t="shared" si="6"/>
        <v>44593</v>
      </c>
      <c r="N15" s="709">
        <f t="shared" si="6"/>
        <v>44621</v>
      </c>
      <c r="O15" s="709">
        <f t="shared" si="6"/>
        <v>44652</v>
      </c>
      <c r="P15" s="709">
        <f t="shared" si="6"/>
        <v>44682</v>
      </c>
      <c r="Q15" s="709">
        <f>DATE(YEAR(DataRevRea),MONTH(DataRevRea)-1,1)</f>
        <v>44713</v>
      </c>
      <c r="R15" s="9" t="s">
        <v>1016</v>
      </c>
      <c r="S15" s="9"/>
      <c r="T15" s="9"/>
      <c r="U15" s="9"/>
      <c r="V15" s="9"/>
    </row>
    <row r="16" spans="1:22">
      <c r="A16" s="710" t="s">
        <v>1443</v>
      </c>
      <c r="B16" s="711" t="s">
        <v>1005</v>
      </c>
      <c r="C16" s="712">
        <f>C40</f>
        <v>0</v>
      </c>
      <c r="D16" s="712">
        <f t="shared" ref="D16:E16" si="7">D40</f>
        <v>0</v>
      </c>
      <c r="E16" s="712">
        <f t="shared" si="7"/>
        <v>0</v>
      </c>
      <c r="F16" s="712">
        <f t="shared" ref="F16:Q21" si="8">DSUM(MercadoBase,$B16,F$14:F$15)</f>
        <v>33455.982130000004</v>
      </c>
      <c r="G16" s="712">
        <f t="shared" si="8"/>
        <v>34584.571209999995</v>
      </c>
      <c r="H16" s="712">
        <f t="shared" si="8"/>
        <v>34801.897944999997</v>
      </c>
      <c r="I16" s="712">
        <f t="shared" si="8"/>
        <v>36757.472889999997</v>
      </c>
      <c r="J16" s="712">
        <f t="shared" si="8"/>
        <v>39749.512774999996</v>
      </c>
      <c r="K16" s="712">
        <f t="shared" si="8"/>
        <v>38580.572694999995</v>
      </c>
      <c r="L16" s="712">
        <f t="shared" si="8"/>
        <v>33665.435765000002</v>
      </c>
      <c r="M16" s="712">
        <f t="shared" si="8"/>
        <v>35328.266394999999</v>
      </c>
      <c r="N16" s="712">
        <f t="shared" si="8"/>
        <v>48151.578710000002</v>
      </c>
      <c r="O16" s="712">
        <f t="shared" si="8"/>
        <v>44288.512924602001</v>
      </c>
      <c r="P16" s="712">
        <f t="shared" si="8"/>
        <v>44660.604845000002</v>
      </c>
      <c r="Q16" s="712">
        <f t="shared" si="8"/>
        <v>38977.835370000001</v>
      </c>
      <c r="R16" s="9"/>
      <c r="S16" s="9"/>
      <c r="T16" s="9"/>
      <c r="U16" s="9"/>
      <c r="V16" s="9"/>
    </row>
    <row r="17" spans="1:22">
      <c r="A17" s="710" t="s">
        <v>1444</v>
      </c>
      <c r="B17" s="711" t="s">
        <v>1006</v>
      </c>
      <c r="C17" s="712">
        <f t="shared" ref="C17:E21" si="9">C41</f>
        <v>0</v>
      </c>
      <c r="D17" s="712">
        <f t="shared" si="9"/>
        <v>0</v>
      </c>
      <c r="E17" s="712">
        <f t="shared" si="9"/>
        <v>0</v>
      </c>
      <c r="F17" s="712">
        <f t="shared" si="8"/>
        <v>4654</v>
      </c>
      <c r="G17" s="712">
        <f t="shared" si="8"/>
        <v>4654</v>
      </c>
      <c r="H17" s="712">
        <f t="shared" si="8"/>
        <v>4654</v>
      </c>
      <c r="I17" s="712">
        <f t="shared" si="8"/>
        <v>4654</v>
      </c>
      <c r="J17" s="712">
        <f t="shared" si="8"/>
        <v>4654</v>
      </c>
      <c r="K17" s="712">
        <f t="shared" si="8"/>
        <v>4654</v>
      </c>
      <c r="L17" s="712">
        <f t="shared" si="8"/>
        <v>4654</v>
      </c>
      <c r="M17" s="712">
        <f t="shared" si="8"/>
        <v>4654</v>
      </c>
      <c r="N17" s="712">
        <f t="shared" si="8"/>
        <v>4654</v>
      </c>
      <c r="O17" s="712">
        <f t="shared" si="8"/>
        <v>4654</v>
      </c>
      <c r="P17" s="712">
        <f t="shared" si="8"/>
        <v>4654</v>
      </c>
      <c r="Q17" s="712">
        <f t="shared" si="8"/>
        <v>4654</v>
      </c>
      <c r="R17" s="9"/>
      <c r="S17" s="9"/>
      <c r="T17" s="9"/>
      <c r="U17" s="9"/>
      <c r="V17" s="9"/>
    </row>
    <row r="18" spans="1:22">
      <c r="A18" s="710" t="s">
        <v>1445</v>
      </c>
      <c r="B18" s="711" t="s">
        <v>1007</v>
      </c>
      <c r="C18" s="712">
        <f t="shared" si="9"/>
        <v>0</v>
      </c>
      <c r="D18" s="712">
        <f t="shared" si="9"/>
        <v>0</v>
      </c>
      <c r="E18" s="712">
        <f t="shared" si="9"/>
        <v>0</v>
      </c>
      <c r="F18" s="1036">
        <f t="shared" ref="F18:Q18" si="10">IFERROR(DSUM(MercadoBase,$B18,F$14:F$15)+(DSUM(MercadoBase,$R$15,F$14:F$15)/($D$53/12))*$F$30,0)</f>
        <v>0</v>
      </c>
      <c r="G18" s="1036">
        <f t="shared" si="10"/>
        <v>0</v>
      </c>
      <c r="H18" s="1036">
        <f t="shared" si="10"/>
        <v>0</v>
      </c>
      <c r="I18" s="1036">
        <f t="shared" si="10"/>
        <v>0</v>
      </c>
      <c r="J18" s="1036">
        <f t="shared" si="10"/>
        <v>0</v>
      </c>
      <c r="K18" s="1036">
        <f t="shared" si="10"/>
        <v>0</v>
      </c>
      <c r="L18" s="1036">
        <f t="shared" si="10"/>
        <v>0</v>
      </c>
      <c r="M18" s="1036">
        <f t="shared" si="10"/>
        <v>0</v>
      </c>
      <c r="N18" s="1036">
        <f t="shared" si="10"/>
        <v>0</v>
      </c>
      <c r="O18" s="1036">
        <f t="shared" si="10"/>
        <v>0</v>
      </c>
      <c r="P18" s="1036">
        <f t="shared" si="10"/>
        <v>0</v>
      </c>
      <c r="Q18" s="1036">
        <f t="shared" si="10"/>
        <v>0</v>
      </c>
      <c r="R18" s="9"/>
      <c r="S18" s="9"/>
      <c r="T18" s="9"/>
      <c r="U18" s="9"/>
      <c r="V18" s="9"/>
    </row>
    <row r="19" spans="1:22">
      <c r="A19" s="710" t="s">
        <v>1446</v>
      </c>
      <c r="B19" s="711" t="s">
        <v>1008</v>
      </c>
      <c r="C19" s="712">
        <f t="shared" si="9"/>
        <v>0</v>
      </c>
      <c r="D19" s="712">
        <f t="shared" si="9"/>
        <v>0</v>
      </c>
      <c r="E19" s="712">
        <f t="shared" si="9"/>
        <v>0</v>
      </c>
      <c r="F19" s="712">
        <f t="shared" si="8"/>
        <v>2160.8440860000019</v>
      </c>
      <c r="G19" s="712">
        <f t="shared" si="8"/>
        <v>2085.6867096000024</v>
      </c>
      <c r="H19" s="712">
        <f t="shared" si="8"/>
        <v>1951.8793944000022</v>
      </c>
      <c r="I19" s="712">
        <f t="shared" si="8"/>
        <v>2213.5235484</v>
      </c>
      <c r="J19" s="712">
        <f t="shared" si="8"/>
        <v>2147.8783007999973</v>
      </c>
      <c r="K19" s="712">
        <f t="shared" si="8"/>
        <v>2602.2656903999991</v>
      </c>
      <c r="L19" s="712">
        <f t="shared" si="8"/>
        <v>1731.8159777999974</v>
      </c>
      <c r="M19" s="712">
        <f t="shared" si="8"/>
        <v>1766.4728219999995</v>
      </c>
      <c r="N19" s="712">
        <f t="shared" si="8"/>
        <v>1836.7839533999997</v>
      </c>
      <c r="O19" s="712">
        <f t="shared" si="8"/>
        <v>1648.1403948</v>
      </c>
      <c r="P19" s="712">
        <f t="shared" si="8"/>
        <v>2286.2447213999976</v>
      </c>
      <c r="Q19" s="712">
        <f t="shared" si="8"/>
        <v>2571.4051116000023</v>
      </c>
      <c r="R19" s="9"/>
      <c r="S19" s="9"/>
      <c r="T19" s="9"/>
      <c r="U19" s="9"/>
      <c r="V19" s="9"/>
    </row>
    <row r="20" spans="1:22">
      <c r="A20" s="710" t="s">
        <v>1447</v>
      </c>
      <c r="B20" s="711" t="s">
        <v>1009</v>
      </c>
      <c r="C20" s="712">
        <f t="shared" si="9"/>
        <v>0</v>
      </c>
      <c r="D20" s="712">
        <f t="shared" si="9"/>
        <v>0</v>
      </c>
      <c r="E20" s="712">
        <f t="shared" si="9"/>
        <v>0</v>
      </c>
      <c r="F20" s="712">
        <f t="shared" si="8"/>
        <v>229514.89708879995</v>
      </c>
      <c r="G20" s="712">
        <f t="shared" si="8"/>
        <v>227387.40555039991</v>
      </c>
      <c r="H20" s="712">
        <f t="shared" si="8"/>
        <v>232203.48123679991</v>
      </c>
      <c r="I20" s="712">
        <f t="shared" si="8"/>
        <v>230776.36962879993</v>
      </c>
      <c r="J20" s="712">
        <f t="shared" si="8"/>
        <v>217605.5748663999</v>
      </c>
      <c r="K20" s="712">
        <f t="shared" si="8"/>
        <v>227110.78657719991</v>
      </c>
      <c r="L20" s="712">
        <f t="shared" si="8"/>
        <v>270090.9334051999</v>
      </c>
      <c r="M20" s="712">
        <f t="shared" si="8"/>
        <v>298066.93526759988</v>
      </c>
      <c r="N20" s="712">
        <f t="shared" si="8"/>
        <v>273304.64504679985</v>
      </c>
      <c r="O20" s="712">
        <f t="shared" si="8"/>
        <v>245951.23326799995</v>
      </c>
      <c r="P20" s="712">
        <f t="shared" si="8"/>
        <v>215401.64054959989</v>
      </c>
      <c r="Q20" s="712">
        <f t="shared" si="8"/>
        <v>233128.44566399991</v>
      </c>
      <c r="R20" s="9"/>
      <c r="S20" s="9"/>
      <c r="T20" s="9"/>
      <c r="U20" s="9"/>
      <c r="V20" s="9"/>
    </row>
    <row r="21" spans="1:22">
      <c r="A21" s="710" t="s">
        <v>1448</v>
      </c>
      <c r="B21" s="711" t="s">
        <v>1010</v>
      </c>
      <c r="C21" s="712">
        <f t="shared" si="9"/>
        <v>0</v>
      </c>
      <c r="D21" s="712">
        <f t="shared" si="9"/>
        <v>0</v>
      </c>
      <c r="E21" s="712">
        <f t="shared" si="9"/>
        <v>0</v>
      </c>
      <c r="F21" s="712">
        <f t="shared" si="8"/>
        <v>0</v>
      </c>
      <c r="G21" s="712">
        <f t="shared" si="8"/>
        <v>0</v>
      </c>
      <c r="H21" s="712">
        <f t="shared" si="8"/>
        <v>0</v>
      </c>
      <c r="I21" s="712">
        <f t="shared" si="8"/>
        <v>0</v>
      </c>
      <c r="J21" s="712">
        <f t="shared" si="8"/>
        <v>0</v>
      </c>
      <c r="K21" s="712">
        <f t="shared" si="8"/>
        <v>0</v>
      </c>
      <c r="L21" s="712">
        <f t="shared" si="8"/>
        <v>0</v>
      </c>
      <c r="M21" s="712">
        <f t="shared" si="8"/>
        <v>0</v>
      </c>
      <c r="N21" s="712">
        <f t="shared" si="8"/>
        <v>0</v>
      </c>
      <c r="O21" s="712">
        <f t="shared" si="8"/>
        <v>0</v>
      </c>
      <c r="P21" s="712">
        <f>DSUM(MercadoBase,$B21,P$14:P$15)</f>
        <v>0</v>
      </c>
      <c r="Q21" s="712">
        <f t="shared" si="8"/>
        <v>0</v>
      </c>
      <c r="R21" s="9"/>
      <c r="S21" s="9"/>
      <c r="T21" s="9"/>
      <c r="U21" s="9"/>
      <c r="V21" s="9"/>
    </row>
    <row r="22" spans="1:22">
      <c r="A22" s="1493" t="s">
        <v>1449</v>
      </c>
      <c r="B22" s="1494" t="s">
        <v>1276</v>
      </c>
      <c r="C22" s="1495">
        <f>VLOOKUP($Q$15,Índices!$B:$F,2,FALSE)/VLOOKUP(EDATE(C15,-1),Índices!$B:$F,2,FALSE)</f>
        <v>1.1768213386458592</v>
      </c>
      <c r="D22" s="1495">
        <f>VLOOKUP($Q$15,Índices!$B:$F,2,FALSE)/VLOOKUP(EDATE(D15,-1),Índices!$B:$F,2,FALSE)</f>
        <v>1.1593353264324466</v>
      </c>
      <c r="E22" s="1495">
        <f>VLOOKUP($Q$15,Índices!$B:$F,2,FALSE)/VLOOKUP(EDATE(E15,-1),Índices!$B:$F,2,FALSE)</f>
        <v>1.1137138790355088</v>
      </c>
      <c r="F22" s="1495">
        <f>VLOOKUP($Q$15,Índices!$B:$F,2,FALSE)/VLOOKUP(EDATE(F15,-1),Índices!$B:$F,2,FALSE)</f>
        <v>1.1070423608832305</v>
      </c>
      <c r="G22" s="1495">
        <f>VLOOKUP($Q$15,Índices!$B:$F,2,FALSE)/VLOOKUP(EDATE(G15,-1),Índices!$B:$F,2,FALSE)</f>
        <v>1.0985033599453922</v>
      </c>
      <c r="H22" s="1495">
        <f>VLOOKUP($Q$15,Índices!$B:$F,2,FALSE)/VLOOKUP(EDATE(H15,-1),Índices!$B:$F,2,FALSE)</f>
        <v>1.0912608014368317</v>
      </c>
      <c r="I22" s="1495">
        <f>VLOOKUP($Q$15,Índices!$B:$F,2,FALSE)/VLOOKUP(EDATE(I15,-1),Índices!$B:$F,2,FALSE)</f>
        <v>1.0982835198725092</v>
      </c>
      <c r="J22" s="1495">
        <f>VLOOKUP($Q$15,Índices!$B:$F,2,FALSE)/VLOOKUP(EDATE(J15,-1),Índices!$B:$F,2,FALSE)</f>
        <v>1.0912678012944399</v>
      </c>
      <c r="K22" s="1495">
        <f>VLOOKUP($Q$15,Índices!$B:$F,2,FALSE)/VLOOKUP(EDATE(K15,-1),Índices!$B:$F,2,FALSE)</f>
        <v>1.0910678407267911</v>
      </c>
      <c r="L22" s="1495">
        <f>VLOOKUP($Q$15,Índices!$B:$F,2,FALSE)/VLOOKUP(EDATE(L15,-1),Índices!$B:$F,2,FALSE)</f>
        <v>1.0816484829989064</v>
      </c>
      <c r="M22" s="1495">
        <f>VLOOKUP($Q$15,Índices!$B:$F,2,FALSE)/VLOOKUP(EDATE(M15,-1),Índices!$B:$F,2,FALSE)</f>
        <v>1.0623399307225074</v>
      </c>
      <c r="N22" s="1495">
        <f>VLOOKUP($Q$15,Índices!$B:$F,2,FALSE)/VLOOKUP(EDATE(N15,-1),Índices!$B:$F,2,FALSE)</f>
        <v>1.0432185825187947</v>
      </c>
      <c r="O22" s="1495">
        <f>VLOOKUP($Q$15,Índices!$B:$F,2,FALSE)/VLOOKUP(EDATE(O15,-1),Índices!$B:$F,2,FALSE)</f>
        <v>1.0253689885984203</v>
      </c>
      <c r="P22" s="1495">
        <f>VLOOKUP($Q$15,Índices!$B:$F,2,FALSE)/VLOOKUP(EDATE(P15,-1),Índices!$B:$F,2,FALSE)</f>
        <v>1.011099422741718</v>
      </c>
      <c r="Q22" s="1495">
        <f>VLOOKUP($Q$15,Índices!$B:$F,2,FALSE)/VLOOKUP(EDATE(Q15,-1),Índices!$B:$F,2,FALSE)</f>
        <v>1.0058524282636221</v>
      </c>
      <c r="R22" s="9"/>
      <c r="S22" s="9"/>
      <c r="T22" s="9"/>
      <c r="U22" s="9"/>
      <c r="V22" s="9"/>
    </row>
    <row r="23" spans="1:22">
      <c r="A23" s="1496" t="s">
        <v>1450</v>
      </c>
      <c r="B23" s="1497"/>
      <c r="C23" s="1498">
        <f t="shared" ref="C23:Q23" si="11">SUM(C16:C21)*C22</f>
        <v>0</v>
      </c>
      <c r="D23" s="1498">
        <f t="shared" si="11"/>
        <v>0</v>
      </c>
      <c r="E23" s="1498">
        <f t="shared" si="11"/>
        <v>0</v>
      </c>
      <c r="F23" s="1499">
        <f>SUM(F16:F21)*F22</f>
        <v>298664.22405993572</v>
      </c>
      <c r="G23" s="1499">
        <f t="shared" si="11"/>
        <v>295180.66517831042</v>
      </c>
      <c r="H23" s="1499">
        <f t="shared" si="11"/>
        <v>298581.24131600407</v>
      </c>
      <c r="I23" s="1499">
        <f t="shared" si="11"/>
        <v>301370.49818210921</v>
      </c>
      <c r="J23" s="1499">
        <f t="shared" si="11"/>
        <v>288265.99142035469</v>
      </c>
      <c r="K23" s="1499">
        <f t="shared" si="11"/>
        <v>297804.37579944986</v>
      </c>
      <c r="L23" s="1499">
        <f t="shared" si="11"/>
        <v>335464.82407930004</v>
      </c>
      <c r="M23" s="1499">
        <f t="shared" si="11"/>
        <v>360999.76009039197</v>
      </c>
      <c r="N23" s="1499">
        <f t="shared" si="11"/>
        <v>342120.41252471495</v>
      </c>
      <c r="O23" s="1499">
        <f t="shared" si="11"/>
        <v>304064.85432719183</v>
      </c>
      <c r="P23" s="1499">
        <f t="shared" si="11"/>
        <v>269966.06362688879</v>
      </c>
      <c r="Q23" s="1499">
        <f t="shared" si="11"/>
        <v>280966.45480052364</v>
      </c>
      <c r="R23" s="9"/>
      <c r="S23" s="9"/>
      <c r="T23" s="9"/>
      <c r="U23" s="9"/>
      <c r="V23" s="9"/>
    </row>
    <row r="24" spans="1:22">
      <c r="A24" s="9"/>
      <c r="B24" s="9"/>
      <c r="C24" s="9" t="s">
        <v>1451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7" t="s">
        <v>1452</v>
      </c>
      <c r="B25" s="695"/>
      <c r="C25" s="695"/>
      <c r="D25" s="695"/>
      <c r="E25" s="695"/>
      <c r="F25" s="695"/>
      <c r="G25" s="695"/>
      <c r="H25" s="695"/>
      <c r="I25" s="695"/>
      <c r="J25" s="695"/>
      <c r="K25" s="695"/>
      <c r="L25" s="695"/>
      <c r="M25" s="695"/>
      <c r="N25" s="695"/>
      <c r="O25" s="358"/>
      <c r="P25" s="358"/>
      <c r="Q25" s="358"/>
      <c r="R25" s="9"/>
      <c r="S25" s="9"/>
      <c r="T25" s="9"/>
      <c r="U25" s="9"/>
      <c r="V25" s="9"/>
    </row>
    <row r="26" spans="1:22">
      <c r="A26" s="1774" t="s">
        <v>22</v>
      </c>
      <c r="B26" s="1775" t="s">
        <v>1442</v>
      </c>
      <c r="C26" s="707" t="s">
        <v>953</v>
      </c>
      <c r="D26" s="707" t="s">
        <v>953</v>
      </c>
      <c r="E26" s="707" t="s">
        <v>953</v>
      </c>
      <c r="F26" s="707" t="s">
        <v>953</v>
      </c>
      <c r="G26" s="707" t="s">
        <v>953</v>
      </c>
      <c r="H26" s="707" t="s">
        <v>953</v>
      </c>
      <c r="I26" s="707" t="s">
        <v>953</v>
      </c>
      <c r="J26" s="707" t="s">
        <v>953</v>
      </c>
      <c r="K26" s="707" t="s">
        <v>953</v>
      </c>
      <c r="L26" s="707" t="s">
        <v>953</v>
      </c>
      <c r="M26" s="707" t="s">
        <v>953</v>
      </c>
      <c r="N26" s="707" t="s">
        <v>953</v>
      </c>
      <c r="O26" s="707" t="s">
        <v>953</v>
      </c>
      <c r="P26" s="707" t="s">
        <v>953</v>
      </c>
      <c r="Q26" s="707" t="s">
        <v>953</v>
      </c>
      <c r="R26" s="9"/>
      <c r="S26" s="9"/>
      <c r="T26" s="9"/>
      <c r="U26" s="9"/>
      <c r="V26" s="9"/>
    </row>
    <row r="27" spans="1:22">
      <c r="A27" s="1774"/>
      <c r="B27" s="1775"/>
      <c r="C27" s="708">
        <f t="shared" ref="C27:Q27" si="12">C15</f>
        <v>44287</v>
      </c>
      <c r="D27" s="708">
        <f t="shared" si="12"/>
        <v>44317</v>
      </c>
      <c r="E27" s="708">
        <f t="shared" si="12"/>
        <v>44348</v>
      </c>
      <c r="F27" s="709">
        <f>F15</f>
        <v>44378</v>
      </c>
      <c r="G27" s="709">
        <f t="shared" si="12"/>
        <v>44409</v>
      </c>
      <c r="H27" s="709">
        <f t="shared" si="12"/>
        <v>44440</v>
      </c>
      <c r="I27" s="709">
        <f t="shared" si="12"/>
        <v>44470</v>
      </c>
      <c r="J27" s="709">
        <f t="shared" si="12"/>
        <v>44501</v>
      </c>
      <c r="K27" s="709">
        <f t="shared" si="12"/>
        <v>44531</v>
      </c>
      <c r="L27" s="709">
        <f t="shared" si="12"/>
        <v>44562</v>
      </c>
      <c r="M27" s="709">
        <f t="shared" si="12"/>
        <v>44593</v>
      </c>
      <c r="N27" s="709">
        <f t="shared" si="12"/>
        <v>44621</v>
      </c>
      <c r="O27" s="709">
        <f t="shared" si="12"/>
        <v>44652</v>
      </c>
      <c r="P27" s="709">
        <f t="shared" si="12"/>
        <v>44682</v>
      </c>
      <c r="Q27" s="709">
        <f t="shared" si="12"/>
        <v>44713</v>
      </c>
      <c r="S27" s="9"/>
      <c r="T27" s="9"/>
      <c r="U27" s="9"/>
      <c r="V27" s="9"/>
    </row>
    <row r="28" spans="1:22">
      <c r="A28" s="710" t="s">
        <v>1443</v>
      </c>
      <c r="B28" s="711" t="s">
        <v>773</v>
      </c>
      <c r="C28" s="712">
        <f>IF(C40=0,0,VLOOKUP($B28,BD!$B$61:$C$66,2,FALSE))</f>
        <v>0</v>
      </c>
      <c r="D28" s="712">
        <f>IF(D40=0,0,VLOOKUP($B28,BD!$B$61:$C$66,2,FALSE))</f>
        <v>0</v>
      </c>
      <c r="E28" s="712">
        <f>IF(E40=0,0,VLOOKUP($B28,BD!$B$61:$C$66,2,FALSE))</f>
        <v>0</v>
      </c>
      <c r="F28" s="712">
        <f>VLOOKUP($B28,BD!$B$61:$C$66,2,FALSE)</f>
        <v>26624.44</v>
      </c>
      <c r="G28" s="712">
        <f>VLOOKUP($B28,BD!$B$61:$C$66,2,FALSE)</f>
        <v>26624.44</v>
      </c>
      <c r="H28" s="712">
        <f>VLOOKUP($B28,BD!$B$61:$C$66,2,FALSE)</f>
        <v>26624.44</v>
      </c>
      <c r="I28" s="712">
        <f>VLOOKUP($B28,BD!$B$61:$C$66,2,FALSE)</f>
        <v>26624.44</v>
      </c>
      <c r="J28" s="712">
        <f>VLOOKUP($B28,BD!$B$61:$C$66,2,FALSE)</f>
        <v>26624.44</v>
      </c>
      <c r="K28" s="712">
        <f>VLOOKUP($B28,BD!$B$61:$C$66,2,FALSE)</f>
        <v>26624.44</v>
      </c>
      <c r="L28" s="712">
        <f>VLOOKUP($B28,BD!$B$61:$C$66,2,FALSE)</f>
        <v>26624.44</v>
      </c>
      <c r="M28" s="712">
        <f>VLOOKUP($B28,BD!$B$61:$C$66,2,FALSE)</f>
        <v>26624.44</v>
      </c>
      <c r="N28" s="712">
        <f>VLOOKUP($B28,BD!$B$61:$C$66,2,FALSE)</f>
        <v>26624.44</v>
      </c>
      <c r="O28" s="712">
        <f>VLOOKUP($B28,BD!$B$61:$C$66,2,FALSE)</f>
        <v>26624.44</v>
      </c>
      <c r="P28" s="712">
        <f>VLOOKUP($B28,BD!$B$61:$C$66,2,FALSE)</f>
        <v>26624.44</v>
      </c>
      <c r="Q28" s="712">
        <f>VLOOKUP($B28,BD!$B$61:$C$66,2,FALSE)</f>
        <v>26624.44</v>
      </c>
      <c r="S28" s="9"/>
      <c r="T28" s="9"/>
      <c r="U28" s="9"/>
      <c r="V28" s="9"/>
    </row>
    <row r="29" spans="1:22">
      <c r="A29" s="710" t="s">
        <v>1444</v>
      </c>
      <c r="B29" s="711" t="s">
        <v>775</v>
      </c>
      <c r="C29" s="712">
        <f>IF(C41=0,0,VLOOKUP($B29,BD!$B$61:$C$66,2,FALSE))</f>
        <v>0</v>
      </c>
      <c r="D29" s="712">
        <f>IF(D41=0,0,VLOOKUP($B29,BD!$B$61:$C$66,2,FALSE))</f>
        <v>0</v>
      </c>
      <c r="E29" s="712">
        <f>IF(E41=0,0,VLOOKUP($B29,BD!$B$61:$C$66,2,FALSE))</f>
        <v>0</v>
      </c>
      <c r="F29" s="712">
        <f>VLOOKUP($B29,BD!$B$61:$C$66,2,FALSE)</f>
        <v>4657.1000000000004</v>
      </c>
      <c r="G29" s="712">
        <f>VLOOKUP($B29,BD!$B$61:$C$66,2,FALSE)</f>
        <v>4657.1000000000004</v>
      </c>
      <c r="H29" s="712">
        <f>VLOOKUP($B29,BD!$B$61:$C$66,2,FALSE)</f>
        <v>4657.1000000000004</v>
      </c>
      <c r="I29" s="712">
        <f>VLOOKUP($B29,BD!$B$61:$C$66,2,FALSE)</f>
        <v>4657.1000000000004</v>
      </c>
      <c r="J29" s="712">
        <f>VLOOKUP($B29,BD!$B$61:$C$66,2,FALSE)</f>
        <v>4657.1000000000004</v>
      </c>
      <c r="K29" s="712">
        <f>VLOOKUP($B29,BD!$B$61:$C$66,2,FALSE)</f>
        <v>4657.1000000000004</v>
      </c>
      <c r="L29" s="712">
        <f>VLOOKUP($B29,BD!$B$61:$C$66,2,FALSE)</f>
        <v>4657.1000000000004</v>
      </c>
      <c r="M29" s="712">
        <f>VLOOKUP($B29,BD!$B$61:$C$66,2,FALSE)</f>
        <v>4657.1000000000004</v>
      </c>
      <c r="N29" s="712">
        <f>VLOOKUP($B29,BD!$B$61:$C$66,2,FALSE)</f>
        <v>4657.1000000000004</v>
      </c>
      <c r="O29" s="712">
        <f>VLOOKUP($B29,BD!$B$61:$C$66,2,FALSE)</f>
        <v>4657.1000000000004</v>
      </c>
      <c r="P29" s="712">
        <f>VLOOKUP($B29,BD!$B$61:$C$66,2,FALSE)</f>
        <v>4657.1000000000004</v>
      </c>
      <c r="Q29" s="712">
        <f>VLOOKUP($B29,BD!$B$61:$C$66,2,FALSE)</f>
        <v>4657.1000000000004</v>
      </c>
      <c r="S29" s="9"/>
      <c r="T29" s="9"/>
      <c r="U29" s="9"/>
      <c r="V29" s="9"/>
    </row>
    <row r="30" spans="1:22">
      <c r="A30" s="710" t="s">
        <v>1445</v>
      </c>
      <c r="B30" s="711" t="s">
        <v>777</v>
      </c>
      <c r="C30" s="712">
        <f>IF(C42=0,0,VLOOKUP($B30,BD!$B$61:$C$66,2,FALSE))</f>
        <v>0</v>
      </c>
      <c r="D30" s="712">
        <f>IF(D42=0,0,VLOOKUP($B30,BD!$B$61:$C$66,2,FALSE))</f>
        <v>0</v>
      </c>
      <c r="E30" s="712">
        <f>IF(E42=0,0,VLOOKUP($B30,BD!$B$61:$C$66,2,FALSE))</f>
        <v>0</v>
      </c>
      <c r="F30" s="1036">
        <f>VLOOKUP($B30,BD!$B$61:$C$66,2,FALSE)</f>
        <v>0</v>
      </c>
      <c r="G30" s="1036">
        <f>VLOOKUP($B30,BD!$B$61:$C$66,2,FALSE)</f>
        <v>0</v>
      </c>
      <c r="H30" s="1036">
        <f>VLOOKUP($B30,BD!$B$61:$C$66,2,FALSE)</f>
        <v>0</v>
      </c>
      <c r="I30" s="1036">
        <f>VLOOKUP($B30,BD!$B$61:$C$66,2,FALSE)</f>
        <v>0</v>
      </c>
      <c r="J30" s="1036">
        <f>VLOOKUP($B30,BD!$B$61:$C$66,2,FALSE)</f>
        <v>0</v>
      </c>
      <c r="K30" s="1036">
        <f>VLOOKUP($B30,BD!$B$61:$C$66,2,FALSE)</f>
        <v>0</v>
      </c>
      <c r="L30" s="1036">
        <f>VLOOKUP($B30,BD!$B$61:$C$66,2,FALSE)</f>
        <v>0</v>
      </c>
      <c r="M30" s="1036">
        <f>VLOOKUP($B30,BD!$B$61:$C$66,2,FALSE)</f>
        <v>0</v>
      </c>
      <c r="N30" s="1036">
        <f>VLOOKUP($B30,BD!$B$61:$C$66,2,FALSE)</f>
        <v>0</v>
      </c>
      <c r="O30" s="1036">
        <f>VLOOKUP($B30,BD!$B$61:$C$66,2,FALSE)</f>
        <v>0</v>
      </c>
      <c r="P30" s="1036">
        <f>VLOOKUP($B30,BD!$B$61:$C$66,2,FALSE)</f>
        <v>0</v>
      </c>
      <c r="Q30" s="1036">
        <f>VLOOKUP($B30,BD!$B$61:$C$66,2,FALSE)</f>
        <v>0</v>
      </c>
      <c r="S30" s="9"/>
      <c r="T30" s="9"/>
      <c r="U30" s="9"/>
      <c r="V30" s="9"/>
    </row>
    <row r="31" spans="1:22">
      <c r="A31" s="710" t="s">
        <v>1446</v>
      </c>
      <c r="B31" s="711" t="s">
        <v>778</v>
      </c>
      <c r="C31" s="712">
        <f>IF(C43=0,0,VLOOKUP($B31,BD!$B$61:$C$66,2,FALSE))</f>
        <v>0</v>
      </c>
      <c r="D31" s="712">
        <f>IF(D43=0,0,VLOOKUP($B31,BD!$B$61:$C$66,2,FALSE))</f>
        <v>0</v>
      </c>
      <c r="E31" s="712">
        <f>IF(E43=0,0,VLOOKUP($B31,BD!$B$61:$C$66,2,FALSE))</f>
        <v>0</v>
      </c>
      <c r="F31" s="712">
        <f>VLOOKUP($B31,BD!$B$61:$C$66,2,FALSE)</f>
        <v>2169.16</v>
      </c>
      <c r="G31" s="712">
        <f>VLOOKUP($B31,BD!$B$61:$C$66,2,FALSE)</f>
        <v>2169.16</v>
      </c>
      <c r="H31" s="712">
        <f>VLOOKUP($B31,BD!$B$61:$C$66,2,FALSE)</f>
        <v>2169.16</v>
      </c>
      <c r="I31" s="712">
        <f>VLOOKUP($B31,BD!$B$61:$C$66,2,FALSE)</f>
        <v>2169.16</v>
      </c>
      <c r="J31" s="712">
        <f>VLOOKUP($B31,BD!$B$61:$C$66,2,FALSE)</f>
        <v>2169.16</v>
      </c>
      <c r="K31" s="712">
        <f>VLOOKUP($B31,BD!$B$61:$C$66,2,FALSE)</f>
        <v>2169.16</v>
      </c>
      <c r="L31" s="712">
        <f>VLOOKUP($B31,BD!$B$61:$C$66,2,FALSE)</f>
        <v>2169.16</v>
      </c>
      <c r="M31" s="712">
        <f>VLOOKUP($B31,BD!$B$61:$C$66,2,FALSE)</f>
        <v>2169.16</v>
      </c>
      <c r="N31" s="712">
        <f>VLOOKUP($B31,BD!$B$61:$C$66,2,FALSE)</f>
        <v>2169.16</v>
      </c>
      <c r="O31" s="712">
        <f>VLOOKUP($B31,BD!$B$61:$C$66,2,FALSE)</f>
        <v>2169.16</v>
      </c>
      <c r="P31" s="712">
        <f>VLOOKUP($B31,BD!$B$61:$C$66,2,FALSE)</f>
        <v>2169.16</v>
      </c>
      <c r="Q31" s="712">
        <f>VLOOKUP($B31,BD!$B$61:$C$66,2,FALSE)</f>
        <v>2169.16</v>
      </c>
      <c r="S31" s="9"/>
      <c r="T31" s="9"/>
      <c r="U31" s="9"/>
      <c r="V31" s="9"/>
    </row>
    <row r="32" spans="1:22">
      <c r="A32" s="710" t="s">
        <v>1447</v>
      </c>
      <c r="B32" s="711" t="s">
        <v>781</v>
      </c>
      <c r="C32" s="712">
        <f>IF(C44=0,0,VLOOKUP($B32,BD!$B$61:$C$66,2,FALSE))</f>
        <v>0</v>
      </c>
      <c r="D32" s="712">
        <f>IF(D44=0,0,VLOOKUP($B32,BD!$B$61:$C$66,2,FALSE))</f>
        <v>0</v>
      </c>
      <c r="E32" s="712">
        <f>IF(E44=0,0,VLOOKUP($B32,BD!$B$61:$C$66,2,FALSE))</f>
        <v>0</v>
      </c>
      <c r="F32" s="712">
        <f>VLOOKUP($B32,BD!$B$61:$C$66,2,FALSE)</f>
        <v>257172.85</v>
      </c>
      <c r="G32" s="712">
        <f>VLOOKUP($B32,BD!$B$61:$C$66,2,FALSE)</f>
        <v>257172.85</v>
      </c>
      <c r="H32" s="712">
        <f>VLOOKUP($B32,BD!$B$61:$C$66,2,FALSE)</f>
        <v>257172.85</v>
      </c>
      <c r="I32" s="712">
        <f>VLOOKUP($B32,BD!$B$61:$C$66,2,FALSE)</f>
        <v>257172.85</v>
      </c>
      <c r="J32" s="712">
        <f>VLOOKUP($B32,BD!$B$61:$C$66,2,FALSE)</f>
        <v>257172.85</v>
      </c>
      <c r="K32" s="712">
        <f>VLOOKUP($B32,BD!$B$61:$C$66,2,FALSE)</f>
        <v>257172.85</v>
      </c>
      <c r="L32" s="712">
        <f>VLOOKUP($B32,BD!$B$61:$C$66,2,FALSE)</f>
        <v>257172.85</v>
      </c>
      <c r="M32" s="712">
        <f>VLOOKUP($B32,BD!$B$61:$C$66,2,FALSE)</f>
        <v>257172.85</v>
      </c>
      <c r="N32" s="712">
        <f>VLOOKUP($B32,BD!$B$61:$C$66,2,FALSE)</f>
        <v>257172.85</v>
      </c>
      <c r="O32" s="712">
        <f>VLOOKUP($B32,BD!$B$61:$C$66,2,FALSE)</f>
        <v>257172.85</v>
      </c>
      <c r="P32" s="712">
        <f>VLOOKUP($B32,BD!$B$61:$C$66,2,FALSE)</f>
        <v>257172.85</v>
      </c>
      <c r="Q32" s="712">
        <f>VLOOKUP($B32,BD!$B$61:$C$66,2,FALSE)</f>
        <v>257172.85</v>
      </c>
      <c r="S32" s="9"/>
      <c r="T32" s="9"/>
      <c r="U32" s="9"/>
      <c r="V32" s="9"/>
    </row>
    <row r="33" spans="1:22">
      <c r="A33" s="713" t="s">
        <v>1448</v>
      </c>
      <c r="B33" s="711" t="s">
        <v>783</v>
      </c>
      <c r="C33" s="712">
        <f>IF(C45=0,0,VLOOKUP($B33,BD!$B$61:$C$66,2,FALSE))</f>
        <v>0</v>
      </c>
      <c r="D33" s="712">
        <f>IF(D45=0,0,VLOOKUP($B33,BD!$B$61:$C$66,2,FALSE))</f>
        <v>0</v>
      </c>
      <c r="E33" s="712">
        <f>IF(E45=0,0,VLOOKUP($B33,BD!$B$61:$C$66,2,FALSE))</f>
        <v>0</v>
      </c>
      <c r="F33" s="712">
        <f>VLOOKUP($B33,BD!$B$61:$C$66,2,FALSE)</f>
        <v>0</v>
      </c>
      <c r="G33" s="712">
        <f>VLOOKUP($B33,BD!$B$61:$C$66,2,FALSE)</f>
        <v>0</v>
      </c>
      <c r="H33" s="712">
        <f>VLOOKUP($B33,BD!$B$61:$C$66,2,FALSE)</f>
        <v>0</v>
      </c>
      <c r="I33" s="712">
        <f>VLOOKUP($B33,BD!$B$61:$C$66,2,FALSE)</f>
        <v>0</v>
      </c>
      <c r="J33" s="712">
        <f>VLOOKUP($B33,BD!$B$61:$C$66,2,FALSE)</f>
        <v>0</v>
      </c>
      <c r="K33" s="712">
        <f>VLOOKUP($B33,BD!$B$61:$C$66,2,FALSE)</f>
        <v>0</v>
      </c>
      <c r="L33" s="712">
        <f>VLOOKUP($B33,BD!$B$61:$C$66,2,FALSE)</f>
        <v>0</v>
      </c>
      <c r="M33" s="712">
        <f>VLOOKUP($B33,BD!$B$61:$C$66,2,FALSE)</f>
        <v>0</v>
      </c>
      <c r="N33" s="712">
        <f>VLOOKUP($B33,BD!$B$61:$C$66,2,FALSE)</f>
        <v>0</v>
      </c>
      <c r="O33" s="712">
        <f>VLOOKUP($B33,BD!$B$61:$C$66,2,FALSE)</f>
        <v>0</v>
      </c>
      <c r="P33" s="712">
        <f>VLOOKUP($B33,BD!$B$61:$C$66,2,FALSE)</f>
        <v>0</v>
      </c>
      <c r="Q33" s="712">
        <f>VLOOKUP($B33,BD!$B$61:$C$66,2,FALSE)</f>
        <v>0</v>
      </c>
      <c r="S33" s="9"/>
      <c r="T33" s="9"/>
      <c r="U33" s="9"/>
      <c r="V33" s="9"/>
    </row>
    <row r="34" spans="1:22">
      <c r="A34" s="1493" t="s">
        <v>1449</v>
      </c>
      <c r="B34" s="1494" t="s">
        <v>1276</v>
      </c>
      <c r="C34" s="1500">
        <f t="shared" ref="C34:Q34" si="13">C22</f>
        <v>1.1768213386458592</v>
      </c>
      <c r="D34" s="1500">
        <f t="shared" si="13"/>
        <v>1.1593353264324466</v>
      </c>
      <c r="E34" s="1500">
        <f t="shared" si="13"/>
        <v>1.1137138790355088</v>
      </c>
      <c r="F34" s="1495">
        <f t="shared" si="13"/>
        <v>1.1070423608832305</v>
      </c>
      <c r="G34" s="1495">
        <f t="shared" si="13"/>
        <v>1.0985033599453922</v>
      </c>
      <c r="H34" s="1495">
        <f t="shared" si="13"/>
        <v>1.0912608014368317</v>
      </c>
      <c r="I34" s="1495">
        <f t="shared" si="13"/>
        <v>1.0982835198725092</v>
      </c>
      <c r="J34" s="1495">
        <f t="shared" si="13"/>
        <v>1.0912678012944399</v>
      </c>
      <c r="K34" s="1495">
        <f t="shared" si="13"/>
        <v>1.0910678407267911</v>
      </c>
      <c r="L34" s="1495">
        <f t="shared" si="13"/>
        <v>1.0816484829989064</v>
      </c>
      <c r="M34" s="1495">
        <f t="shared" si="13"/>
        <v>1.0623399307225074</v>
      </c>
      <c r="N34" s="1495">
        <f t="shared" si="13"/>
        <v>1.0432185825187947</v>
      </c>
      <c r="O34" s="1495">
        <f t="shared" si="13"/>
        <v>1.0253689885984203</v>
      </c>
      <c r="P34" s="1495">
        <f t="shared" si="13"/>
        <v>1.011099422741718</v>
      </c>
      <c r="Q34" s="1495">
        <f t="shared" si="13"/>
        <v>1.0058524282636221</v>
      </c>
      <c r="S34" s="9"/>
      <c r="T34" s="9"/>
      <c r="U34" s="9"/>
      <c r="V34" s="9"/>
    </row>
    <row r="35" spans="1:22">
      <c r="A35" s="1496" t="s">
        <v>1450</v>
      </c>
      <c r="B35" s="1497"/>
      <c r="C35" s="1498">
        <f>SUM(C28:C33)*C34</f>
        <v>0</v>
      </c>
      <c r="D35" s="1498">
        <f t="shared" ref="D35:Q35" si="14">SUM(D28:D33)*D34</f>
        <v>0</v>
      </c>
      <c r="E35" s="1498">
        <f t="shared" si="14"/>
        <v>0</v>
      </c>
      <c r="F35" s="1499">
        <f t="shared" si="14"/>
        <v>321732.58092026558</v>
      </c>
      <c r="G35" s="1499">
        <f t="shared" si="14"/>
        <v>319250.94615425769</v>
      </c>
      <c r="H35" s="1499">
        <f t="shared" si="14"/>
        <v>317146.08808941708</v>
      </c>
      <c r="I35" s="1499">
        <f t="shared" si="14"/>
        <v>319187.05545184412</v>
      </c>
      <c r="J35" s="1499">
        <f t="shared" si="14"/>
        <v>317148.12241288472</v>
      </c>
      <c r="K35" s="1499">
        <f t="shared" si="14"/>
        <v>317090.00916285458</v>
      </c>
      <c r="L35" s="1499">
        <f t="shared" si="14"/>
        <v>314352.52198125678</v>
      </c>
      <c r="M35" s="1499">
        <f t="shared" si="14"/>
        <v>308741.00197332917</v>
      </c>
      <c r="N35" s="1499">
        <f t="shared" si="14"/>
        <v>303183.88787758007</v>
      </c>
      <c r="O35" s="1499">
        <f t="shared" si="14"/>
        <v>297996.37552638241</v>
      </c>
      <c r="P35" s="1499">
        <f t="shared" si="14"/>
        <v>293849.30364014884</v>
      </c>
      <c r="Q35" s="1499">
        <f t="shared" si="14"/>
        <v>292324.4034780942</v>
      </c>
      <c r="R35" s="9"/>
      <c r="S35" s="9"/>
      <c r="T35" s="9"/>
      <c r="U35" s="9"/>
      <c r="V35" s="9"/>
    </row>
    <row r="36" spans="1:22">
      <c r="A36" s="1501"/>
      <c r="B36" s="1483"/>
      <c r="C36" s="1501"/>
      <c r="D36" s="358"/>
      <c r="E36" s="358"/>
      <c r="F36" s="65"/>
      <c r="G36" s="358"/>
      <c r="H36" s="358"/>
      <c r="I36" s="358"/>
      <c r="J36" s="358"/>
      <c r="K36" s="358"/>
      <c r="L36" s="358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7" t="s">
        <v>1453</v>
      </c>
      <c r="B37" s="711"/>
      <c r="C37" s="358"/>
      <c r="D37" s="358"/>
      <c r="E37" s="358"/>
      <c r="F37" s="65"/>
      <c r="G37" s="358"/>
      <c r="H37" s="358"/>
      <c r="I37" s="358"/>
      <c r="J37" s="358"/>
      <c r="K37" s="358"/>
      <c r="L37" s="358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774" t="s">
        <v>22</v>
      </c>
      <c r="B38" s="1775" t="s">
        <v>1442</v>
      </c>
      <c r="C38" s="358"/>
      <c r="D38" s="358"/>
      <c r="E38" s="358"/>
      <c r="F38" s="9"/>
      <c r="G38" s="358"/>
      <c r="H38" s="358"/>
      <c r="I38" s="358"/>
      <c r="J38" s="358"/>
      <c r="K38" s="358"/>
      <c r="L38" s="358"/>
      <c r="M38" s="358"/>
      <c r="N38" s="358"/>
      <c r="O38" s="65"/>
      <c r="P38" s="65"/>
      <c r="Q38" s="65"/>
      <c r="R38" s="9"/>
      <c r="S38" s="9"/>
      <c r="T38" s="9"/>
      <c r="U38" s="9"/>
      <c r="V38" s="9"/>
    </row>
    <row r="39" spans="1:22">
      <c r="A39" s="1774"/>
      <c r="B39" s="1776"/>
      <c r="C39" s="1502">
        <f>C27</f>
        <v>44287</v>
      </c>
      <c r="D39" s="1502">
        <f t="shared" ref="D39:E39" si="15">D27</f>
        <v>44317</v>
      </c>
      <c r="E39" s="1502">
        <f t="shared" si="15"/>
        <v>44348</v>
      </c>
      <c r="G39" s="897"/>
      <c r="H39" s="897"/>
      <c r="I39" s="897"/>
      <c r="J39" s="897"/>
      <c r="K39" s="897"/>
      <c r="L39" s="900"/>
      <c r="M39" s="358"/>
      <c r="N39" s="358"/>
      <c r="O39" s="65"/>
      <c r="P39" s="65"/>
      <c r="Q39" s="65"/>
      <c r="R39" s="9"/>
      <c r="S39" s="9"/>
      <c r="T39" s="9"/>
      <c r="U39" s="9"/>
      <c r="V39" s="9"/>
    </row>
    <row r="40" spans="1:22">
      <c r="A40" s="710" t="s">
        <v>1443</v>
      </c>
      <c r="B40" s="714"/>
      <c r="C40" s="715"/>
      <c r="D40" s="716"/>
      <c r="E40" s="716"/>
      <c r="F40" s="65"/>
      <c r="G40" s="901"/>
      <c r="H40" s="712"/>
      <c r="I40" s="712"/>
      <c r="J40" s="712"/>
      <c r="K40" s="712"/>
      <c r="L40" s="358"/>
      <c r="M40" s="358"/>
      <c r="N40" s="358"/>
      <c r="O40" s="65"/>
      <c r="P40" s="65"/>
      <c r="Q40" s="65"/>
      <c r="R40" s="9"/>
      <c r="S40" s="9"/>
      <c r="T40" s="9"/>
      <c r="U40" s="9"/>
      <c r="V40" s="9"/>
    </row>
    <row r="41" spans="1:22">
      <c r="A41" s="710" t="s">
        <v>1444</v>
      </c>
      <c r="B41" s="714"/>
      <c r="C41" s="715"/>
      <c r="D41" s="716"/>
      <c r="E41" s="716"/>
      <c r="F41" s="65"/>
      <c r="G41" s="901"/>
      <c r="H41" s="712"/>
      <c r="I41" s="712"/>
      <c r="J41" s="712"/>
      <c r="K41" s="712"/>
      <c r="L41" s="358"/>
      <c r="M41" s="358"/>
      <c r="N41" s="358"/>
      <c r="O41" s="65"/>
      <c r="P41" s="65"/>
      <c r="Q41" s="65"/>
      <c r="R41" s="9"/>
      <c r="S41" s="9"/>
      <c r="T41" s="9"/>
      <c r="U41" s="9"/>
      <c r="V41" s="9"/>
    </row>
    <row r="42" spans="1:22">
      <c r="A42" s="710" t="s">
        <v>1445</v>
      </c>
      <c r="B42" s="714"/>
      <c r="C42" s="715"/>
      <c r="D42" s="716"/>
      <c r="E42" s="716"/>
      <c r="F42" s="65"/>
      <c r="G42" s="901"/>
      <c r="H42" s="712"/>
      <c r="I42" s="712"/>
      <c r="J42" s="712"/>
      <c r="K42" s="712"/>
      <c r="L42" s="902"/>
      <c r="M42" s="358"/>
      <c r="N42" s="358"/>
      <c r="O42" s="65"/>
      <c r="P42" s="65"/>
      <c r="Q42" s="65"/>
      <c r="R42" s="9"/>
      <c r="S42" s="9"/>
      <c r="T42" s="9"/>
      <c r="U42" s="9"/>
      <c r="V42" s="9"/>
    </row>
    <row r="43" spans="1:22">
      <c r="A43" s="710" t="s">
        <v>1446</v>
      </c>
      <c r="B43" s="714"/>
      <c r="C43" s="715"/>
      <c r="D43" s="716"/>
      <c r="E43" s="716"/>
      <c r="F43" s="65"/>
      <c r="G43" s="901"/>
      <c r="H43" s="712"/>
      <c r="I43" s="712"/>
      <c r="J43" s="712"/>
      <c r="K43" s="712"/>
      <c r="L43" s="902"/>
      <c r="M43" s="358"/>
      <c r="N43" s="358"/>
      <c r="O43" s="65"/>
      <c r="P43" s="65"/>
      <c r="Q43" s="65"/>
      <c r="R43" s="9"/>
      <c r="S43" s="9"/>
      <c r="T43" s="9"/>
      <c r="U43" s="9"/>
      <c r="V43" s="9"/>
    </row>
    <row r="44" spans="1:22">
      <c r="A44" s="710" t="s">
        <v>1447</v>
      </c>
      <c r="B44" s="714"/>
      <c r="C44" s="715"/>
      <c r="D44" s="716"/>
      <c r="E44" s="716"/>
      <c r="F44" s="65"/>
      <c r="G44" s="901"/>
      <c r="H44" s="712"/>
      <c r="I44" s="712"/>
      <c r="J44" s="712"/>
      <c r="K44" s="712"/>
      <c r="L44" s="902"/>
      <c r="M44" s="358"/>
      <c r="N44" s="358"/>
      <c r="O44" s="65"/>
      <c r="P44" s="65"/>
      <c r="Q44" s="65"/>
      <c r="R44" s="9"/>
      <c r="S44" s="9"/>
      <c r="T44" s="9"/>
      <c r="U44" s="9"/>
      <c r="V44" s="9"/>
    </row>
    <row r="45" spans="1:22">
      <c r="A45" s="713" t="s">
        <v>1448</v>
      </c>
      <c r="B45" s="714"/>
      <c r="C45" s="717"/>
      <c r="D45" s="899"/>
      <c r="E45" s="899"/>
      <c r="F45" s="65"/>
      <c r="G45" s="901"/>
      <c r="H45" s="712"/>
      <c r="I45" s="712"/>
      <c r="J45" s="712"/>
      <c r="K45" s="712"/>
      <c r="L45" s="902"/>
      <c r="M45" s="358"/>
      <c r="N45" s="358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8"/>
      <c r="I46" s="358"/>
      <c r="J46" s="358"/>
      <c r="K46" s="903"/>
      <c r="L46" s="904"/>
      <c r="M46" s="358"/>
      <c r="N46" s="358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503" t="s">
        <v>8</v>
      </c>
      <c r="B49" s="1504"/>
      <c r="C49" s="1503"/>
      <c r="D49" s="9" t="s">
        <v>1454</v>
      </c>
    </row>
    <row r="50" spans="1:10">
      <c r="A50" s="1504" t="s">
        <v>2</v>
      </c>
      <c r="B50" s="1504"/>
      <c r="C50" s="1478"/>
    </row>
    <row r="51" spans="1:10">
      <c r="A51" s="1504" t="s">
        <v>3</v>
      </c>
      <c r="B51" s="1504"/>
      <c r="C51" s="1478"/>
      <c r="D51" s="234"/>
    </row>
    <row r="52" spans="1:10">
      <c r="A52" s="1504" t="s">
        <v>4</v>
      </c>
      <c r="B52" s="1504"/>
      <c r="C52" s="1478"/>
      <c r="D52" s="234"/>
    </row>
    <row r="53" spans="1:10">
      <c r="A53" s="1504" t="s">
        <v>5</v>
      </c>
      <c r="B53" s="1504"/>
      <c r="C53" s="1478"/>
      <c r="D53" s="234">
        <f>VLOOKUP(idsreag,Subsidio!$A$1:$J$52,10,FALSE)</f>
        <v>0</v>
      </c>
    </row>
    <row r="54" spans="1:10">
      <c r="A54" s="1504" t="s">
        <v>6</v>
      </c>
      <c r="B54" s="1504"/>
      <c r="C54" s="1478"/>
      <c r="D54" s="234"/>
      <c r="H54" s="1505"/>
      <c r="I54" s="1506"/>
      <c r="J54" s="1507"/>
    </row>
    <row r="55" spans="1:10">
      <c r="A55" s="1504" t="s">
        <v>7</v>
      </c>
      <c r="B55" s="1504"/>
      <c r="C55" s="1478"/>
      <c r="D55" s="234"/>
      <c r="H55" s="234"/>
      <c r="I55" s="234"/>
      <c r="J55" s="234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H1" zoomScale="85" zoomScaleNormal="85" workbookViewId="0">
      <pane ySplit="3" topLeftCell="A49" activePane="bottomLeft" state="frozen"/>
      <selection activeCell="D36" sqref="D36"/>
      <selection pane="bottomLeft" activeCell="Q80" sqref="Q80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10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1038" t="s">
        <v>1455</v>
      </c>
      <c r="C1" s="263"/>
      <c r="D1" s="263"/>
      <c r="E1" s="206"/>
      <c r="F1" s="1508"/>
      <c r="G1" s="1248" t="s">
        <v>952</v>
      </c>
      <c r="H1" s="1249">
        <f ca="1">LnkTXTIRTEco</f>
        <v>0.1024</v>
      </c>
    </row>
    <row r="2" spans="2:26" ht="14.25">
      <c r="B2" s="138" t="str">
        <f>CAPA!C9</f>
        <v>Cerfox</v>
      </c>
      <c r="C2" s="1509"/>
      <c r="D2" s="1509"/>
      <c r="E2" s="1509"/>
      <c r="F2" s="1510"/>
      <c r="G2" s="121" t="s">
        <v>956</v>
      </c>
      <c r="H2" s="122">
        <f ca="1">LnkTXTIRTTotal</f>
        <v>-0.24399999999999999</v>
      </c>
      <c r="N2" s="212"/>
    </row>
    <row r="3" spans="2:26" ht="14.25"/>
    <row r="4" spans="2:26" ht="14.25">
      <c r="B4" s="207"/>
      <c r="C4" s="206"/>
      <c r="D4" s="206"/>
      <c r="E4" s="206"/>
      <c r="F4" s="213"/>
      <c r="G4" s="211"/>
      <c r="O4" s="1777"/>
      <c r="P4" s="1777"/>
      <c r="Z4" s="68"/>
    </row>
    <row r="5" spans="2:26" ht="14.25" customHeight="1">
      <c r="E5" s="210"/>
      <c r="G5" s="210"/>
      <c r="I5" s="210"/>
      <c r="K5" s="210"/>
      <c r="O5" s="272"/>
      <c r="P5" s="292"/>
      <c r="Z5" s="68"/>
    </row>
    <row r="6" spans="2:26" ht="14.25">
      <c r="L6" s="1511" t="s">
        <v>1456</v>
      </c>
      <c r="M6" s="1512"/>
      <c r="O6" s="272"/>
      <c r="P6" s="292"/>
      <c r="Z6" s="68"/>
    </row>
    <row r="7" spans="2:26" ht="14.25">
      <c r="C7" s="71"/>
      <c r="L7" s="214" t="s">
        <v>1276</v>
      </c>
      <c r="M7" s="215">
        <v>1</v>
      </c>
      <c r="O7" s="272"/>
      <c r="P7" s="292"/>
      <c r="Z7" s="68"/>
    </row>
    <row r="8" spans="2:26" ht="14.25">
      <c r="L8" s="214" t="s">
        <v>848</v>
      </c>
      <c r="M8" s="215">
        <v>2</v>
      </c>
      <c r="O8" s="272"/>
      <c r="P8" s="292"/>
      <c r="Z8" s="68"/>
    </row>
    <row r="9" spans="2:26" ht="14.25">
      <c r="B9" s="293" t="s">
        <v>1457</v>
      </c>
      <c r="D9" s="294" t="s">
        <v>1458</v>
      </c>
      <c r="L9" s="214" t="s">
        <v>1459</v>
      </c>
      <c r="M9" s="215">
        <v>4</v>
      </c>
      <c r="O9" s="272"/>
      <c r="P9" s="292"/>
      <c r="Z9" s="68"/>
    </row>
    <row r="10" spans="2:26" ht="14.25">
      <c r="L10" s="214" t="s">
        <v>1460</v>
      </c>
      <c r="M10" s="216">
        <f>CAPA!K16</f>
        <v>0.10704236088323049</v>
      </c>
      <c r="O10" s="272"/>
      <c r="P10" s="292"/>
      <c r="Z10" s="68"/>
    </row>
    <row r="11" spans="2:26" ht="14.25">
      <c r="B11" s="1780" t="s">
        <v>1461</v>
      </c>
      <c r="C11" s="1781"/>
      <c r="D11" s="1513" t="s">
        <v>1462</v>
      </c>
      <c r="E11" s="1514" t="s">
        <v>1463</v>
      </c>
      <c r="F11" s="1515" t="s">
        <v>1464</v>
      </c>
      <c r="G11" s="1514"/>
      <c r="H11" s="1514"/>
      <c r="I11" s="1514"/>
      <c r="J11" s="1514"/>
      <c r="L11" s="214" t="s">
        <v>1465</v>
      </c>
      <c r="M11" s="216">
        <f>CAPA!K17</f>
        <v>0.11886869625198027</v>
      </c>
      <c r="O11" s="272"/>
      <c r="P11" s="292"/>
      <c r="Z11" s="68"/>
    </row>
    <row r="12" spans="2:26" ht="14.25">
      <c r="B12" s="1786" t="s">
        <v>1466</v>
      </c>
      <c r="C12" s="1781"/>
      <c r="D12" s="1516" t="s">
        <v>1459</v>
      </c>
      <c r="E12" s="1516" t="s">
        <v>848</v>
      </c>
      <c r="F12" s="1516" t="s">
        <v>848</v>
      </c>
      <c r="G12" s="1516" t="s">
        <v>848</v>
      </c>
      <c r="H12" s="1516" t="s">
        <v>848</v>
      </c>
      <c r="I12" s="1516" t="s">
        <v>848</v>
      </c>
      <c r="J12" s="1516" t="s">
        <v>848</v>
      </c>
      <c r="L12" s="1517" t="s">
        <v>1467</v>
      </c>
      <c r="M12" s="1518">
        <v>41275</v>
      </c>
      <c r="O12" s="272"/>
      <c r="P12" s="292"/>
      <c r="Z12" s="68"/>
    </row>
    <row r="13" spans="2:26" ht="14.25">
      <c r="B13" s="1787" t="s">
        <v>1468</v>
      </c>
      <c r="C13" s="1788"/>
      <c r="D13" s="1519">
        <v>43617</v>
      </c>
      <c r="E13" s="1519">
        <v>43617</v>
      </c>
      <c r="F13" s="1519">
        <v>43617</v>
      </c>
      <c r="G13" s="1519">
        <f t="shared" ref="G13:J14" si="0">F13</f>
        <v>43617</v>
      </c>
      <c r="H13" s="1519">
        <f t="shared" si="0"/>
        <v>43617</v>
      </c>
      <c r="I13" s="1519">
        <f t="shared" si="0"/>
        <v>43617</v>
      </c>
      <c r="J13" s="1519">
        <f t="shared" si="0"/>
        <v>43617</v>
      </c>
      <c r="L13" s="199"/>
      <c r="M13" s="217">
        <v>41306</v>
      </c>
      <c r="O13" s="272"/>
      <c r="P13" s="292"/>
      <c r="Z13" s="68"/>
    </row>
    <row r="14" spans="2:26" ht="14.25">
      <c r="B14" s="1778" t="s">
        <v>1469</v>
      </c>
      <c r="C14" s="1779"/>
      <c r="D14" s="1519">
        <v>42887</v>
      </c>
      <c r="E14" s="1519">
        <v>43252</v>
      </c>
      <c r="F14" s="1519">
        <v>43252</v>
      </c>
      <c r="G14" s="1519">
        <f t="shared" si="0"/>
        <v>43252</v>
      </c>
      <c r="H14" s="1519">
        <f t="shared" si="0"/>
        <v>43252</v>
      </c>
      <c r="I14" s="1519">
        <f t="shared" si="0"/>
        <v>43252</v>
      </c>
      <c r="J14" s="1519">
        <f t="shared" si="0"/>
        <v>43252</v>
      </c>
      <c r="L14" s="1520"/>
      <c r="M14" s="1521">
        <v>41334</v>
      </c>
      <c r="O14" s="272"/>
      <c r="P14" s="292"/>
      <c r="Z14" s="68"/>
    </row>
    <row r="15" spans="2:26" ht="14.25">
      <c r="B15" s="1778" t="s">
        <v>1470</v>
      </c>
      <c r="C15" s="1779"/>
      <c r="D15" s="1522">
        <f>VLOOKUP(D13,Índices!$B$6:$F$500,VLOOKUP(D12,$L$7:$M$9,2,FALSE)+1,FALSE)/VLOOKUP(D14,Índices!$B$6:$F$500,VLOOKUP(D12,$L$7:$M$9,2,FALSE)+1,FALSE)</f>
        <v>1.1414978440075982</v>
      </c>
      <c r="E15" s="1522">
        <f>VLOOKUP(E13,Índices!$B$6:$F$500,VLOOKUP(E12,$L$7:$M$9,2,FALSE)+1,FALSE)/VLOOKUP(E14,Índices!$B$6:$F$500,VLOOKUP(E12,$L$7:$M$9,2,FALSE)+1,FALSE)</f>
        <v>1.0336626715248016</v>
      </c>
      <c r="F15" s="1522">
        <f>VLOOKUP(F13,Índices!$B$6:$F$500,VLOOKUP(F12,$L$7:$M$9,2,FALSE)+1,FALSE)/VLOOKUP(F14,Índices!$B$6:$F$500,VLOOKUP(F12,$L$7:$M$9,2,FALSE)+1,FALSE)</f>
        <v>1.0336626715248016</v>
      </c>
      <c r="G15" s="1522">
        <f>VLOOKUP(G13,Índices!$B$6:$F$500,VLOOKUP(G12,$L$7:$M$9,2,FALSE)+1,FALSE)/VLOOKUP(G14,Índices!$B$6:$F$500,VLOOKUP(G12,$L$7:$M$9,2,FALSE)+1,FALSE)</f>
        <v>1.0336626715248016</v>
      </c>
      <c r="H15" s="1522">
        <f>VLOOKUP(H13,Índices!$B$6:$F$500,VLOOKUP(H12,$L$7:$M$9,2,FALSE)+1,FALSE)/VLOOKUP(H14,Índices!$B$6:$F$500,VLOOKUP(H12,$L$7:$M$9,2,FALSE)+1,FALSE)</f>
        <v>1.0336626715248016</v>
      </c>
      <c r="I15" s="1522">
        <f>VLOOKUP(I13,Índices!$B$6:$F$500,VLOOKUP(I12,$L$7:$M$9,2,FALSE)+1,FALSE)/VLOOKUP(I14,Índices!$B$6:$F$500,VLOOKUP(I12,$L$7:$M$9,2,FALSE)+1,FALSE)</f>
        <v>1.0336626715248016</v>
      </c>
      <c r="J15" s="1522">
        <f>VLOOKUP(J13,Índices!$B$6:$F$500,VLOOKUP(J12,$L$7:$M$9,2,FALSE)+1,FALSE)/VLOOKUP(J14,Índices!$B$6:$F$500,VLOOKUP(J12,$L$7:$M$9,2,FALSE)+1,FALSE)</f>
        <v>1.0336626715248016</v>
      </c>
      <c r="O15" s="272"/>
      <c r="P15" s="292"/>
      <c r="Z15" s="68"/>
    </row>
    <row r="16" spans="2:26" ht="14.25">
      <c r="B16" s="1778" t="s">
        <v>1471</v>
      </c>
      <c r="C16" s="1779"/>
      <c r="D16" s="1523"/>
      <c r="E16" s="1523"/>
      <c r="F16" s="1523"/>
      <c r="G16" s="1523"/>
      <c r="H16" s="1523"/>
      <c r="I16" s="1523"/>
      <c r="J16" s="1523"/>
      <c r="O16" s="272"/>
      <c r="P16" s="292"/>
      <c r="Z16" s="68"/>
    </row>
    <row r="17" spans="1:26" ht="14.25">
      <c r="B17" s="1784" t="s">
        <v>1472</v>
      </c>
      <c r="C17" s="1785"/>
      <c r="D17" s="1524">
        <f t="shared" ref="D17:E17" si="1">D16*D15</f>
        <v>0</v>
      </c>
      <c r="E17" s="1524">
        <f t="shared" si="1"/>
        <v>0</v>
      </c>
      <c r="F17" s="1524">
        <f>F16*F15</f>
        <v>0</v>
      </c>
      <c r="G17" s="1524">
        <f>G16*G15</f>
        <v>0</v>
      </c>
      <c r="H17" s="1524">
        <f>H16*H15</f>
        <v>0</v>
      </c>
      <c r="I17" s="1524">
        <f>I16*I15</f>
        <v>0</v>
      </c>
      <c r="J17" s="1524">
        <f>J16*J15</f>
        <v>0</v>
      </c>
      <c r="O17" s="272"/>
      <c r="P17" s="93"/>
      <c r="Z17" s="68"/>
    </row>
    <row r="18" spans="1:26" ht="14.25">
      <c r="E18" s="295" t="s">
        <v>1473</v>
      </c>
      <c r="F18" s="505"/>
      <c r="M18" s="179"/>
      <c r="N18" s="219"/>
      <c r="O18" s="220"/>
      <c r="P18" s="208"/>
      <c r="Q18" s="218"/>
      <c r="R18" s="218"/>
      <c r="S18" s="218"/>
      <c r="T18" s="218"/>
      <c r="U18" s="218"/>
      <c r="V18" s="218"/>
      <c r="W18" s="218"/>
      <c r="X18" s="218"/>
    </row>
    <row r="19" spans="1:26" ht="14.25">
      <c r="E19" s="296" t="s">
        <v>1474</v>
      </c>
      <c r="F19" s="200">
        <f>F17*(1-F18)</f>
        <v>0</v>
      </c>
      <c r="M19" s="72"/>
      <c r="N19" s="72"/>
      <c r="O19" s="221"/>
      <c r="P19" s="108"/>
      <c r="Q19" s="211"/>
      <c r="R19" s="211"/>
      <c r="S19" s="211"/>
      <c r="T19" s="211"/>
      <c r="U19" s="211"/>
      <c r="V19" s="211"/>
      <c r="W19" s="211"/>
      <c r="X19" s="211"/>
    </row>
    <row r="20" spans="1:26" ht="16.5">
      <c r="B20" s="293" t="s">
        <v>1475</v>
      </c>
      <c r="E20" s="296" t="s">
        <v>1476</v>
      </c>
      <c r="F20" s="143">
        <f>F17-F19</f>
        <v>0</v>
      </c>
      <c r="J20" s="408">
        <v>426068.95</v>
      </c>
      <c r="M20" s="179"/>
      <c r="N20" s="219"/>
      <c r="O20" s="221"/>
      <c r="P20" s="69"/>
      <c r="Z20" s="68"/>
    </row>
    <row r="21" spans="1:26" ht="14.25">
      <c r="B21" s="293"/>
      <c r="E21" s="297"/>
      <c r="M21" s="72"/>
      <c r="N21" s="222"/>
      <c r="O21" s="221"/>
      <c r="P21" s="108"/>
      <c r="Z21" s="68"/>
    </row>
    <row r="22" spans="1:26" ht="14.25" customHeight="1">
      <c r="B22" s="1525" t="s">
        <v>1461</v>
      </c>
      <c r="C22" s="1782" t="str">
        <f>Financeiros!C9</f>
        <v>Repasse de PIS COFINS</v>
      </c>
      <c r="D22" s="1783"/>
      <c r="E22" s="1795" t="s">
        <v>1477</v>
      </c>
      <c r="F22" s="1796"/>
      <c r="G22" s="1795" t="str">
        <f>Financeiros!C27</f>
        <v>Compensação DIC FIC</v>
      </c>
      <c r="H22" s="1796"/>
      <c r="I22" s="1799" t="s">
        <v>1258</v>
      </c>
      <c r="J22" s="1800"/>
      <c r="K22" s="1789" t="s">
        <v>1478</v>
      </c>
      <c r="L22" s="1790"/>
      <c r="M22" s="1791" t="s">
        <v>1479</v>
      </c>
      <c r="N22" s="1792"/>
      <c r="O22" s="1793" t="s">
        <v>1480</v>
      </c>
      <c r="P22" s="1794"/>
      <c r="Q22" s="1793" t="s">
        <v>232</v>
      </c>
      <c r="R22" s="1794"/>
      <c r="S22" s="1793" t="s">
        <v>2185</v>
      </c>
      <c r="T22" s="1794"/>
      <c r="U22" s="1793" t="s">
        <v>2186</v>
      </c>
      <c r="V22" s="1794"/>
      <c r="Z22" s="68"/>
    </row>
    <row r="23" spans="1:26" ht="14.25">
      <c r="B23" s="1526" t="s">
        <v>1004</v>
      </c>
      <c r="C23" s="1527" t="s">
        <v>1481</v>
      </c>
      <c r="D23" s="1528" t="s">
        <v>848</v>
      </c>
      <c r="E23" s="1527" t="s">
        <v>1481</v>
      </c>
      <c r="F23" s="1528" t="s">
        <v>848</v>
      </c>
      <c r="G23" s="1527" t="s">
        <v>1481</v>
      </c>
      <c r="H23" s="1528" t="s">
        <v>848</v>
      </c>
      <c r="I23" s="1527" t="s">
        <v>1481</v>
      </c>
      <c r="J23" s="1528" t="s">
        <v>848</v>
      </c>
      <c r="K23" s="1527" t="s">
        <v>1481</v>
      </c>
      <c r="L23" s="1528" t="s">
        <v>1459</v>
      </c>
      <c r="M23" s="1529" t="s">
        <v>1481</v>
      </c>
      <c r="N23" s="1530" t="s">
        <v>1459</v>
      </c>
      <c r="O23" s="1529" t="s">
        <v>1481</v>
      </c>
      <c r="P23" s="1530" t="s">
        <v>848</v>
      </c>
      <c r="Q23" s="1529" t="s">
        <v>1481</v>
      </c>
      <c r="R23" s="1530" t="s">
        <v>848</v>
      </c>
      <c r="S23" s="1529" t="s">
        <v>1481</v>
      </c>
      <c r="T23" s="1530" t="s">
        <v>848</v>
      </c>
      <c r="U23" s="1529" t="s">
        <v>1481</v>
      </c>
      <c r="V23" s="1530" t="s">
        <v>848</v>
      </c>
      <c r="Z23" s="68"/>
    </row>
    <row r="24" spans="1:26" ht="14.25">
      <c r="B24" s="1531">
        <f>DATE(YEAR(B25),MONTH(B25)-1,1)</f>
        <v>43983</v>
      </c>
      <c r="C24" s="495"/>
      <c r="D24" s="496"/>
      <c r="E24" s="495"/>
      <c r="F24" s="496"/>
      <c r="G24" s="226"/>
      <c r="H24" s="227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6"/>
      <c r="L24" s="227">
        <f>VLOOKUP($B$48,Índices!$B$6:$F$500,VLOOKUP(L$23,$L$7:$M$9,2,FALSE)+1,FALSE)/VLOOKUP(DATE(YEAR($B24),MONTH($B24)-1,1),Índices!$B$6:$F$500,VLOOKUP(L$23,$L$7:$M$9,2,FALSE)+1,FALSE)*K24</f>
        <v>0</v>
      </c>
      <c r="M24" s="416"/>
      <c r="N24" s="100">
        <f>VLOOKUP($B$48,Índices!$B$6:$F$500,VLOOKUP(N$23,$L$7:$M$9,2,FALSE)+1,FALSE)/VLOOKUP(DATE(YEAR($B24),MONTH($B24)-1,1),Índices!$B$6:$F$500,VLOOKUP(N$23,$L$7:$M$9,2,FALSE)+1,FALSE)*M24</f>
        <v>0</v>
      </c>
      <c r="O24" s="416"/>
      <c r="P24" s="100">
        <f>VLOOKUP($B$48,Índices!$B$6:$F$500,VLOOKUP(P$23,$L$7:$M$9,2,FALSE)+1,FALSE)/VLOOKUP(DATE(YEAR($B24),MONTH($B24)-1,1),Índices!$B$6:$F$500,VLOOKUP(P$23,$L$7:$M$9,2,FALSE)+1,FALSE)*O24</f>
        <v>0</v>
      </c>
      <c r="Q24" s="226"/>
      <c r="R24" s="100">
        <f>VLOOKUP($B$48,Índices!$B$6:$F$500,VLOOKUP(R$23,$L$7:$M$9,2,FALSE)+1,FALSE)/VLOOKUP(DATE(YEAR($B24),MONTH($B24)-1,1),Índices!$B$6:$F$500,VLOOKUP(R$23,$L$7:$M$9,2,FALSE)+1,FALSE)*Q24</f>
        <v>0</v>
      </c>
      <c r="S24" s="226"/>
      <c r="T24" s="100">
        <f>VLOOKUP($B$48,Índices!$B$6:$F$500,VLOOKUP(T$23,$L$7:$M$9,2,FALSE)+1,FALSE)/VLOOKUP(DATE(YEAR($B24),MONTH($B24)-1,1),Índices!$B$6:$F$500,VLOOKUP(T$23,$L$7:$M$9,2,FALSE)+1,FALSE)*S24</f>
        <v>0</v>
      </c>
      <c r="U24" s="226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10"/>
      <c r="B25" s="272">
        <f>DATE(YEAR(B26),MONTH(B26)-1,1)</f>
        <v>44013</v>
      </c>
      <c r="C25" s="298"/>
      <c r="D25" s="227">
        <f>VLOOKUP($B$48,Índices!$B$6:$F$500,VLOOKUP(D$23,$L$7:$M$9,2,FALSE)+1,FALSE)/VLOOKUP(DATE(YEAR($B25),MONTH($B25)-1,1),Índices!$B$6:$F$500,VLOOKUP(D$23,$L$7:$M$9,2,FALSE)+1,FALSE)*C25</f>
        <v>0</v>
      </c>
      <c r="E25" s="226"/>
      <c r="F25" s="227"/>
      <c r="G25" s="226"/>
      <c r="H25" s="227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6"/>
      <c r="L25" s="227">
        <f>VLOOKUP($B$48,Índices!$B$6:$F$500,VLOOKUP(L$23,$L$7:$M$9,2,FALSE)+1,FALSE)/VLOOKUP(DATE(YEAR($B25),MONTH($B25)-1,1),Índices!$B$6:$F$500,VLOOKUP(L$23,$L$7:$M$9,2,FALSE)+1,FALSE)*K25</f>
        <v>0</v>
      </c>
      <c r="M25" s="416"/>
      <c r="N25" s="100">
        <f>VLOOKUP($B$48,Índices!$B$6:$F$500,VLOOKUP(N$23,$L$7:$M$9,2,FALSE)+1,FALSE)/VLOOKUP(DATE(YEAR($B25),MONTH($B25)-1,1),Índices!$B$6:$F$500,VLOOKUP(N$23,$L$7:$M$9,2,FALSE)+1,FALSE)*M25</f>
        <v>0</v>
      </c>
      <c r="O25" s="416"/>
      <c r="P25" s="100">
        <f>VLOOKUP($B$48,Índices!$B$6:$F$500,VLOOKUP(P$23,$L$7:$M$9,2,FALSE)+1,FALSE)/VLOOKUP(DATE(YEAR($B25),MONTH($B25)-1,1),Índices!$B$6:$F$500,VLOOKUP(P$23,$L$7:$M$9,2,FALSE)+1,FALSE)*O25</f>
        <v>0</v>
      </c>
      <c r="Q25" s="226"/>
      <c r="R25" s="100">
        <f>VLOOKUP($B$48,Índices!$B$6:$F$500,VLOOKUP(R$23,$L$7:$M$9,2,FALSE)+1,FALSE)/VLOOKUP(DATE(YEAR($B25),MONTH($B25)-1,1),Índices!$B$6:$F$500,VLOOKUP(R$23,$L$7:$M$9,2,FALSE)+1,FALSE)*Q25</f>
        <v>0</v>
      </c>
      <c r="S25" s="226"/>
      <c r="T25" s="100">
        <f>VLOOKUP($B$48,Índices!$B$6:$F$500,VLOOKUP(T$23,$L$7:$M$9,2,FALSE)+1,FALSE)/VLOOKUP(DATE(YEAR($B25),MONTH($B25)-1,1),Índices!$B$6:$F$500,VLOOKUP(T$23,$L$7:$M$9,2,FALSE)+1,FALSE)*S25</f>
        <v>0</v>
      </c>
      <c r="U25" s="226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10"/>
      <c r="B26" s="272">
        <f t="shared" ref="B26:B47" si="2">DATE(YEAR(B27),MONTH(B27)-1,1)</f>
        <v>44044</v>
      </c>
      <c r="C26" s="298"/>
      <c r="D26" s="227">
        <f>VLOOKUP($B$48,Índices!$B$6:$F$500,VLOOKUP(D$23,$L$7:$M$9,2,FALSE)+1,FALSE)/VLOOKUP(DATE(YEAR($B26),MONTH($B26)-1,1),Índices!$B$6:$F$500,VLOOKUP(D$23,$L$7:$M$9,2,FALSE)+1,FALSE)*C26</f>
        <v>0</v>
      </c>
      <c r="E26" s="226"/>
      <c r="F26" s="227"/>
      <c r="G26" s="226"/>
      <c r="H26" s="227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6"/>
      <c r="L26" s="227">
        <f>VLOOKUP($B$48,Índices!$B$6:$F$500,VLOOKUP(L$23,$L$7:$M$9,2,FALSE)+1,FALSE)/VLOOKUP(DATE(YEAR($B26),MONTH($B26)-1,1),Índices!$B$6:$F$500,VLOOKUP(L$23,$L$7:$M$9,2,FALSE)+1,FALSE)*K26</f>
        <v>0</v>
      </c>
      <c r="M26" s="416"/>
      <c r="N26" s="100">
        <f>VLOOKUP($B$48,Índices!$B$6:$F$500,VLOOKUP(N$23,$L$7:$M$9,2,FALSE)+1,FALSE)/VLOOKUP(DATE(YEAR($B26),MONTH($B26)-1,1),Índices!$B$6:$F$500,VLOOKUP(N$23,$L$7:$M$9,2,FALSE)+1,FALSE)*M26</f>
        <v>0</v>
      </c>
      <c r="O26" s="416"/>
      <c r="P26" s="100">
        <f>VLOOKUP($B$48,Índices!$B$6:$F$500,VLOOKUP(P$23,$L$7:$M$9,2,FALSE)+1,FALSE)/VLOOKUP(DATE(YEAR($B26),MONTH($B26)-1,1),Índices!$B$6:$F$500,VLOOKUP(P$23,$L$7:$M$9,2,FALSE)+1,FALSE)*O26</f>
        <v>0</v>
      </c>
      <c r="Q26" s="226"/>
      <c r="R26" s="100">
        <f>VLOOKUP($B$48,Índices!$B$6:$F$500,VLOOKUP(R$23,$L$7:$M$9,2,FALSE)+1,FALSE)/VLOOKUP(DATE(YEAR($B26),MONTH($B26)-1,1),Índices!$B$6:$F$500,VLOOKUP(R$23,$L$7:$M$9,2,FALSE)+1,FALSE)*Q26</f>
        <v>0</v>
      </c>
      <c r="S26" s="226"/>
      <c r="T26" s="100">
        <f>VLOOKUP($B$48,Índices!$B$6:$F$500,VLOOKUP(T$23,$L$7:$M$9,2,FALSE)+1,FALSE)/VLOOKUP(DATE(YEAR($B26),MONTH($B26)-1,1),Índices!$B$6:$F$500,VLOOKUP(T$23,$L$7:$M$9,2,FALSE)+1,FALSE)*S26</f>
        <v>0</v>
      </c>
      <c r="U26" s="226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10"/>
      <c r="B27" s="272">
        <f t="shared" si="2"/>
        <v>44075</v>
      </c>
      <c r="C27" s="298"/>
      <c r="D27" s="227">
        <f>VLOOKUP($B$48,Índices!$B$6:$F$500,VLOOKUP(D$23,$L$7:$M$9,2,FALSE)+1,FALSE)/VLOOKUP(DATE(YEAR($B27),MONTH($B27)-1,1),Índices!$B$6:$F$500,VLOOKUP(D$23,$L$7:$M$9,2,FALSE)+1,FALSE)*C27</f>
        <v>0</v>
      </c>
      <c r="E27" s="226"/>
      <c r="F27" s="227"/>
      <c r="G27" s="226"/>
      <c r="H27" s="227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6"/>
      <c r="L27" s="227">
        <f>VLOOKUP($B$48,Índices!$B$6:$F$500,VLOOKUP(L$23,$L$7:$M$9,2,FALSE)+1,FALSE)/VLOOKUP(DATE(YEAR($B27),MONTH($B27)-1,1),Índices!$B$6:$F$500,VLOOKUP(L$23,$L$7:$M$9,2,FALSE)+1,FALSE)*K27</f>
        <v>0</v>
      </c>
      <c r="M27" s="416"/>
      <c r="N27" s="100">
        <f>VLOOKUP($B$48,Índices!$B$6:$F$500,VLOOKUP(N$23,$L$7:$M$9,2,FALSE)+1,FALSE)/VLOOKUP(DATE(YEAR($B27),MONTH($B27)-1,1),Índices!$B$6:$F$500,VLOOKUP(N$23,$L$7:$M$9,2,FALSE)+1,FALSE)*M27</f>
        <v>0</v>
      </c>
      <c r="O27" s="416"/>
      <c r="P27" s="100">
        <f>VLOOKUP($B$48,Índices!$B$6:$F$500,VLOOKUP(P$23,$L$7:$M$9,2,FALSE)+1,FALSE)/VLOOKUP(DATE(YEAR($B27),MONTH($B27)-1,1),Índices!$B$6:$F$500,VLOOKUP(P$23,$L$7:$M$9,2,FALSE)+1,FALSE)*O27</f>
        <v>0</v>
      </c>
      <c r="Q27" s="226"/>
      <c r="R27" s="100">
        <f>VLOOKUP($B$48,Índices!$B$6:$F$500,VLOOKUP(R$23,$L$7:$M$9,2,FALSE)+1,FALSE)/VLOOKUP(DATE(YEAR($B27),MONTH($B27)-1,1),Índices!$B$6:$F$500,VLOOKUP(R$23,$L$7:$M$9,2,FALSE)+1,FALSE)*Q27</f>
        <v>0</v>
      </c>
      <c r="S27" s="226"/>
      <c r="T27" s="100">
        <f>VLOOKUP($B$48,Índices!$B$6:$F$500,VLOOKUP(T$23,$L$7:$M$9,2,FALSE)+1,FALSE)/VLOOKUP(DATE(YEAR($B27),MONTH($B27)-1,1),Índices!$B$6:$F$500,VLOOKUP(T$23,$L$7:$M$9,2,FALSE)+1,FALSE)*S27</f>
        <v>0</v>
      </c>
      <c r="U27" s="226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10"/>
      <c r="B28" s="272">
        <f t="shared" si="2"/>
        <v>44105</v>
      </c>
      <c r="C28" s="298"/>
      <c r="D28" s="227">
        <f>VLOOKUP($B$48,Índices!$B$6:$F$500,VLOOKUP(D$23,$L$7:$M$9,2,FALSE)+1,FALSE)/VLOOKUP(DATE(YEAR($B28),MONTH($B28)-1,1),Índices!$B$6:$F$500,VLOOKUP(D$23,$L$7:$M$9,2,FALSE)+1,FALSE)*C28</f>
        <v>0</v>
      </c>
      <c r="E28" s="226"/>
      <c r="F28" s="227"/>
      <c r="G28" s="226"/>
      <c r="H28" s="227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6"/>
      <c r="L28" s="227">
        <f>VLOOKUP($B$48,Índices!$B$6:$F$500,VLOOKUP(L$23,$L$7:$M$9,2,FALSE)+1,FALSE)/VLOOKUP(DATE(YEAR($B28),MONTH($B28)-1,1),Índices!$B$6:$F$500,VLOOKUP(L$23,$L$7:$M$9,2,FALSE)+1,FALSE)*K28</f>
        <v>0</v>
      </c>
      <c r="M28" s="416"/>
      <c r="N28" s="100">
        <f>VLOOKUP($B$48,Índices!$B$6:$F$500,VLOOKUP(N$23,$L$7:$M$9,2,FALSE)+1,FALSE)/VLOOKUP(DATE(YEAR($B28),MONTH($B28)-1,1),Índices!$B$6:$F$500,VLOOKUP(N$23,$L$7:$M$9,2,FALSE)+1,FALSE)*M28</f>
        <v>0</v>
      </c>
      <c r="O28" s="416"/>
      <c r="P28" s="100">
        <f>VLOOKUP($B$48,Índices!$B$6:$F$500,VLOOKUP(P$23,$L$7:$M$9,2,FALSE)+1,FALSE)/VLOOKUP(DATE(YEAR($B28),MONTH($B28)-1,1),Índices!$B$6:$F$500,VLOOKUP(P$23,$L$7:$M$9,2,FALSE)+1,FALSE)*O28</f>
        <v>0</v>
      </c>
      <c r="Q28" s="226"/>
      <c r="R28" s="100">
        <f>VLOOKUP($B$48,Índices!$B$6:$F$500,VLOOKUP(R$23,$L$7:$M$9,2,FALSE)+1,FALSE)/VLOOKUP(DATE(YEAR($B28),MONTH($B28)-1,1),Índices!$B$6:$F$500,VLOOKUP(R$23,$L$7:$M$9,2,FALSE)+1,FALSE)*Q28</f>
        <v>0</v>
      </c>
      <c r="S28" s="226"/>
      <c r="T28" s="100">
        <f>VLOOKUP($B$48,Índices!$B$6:$F$500,VLOOKUP(T$23,$L$7:$M$9,2,FALSE)+1,FALSE)/VLOOKUP(DATE(YEAR($B28),MONTH($B28)-1,1),Índices!$B$6:$F$500,VLOOKUP(T$23,$L$7:$M$9,2,FALSE)+1,FALSE)*S28</f>
        <v>0</v>
      </c>
      <c r="U28" s="226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10"/>
      <c r="B29" s="272">
        <f t="shared" si="2"/>
        <v>44136</v>
      </c>
      <c r="C29" s="298"/>
      <c r="D29" s="227">
        <f>VLOOKUP($B$48,Índices!$B$6:$F$500,VLOOKUP(D$23,$L$7:$M$9,2,FALSE)+1,FALSE)/VLOOKUP(DATE(YEAR($B29),MONTH($B29)-1,1),Índices!$B$6:$F$500,VLOOKUP(D$23,$L$7:$M$9,2,FALSE)+1,FALSE)*C29</f>
        <v>0</v>
      </c>
      <c r="E29" s="226"/>
      <c r="F29" s="227"/>
      <c r="G29" s="226"/>
      <c r="H29" s="227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6"/>
      <c r="L29" s="227">
        <f>VLOOKUP($B$48,Índices!$B$6:$F$500,VLOOKUP(L$23,$L$7:$M$9,2,FALSE)+1,FALSE)/VLOOKUP(DATE(YEAR($B29),MONTH($B29)-1,1),Índices!$B$6:$F$500,VLOOKUP(L$23,$L$7:$M$9,2,FALSE)+1,FALSE)*K29</f>
        <v>0</v>
      </c>
      <c r="M29" s="416"/>
      <c r="N29" s="100">
        <f>VLOOKUP($B$48,Índices!$B$6:$F$500,VLOOKUP(N$23,$L$7:$M$9,2,FALSE)+1,FALSE)/VLOOKUP(DATE(YEAR($B29),MONTH($B29)-1,1),Índices!$B$6:$F$500,VLOOKUP(N$23,$L$7:$M$9,2,FALSE)+1,FALSE)*M29</f>
        <v>0</v>
      </c>
      <c r="O29" s="416"/>
      <c r="P29" s="100">
        <f>VLOOKUP($B$48,Índices!$B$6:$F$500,VLOOKUP(P$23,$L$7:$M$9,2,FALSE)+1,FALSE)/VLOOKUP(DATE(YEAR($B29),MONTH($B29)-1,1),Índices!$B$6:$F$500,VLOOKUP(P$23,$L$7:$M$9,2,FALSE)+1,FALSE)*O29</f>
        <v>0</v>
      </c>
      <c r="Q29" s="226"/>
      <c r="R29" s="100">
        <f>VLOOKUP($B$48,Índices!$B$6:$F$500,VLOOKUP(R$23,$L$7:$M$9,2,FALSE)+1,FALSE)/VLOOKUP(DATE(YEAR($B29),MONTH($B29)-1,1),Índices!$B$6:$F$500,VLOOKUP(R$23,$L$7:$M$9,2,FALSE)+1,FALSE)*Q29</f>
        <v>0</v>
      </c>
      <c r="S29" s="226"/>
      <c r="T29" s="100">
        <f>VLOOKUP($B$48,Índices!$B$6:$F$500,VLOOKUP(T$23,$L$7:$M$9,2,FALSE)+1,FALSE)/VLOOKUP(DATE(YEAR($B29),MONTH($B29)-1,1),Índices!$B$6:$F$500,VLOOKUP(T$23,$L$7:$M$9,2,FALSE)+1,FALSE)*S29</f>
        <v>0</v>
      </c>
      <c r="U29" s="226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10"/>
      <c r="B30" s="272">
        <f t="shared" si="2"/>
        <v>44166</v>
      </c>
      <c r="C30" s="298"/>
      <c r="D30" s="227">
        <f>VLOOKUP($B$48,Índices!$B$6:$F$500,VLOOKUP(D$23,$L$7:$M$9,2,FALSE)+1,FALSE)/VLOOKUP(DATE(YEAR($B30),MONTH($B30)-1,1),Índices!$B$6:$F$500,VLOOKUP(D$23,$L$7:$M$9,2,FALSE)+1,FALSE)*C30</f>
        <v>0</v>
      </c>
      <c r="E30" s="226"/>
      <c r="F30" s="227"/>
      <c r="G30" s="226"/>
      <c r="H30" s="227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6"/>
      <c r="L30" s="227">
        <f>VLOOKUP($B$48,Índices!$B$6:$F$500,VLOOKUP(L$23,$L$7:$M$9,2,FALSE)+1,FALSE)/VLOOKUP(DATE(YEAR($B30),MONTH($B30)-1,1),Índices!$B$6:$F$500,VLOOKUP(L$23,$L$7:$M$9,2,FALSE)+1,FALSE)*K30</f>
        <v>0</v>
      </c>
      <c r="M30" s="416"/>
      <c r="N30" s="100">
        <f>VLOOKUP($B$48,Índices!$B$6:$F$500,VLOOKUP(N$23,$L$7:$M$9,2,FALSE)+1,FALSE)/VLOOKUP(DATE(YEAR($B30),MONTH($B30)-1,1),Índices!$B$6:$F$500,VLOOKUP(N$23,$L$7:$M$9,2,FALSE)+1,FALSE)*M30</f>
        <v>0</v>
      </c>
      <c r="O30" s="416"/>
      <c r="P30" s="100">
        <f>VLOOKUP($B$48,Índices!$B$6:$F$500,VLOOKUP(P$23,$L$7:$M$9,2,FALSE)+1,FALSE)/VLOOKUP(DATE(YEAR($B30),MONTH($B30)-1,1),Índices!$B$6:$F$500,VLOOKUP(P$23,$L$7:$M$9,2,FALSE)+1,FALSE)*O30</f>
        <v>0</v>
      </c>
      <c r="Q30" s="226"/>
      <c r="R30" s="100">
        <f>VLOOKUP($B$48,Índices!$B$6:$F$500,VLOOKUP(R$23,$L$7:$M$9,2,FALSE)+1,FALSE)/VLOOKUP(DATE(YEAR($B30),MONTH($B30)-1,1),Índices!$B$6:$F$500,VLOOKUP(R$23,$L$7:$M$9,2,FALSE)+1,FALSE)*Q30</f>
        <v>0</v>
      </c>
      <c r="S30" s="226"/>
      <c r="T30" s="100">
        <f>VLOOKUP($B$48,Índices!$B$6:$F$500,VLOOKUP(T$23,$L$7:$M$9,2,FALSE)+1,FALSE)/VLOOKUP(DATE(YEAR($B30),MONTH($B30)-1,1),Índices!$B$6:$F$500,VLOOKUP(T$23,$L$7:$M$9,2,FALSE)+1,FALSE)*S30</f>
        <v>0</v>
      </c>
      <c r="U30" s="226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10"/>
      <c r="B31" s="272">
        <f t="shared" si="2"/>
        <v>44197</v>
      </c>
      <c r="C31" s="298"/>
      <c r="D31" s="227">
        <f>VLOOKUP($B$48,Índices!$B$6:$F$500,VLOOKUP(D$23,$L$7:$M$9,2,FALSE)+1,FALSE)/VLOOKUP(DATE(YEAR($B31),MONTH($B31)-1,1),Índices!$B$6:$F$500,VLOOKUP(D$23,$L$7:$M$9,2,FALSE)+1,FALSE)*C31</f>
        <v>0</v>
      </c>
      <c r="E31" s="226"/>
      <c r="F31" s="227"/>
      <c r="G31" s="226"/>
      <c r="H31" s="227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6"/>
      <c r="L31" s="227">
        <f>VLOOKUP($B$48,Índices!$B$6:$F$500,VLOOKUP(L$23,$L$7:$M$9,2,FALSE)+1,FALSE)/VLOOKUP(DATE(YEAR($B31),MONTH($B31)-1,1),Índices!$B$6:$F$500,VLOOKUP(L$23,$L$7:$M$9,2,FALSE)+1,FALSE)*K31</f>
        <v>0</v>
      </c>
      <c r="M31" s="416"/>
      <c r="N31" s="100">
        <f>VLOOKUP($B$48,Índices!$B$6:$F$500,VLOOKUP(N$23,$L$7:$M$9,2,FALSE)+1,FALSE)/VLOOKUP(DATE(YEAR($B31),MONTH($B31)-1,1),Índices!$B$6:$F$500,VLOOKUP(N$23,$L$7:$M$9,2,FALSE)+1,FALSE)*M31</f>
        <v>0</v>
      </c>
      <c r="O31" s="416"/>
      <c r="P31" s="100">
        <f>VLOOKUP($B$48,Índices!$B$6:$F$500,VLOOKUP(P$23,$L$7:$M$9,2,FALSE)+1,FALSE)/VLOOKUP(DATE(YEAR($B31),MONTH($B31)-1,1),Índices!$B$6:$F$500,VLOOKUP(P$23,$L$7:$M$9,2,FALSE)+1,FALSE)*O31</f>
        <v>0</v>
      </c>
      <c r="Q31" s="226"/>
      <c r="R31" s="100">
        <f>VLOOKUP($B$48,Índices!$B$6:$F$500,VLOOKUP(R$23,$L$7:$M$9,2,FALSE)+1,FALSE)/VLOOKUP(DATE(YEAR($B31),MONTH($B31)-1,1),Índices!$B$6:$F$500,VLOOKUP(R$23,$L$7:$M$9,2,FALSE)+1,FALSE)*Q31</f>
        <v>0</v>
      </c>
      <c r="S31" s="226"/>
      <c r="T31" s="100">
        <f>VLOOKUP($B$48,Índices!$B$6:$F$500,VLOOKUP(T$23,$L$7:$M$9,2,FALSE)+1,FALSE)/VLOOKUP(DATE(YEAR($B31),MONTH($B31)-1,1),Índices!$B$6:$F$500,VLOOKUP(T$23,$L$7:$M$9,2,FALSE)+1,FALSE)*S31</f>
        <v>0</v>
      </c>
      <c r="U31" s="226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10"/>
      <c r="B32" s="272">
        <f t="shared" si="2"/>
        <v>44228</v>
      </c>
      <c r="C32" s="298"/>
      <c r="D32" s="227">
        <f>VLOOKUP($B$48,Índices!$B$6:$F$500,VLOOKUP(D$23,$L$7:$M$9,2,FALSE)+1,FALSE)/VLOOKUP(DATE(YEAR($B32),MONTH($B32)-1,1),Índices!$B$6:$F$500,VLOOKUP(D$23,$L$7:$M$9,2,FALSE)+1,FALSE)*C32</f>
        <v>0</v>
      </c>
      <c r="E32" s="226"/>
      <c r="F32" s="227"/>
      <c r="G32" s="226"/>
      <c r="H32" s="227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6"/>
      <c r="L32" s="227">
        <f>VLOOKUP($B$48,Índices!$B$6:$F$500,VLOOKUP(L$23,$L$7:$M$9,2,FALSE)+1,FALSE)/VLOOKUP(DATE(YEAR($B32),MONTH($B32)-1,1),Índices!$B$6:$F$500,VLOOKUP(L$23,$L$7:$M$9,2,FALSE)+1,FALSE)*K32</f>
        <v>0</v>
      </c>
      <c r="M32" s="416"/>
      <c r="N32" s="100">
        <f>VLOOKUP($B$48,Índices!$B$6:$F$500,VLOOKUP(N$23,$L$7:$M$9,2,FALSE)+1,FALSE)/VLOOKUP(DATE(YEAR($B32),MONTH($B32)-1,1),Índices!$B$6:$F$500,VLOOKUP(N$23,$L$7:$M$9,2,FALSE)+1,FALSE)*M32</f>
        <v>0</v>
      </c>
      <c r="O32" s="416"/>
      <c r="P32" s="100">
        <f>VLOOKUP($B$48,Índices!$B$6:$F$500,VLOOKUP(P$23,$L$7:$M$9,2,FALSE)+1,FALSE)/VLOOKUP(DATE(YEAR($B32),MONTH($B32)-1,1),Índices!$B$6:$F$500,VLOOKUP(P$23,$L$7:$M$9,2,FALSE)+1,FALSE)*O32</f>
        <v>0</v>
      </c>
      <c r="Q32" s="226"/>
      <c r="R32" s="100">
        <f>VLOOKUP($B$48,Índices!$B$6:$F$500,VLOOKUP(R$23,$L$7:$M$9,2,FALSE)+1,FALSE)/VLOOKUP(DATE(YEAR($B32),MONTH($B32)-1,1),Índices!$B$6:$F$500,VLOOKUP(R$23,$L$7:$M$9,2,FALSE)+1,FALSE)*Q32</f>
        <v>0</v>
      </c>
      <c r="S32" s="226"/>
      <c r="T32" s="100">
        <f>VLOOKUP($B$48,Índices!$B$6:$F$500,VLOOKUP(T$23,$L$7:$M$9,2,FALSE)+1,FALSE)/VLOOKUP(DATE(YEAR($B32),MONTH($B32)-1,1),Índices!$B$6:$F$500,VLOOKUP(T$23,$L$7:$M$9,2,FALSE)+1,FALSE)*S32</f>
        <v>0</v>
      </c>
      <c r="U32" s="226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10"/>
      <c r="B33" s="272">
        <f t="shared" si="2"/>
        <v>44256</v>
      </c>
      <c r="C33" s="298"/>
      <c r="D33" s="227">
        <f>VLOOKUP($B$48,Índices!$B$6:$F$500,VLOOKUP(D$23,$L$7:$M$9,2,FALSE)+1,FALSE)/VLOOKUP(DATE(YEAR($B33),MONTH($B33)-1,1),Índices!$B$6:$F$500,VLOOKUP(D$23,$L$7:$M$9,2,FALSE)+1,FALSE)*C33</f>
        <v>0</v>
      </c>
      <c r="E33" s="226"/>
      <c r="F33" s="227"/>
      <c r="G33" s="226"/>
      <c r="H33" s="227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6"/>
      <c r="L33" s="227">
        <f>VLOOKUP($B$48,Índices!$B$6:$F$500,VLOOKUP(L$23,$L$7:$M$9,2,FALSE)+1,FALSE)/VLOOKUP(DATE(YEAR($B33),MONTH($B33)-1,1),Índices!$B$6:$F$500,VLOOKUP(L$23,$L$7:$M$9,2,FALSE)+1,FALSE)*K33</f>
        <v>0</v>
      </c>
      <c r="M33" s="416"/>
      <c r="N33" s="100">
        <f>VLOOKUP($B$48,Índices!$B$6:$F$500,VLOOKUP(N$23,$L$7:$M$9,2,FALSE)+1,FALSE)/VLOOKUP(DATE(YEAR($B33),MONTH($B33)-1,1),Índices!$B$6:$F$500,VLOOKUP(N$23,$L$7:$M$9,2,FALSE)+1,FALSE)*M33</f>
        <v>0</v>
      </c>
      <c r="O33" s="416"/>
      <c r="P33" s="100">
        <f>VLOOKUP($B$48,Índices!$B$6:$F$500,VLOOKUP(P$23,$L$7:$M$9,2,FALSE)+1,FALSE)/VLOOKUP(DATE(YEAR($B33),MONTH($B33)-1,1),Índices!$B$6:$F$500,VLOOKUP(P$23,$L$7:$M$9,2,FALSE)+1,FALSE)*O33</f>
        <v>0</v>
      </c>
      <c r="Q33" s="226"/>
      <c r="R33" s="100">
        <f>VLOOKUP($B$48,Índices!$B$6:$F$500,VLOOKUP(R$23,$L$7:$M$9,2,FALSE)+1,FALSE)/VLOOKUP(DATE(YEAR($B33),MONTH($B33)-1,1),Índices!$B$6:$F$500,VLOOKUP(R$23,$L$7:$M$9,2,FALSE)+1,FALSE)*Q33</f>
        <v>0</v>
      </c>
      <c r="S33" s="226"/>
      <c r="T33" s="100">
        <f>VLOOKUP($B$48,Índices!$B$6:$F$500,VLOOKUP(T$23,$L$7:$M$9,2,FALSE)+1,FALSE)/VLOOKUP(DATE(YEAR($B33),MONTH($B33)-1,1),Índices!$B$6:$F$500,VLOOKUP(T$23,$L$7:$M$9,2,FALSE)+1,FALSE)*S33</f>
        <v>0</v>
      </c>
      <c r="U33" s="878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10"/>
      <c r="B34" s="272">
        <f t="shared" si="2"/>
        <v>44287</v>
      </c>
      <c r="C34" s="298">
        <f>CAPA!C63</f>
        <v>0</v>
      </c>
      <c r="D34" s="227">
        <f>VLOOKUP($B$48,Índices!$B$6:$F$500,VLOOKUP(D$23,$L$7:$M$9,2,FALSE)+1,FALSE)/VLOOKUP(DATE(YEAR($B34),MONTH($B34)-1,1),Índices!$B$6:$F$500,VLOOKUP(D$23,$L$7:$M$9,2,FALSE)+1,FALSE)*C34</f>
        <v>0</v>
      </c>
      <c r="E34" s="226"/>
      <c r="F34" s="227"/>
      <c r="G34" s="226">
        <f>CAPA!E63</f>
        <v>0</v>
      </c>
      <c r="H34" s="227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6"/>
      <c r="L34" s="227">
        <f>VLOOKUP($B$48,Índices!$B$6:$F$500,VLOOKUP(L$23,$L$7:$M$9,2,FALSE)+1,FALSE)/VLOOKUP(DATE(YEAR($B34),MONTH($B34)-1,1),Índices!$B$6:$F$500,VLOOKUP(L$23,$L$7:$M$9,2,FALSE)+1,FALSE)*K34</f>
        <v>0</v>
      </c>
      <c r="M34" s="416"/>
      <c r="N34" s="100">
        <f>VLOOKUP($B$48,Índices!$B$6:$F$500,VLOOKUP(N$23,$L$7:$M$9,2,FALSE)+1,FALSE)/VLOOKUP(DATE(YEAR($B34),MONTH($B34)-1,1),Índices!$B$6:$F$500,VLOOKUP(N$23,$L$7:$M$9,2,FALSE)+1,FALSE)*M34</f>
        <v>0</v>
      </c>
      <c r="O34" s="416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6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6"/>
      <c r="T34" s="100">
        <f>VLOOKUP($B$48,Índices!$B$6:$F$500,VLOOKUP(T$23,$L$7:$M$9,2,FALSE)+1,FALSE)/VLOOKUP(DATE(YEAR($B34),MONTH($B34)-1,1),Índices!$B$6:$F$500,VLOOKUP(T$23,$L$7:$M$9,2,FALSE)+1,FALSE)*S34</f>
        <v>0</v>
      </c>
      <c r="U34" s="878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10"/>
      <c r="B35" s="272">
        <f t="shared" si="2"/>
        <v>44317</v>
      </c>
      <c r="C35" s="298">
        <f>CAPA!C64</f>
        <v>0</v>
      </c>
      <c r="D35" s="227">
        <f>VLOOKUP($B$48,Índices!$B$6:$F$500,VLOOKUP(D$23,$L$7:$M$9,2,FALSE)+1,FALSE)/VLOOKUP(DATE(YEAR($B35),MONTH($B35)-1,1),Índices!$B$6:$F$500,VLOOKUP(D$23,$L$7:$M$9,2,FALSE)+1,FALSE)*C35</f>
        <v>0</v>
      </c>
      <c r="E35" s="226"/>
      <c r="F35" s="227"/>
      <c r="G35" s="226">
        <f>CAPA!E64</f>
        <v>0</v>
      </c>
      <c r="H35" s="227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6">
        <f>CAPA!H64</f>
        <v>0</v>
      </c>
      <c r="L35" s="227">
        <f>VLOOKUP($B$48,Índices!$B$6:$F$500,VLOOKUP(L$23,$L$7:$M$9,2,FALSE)+1,FALSE)/VLOOKUP(DATE(YEAR($B35),MONTH($B35)-1,1),Índices!$B$6:$F$500,VLOOKUP(L$23,$L$7:$M$9,2,FALSE)+1,FALSE)*K35</f>
        <v>0</v>
      </c>
      <c r="M35" s="416"/>
      <c r="N35" s="100">
        <f>VLOOKUP($B$48,Índices!$B$6:$F$500,VLOOKUP(N$23,$L$7:$M$9,2,FALSE)+1,FALSE)/VLOOKUP(DATE(YEAR($B35),MONTH($B35)-1,1),Índices!$B$6:$F$500,VLOOKUP(N$23,$L$7:$M$9,2,FALSE)+1,FALSE)*M35</f>
        <v>0</v>
      </c>
      <c r="O35" s="416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6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6"/>
      <c r="T35" s="100">
        <f>VLOOKUP($B$48,Índices!$B$6:$F$500,VLOOKUP(T$23,$L$7:$M$9,2,FALSE)+1,FALSE)/VLOOKUP(DATE(YEAR($B35),MONTH($B35)-1,1),Índices!$B$6:$F$500,VLOOKUP(T$23,$L$7:$M$9,2,FALSE)+1,FALSE)*S35</f>
        <v>0</v>
      </c>
      <c r="U35" s="878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10"/>
      <c r="B36" s="272">
        <f t="shared" si="2"/>
        <v>44348</v>
      </c>
      <c r="C36" s="298">
        <f>CAPA!C65</f>
        <v>0</v>
      </c>
      <c r="D36" s="227">
        <f>VLOOKUP($B$48,Índices!$B$6:$F$500,VLOOKUP(D$23,$L$7:$M$9,2,FALSE)+1,FALSE)/VLOOKUP(DATE(YEAR($B36),MONTH($B36)-1,1),Índices!$B$6:$F$500,VLOOKUP(D$23,$L$7:$M$9,2,FALSE)+1,FALSE)*C36</f>
        <v>0</v>
      </c>
      <c r="E36" s="226"/>
      <c r="F36" s="227"/>
      <c r="G36" s="226">
        <f>CAPA!E65</f>
        <v>0</v>
      </c>
      <c r="H36" s="227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6">
        <f>CAPA!H65</f>
        <v>0</v>
      </c>
      <c r="L36" s="227">
        <f>VLOOKUP($B$48,Índices!$B$6:$F$500,VLOOKUP(L$23,$L$7:$M$9,2,FALSE)+1,FALSE)/VLOOKUP(DATE(YEAR($B36),MONTH($B36)-1,1),Índices!$B$6:$F$500,VLOOKUP(L$23,$L$7:$M$9,2,FALSE)+1,FALSE)*K36</f>
        <v>0</v>
      </c>
      <c r="M36" s="416"/>
      <c r="N36" s="100">
        <f>VLOOKUP($B$48,Índices!$B$6:$F$500,VLOOKUP(N$23,$L$7:$M$9,2,FALSE)+1,FALSE)/VLOOKUP(DATE(YEAR($B36),MONTH($B36)-1,1),Índices!$B$6:$F$500,VLOOKUP(N$23,$L$7:$M$9,2,FALSE)+1,FALSE)*M36</f>
        <v>0</v>
      </c>
      <c r="O36" s="416">
        <f>CAPA!G65</f>
        <v>0</v>
      </c>
      <c r="P36" s="100">
        <f>VLOOKUP($B$48,Índices!$B$6:$F$500,VLOOKUP(P$23,$L$7:$M$9,2,FALSE)+1,FALSE)/VLOOKUP(DATE(YEAR($B36),MONTH($B36)-1,1),Índices!$B$6:$F$500,VLOOKUP(P$23,$L$7:$M$9,2,FALSE)+1,FALSE)*O36</f>
        <v>0</v>
      </c>
      <c r="Q36" s="226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6"/>
      <c r="T36" s="100">
        <f>VLOOKUP($B$48,Índices!$B$6:$F$500,VLOOKUP(T$23,$L$7:$M$9,2,FALSE)+1,FALSE)/VLOOKUP(DATE(YEAR($B36),MONTH($B36)-1,1),Índices!$B$6:$F$500,VLOOKUP(T$23,$L$7:$M$9,2,FALSE)+1,FALSE)*S36</f>
        <v>0</v>
      </c>
      <c r="U36" s="878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80" customFormat="1" ht="14.25">
      <c r="A37" s="874"/>
      <c r="B37" s="875">
        <f t="shared" si="2"/>
        <v>44378</v>
      </c>
      <c r="C37" s="876">
        <f>CAPA!C66</f>
        <v>136852.35</v>
      </c>
      <c r="D37" s="877">
        <f>VLOOKUP($B$48,Índices!$B$6:$F$500,VLOOKUP(D$23,$L$7:$M$9,2,FALSE)+1,FALSE)/VLOOKUP(DATE(YEAR($B37),MONTH($B37)-1,1),Índices!$B$6:$F$500,VLOOKUP(D$23,$L$7:$M$9,2,FALSE)+1,FALSE)*C37</f>
        <v>153119.8104235197</v>
      </c>
      <c r="E37" s="878"/>
      <c r="F37" s="877">
        <f>VLOOKUP($B$48,Índices!$B$6:$F$500,VLOOKUP(F$23,$L$7:$M$9,2,FALSE)+1,FALSE)/VLOOKUP(DATE(YEAR($B37),MONTH($B37)-1,1),Índices!$B$6:$F$500,VLOOKUP(H$23,$L$7:$M$9,2,FALSE)+1,FALSE)*E37</f>
        <v>0</v>
      </c>
      <c r="G37" s="878">
        <f>CAPA!E66</f>
        <v>-40858.46</v>
      </c>
      <c r="H37" s="877">
        <f>VLOOKUP($B$48,Índices!$B$6:$F$500,VLOOKUP(H$23,$L$7:$M$9,2,FALSE)+1,FALSE)/VLOOKUP(DATE(YEAR($B37),MONTH($B37)-1,1),Índices!$B$6:$F$500,VLOOKUP(H$23,$L$7:$M$9,2,FALSE)+1,FALSE)*G37</f>
        <v>-45715.251871063687</v>
      </c>
      <c r="I37" s="879">
        <f>IFERROR(HLOOKUP(B37,'Rede Básica + Ajuste'!$E$70:$P$71,2,FALSE),0)</f>
        <v>0</v>
      </c>
      <c r="J37" s="879">
        <f>VLOOKUP($B$48,Índices!$B$6:$F$500,VLOOKUP(J$23,$L$7:$M$9,2,FALSE)+1,FALSE)/VLOOKUP(DATE(YEAR($B37),MONTH($B37)-1,1),Índices!$B$6:$F$500,VLOOKUP(J$23,$L$7:$M$9,2,FALSE)+1,FALSE)*I37</f>
        <v>0</v>
      </c>
      <c r="K37" s="878">
        <f>CAPA!H66</f>
        <v>0</v>
      </c>
      <c r="L37" s="877">
        <f>VLOOKUP($B$48,Índices!$B$6:$F$500,VLOOKUP(L$23,$L$7:$M$9,2,FALSE)+1,FALSE)/VLOOKUP(DATE(YEAR($B37),MONTH($B37)-1,1),Índices!$B$6:$F$500,VLOOKUP(L$23,$L$7:$M$9,2,FALSE)+1,FALSE)*K37</f>
        <v>0</v>
      </c>
      <c r="M37" s="878"/>
      <c r="N37" s="877">
        <f>VLOOKUP($B$48,Índices!$B$6:$F$500,VLOOKUP(N$23,$L$7:$M$9,2,FALSE)+1,FALSE)/VLOOKUP(DATE(YEAR($B37),MONTH($B37)-1,1),Índices!$B$6:$F$500,VLOOKUP(N$23,$L$7:$M$9,2,FALSE)+1,FALSE)*M37</f>
        <v>0</v>
      </c>
      <c r="O37" s="416">
        <f>CAPA!G66</f>
        <v>0</v>
      </c>
      <c r="P37" s="877">
        <f>VLOOKUP($B$48,Índices!$B$6:$F$500,VLOOKUP(P$23,$L$7:$M$9,2,FALSE)+1,FALSE)/VLOOKUP(DATE(YEAR($B37),MONTH($B37)-1,1),Índices!$B$6:$F$500,VLOOKUP(P$23,$L$7:$M$9,2,FALSE)+1,FALSE)*O37</f>
        <v>0</v>
      </c>
      <c r="Q37" s="878">
        <f>CAPA!D66</f>
        <v>0</v>
      </c>
      <c r="R37" s="877">
        <f>VLOOKUP($B$48,Índices!$B$6:$F$500,VLOOKUP(R$23,$L$7:$M$9,2,FALSE)+1,FALSE)/VLOOKUP(DATE(YEAR($B37),MONTH($B37)-1,1),Índices!$B$6:$F$500,VLOOKUP(R$23,$L$7:$M$9,2,FALSE)+1,FALSE)*Q37</f>
        <v>0</v>
      </c>
      <c r="S37" s="878">
        <f>ICMS!$B$9/12</f>
        <v>0</v>
      </c>
      <c r="T37" s="877">
        <f>VLOOKUP($B$48,Índices!$B$6:$F$500,VLOOKUP(T$23,$L$7:$M$9,2,FALSE)+1,FALSE)/VLOOKUP(DATE(YEAR($B37),MONTH($B37)-1,1),Índices!$B$6:$F$500,VLOOKUP(T$23,$L$7:$M$9,2,FALSE)+1,FALSE)*S37</f>
        <v>0</v>
      </c>
      <c r="U37" s="878">
        <f>ICMS!$B$8/12</f>
        <v>0</v>
      </c>
      <c r="V37" s="877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10"/>
      <c r="B38" s="272">
        <f t="shared" si="2"/>
        <v>44409</v>
      </c>
      <c r="C38" s="298">
        <f>CAPA!C67</f>
        <v>153625.74</v>
      </c>
      <c r="D38" s="227">
        <f>VLOOKUP($B$48,Índices!$B$6:$F$500,VLOOKUP(D$23,$L$7:$M$9,2,FALSE)+1,FALSE)/VLOOKUP(DATE(YEAR($B38),MONTH($B38)-1,1),Índices!$B$6:$F$500,VLOOKUP(D$23,$L$7:$M$9,2,FALSE)+1,FALSE)*C38</f>
        <v>170252.65924379052</v>
      </c>
      <c r="E38" s="226"/>
      <c r="F38" s="227">
        <f>VLOOKUP($B$48,Índices!$B$6:$F$500,VLOOKUP(F$23,$L$7:$M$9,2,FALSE)+1,FALSE)/VLOOKUP(DATE(YEAR($B38),MONTH($B38)-1,1),Índices!$B$6:$F$500,VLOOKUP(H$23,$L$7:$M$9,2,FALSE)+1,FALSE)*E38</f>
        <v>0</v>
      </c>
      <c r="G38" s="226">
        <f>CAPA!E67</f>
        <v>0</v>
      </c>
      <c r="H38" s="227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6">
        <f>CAPA!H67</f>
        <v>0</v>
      </c>
      <c r="L38" s="227">
        <f>VLOOKUP($B$48,Índices!$B$6:$F$500,VLOOKUP(L$23,$L$7:$M$9,2,FALSE)+1,FALSE)/VLOOKUP(DATE(YEAR($B38),MONTH($B38)-1,1),Índices!$B$6:$F$500,VLOOKUP(L$23,$L$7:$M$9,2,FALSE)+1,FALSE)*K38</f>
        <v>0</v>
      </c>
      <c r="M38" s="416"/>
      <c r="N38" s="100">
        <f>VLOOKUP($B$48,Índices!$B$6:$F$500,VLOOKUP(N$23,$L$7:$M$9,2,FALSE)+1,FALSE)/VLOOKUP(DATE(YEAR($B38),MONTH($B38)-1,1),Índices!$B$6:$F$500,VLOOKUP(N$23,$L$7:$M$9,2,FALSE)+1,FALSE)*M38</f>
        <v>0</v>
      </c>
      <c r="O38" s="416">
        <f>CAPA!G67</f>
        <v>0</v>
      </c>
      <c r="P38" s="100">
        <f>VLOOKUP($B$48,Índices!$B$6:$F$500,VLOOKUP(P$23,$L$7:$M$9,2,FALSE)+1,FALSE)/VLOOKUP(DATE(YEAR($B38),MONTH($B38)-1,1),Índices!$B$6:$F$500,VLOOKUP(P$23,$L$7:$M$9,2,FALSE)+1,FALSE)*O38</f>
        <v>0</v>
      </c>
      <c r="Q38" s="226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78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78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10"/>
      <c r="B39" s="272">
        <f t="shared" si="2"/>
        <v>44440</v>
      </c>
      <c r="C39" s="298">
        <f>CAPA!C68</f>
        <v>154568.18</v>
      </c>
      <c r="D39" s="227">
        <f>VLOOKUP($B$48,Índices!$B$6:$F$500,VLOOKUP(D$23,$L$7:$M$9,2,FALSE)+1,FALSE)/VLOOKUP(DATE(YEAR($B39),MONTH($B39)-1,1),Índices!$B$6:$F$500,VLOOKUP(D$23,$L$7:$M$9,2,FALSE)+1,FALSE)*C39</f>
        <v>169819.68922201137</v>
      </c>
      <c r="E39" s="226"/>
      <c r="F39" s="227">
        <f>VLOOKUP($B$48,Índices!$B$6:$F$500,VLOOKUP(F$23,$L$7:$M$9,2,FALSE)+1,FALSE)/VLOOKUP(DATE(YEAR($B39),MONTH($B39)-1,1),Índices!$B$6:$F$500,VLOOKUP(H$23,$L$7:$M$9,2,FALSE)+1,FALSE)*E39</f>
        <v>0</v>
      </c>
      <c r="G39" s="226">
        <f>CAPA!E68</f>
        <v>-6883.63</v>
      </c>
      <c r="H39" s="227">
        <f>VLOOKUP($B$48,Índices!$B$6:$F$500,VLOOKUP(H$23,$L$7:$M$9,2,FALSE)+1,FALSE)/VLOOKUP(DATE(YEAR($B39),MONTH($B39)-1,1),Índices!$B$6:$F$500,VLOOKUP(H$23,$L$7:$M$9,2,FALSE)+1,FALSE)*G39</f>
        <v>-7562.8496584440227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6">
        <f>CAPA!H68</f>
        <v>0</v>
      </c>
      <c r="L39" s="227">
        <f>VLOOKUP($B$48,Índices!$B$6:$F$500,VLOOKUP(L$23,$L$7:$M$9,2,FALSE)+1,FALSE)/VLOOKUP(DATE(YEAR($B39),MONTH($B39)-1,1),Índices!$B$6:$F$500,VLOOKUP(L$23,$L$7:$M$9,2,FALSE)+1,FALSE)*K39</f>
        <v>0</v>
      </c>
      <c r="M39" s="416"/>
      <c r="N39" s="100">
        <f>VLOOKUP($B$48,Índices!$B$6:$F$500,VLOOKUP(N$23,$L$7:$M$9,2,FALSE)+1,FALSE)/VLOOKUP(DATE(YEAR($B39),MONTH($B39)-1,1),Índices!$B$6:$F$500,VLOOKUP(N$23,$L$7:$M$9,2,FALSE)+1,FALSE)*M39</f>
        <v>0</v>
      </c>
      <c r="O39" s="416">
        <f>CAPA!G68</f>
        <v>0</v>
      </c>
      <c r="P39" s="100">
        <f>VLOOKUP($B$48,Índices!$B$6:$F$500,VLOOKUP(P$23,$L$7:$M$9,2,FALSE)+1,FALSE)/VLOOKUP(DATE(YEAR($B39),MONTH($B39)-1,1),Índices!$B$6:$F$500,VLOOKUP(P$23,$L$7:$M$9,2,FALSE)+1,FALSE)*O39</f>
        <v>0</v>
      </c>
      <c r="Q39" s="226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78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78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10"/>
      <c r="B40" s="272">
        <f t="shared" si="2"/>
        <v>44470</v>
      </c>
      <c r="C40" s="298">
        <f>CAPA!C69</f>
        <v>146384.79999999999</v>
      </c>
      <c r="D40" s="227">
        <f>VLOOKUP($B$48,Índices!$B$6:$F$500,VLOOKUP(D$23,$L$7:$M$9,2,FALSE)+1,FALSE)/VLOOKUP(DATE(YEAR($B40),MONTH($B40)-1,1),Índices!$B$6:$F$500,VLOOKUP(D$23,$L$7:$M$9,2,FALSE)+1,FALSE)*C40</f>
        <v>158984.67770822361</v>
      </c>
      <c r="E40" s="226"/>
      <c r="F40" s="227">
        <f>VLOOKUP($B$48,Índices!$B$6:$F$500,VLOOKUP(F$23,$L$7:$M$9,2,FALSE)+1,FALSE)/VLOOKUP(DATE(YEAR($B40),MONTH($B40)-1,1),Índices!$B$6:$F$500,VLOOKUP(H$23,$L$7:$M$9,2,FALSE)+1,FALSE)*E40</f>
        <v>0</v>
      </c>
      <c r="G40" s="226">
        <f>CAPA!E69</f>
        <v>-4593.6499999999996</v>
      </c>
      <c r="H40" s="227">
        <f>VLOOKUP($B$48,Índices!$B$6:$F$500,VLOOKUP(H$23,$L$7:$M$9,2,FALSE)+1,FALSE)/VLOOKUP(DATE(YEAR($B40),MONTH($B40)-1,1),Índices!$B$6:$F$500,VLOOKUP(H$23,$L$7:$M$9,2,FALSE)+1,FALSE)*G40</f>
        <v>-4989.0423374174188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6">
        <f>CAPA!H69</f>
        <v>0</v>
      </c>
      <c r="L40" s="227">
        <f>VLOOKUP($B$48,Índices!$B$6:$F$500,VLOOKUP(L$23,$L$7:$M$9,2,FALSE)+1,FALSE)/VLOOKUP(DATE(YEAR($B40),MONTH($B40)-1,1),Índices!$B$6:$F$500,VLOOKUP(L$23,$L$7:$M$9,2,FALSE)+1,FALSE)*K40</f>
        <v>0</v>
      </c>
      <c r="M40" s="416"/>
      <c r="N40" s="100">
        <f>VLOOKUP($B$48,Índices!$B$6:$F$500,VLOOKUP(N$23,$L$7:$M$9,2,FALSE)+1,FALSE)/VLOOKUP(DATE(YEAR($B40),MONTH($B40)-1,1),Índices!$B$6:$F$500,VLOOKUP(N$23,$L$7:$M$9,2,FALSE)+1,FALSE)*M40</f>
        <v>0</v>
      </c>
      <c r="O40" s="416">
        <f>CAPA!G69</f>
        <v>0</v>
      </c>
      <c r="P40" s="100">
        <f>VLOOKUP($B$48,Índices!$B$6:$F$500,VLOOKUP(P$23,$L$7:$M$9,2,FALSE)+1,FALSE)/VLOOKUP(DATE(YEAR($B40),MONTH($B40)-1,1),Índices!$B$6:$F$500,VLOOKUP(P$23,$L$7:$M$9,2,FALSE)+1,FALSE)*O40</f>
        <v>0</v>
      </c>
      <c r="Q40" s="226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78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78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10"/>
      <c r="B41" s="272">
        <f t="shared" si="2"/>
        <v>44501</v>
      </c>
      <c r="C41" s="298">
        <f>CAPA!C70</f>
        <v>120176.23</v>
      </c>
      <c r="D41" s="227">
        <f>VLOOKUP($B$48,Índices!$B$6:$F$500,VLOOKUP(D$23,$L$7:$M$9,2,FALSE)+1,FALSE)/VLOOKUP(DATE(YEAR($B41),MONTH($B41)-1,1),Índices!$B$6:$F$500,VLOOKUP(D$23,$L$7:$M$9,2,FALSE)+1,FALSE)*C41</f>
        <v>128908.93500974494</v>
      </c>
      <c r="E41" s="226"/>
      <c r="F41" s="227">
        <f>VLOOKUP($B$48,Índices!$B$6:$F$500,VLOOKUP(F$23,$L$7:$M$9,2,FALSE)+1,FALSE)/VLOOKUP(DATE(YEAR($B41),MONTH($B41)-1,1),Índices!$B$6:$F$500,VLOOKUP(H$23,$L$7:$M$9,2,FALSE)+1,FALSE)*E41</f>
        <v>0</v>
      </c>
      <c r="G41" s="226">
        <f>CAPA!E70</f>
        <v>-3269.92</v>
      </c>
      <c r="H41" s="227">
        <f>VLOOKUP($B$48,Índices!$B$6:$F$500,VLOOKUP(H$23,$L$7:$M$9,2,FALSE)+1,FALSE)/VLOOKUP(DATE(YEAR($B41),MONTH($B41)-1,1),Índices!$B$6:$F$500,VLOOKUP(H$23,$L$7:$M$9,2,FALSE)+1,FALSE)*G41</f>
        <v>-3507.5314375152657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6">
        <f>CAPA!H70</f>
        <v>0</v>
      </c>
      <c r="L41" s="227">
        <f>VLOOKUP($B$48,Índices!$B$6:$F$500,VLOOKUP(L$23,$L$7:$M$9,2,FALSE)+1,FALSE)/VLOOKUP(DATE(YEAR($B41),MONTH($B41)-1,1),Índices!$B$6:$F$500,VLOOKUP(L$23,$L$7:$M$9,2,FALSE)+1,FALSE)*K41</f>
        <v>0</v>
      </c>
      <c r="M41" s="416"/>
      <c r="N41" s="100">
        <f>VLOOKUP($B$48,Índices!$B$6:$F$500,VLOOKUP(N$23,$L$7:$M$9,2,FALSE)+1,FALSE)/VLOOKUP(DATE(YEAR($B41),MONTH($B41)-1,1),Índices!$B$6:$F$500,VLOOKUP(N$23,$L$7:$M$9,2,FALSE)+1,FALSE)*M41</f>
        <v>0</v>
      </c>
      <c r="O41" s="416">
        <f>CAPA!G70</f>
        <v>0</v>
      </c>
      <c r="P41" s="100">
        <f>VLOOKUP($B$48,Índices!$B$6:$F$500,VLOOKUP(P$23,$L$7:$M$9,2,FALSE)+1,FALSE)/VLOOKUP(DATE(YEAR($B41),MONTH($B41)-1,1),Índices!$B$6:$F$500,VLOOKUP(P$23,$L$7:$M$9,2,FALSE)+1,FALSE)*O41</f>
        <v>0</v>
      </c>
      <c r="Q41" s="226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78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78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10"/>
      <c r="B42" s="272">
        <f t="shared" si="2"/>
        <v>44531</v>
      </c>
      <c r="C42" s="298">
        <f>CAPA!C71</f>
        <v>66376.820000000007</v>
      </c>
      <c r="D42" s="227">
        <f>VLOOKUP($B$48,Índices!$B$6:$F$500,VLOOKUP(D$23,$L$7:$M$9,2,FALSE)+1,FALSE)/VLOOKUP(DATE(YEAR($B42),MONTH($B42)-1,1),Índices!$B$6:$F$500,VLOOKUP(D$23,$L$7:$M$9,2,FALSE)+1,FALSE)*C42</f>
        <v>70530.062165284951</v>
      </c>
      <c r="E42" s="226"/>
      <c r="F42" s="227">
        <f>VLOOKUP($B$48,Índices!$B$6:$F$500,VLOOKUP(F$23,$L$7:$M$9,2,FALSE)+1,FALSE)/VLOOKUP(DATE(YEAR($B42),MONTH($B42)-1,1),Índices!$B$6:$F$500,VLOOKUP(H$23,$L$7:$M$9,2,FALSE)+1,FALSE)*E42</f>
        <v>0</v>
      </c>
      <c r="G42" s="226">
        <f>CAPA!E71</f>
        <v>-31.03</v>
      </c>
      <c r="H42" s="227">
        <f>VLOOKUP($B$48,Índices!$B$6:$F$500,VLOOKUP(H$23,$L$7:$M$9,2,FALSE)+1,FALSE)/VLOOKUP(DATE(YEAR($B42),MONTH($B42)-1,1),Índices!$B$6:$F$500,VLOOKUP(H$23,$L$7:$M$9,2,FALSE)+1,FALSE)*G42</f>
        <v>-32.97156792068062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6">
        <f>CAPA!H71</f>
        <v>0</v>
      </c>
      <c r="L42" s="227">
        <f>VLOOKUP($B$48,Índices!$B$6:$F$500,VLOOKUP(L$23,$L$7:$M$9,2,FALSE)+1,FALSE)/VLOOKUP(DATE(YEAR($B42),MONTH($B42)-1,1),Índices!$B$6:$F$500,VLOOKUP(L$23,$L$7:$M$9,2,FALSE)+1,FALSE)*K42</f>
        <v>0</v>
      </c>
      <c r="M42" s="416"/>
      <c r="N42" s="100">
        <f>VLOOKUP($B$48,Índices!$B$6:$F$500,VLOOKUP(N$23,$L$7:$M$9,2,FALSE)+1,FALSE)/VLOOKUP(DATE(YEAR($B42),MONTH($B42)-1,1),Índices!$B$6:$F$500,VLOOKUP(N$23,$L$7:$M$9,2,FALSE)+1,FALSE)*M42</f>
        <v>0</v>
      </c>
      <c r="O42" s="416">
        <f>CAPA!G71</f>
        <v>0</v>
      </c>
      <c r="P42" s="100">
        <f>VLOOKUP($B$48,Índices!$B$6:$F$500,VLOOKUP(P$23,$L$7:$M$9,2,FALSE)+1,FALSE)/VLOOKUP(DATE(YEAR($B42),MONTH($B42)-1,1),Índices!$B$6:$F$500,VLOOKUP(P$23,$L$7:$M$9,2,FALSE)+1,FALSE)*O42</f>
        <v>0</v>
      </c>
      <c r="Q42" s="226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78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78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10"/>
      <c r="B43" s="272">
        <f t="shared" si="2"/>
        <v>44562</v>
      </c>
      <c r="C43" s="298">
        <f>CAPA!C72</f>
        <v>5556.15</v>
      </c>
      <c r="D43" s="227">
        <f>VLOOKUP($B$48,Índices!$B$6:$F$500,VLOOKUP(D$23,$L$7:$M$9,2,FALSE)+1,FALSE)/VLOOKUP(DATE(YEAR($B43),MONTH($B43)-1,1),Índices!$B$6:$F$500,VLOOKUP(D$23,$L$7:$M$9,2,FALSE)+1,FALSE)*C43</f>
        <v>5861.0190419507053</v>
      </c>
      <c r="E43" s="226"/>
      <c r="F43" s="227">
        <f>VLOOKUP($B$48,Índices!$B$6:$F$500,VLOOKUP(F$23,$L$7:$M$9,2,FALSE)+1,FALSE)/VLOOKUP(DATE(YEAR($B43),MONTH($B43)-1,1),Índices!$B$6:$F$500,VLOOKUP(H$23,$L$7:$M$9,2,FALSE)+1,FALSE)*E43</f>
        <v>0</v>
      </c>
      <c r="G43" s="226">
        <f>CAPA!E72</f>
        <v>0</v>
      </c>
      <c r="H43" s="227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6">
        <f>CAPA!H72</f>
        <v>0</v>
      </c>
      <c r="L43" s="227">
        <f>VLOOKUP($B$48,Índices!$B$6:$F$500,VLOOKUP(L$23,$L$7:$M$9,2,FALSE)+1,FALSE)/VLOOKUP(DATE(YEAR($B43),MONTH($B43)-1,1),Índices!$B$6:$F$500,VLOOKUP(L$23,$L$7:$M$9,2,FALSE)+1,FALSE)*K43</f>
        <v>0</v>
      </c>
      <c r="M43" s="416"/>
      <c r="N43" s="100">
        <f>VLOOKUP($B$48,Índices!$B$6:$F$500,VLOOKUP(N$23,$L$7:$M$9,2,FALSE)+1,FALSE)/VLOOKUP(DATE(YEAR($B43),MONTH($B43)-1,1),Índices!$B$6:$F$500,VLOOKUP(N$23,$L$7:$M$9,2,FALSE)+1,FALSE)*M43</f>
        <v>0</v>
      </c>
      <c r="O43" s="416">
        <f>CAPA!G72</f>
        <v>0</v>
      </c>
      <c r="P43" s="100">
        <f>VLOOKUP($B$48,Índices!$B$6:$F$500,VLOOKUP(P$23,$L$7:$M$9,2,FALSE)+1,FALSE)/VLOOKUP(DATE(YEAR($B43),MONTH($B43)-1,1),Índices!$B$6:$F$500,VLOOKUP(P$23,$L$7:$M$9,2,FALSE)+1,FALSE)*O43</f>
        <v>0</v>
      </c>
      <c r="Q43" s="226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78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78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10"/>
      <c r="B44" s="272">
        <f t="shared" si="2"/>
        <v>44593</v>
      </c>
      <c r="C44" s="298">
        <f>CAPA!C73</f>
        <v>33532.230000000003</v>
      </c>
      <c r="D44" s="227">
        <f>VLOOKUP($B$48,Índices!$B$6:$F$500,VLOOKUP(D$23,$L$7:$M$9,2,FALSE)+1,FALSE)/VLOOKUP(DATE(YEAR($B44),MONTH($B44)-1,1),Índices!$B$6:$F$500,VLOOKUP(D$23,$L$7:$M$9,2,FALSE)+1,FALSE)*C44</f>
        <v>35182.168153805651</v>
      </c>
      <c r="E44" s="226"/>
      <c r="F44" s="227">
        <f>VLOOKUP($B$48,Índices!$B$6:$F$500,VLOOKUP(F$23,$L$7:$M$9,2,FALSE)+1,FALSE)/VLOOKUP(DATE(YEAR($B44),MONTH($B44)-1,1),Índices!$B$6:$F$500,VLOOKUP(H$23,$L$7:$M$9,2,FALSE)+1,FALSE)*E44</f>
        <v>0</v>
      </c>
      <c r="G44" s="226">
        <f>CAPA!E73</f>
        <v>-45885.07</v>
      </c>
      <c r="H44" s="227">
        <f>VLOOKUP($B$48,Índices!$B$6:$F$500,VLOOKUP(H$23,$L$7:$M$9,2,FALSE)+1,FALSE)/VLOOKUP(DATE(YEAR($B44),MONTH($B44)-1,1),Índices!$B$6:$F$500,VLOOKUP(H$23,$L$7:$M$9,2,FALSE)+1,FALSE)*G44</f>
        <v>-48142.824037922408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6">
        <f>CAPA!H73</f>
        <v>0</v>
      </c>
      <c r="L44" s="227">
        <f>VLOOKUP($B$48,Índices!$B$6:$F$500,VLOOKUP(L$23,$L$7:$M$9,2,FALSE)+1,FALSE)/VLOOKUP(DATE(YEAR($B44),MONTH($B44)-1,1),Índices!$B$6:$F$500,VLOOKUP(L$23,$L$7:$M$9,2,FALSE)+1,FALSE)*K44</f>
        <v>0</v>
      </c>
      <c r="M44" s="416"/>
      <c r="N44" s="100">
        <f>VLOOKUP($B$48,Índices!$B$6:$F$500,VLOOKUP(N$23,$L$7:$M$9,2,FALSE)+1,FALSE)/VLOOKUP(DATE(YEAR($B44),MONTH($B44)-1,1),Índices!$B$6:$F$500,VLOOKUP(N$23,$L$7:$M$9,2,FALSE)+1,FALSE)*M44</f>
        <v>0</v>
      </c>
      <c r="O44" s="416">
        <f>CAPA!G73</f>
        <v>0</v>
      </c>
      <c r="P44" s="100">
        <f>VLOOKUP($B$48,Índices!$B$6:$F$500,VLOOKUP(P$23,$L$7:$M$9,2,FALSE)+1,FALSE)/VLOOKUP(DATE(YEAR($B44),MONTH($B44)-1,1),Índices!$B$6:$F$500,VLOOKUP(P$23,$L$7:$M$9,2,FALSE)+1,FALSE)*O44</f>
        <v>0</v>
      </c>
      <c r="Q44" s="226">
        <f>CAPA!D73</f>
        <v>0</v>
      </c>
      <c r="R44" s="100">
        <f>VLOOKUP($B$48,Índices!$B$6:$F$500,VLOOKUP(R$23,$L$7:$M$9,2,FALSE)+1,FALSE)/VLOOKUP(DATE(YEAR($B44),MONTH($B44)-1,1),Índices!$B$6:$F$500,VLOOKUP(R$23,$L$7:$M$9,2,FALSE)+1,FALSE)*Q44</f>
        <v>0</v>
      </c>
      <c r="S44" s="878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78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10"/>
      <c r="B45" s="272">
        <f t="shared" si="2"/>
        <v>44621</v>
      </c>
      <c r="C45" s="298">
        <f>CAPA!C74</f>
        <v>156448.39000000001</v>
      </c>
      <c r="D45" s="227">
        <f>VLOOKUP($B$48,Índices!$B$6:$F$500,VLOOKUP(D$23,$L$7:$M$9,2,FALSE)+1,FALSE)/VLOOKUP(DATE(YEAR($B45),MONTH($B45)-1,1),Índices!$B$6:$F$500,VLOOKUP(D$23,$L$7:$M$9,2,FALSE)+1,FALSE)*C45</f>
        <v>162504.96176841122</v>
      </c>
      <c r="E45" s="226"/>
      <c r="F45" s="227">
        <f>VLOOKUP($B$48,Índices!$B$6:$F$500,VLOOKUP(F$23,$L$7:$M$9,2,FALSE)+1,FALSE)/VLOOKUP(DATE(YEAR($B45),MONTH($B45)-1,1),Índices!$B$6:$F$500,VLOOKUP(H$23,$L$7:$M$9,2,FALSE)+1,FALSE)*E45</f>
        <v>0</v>
      </c>
      <c r="G45" s="226">
        <f>CAPA!E74</f>
        <v>-49527.519999999997</v>
      </c>
      <c r="H45" s="227">
        <f>VLOOKUP($B$48,Índices!$B$6:$F$500,VLOOKUP(H$23,$L$7:$M$9,2,FALSE)+1,FALSE)/VLOOKUP(DATE(YEAR($B45),MONTH($B45)-1,1),Índices!$B$6:$F$500,VLOOKUP(H$23,$L$7:$M$9,2,FALSE)+1,FALSE)*G45</f>
        <v>-51444.874211132636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6">
        <f>CAPA!H74</f>
        <v>0</v>
      </c>
      <c r="L45" s="227">
        <f>VLOOKUP($B$48,Índices!$B$6:$F$500,VLOOKUP(L$23,$L$7:$M$9,2,FALSE)+1,FALSE)/VLOOKUP(DATE(YEAR($B45),MONTH($B45)-1,1),Índices!$B$6:$F$500,VLOOKUP(L$23,$L$7:$M$9,2,FALSE)+1,FALSE)*K45</f>
        <v>0</v>
      </c>
      <c r="M45" s="416"/>
      <c r="N45" s="100">
        <f>VLOOKUP($B$48,Índices!$B$6:$F$500,VLOOKUP(N$23,$L$7:$M$9,2,FALSE)+1,FALSE)/VLOOKUP(DATE(YEAR($B45),MONTH($B45)-1,1),Índices!$B$6:$F$500,VLOOKUP(N$23,$L$7:$M$9,2,FALSE)+1,FALSE)*M45</f>
        <v>0</v>
      </c>
      <c r="O45" s="416">
        <f>CAPA!G74</f>
        <v>0</v>
      </c>
      <c r="P45" s="100">
        <f>VLOOKUP($B$48,Índices!$B$6:$F$500,VLOOKUP(P$23,$L$7:$M$9,2,FALSE)+1,FALSE)/VLOOKUP(DATE(YEAR($B45),MONTH($B45)-1,1),Índices!$B$6:$F$500,VLOOKUP(P$23,$L$7:$M$9,2,FALSE)+1,FALSE)*O45</f>
        <v>0</v>
      </c>
      <c r="Q45" s="226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78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78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10"/>
      <c r="B46" s="272">
        <f t="shared" si="2"/>
        <v>44652</v>
      </c>
      <c r="C46" s="298">
        <f>CAPA!C75</f>
        <v>142688.99</v>
      </c>
      <c r="D46" s="227">
        <f>VLOOKUP($B$48,Índices!$B$6:$F$500,VLOOKUP(D$23,$L$7:$M$9,2,FALSE)+1,FALSE)/VLOOKUP(DATE(YEAR($B46),MONTH($B46)-1,1),Índices!$B$6:$F$500,VLOOKUP(D$23,$L$7:$M$9,2,FALSE)+1,FALSE)*C46</f>
        <v>145850.05155084049</v>
      </c>
      <c r="E46" s="226"/>
      <c r="F46" s="227">
        <f>VLOOKUP($B$48,Índices!$B$6:$F$500,VLOOKUP(F$23,$L$7:$M$9,2,FALSE)+1,FALSE)/VLOOKUP(DATE(YEAR($B46),MONTH($B46)-1,1),Índices!$B$6:$F$500,VLOOKUP(H$23,$L$7:$M$9,2,FALSE)+1,FALSE)*E46</f>
        <v>0</v>
      </c>
      <c r="G46" s="226">
        <f>CAPA!E75</f>
        <v>-79113.460000000006</v>
      </c>
      <c r="H46" s="227">
        <f>VLOOKUP($B$48,Índices!$B$6:$F$500,VLOOKUP(H$23,$L$7:$M$9,2,FALSE)+1,FALSE)/VLOOKUP(DATE(YEAR($B46),MONTH($B46)-1,1),Índices!$B$6:$F$500,VLOOKUP(H$23,$L$7:$M$9,2,FALSE)+1,FALSE)*G46</f>
        <v>-80866.100596586737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6">
        <f>CAPA!H75</f>
        <v>0</v>
      </c>
      <c r="L46" s="227">
        <f>VLOOKUP($B$48,Índices!$B$6:$F$500,VLOOKUP(L$23,$L$7:$M$9,2,FALSE)+1,FALSE)/VLOOKUP(DATE(YEAR($B46),MONTH($B46)-1,1),Índices!$B$6:$F$500,VLOOKUP(L$23,$L$7:$M$9,2,FALSE)+1,FALSE)*K46</f>
        <v>0</v>
      </c>
      <c r="M46" s="416"/>
      <c r="N46" s="100">
        <f>VLOOKUP($B$48,Índices!$B$6:$F$500,VLOOKUP(N$23,$L$7:$M$9,2,FALSE)+1,FALSE)/VLOOKUP(DATE(YEAR($B46),MONTH($B46)-1,1),Índices!$B$6:$F$500,VLOOKUP(N$23,$L$7:$M$9,2,FALSE)+1,FALSE)*M46</f>
        <v>0</v>
      </c>
      <c r="O46" s="416">
        <f>CAPA!G75</f>
        <v>0</v>
      </c>
      <c r="P46" s="100">
        <f>VLOOKUP($B$48,Índices!$B$6:$F$500,VLOOKUP(P$23,$L$7:$M$9,2,FALSE)+1,FALSE)/VLOOKUP(DATE(YEAR($B46),MONTH($B46)-1,1),Índices!$B$6:$F$500,VLOOKUP(P$23,$L$7:$M$9,2,FALSE)+1,FALSE)*O46</f>
        <v>0</v>
      </c>
      <c r="Q46" s="226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78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78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10"/>
      <c r="B47" s="272">
        <f t="shared" si="2"/>
        <v>44682</v>
      </c>
      <c r="C47" s="298">
        <f>CAPA!C76</f>
        <v>117823.33</v>
      </c>
      <c r="D47" s="227">
        <f>VLOOKUP($B$48,Índices!$B$6:$F$500,VLOOKUP(D$23,$L$7:$M$9,2,FALSE)+1,FALSE)/VLOOKUP(DATE(YEAR($B47),MONTH($B47)-1,1),Índices!$B$6:$F$500,VLOOKUP(D$23,$L$7:$M$9,2,FALSE)+1,FALSE)*C47</f>
        <v>119170.30321430137</v>
      </c>
      <c r="E47" s="226"/>
      <c r="F47" s="227">
        <f>VLOOKUP($B$48,Índices!$B$6:$F$500,VLOOKUP(F$23,$L$7:$M$9,2,FALSE)+1,FALSE)/VLOOKUP(DATE(YEAR($B47),MONTH($B47)-1,1),Índices!$B$6:$F$500,VLOOKUP(H$23,$L$7:$M$9,2,FALSE)+1,FALSE)*E47</f>
        <v>0</v>
      </c>
      <c r="G47" s="226">
        <f>CAPA!E76</f>
        <v>-3529.81</v>
      </c>
      <c r="H47" s="227">
        <f>VLOOKUP($B$48,Índices!$B$6:$F$500,VLOOKUP(H$23,$L$7:$M$9,2,FALSE)+1,FALSE)/VLOOKUP(DATE(YEAR($B47),MONTH($B47)-1,1),Índices!$B$6:$F$500,VLOOKUP(H$23,$L$7:$M$9,2,FALSE)+1,FALSE)*G47</f>
        <v>-3570.1632943906197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6">
        <f>CAPA!H76</f>
        <v>0</v>
      </c>
      <c r="L47" s="227">
        <f>VLOOKUP($B$48,Índices!$B$6:$F$500,VLOOKUP(L$23,$L$7:$M$9,2,FALSE)+1,FALSE)/VLOOKUP(DATE(YEAR($B47),MONTH($B47)-1,1),Índices!$B$6:$F$500,VLOOKUP(L$23,$L$7:$M$9,2,FALSE)+1,FALSE)*K47</f>
        <v>0</v>
      </c>
      <c r="M47" s="416"/>
      <c r="N47" s="100">
        <f>VLOOKUP($B$48,Índices!$B$6:$F$500,VLOOKUP(N$23,$L$7:$M$9,2,FALSE)+1,FALSE)/VLOOKUP(DATE(YEAR($B47),MONTH($B47)-1,1),Índices!$B$6:$F$500,VLOOKUP(N$23,$L$7:$M$9,2,FALSE)+1,FALSE)*M47</f>
        <v>0</v>
      </c>
      <c r="O47" s="416">
        <f>CAPA!G76</f>
        <v>0</v>
      </c>
      <c r="P47" s="100">
        <f>VLOOKUP($B$48,Índices!$B$6:$F$500,VLOOKUP(P$23,$L$7:$M$9,2,FALSE)+1,FALSE)/VLOOKUP(DATE(YEAR($B47),MONTH($B47)-1,1),Índices!$B$6:$F$500,VLOOKUP(P$23,$L$7:$M$9,2,FALSE)+1,FALSE)*O47</f>
        <v>0</v>
      </c>
      <c r="Q47" s="226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78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78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10"/>
      <c r="B48" s="1532">
        <f>DATE(YEAR(CAPA!$C$15),MONTH(CAPA!$C$15)-1,1)</f>
        <v>44713</v>
      </c>
      <c r="C48" s="298">
        <f>CAPA!C77</f>
        <v>0</v>
      </c>
      <c r="D48" s="227">
        <f>VLOOKUP($B$48,Índices!$B$6:$F$500,VLOOKUP(D$23,$L$7:$M$9,2,FALSE)+1,FALSE)/VLOOKUP(DATE(YEAR($B48),MONTH($B48)-1,1),Índices!$B$6:$F$500,VLOOKUP(D$23,$L$7:$M$9,2,FALSE)+1,FALSE)*C48</f>
        <v>0</v>
      </c>
      <c r="E48" s="226"/>
      <c r="F48" s="227">
        <f>VLOOKUP($B$48,Índices!$B$6:$F$500,VLOOKUP(F$23,$L$7:$M$9,2,FALSE)+1,FALSE)/VLOOKUP(DATE(YEAR($B48),MONTH($B48)-1,1),Índices!$B$6:$F$500,VLOOKUP(H$23,$L$7:$M$9,2,FALSE)+1,FALSE)*E48</f>
        <v>0</v>
      </c>
      <c r="G48" s="226">
        <f>CAPA!E77</f>
        <v>0</v>
      </c>
      <c r="H48" s="227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6">
        <f>CAPA!H77</f>
        <v>580921.32709999999</v>
      </c>
      <c r="L48" s="227">
        <f>VLOOKUP($B$48,Índices!$B$6:$F$500,VLOOKUP(L$23,$L$7:$M$9,2,FALSE)+1,FALSE)/VLOOKUP(DATE(YEAR($B48),MONTH($B48)-1,1),Índices!$B$6:$F$500,VLOOKUP(L$23,$L$7:$M$9,2,FALSE)+1,FALSE)*K48</f>
        <v>586819.51200968993</v>
      </c>
      <c r="M48" s="416"/>
      <c r="N48" s="100">
        <f>VLOOKUP($B$48,Índices!$B$6:$F$500,VLOOKUP(N$23,$L$7:$M$9,2,FALSE)+1,FALSE)/VLOOKUP(DATE(YEAR($B48),MONTH($B48)-1,1),Índices!$B$6:$F$500,VLOOKUP(N$23,$L$7:$M$9,2,FALSE)+1,FALSE)*M48</f>
        <v>0</v>
      </c>
      <c r="O48" s="416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6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78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78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533">
        <f t="shared" ref="C49:P49" si="3">SUM(C25:C48)</f>
        <v>1234033.21</v>
      </c>
      <c r="D49" s="1534">
        <f t="shared" si="3"/>
        <v>1320184.3375018844</v>
      </c>
      <c r="E49" s="1533">
        <f t="shared" si="3"/>
        <v>0</v>
      </c>
      <c r="F49" s="1534">
        <f t="shared" si="3"/>
        <v>0</v>
      </c>
      <c r="G49" s="1533">
        <f t="shared" si="3"/>
        <v>-233692.55</v>
      </c>
      <c r="H49" s="1534">
        <f t="shared" si="3"/>
        <v>-245831.60901239348</v>
      </c>
      <c r="I49" s="1535">
        <f>SUM(I24:I48)</f>
        <v>0</v>
      </c>
      <c r="J49" s="1535">
        <f>SUM(J24:J48)</f>
        <v>0</v>
      </c>
      <c r="K49" s="1536">
        <f t="shared" si="3"/>
        <v>580921.32709999999</v>
      </c>
      <c r="L49" s="1537">
        <f t="shared" si="3"/>
        <v>586819.51200968993</v>
      </c>
      <c r="M49" s="1538">
        <f t="shared" si="3"/>
        <v>0</v>
      </c>
      <c r="N49" s="1539">
        <f t="shared" si="3"/>
        <v>0</v>
      </c>
      <c r="O49" s="1538">
        <f t="shared" si="3"/>
        <v>0</v>
      </c>
      <c r="P49" s="1539">
        <f t="shared" si="3"/>
        <v>0</v>
      </c>
      <c r="Q49" s="1538">
        <f t="shared" ref="Q49:R49" si="4">SUM(Q25:Q48)</f>
        <v>0</v>
      </c>
      <c r="R49" s="1539">
        <f t="shared" si="4"/>
        <v>0</v>
      </c>
      <c r="S49" s="1538">
        <f>-S51</f>
        <v>0</v>
      </c>
      <c r="T49" s="1539">
        <f t="shared" ref="T49:V49" si="5">SUM(T25:T48)</f>
        <v>0</v>
      </c>
      <c r="U49" s="1538">
        <f>-S52</f>
        <v>0</v>
      </c>
      <c r="V49" s="1539">
        <f t="shared" si="5"/>
        <v>0</v>
      </c>
      <c r="Z49" s="68"/>
    </row>
    <row r="50" spans="2:30" ht="14.25">
      <c r="J50" s="68" t="s">
        <v>927</v>
      </c>
      <c r="M50" s="200"/>
      <c r="N50" s="108"/>
      <c r="S50" s="1438"/>
      <c r="T50" s="68" t="s">
        <v>1482</v>
      </c>
      <c r="Z50" s="68"/>
    </row>
    <row r="51" spans="2:30" ht="14.25">
      <c r="E51" s="144"/>
      <c r="F51" s="144"/>
      <c r="G51" s="144"/>
      <c r="H51" s="144"/>
      <c r="I51" s="144"/>
      <c r="J51" s="144"/>
      <c r="K51" s="144"/>
      <c r="L51" s="144"/>
      <c r="M51" s="200"/>
      <c r="N51" s="108"/>
      <c r="O51" s="144"/>
      <c r="P51" s="144"/>
      <c r="Z51" s="68"/>
    </row>
    <row r="52" spans="2:30" ht="14.25">
      <c r="M52" s="200"/>
      <c r="N52" s="108"/>
      <c r="Z52" s="68"/>
    </row>
    <row r="53" spans="2:30" ht="14.25">
      <c r="C53" s="1797" t="s">
        <v>2253</v>
      </c>
      <c r="D53" s="1798"/>
      <c r="E53" s="1797" t="s">
        <v>1483</v>
      </c>
      <c r="F53" s="1798"/>
      <c r="G53" s="1797" t="s">
        <v>1484</v>
      </c>
      <c r="H53" s="1798"/>
      <c r="I53" s="1797" t="s">
        <v>1485</v>
      </c>
      <c r="J53" s="1798"/>
      <c r="K53" s="1795" t="s">
        <v>1486</v>
      </c>
      <c r="L53" s="1796"/>
      <c r="M53" s="1797" t="s">
        <v>1487</v>
      </c>
      <c r="N53" s="1798"/>
      <c r="O53" s="1797" t="s">
        <v>2255</v>
      </c>
      <c r="P53" s="1798"/>
      <c r="Q53" s="1797" t="s">
        <v>2256</v>
      </c>
      <c r="R53" s="1798"/>
      <c r="S53" s="1797" t="s">
        <v>1488</v>
      </c>
      <c r="T53" s="1798"/>
      <c r="U53" s="1797" t="s">
        <v>1489</v>
      </c>
      <c r="V53" s="1798"/>
      <c r="W53" s="1797" t="s">
        <v>36</v>
      </c>
      <c r="X53" s="1798"/>
      <c r="Z53" s="68"/>
    </row>
    <row r="54" spans="2:30" ht="14.25">
      <c r="C54" s="1529" t="s">
        <v>1481</v>
      </c>
      <c r="D54" s="1530" t="s">
        <v>848</v>
      </c>
      <c r="E54" s="1529" t="s">
        <v>1481</v>
      </c>
      <c r="F54" s="1530" t="s">
        <v>848</v>
      </c>
      <c r="G54" s="1529" t="s">
        <v>1481</v>
      </c>
      <c r="H54" s="1530" t="s">
        <v>848</v>
      </c>
      <c r="I54" s="1529" t="s">
        <v>1481</v>
      </c>
      <c r="J54" s="1530" t="s">
        <v>848</v>
      </c>
      <c r="K54" s="1527" t="s">
        <v>1481</v>
      </c>
      <c r="L54" s="1528" t="s">
        <v>848</v>
      </c>
      <c r="M54" s="1529" t="s">
        <v>1481</v>
      </c>
      <c r="N54" s="1530" t="s">
        <v>848</v>
      </c>
      <c r="O54" s="1529" t="s">
        <v>1481</v>
      </c>
      <c r="P54" s="1530" t="s">
        <v>848</v>
      </c>
      <c r="Q54" s="1529" t="s">
        <v>1481</v>
      </c>
      <c r="R54" s="1530" t="s">
        <v>848</v>
      </c>
      <c r="S54" s="1529" t="s">
        <v>1481</v>
      </c>
      <c r="T54" s="1530" t="s">
        <v>848</v>
      </c>
      <c r="U54" s="1529" t="s">
        <v>1481</v>
      </c>
      <c r="V54" s="1530" t="s">
        <v>848</v>
      </c>
      <c r="W54" s="1529" t="s">
        <v>1481</v>
      </c>
      <c r="X54" s="1540" t="s">
        <v>1459</v>
      </c>
      <c r="Z54" s="68"/>
    </row>
    <row r="55" spans="2:30" ht="14.25">
      <c r="B55" s="272">
        <f t="shared" ref="B55:B79" si="6">B24</f>
        <v>43983</v>
      </c>
      <c r="C55" s="497"/>
      <c r="D55" s="100">
        <f>VLOOKUP($B$79,Índices!$B$6:$F$500,VLOOKUP(D$54,$L$7:$M$9,2,FALSE)+1,FALSE)/VLOOKUP(DATE(YEAR($B55),MONTH($B55)-1,1),Índices!$B$6:$F$500,VLOOKUP(D$54,$L$7:$M$9,2,FALSE)+1,FALSE)*C55</f>
        <v>0</v>
      </c>
      <c r="E55" s="209"/>
      <c r="F55" s="100">
        <f>VLOOKUP($B$48,Índices!$B$6:$F$500,VLOOKUP(F$54,$L$7:$M$9,2,FALSE)+1,FALSE)/VLOOKUP(DATE(YEAR($B55),MONTH($B55)-1,1),Índices!$B$6:$F$500,VLOOKUP(F$54,$L$7:$M$9,2,FALSE)+1,FALSE)*E55</f>
        <v>0</v>
      </c>
      <c r="G55" s="209"/>
      <c r="H55" s="100">
        <f>VLOOKUP($B$48,Índices!$B$6:$F$500,VLOOKUP(H$54,$L$7:$M$9,2,FALSE)+1,FALSE)/VLOOKUP(DATE(YEAR($B55),MONTH($B55)-1,1),Índices!$B$6:$F$500,VLOOKUP(H$54,$L$7:$M$9,2,FALSE)+1,FALSE)*G55</f>
        <v>0</v>
      </c>
      <c r="I55" s="209"/>
      <c r="J55" s="100">
        <f>VLOOKUP($B$48,Índices!$B$6:$F$500,VLOOKUP(J$54,$L$7:$M$9,2,FALSE)+1,FALSE)/VLOOKUP(DATE(YEAR($B55),MONTH($B55)-1,1),Índices!$B$6:$F$500,VLOOKUP(J$54,$L$7:$M$9,2,FALSE)+1,FALSE)*I55</f>
        <v>0</v>
      </c>
      <c r="K55" s="209"/>
      <c r="L55" s="100">
        <f>VLOOKUP($B$48,Índices!$B$6:$F$500,VLOOKUP(L$54,$L$7:$M$9,2,FALSE)+1,FALSE)/VLOOKUP(DATE(YEAR($B55),MONTH($B55)-1,1),Índices!$B$6:$F$500,VLOOKUP(L$54,$L$7:$M$9,2,FALSE)+1,FALSE)*K55</f>
        <v>0</v>
      </c>
      <c r="M55" s="209"/>
      <c r="N55" s="100">
        <f>VLOOKUP($B$48,Índices!$B$6:$F$500,VLOOKUP(N$54,$L$7:$M$9,2,FALSE)+1,FALSE)/VLOOKUP(DATE(YEAR($B55),MONTH($B55)-1,1),Índices!$B$6:$F$500,VLOOKUP(N$54,$L$7:$M$9,2,FALSE)+1,FALSE)*M55</f>
        <v>0</v>
      </c>
      <c r="O55" s="209"/>
      <c r="P55" s="100">
        <f>VLOOKUP($B$48,Índices!$B$6:$F$500,VLOOKUP(P$54,$L$7:$M$9,2,FALSE)+1,FALSE)/VLOOKUP(DATE(YEAR($B55),MONTH($B55)-1,1),Índices!$B$6:$F$500,VLOOKUP(P$54,$L$7:$M$9,2,FALSE)+1,FALSE)*O55</f>
        <v>0</v>
      </c>
      <c r="Q55" s="209"/>
      <c r="R55" s="100">
        <f>VLOOKUP($B$48,Índices!$B$6:$F$500,VLOOKUP(R$54,$L$7:$M$9,2,FALSE)+1,FALSE)/VLOOKUP(DATE(YEAR($B55),MONTH($B55)-1,1),Índices!$B$6:$F$500,VLOOKUP(R$54,$L$7:$M$9,2,FALSE)+1,FALSE)*Q55</f>
        <v>0</v>
      </c>
      <c r="S55" s="209"/>
      <c r="T55" s="100">
        <f>VLOOKUP($B$48,Índices!$B$6:$F$500,VLOOKUP(T$54,$L$7:$M$9,2,FALSE)+1,FALSE)/VLOOKUP(DATE(YEAR($B55),MONTH($B55)-1,1),Índices!$B$6:$F$500,VLOOKUP(T$54,$L$7:$M$9,2,FALSE)+1,FALSE)*S55</f>
        <v>0</v>
      </c>
      <c r="U55" s="209"/>
      <c r="V55" s="100">
        <f>VLOOKUP($B$48,Índices!$B$6:$F$500,VLOOKUP(V$54,$L$7:$M$9,2,FALSE)+1,FALSE)/VLOOKUP(DATE(YEAR($B55),MONTH($B55)-1,1),Índices!$B$6:$F$500,VLOOKUP(V$54,$L$7:$M$9,2,FALSE)+1,FALSE)*U55</f>
        <v>0</v>
      </c>
      <c r="W55" s="209"/>
      <c r="X55" s="100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72">
        <f t="shared" si="6"/>
        <v>44013</v>
      </c>
      <c r="C56" s="209"/>
      <c r="D56" s="100">
        <f>VLOOKUP($B$79,Índices!$B$6:$F$500,VLOOKUP(D$54,$L$7:$M$9,2,FALSE)+1,FALSE)/VLOOKUP(DATE(YEAR($B56),MONTH($B56)-1,1),Índices!$B$6:$F$500,VLOOKUP(D$54,$L$7:$M$9,2,FALSE)+1,FALSE)*C56</f>
        <v>0</v>
      </c>
      <c r="E56" s="209"/>
      <c r="F56" s="100">
        <f>VLOOKUP($B$48,Índices!$B$6:$F$500,VLOOKUP(F$54,$L$7:$M$9,2,FALSE)+1,FALSE)/VLOOKUP(DATE(YEAR($B56),MONTH($B56)-1,1),Índices!$B$6:$F$500,VLOOKUP(F$54,$L$7:$M$9,2,FALSE)+1,FALSE)*E56</f>
        <v>0</v>
      </c>
      <c r="G56" s="209"/>
      <c r="H56" s="100">
        <f>VLOOKUP($B$48,Índices!$B$6:$F$500,VLOOKUP(H$54,$L$7:$M$9,2,FALSE)+1,FALSE)/VLOOKUP(DATE(YEAR($B56),MONTH($B56)-1,1),Índices!$B$6:$F$500,VLOOKUP(H$54,$L$7:$M$9,2,FALSE)+1,FALSE)*G56</f>
        <v>0</v>
      </c>
      <c r="I56" s="209"/>
      <c r="J56" s="100">
        <f>VLOOKUP($B$48,Índices!$B$6:$F$500,VLOOKUP(J$54,$L$7:$M$9,2,FALSE)+1,FALSE)/VLOOKUP(DATE(YEAR($B56),MONTH($B56)-1,1),Índices!$B$6:$F$500,VLOOKUP(J$54,$L$7:$M$9,2,FALSE)+1,FALSE)*I56</f>
        <v>0</v>
      </c>
      <c r="K56" s="209"/>
      <c r="L56" s="100">
        <f>VLOOKUP($B$48,Índices!$B$6:$F$500,VLOOKUP(L$54,$L$7:$M$9,2,FALSE)+1,FALSE)/VLOOKUP(DATE(YEAR($B56),MONTH($B56)-1,1),Índices!$B$6:$F$500,VLOOKUP(L$54,$L$7:$M$9,2,FALSE)+1,FALSE)*K56</f>
        <v>0</v>
      </c>
      <c r="M56" s="209"/>
      <c r="N56" s="100">
        <f>VLOOKUP($B$48,Índices!$B$6:$F$500,VLOOKUP(N$54,$L$7:$M$9,2,FALSE)+1,FALSE)/VLOOKUP(DATE(YEAR($B56),MONTH($B56)-1,1),Índices!$B$6:$F$500,VLOOKUP(N$54,$L$7:$M$9,2,FALSE)+1,FALSE)*M56</f>
        <v>0</v>
      </c>
      <c r="O56" s="209"/>
      <c r="P56" s="100">
        <f>VLOOKUP($B$48,Índices!$B$6:$F$500,VLOOKUP(P$54,$L$7:$M$9,2,FALSE)+1,FALSE)/VLOOKUP(DATE(YEAR($B56),MONTH($B56)-1,1),Índices!$B$6:$F$500,VLOOKUP(P$54,$L$7:$M$9,2,FALSE)+1,FALSE)*O56</f>
        <v>0</v>
      </c>
      <c r="Q56" s="209"/>
      <c r="R56" s="100">
        <f>VLOOKUP($B$48,Índices!$B$6:$F$500,VLOOKUP(R$54,$L$7:$M$9,2,FALSE)+1,FALSE)/VLOOKUP(DATE(YEAR($B56),MONTH($B56)-1,1),Índices!$B$6:$F$500,VLOOKUP(R$54,$L$7:$M$9,2,FALSE)+1,FALSE)*Q56</f>
        <v>0</v>
      </c>
      <c r="S56" s="209"/>
      <c r="T56" s="100">
        <f>VLOOKUP($B$48,Índices!$B$6:$F$500,VLOOKUP(T$54,$L$7:$M$9,2,FALSE)+1,FALSE)/VLOOKUP(DATE(YEAR($B56),MONTH($B56)-1,1),Índices!$B$6:$F$500,VLOOKUP(T$54,$L$7:$M$9,2,FALSE)+1,FALSE)*S56</f>
        <v>0</v>
      </c>
      <c r="U56" s="209"/>
      <c r="V56" s="100">
        <f>VLOOKUP($B$48,Índices!$B$6:$F$500,VLOOKUP(V$54,$L$7:$M$9,2,FALSE)+1,FALSE)/VLOOKUP(DATE(YEAR($B56),MONTH($B56)-1,1),Índices!$B$6:$F$500,VLOOKUP(V$54,$L$7:$M$9,2,FALSE)+1,FALSE)*U56</f>
        <v>0</v>
      </c>
      <c r="W56" s="209"/>
      <c r="X56" s="100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72">
        <f t="shared" si="6"/>
        <v>44044</v>
      </c>
      <c r="C57" s="209"/>
      <c r="D57" s="100">
        <f>VLOOKUP($B$79,Índices!$B$6:$F$500,VLOOKUP(D$54,$L$7:$M$9,2,FALSE)+1,FALSE)/VLOOKUP(DATE(YEAR($B57),MONTH($B57)-1,1),Índices!$B$6:$F$500,VLOOKUP(D$54,$L$7:$M$9,2,FALSE)+1,FALSE)*C57</f>
        <v>0</v>
      </c>
      <c r="E57" s="209"/>
      <c r="F57" s="100">
        <f>VLOOKUP($B$48,Índices!$B$6:$F$500,VLOOKUP(F$23,$L$7:$M$9,2,FALSE)+1,FALSE)/VLOOKUP(DATE(YEAR($B57),MONTH($B57)-1,1),Índices!$B$6:$F$500,VLOOKUP(F$23,$L$7:$M$9,2,FALSE)+1,FALSE)*E57</f>
        <v>0</v>
      </c>
      <c r="G57" s="209"/>
      <c r="H57" s="100">
        <f>VLOOKUP($B$48,Índices!$B$6:$F$500,VLOOKUP(H$54,$L$7:$M$9,2,FALSE)+1,FALSE)/VLOOKUP(DATE(YEAR($B57),MONTH($B57)-1,1),Índices!$B$6:$F$500,VLOOKUP(H$54,$L$7:$M$9,2,FALSE)+1,FALSE)*G57</f>
        <v>0</v>
      </c>
      <c r="I57" s="209"/>
      <c r="J57" s="100">
        <f>VLOOKUP($B$48,Índices!$B$6:$F$500,VLOOKUP(J$54,$L$7:$M$9,2,FALSE)+1,FALSE)/VLOOKUP(DATE(YEAR($B57),MONTH($B57)-1,1),Índices!$B$6:$F$500,VLOOKUP(J$54,$L$7:$M$9,2,FALSE)+1,FALSE)*I57</f>
        <v>0</v>
      </c>
      <c r="K57" s="209"/>
      <c r="L57" s="100">
        <f>VLOOKUP($B$48,Índices!$B$6:$F$500,VLOOKUP(L$54,$L$7:$M$9,2,FALSE)+1,FALSE)/VLOOKUP(DATE(YEAR($B57),MONTH($B57)-1,1),Índices!$B$6:$F$500,VLOOKUP(L$54,$L$7:$M$9,2,FALSE)+1,FALSE)*K57</f>
        <v>0</v>
      </c>
      <c r="M57" s="209"/>
      <c r="N57" s="100">
        <f>VLOOKUP($B$48,Índices!$B$6:$F$500,VLOOKUP(N$54,$L$7:$M$9,2,FALSE)+1,FALSE)/VLOOKUP(DATE(YEAR($B57),MONTH($B57)-1,1),Índices!$B$6:$F$500,VLOOKUP(N$54,$L$7:$M$9,2,FALSE)+1,FALSE)*M57</f>
        <v>0</v>
      </c>
      <c r="O57" s="209"/>
      <c r="P57" s="100">
        <f>VLOOKUP($B$48,Índices!$B$6:$F$500,VLOOKUP(P$54,$L$7:$M$9,2,FALSE)+1,FALSE)/VLOOKUP(DATE(YEAR($B57),MONTH($B57)-1,1),Índices!$B$6:$F$500,VLOOKUP(P$54,$L$7:$M$9,2,FALSE)+1,FALSE)*O57</f>
        <v>0</v>
      </c>
      <c r="Q57" s="209"/>
      <c r="R57" s="100">
        <f>VLOOKUP($B$48,Índices!$B$6:$F$500,VLOOKUP(R$54,$L$7:$M$9,2,FALSE)+1,FALSE)/VLOOKUP(DATE(YEAR($B57),MONTH($B57)-1,1),Índices!$B$6:$F$500,VLOOKUP(R$54,$L$7:$M$9,2,FALSE)+1,FALSE)*Q57</f>
        <v>0</v>
      </c>
      <c r="S57" s="209"/>
      <c r="T57" s="100">
        <f>VLOOKUP($B$48,Índices!$B$6:$F$500,VLOOKUP(T$54,$L$7:$M$9,2,FALSE)+1,FALSE)/VLOOKUP(DATE(YEAR($B57),MONTH($B57)-1,1),Índices!$B$6:$F$500,VLOOKUP(T$54,$L$7:$M$9,2,FALSE)+1,FALSE)*S57</f>
        <v>0</v>
      </c>
      <c r="U57" s="209"/>
      <c r="V57" s="100">
        <f>VLOOKUP($B$48,Índices!$B$6:$F$500,VLOOKUP(V$54,$L$7:$M$9,2,FALSE)+1,FALSE)/VLOOKUP(DATE(YEAR($B57),MONTH($B57)-1,1),Índices!$B$6:$F$500,VLOOKUP(V$54,$L$7:$M$9,2,FALSE)+1,FALSE)*U57</f>
        <v>0</v>
      </c>
      <c r="W57" s="209"/>
      <c r="X57" s="100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72">
        <f t="shared" si="6"/>
        <v>44075</v>
      </c>
      <c r="C58" s="209"/>
      <c r="D58" s="100">
        <f>VLOOKUP($B$79,Índices!$B$6:$F$500,VLOOKUP(D$54,$L$7:$M$9,2,FALSE)+1,FALSE)/VLOOKUP(DATE(YEAR($B58),MONTH($B58)-1,1),Índices!$B$6:$F$500,VLOOKUP(D$54,$L$7:$M$9,2,FALSE)+1,FALSE)*C58</f>
        <v>0</v>
      </c>
      <c r="E58" s="209"/>
      <c r="F58" s="100">
        <f>VLOOKUP($B$48,Índices!$B$6:$F$500,VLOOKUP(F$23,$L$7:$M$9,2,FALSE)+1,FALSE)/VLOOKUP(DATE(YEAR($B58),MONTH($B58)-1,1),Índices!$B$6:$F$500,VLOOKUP(F$23,$L$7:$M$9,2,FALSE)+1,FALSE)*E58</f>
        <v>0</v>
      </c>
      <c r="G58" s="209"/>
      <c r="H58" s="100">
        <f>VLOOKUP($B$48,Índices!$B$6:$F$500,VLOOKUP(H$54,$L$7:$M$9,2,FALSE)+1,FALSE)/VLOOKUP(DATE(YEAR($B58),MONTH($B58)-1,1),Índices!$B$6:$F$500,VLOOKUP(H$54,$L$7:$M$9,2,FALSE)+1,FALSE)*G58</f>
        <v>0</v>
      </c>
      <c r="I58" s="209"/>
      <c r="J58" s="100">
        <f>VLOOKUP($B$48,Índices!$B$6:$F$500,VLOOKUP(J$54,$L$7:$M$9,2,FALSE)+1,FALSE)/VLOOKUP(DATE(YEAR($B58),MONTH($B58)-1,1),Índices!$B$6:$F$500,VLOOKUP(J$54,$L$7:$M$9,2,FALSE)+1,FALSE)*I58</f>
        <v>0</v>
      </c>
      <c r="K58" s="209"/>
      <c r="L58" s="100">
        <f>VLOOKUP($B$48,Índices!$B$6:$F$500,VLOOKUP(L$54,$L$7:$M$9,2,FALSE)+1,FALSE)/VLOOKUP(DATE(YEAR($B58),MONTH($B58)-1,1),Índices!$B$6:$F$500,VLOOKUP(L$54,$L$7:$M$9,2,FALSE)+1,FALSE)*K58</f>
        <v>0</v>
      </c>
      <c r="M58" s="209"/>
      <c r="N58" s="100">
        <f>VLOOKUP($B$48,Índices!$B$6:$F$500,VLOOKUP(N$54,$L$7:$M$9,2,FALSE)+1,FALSE)/VLOOKUP(DATE(YEAR($B58),MONTH($B58)-1,1),Índices!$B$6:$F$500,VLOOKUP(N$54,$L$7:$M$9,2,FALSE)+1,FALSE)*M58</f>
        <v>0</v>
      </c>
      <c r="O58" s="209"/>
      <c r="P58" s="100">
        <f>VLOOKUP($B$48,Índices!$B$6:$F$500,VLOOKUP(P$54,$L$7:$M$9,2,FALSE)+1,FALSE)/VLOOKUP(DATE(YEAR($B58),MONTH($B58)-1,1),Índices!$B$6:$F$500,VLOOKUP(P$54,$L$7:$M$9,2,FALSE)+1,FALSE)*O58</f>
        <v>0</v>
      </c>
      <c r="Q58" s="209"/>
      <c r="R58" s="100">
        <f>VLOOKUP($B$48,Índices!$B$6:$F$500,VLOOKUP(R$54,$L$7:$M$9,2,FALSE)+1,FALSE)/VLOOKUP(DATE(YEAR($B58),MONTH($B58)-1,1),Índices!$B$6:$F$500,VLOOKUP(R$54,$L$7:$M$9,2,FALSE)+1,FALSE)*Q58</f>
        <v>0</v>
      </c>
      <c r="S58" s="209"/>
      <c r="T58" s="100">
        <f>VLOOKUP($B$48,Índices!$B$6:$F$500,VLOOKUP(T$54,$L$7:$M$9,2,FALSE)+1,FALSE)/VLOOKUP(DATE(YEAR($B58),MONTH($B58)-1,1),Índices!$B$6:$F$500,VLOOKUP(T$54,$L$7:$M$9,2,FALSE)+1,FALSE)*S58</f>
        <v>0</v>
      </c>
      <c r="U58" s="209"/>
      <c r="V58" s="100">
        <f>VLOOKUP($B$48,Índices!$B$6:$F$500,VLOOKUP(V$54,$L$7:$M$9,2,FALSE)+1,FALSE)/VLOOKUP(DATE(YEAR($B58),MONTH($B58)-1,1),Índices!$B$6:$F$500,VLOOKUP(V$54,$L$7:$M$9,2,FALSE)+1,FALSE)*U58</f>
        <v>0</v>
      </c>
      <c r="W58" s="209"/>
      <c r="X58" s="100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72">
        <f t="shared" si="6"/>
        <v>44105</v>
      </c>
      <c r="C59" s="209"/>
      <c r="D59" s="100">
        <f>VLOOKUP($B$79,Índices!$B$6:$F$500,VLOOKUP(D$54,$L$7:$M$9,2,FALSE)+1,FALSE)/VLOOKUP(DATE(YEAR($B59),MONTH($B59)-1,1),Índices!$B$6:$F$500,VLOOKUP(D$54,$L$7:$M$9,2,FALSE)+1,FALSE)*C59</f>
        <v>0</v>
      </c>
      <c r="E59" s="209"/>
      <c r="F59" s="100">
        <f>VLOOKUP($B$48,Índices!$B$6:$F$500,VLOOKUP(F$23,$L$7:$M$9,2,FALSE)+1,FALSE)/VLOOKUP(DATE(YEAR($B59),MONTH($B59)-1,1),Índices!$B$6:$F$500,VLOOKUP(F$23,$L$7:$M$9,2,FALSE)+1,FALSE)*E59</f>
        <v>0</v>
      </c>
      <c r="G59" s="209"/>
      <c r="H59" s="100">
        <f>VLOOKUP($B$48,Índices!$B$6:$F$500,VLOOKUP(H$54,$L$7:$M$9,2,FALSE)+1,FALSE)/VLOOKUP(DATE(YEAR($B59),MONTH($B59)-1,1),Índices!$B$6:$F$500,VLOOKUP(H$54,$L$7:$M$9,2,FALSE)+1,FALSE)*G59</f>
        <v>0</v>
      </c>
      <c r="I59" s="209"/>
      <c r="J59" s="100">
        <f>VLOOKUP($B$48,Índices!$B$6:$F$500,VLOOKUP(J$54,$L$7:$M$9,2,FALSE)+1,FALSE)/VLOOKUP(DATE(YEAR($B59),MONTH($B59)-1,1),Índices!$B$6:$F$500,VLOOKUP(J$54,$L$7:$M$9,2,FALSE)+1,FALSE)*I59</f>
        <v>0</v>
      </c>
      <c r="K59" s="209"/>
      <c r="L59" s="100">
        <f>VLOOKUP($B$48,Índices!$B$6:$F$500,VLOOKUP(L$54,$L$7:$M$9,2,FALSE)+1,FALSE)/VLOOKUP(DATE(YEAR($B59),MONTH($B59)-1,1),Índices!$B$6:$F$500,VLOOKUP(L$54,$L$7:$M$9,2,FALSE)+1,FALSE)*K59</f>
        <v>0</v>
      </c>
      <c r="M59" s="209"/>
      <c r="N59" s="100">
        <f>VLOOKUP($B$48,Índices!$B$6:$F$500,VLOOKUP(N$54,$L$7:$M$9,2,FALSE)+1,FALSE)/VLOOKUP(DATE(YEAR($B59),MONTH($B59)-1,1),Índices!$B$6:$F$500,VLOOKUP(N$54,$L$7:$M$9,2,FALSE)+1,FALSE)*M59</f>
        <v>0</v>
      </c>
      <c r="O59" s="209"/>
      <c r="P59" s="100">
        <f>VLOOKUP($B$48,Índices!$B$6:$F$500,VLOOKUP(P$54,$L$7:$M$9,2,FALSE)+1,FALSE)/VLOOKUP(DATE(YEAR($B59),MONTH($B59)-1,1),Índices!$B$6:$F$500,VLOOKUP(P$54,$L$7:$M$9,2,FALSE)+1,FALSE)*O59</f>
        <v>0</v>
      </c>
      <c r="Q59" s="209"/>
      <c r="R59" s="100">
        <f>VLOOKUP($B$48,Índices!$B$6:$F$500,VLOOKUP(R$54,$L$7:$M$9,2,FALSE)+1,FALSE)/VLOOKUP(DATE(YEAR($B59),MONTH($B59)-1,1),Índices!$B$6:$F$500,VLOOKUP(R$54,$L$7:$M$9,2,FALSE)+1,FALSE)*Q59</f>
        <v>0</v>
      </c>
      <c r="S59" s="209"/>
      <c r="T59" s="100">
        <f>VLOOKUP($B$48,Índices!$B$6:$F$500,VLOOKUP(T$54,$L$7:$M$9,2,FALSE)+1,FALSE)/VLOOKUP(DATE(YEAR($B59),MONTH($B59)-1,1),Índices!$B$6:$F$500,VLOOKUP(T$54,$L$7:$M$9,2,FALSE)+1,FALSE)*S59</f>
        <v>0</v>
      </c>
      <c r="U59" s="209"/>
      <c r="V59" s="100">
        <f>VLOOKUP($B$48,Índices!$B$6:$F$500,VLOOKUP(V$54,$L$7:$M$9,2,FALSE)+1,FALSE)/VLOOKUP(DATE(YEAR($B59),MONTH($B59)-1,1),Índices!$B$6:$F$500,VLOOKUP(V$54,$L$7:$M$9,2,FALSE)+1,FALSE)*U59</f>
        <v>0</v>
      </c>
      <c r="W59" s="209"/>
      <c r="X59" s="100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72">
        <f t="shared" si="6"/>
        <v>44136</v>
      </c>
      <c r="C60" s="209"/>
      <c r="D60" s="100">
        <f>VLOOKUP($B$79,Índices!$B$6:$F$500,VLOOKUP(D$54,$L$7:$M$9,2,FALSE)+1,FALSE)/VLOOKUP(DATE(YEAR($B60),MONTH($B60)-1,1),Índices!$B$6:$F$500,VLOOKUP(D$54,$L$7:$M$9,2,FALSE)+1,FALSE)*C60</f>
        <v>0</v>
      </c>
      <c r="E60" s="209"/>
      <c r="F60" s="100">
        <f>VLOOKUP($B$48,Índices!$B$6:$F$500,VLOOKUP(F$23,$L$7:$M$9,2,FALSE)+1,FALSE)/VLOOKUP(DATE(YEAR($B60),MONTH($B60)-1,1),Índices!$B$6:$F$500,VLOOKUP(F$23,$L$7:$M$9,2,FALSE)+1,FALSE)*E60</f>
        <v>0</v>
      </c>
      <c r="G60" s="209"/>
      <c r="H60" s="100">
        <f>VLOOKUP($B$48,Índices!$B$6:$F$500,VLOOKUP(H$54,$L$7:$M$9,2,FALSE)+1,FALSE)/VLOOKUP(DATE(YEAR($B60),MONTH($B60)-1,1),Índices!$B$6:$F$500,VLOOKUP(H$54,$L$7:$M$9,2,FALSE)+1,FALSE)*G60</f>
        <v>0</v>
      </c>
      <c r="I60" s="209"/>
      <c r="J60" s="100">
        <f>VLOOKUP($B$48,Índices!$B$6:$F$500,VLOOKUP(J$54,$L$7:$M$9,2,FALSE)+1,FALSE)/VLOOKUP(DATE(YEAR($B60),MONTH($B60)-1,1),Índices!$B$6:$F$500,VLOOKUP(J$54,$L$7:$M$9,2,FALSE)+1,FALSE)*I60</f>
        <v>0</v>
      </c>
      <c r="K60" s="209"/>
      <c r="L60" s="100">
        <f>VLOOKUP($B$48,Índices!$B$6:$F$500,VLOOKUP(L$54,$L$7:$M$9,2,FALSE)+1,FALSE)/VLOOKUP(DATE(YEAR($B60),MONTH($B60)-1,1),Índices!$B$6:$F$500,VLOOKUP(L$54,$L$7:$M$9,2,FALSE)+1,FALSE)*K60</f>
        <v>0</v>
      </c>
      <c r="M60" s="209"/>
      <c r="N60" s="100">
        <f>VLOOKUP($B$48,Índices!$B$6:$F$500,VLOOKUP(N$54,$L$7:$M$9,2,FALSE)+1,FALSE)/VLOOKUP(DATE(YEAR($B60),MONTH($B60)-1,1),Índices!$B$6:$F$500,VLOOKUP(N$54,$L$7:$M$9,2,FALSE)+1,FALSE)*M60</f>
        <v>0</v>
      </c>
      <c r="O60" s="209"/>
      <c r="P60" s="100">
        <f>VLOOKUP($B$48,Índices!$B$6:$F$500,VLOOKUP(P$54,$L$7:$M$9,2,FALSE)+1,FALSE)/VLOOKUP(DATE(YEAR($B60),MONTH($B60)-1,1),Índices!$B$6:$F$500,VLOOKUP(P$54,$L$7:$M$9,2,FALSE)+1,FALSE)*O60</f>
        <v>0</v>
      </c>
      <c r="Q60" s="209"/>
      <c r="R60" s="100">
        <f>VLOOKUP($B$48,Índices!$B$6:$F$500,VLOOKUP(R$54,$L$7:$M$9,2,FALSE)+1,FALSE)/VLOOKUP(DATE(YEAR($B60),MONTH($B60)-1,1),Índices!$B$6:$F$500,VLOOKUP(R$54,$L$7:$M$9,2,FALSE)+1,FALSE)*Q60</f>
        <v>0</v>
      </c>
      <c r="S60" s="209"/>
      <c r="T60" s="100">
        <f>VLOOKUP($B$48,Índices!$B$6:$F$500,VLOOKUP(T$54,$L$7:$M$9,2,FALSE)+1,FALSE)/VLOOKUP(DATE(YEAR($B60),MONTH($B60)-1,1),Índices!$B$6:$F$500,VLOOKUP(T$54,$L$7:$M$9,2,FALSE)+1,FALSE)*S60</f>
        <v>0</v>
      </c>
      <c r="U60" s="209"/>
      <c r="V60" s="100">
        <f>VLOOKUP($B$48,Índices!$B$6:$F$500,VLOOKUP(V$54,$L$7:$M$9,2,FALSE)+1,FALSE)/VLOOKUP(DATE(YEAR($B60),MONTH($B60)-1,1),Índices!$B$6:$F$500,VLOOKUP(V$54,$L$7:$M$9,2,FALSE)+1,FALSE)*U60</f>
        <v>0</v>
      </c>
      <c r="W60" s="209"/>
      <c r="X60" s="100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72">
        <f t="shared" si="6"/>
        <v>44166</v>
      </c>
      <c r="C61" s="209"/>
      <c r="D61" s="100">
        <f>VLOOKUP($B$79,Índices!$B$6:$F$500,VLOOKUP(D$54,$L$7:$M$9,2,FALSE)+1,FALSE)/VLOOKUP(DATE(YEAR($B61),MONTH($B61)-1,1),Índices!$B$6:$F$500,VLOOKUP(D$54,$L$7:$M$9,2,FALSE)+1,FALSE)*C61</f>
        <v>0</v>
      </c>
      <c r="E61" s="209"/>
      <c r="F61" s="100">
        <f>VLOOKUP($B$48,Índices!$B$6:$F$500,VLOOKUP(F$23,$L$7:$M$9,2,FALSE)+1,FALSE)/VLOOKUP(DATE(YEAR($B61),MONTH($B61)-1,1),Índices!$B$6:$F$500,VLOOKUP(F$23,$L$7:$M$9,2,FALSE)+1,FALSE)*E61</f>
        <v>0</v>
      </c>
      <c r="G61" s="209"/>
      <c r="H61" s="100">
        <f>VLOOKUP($B$48,Índices!$B$6:$F$500,VLOOKUP(H$54,$L$7:$M$9,2,FALSE)+1,FALSE)/VLOOKUP(DATE(YEAR($B61),MONTH($B61)-1,1),Índices!$B$6:$F$500,VLOOKUP(H$54,$L$7:$M$9,2,FALSE)+1,FALSE)*G61</f>
        <v>0</v>
      </c>
      <c r="I61" s="209"/>
      <c r="J61" s="100">
        <f>VLOOKUP($B$48,Índices!$B$6:$F$500,VLOOKUP(J$54,$L$7:$M$9,2,FALSE)+1,FALSE)/VLOOKUP(DATE(YEAR($B61),MONTH($B61)-1,1),Índices!$B$6:$F$500,VLOOKUP(J$54,$L$7:$M$9,2,FALSE)+1,FALSE)*I61</f>
        <v>0</v>
      </c>
      <c r="K61" s="209"/>
      <c r="L61" s="100">
        <f>VLOOKUP($B$48,Índices!$B$6:$F$500,VLOOKUP(L$54,$L$7:$M$9,2,FALSE)+1,FALSE)/VLOOKUP(DATE(YEAR($B61),MONTH($B61)-1,1),Índices!$B$6:$F$500,VLOOKUP(L$54,$L$7:$M$9,2,FALSE)+1,FALSE)*K61</f>
        <v>0</v>
      </c>
      <c r="M61" s="209"/>
      <c r="N61" s="100">
        <f>VLOOKUP($B$48,Índices!$B$6:$F$500,VLOOKUP(N$54,$L$7:$M$9,2,FALSE)+1,FALSE)/VLOOKUP(DATE(YEAR($B61),MONTH($B61)-1,1),Índices!$B$6:$F$500,VLOOKUP(N$54,$L$7:$M$9,2,FALSE)+1,FALSE)*M61</f>
        <v>0</v>
      </c>
      <c r="O61" s="209"/>
      <c r="P61" s="100">
        <f>VLOOKUP($B$48,Índices!$B$6:$F$500,VLOOKUP(P$54,$L$7:$M$9,2,FALSE)+1,FALSE)/VLOOKUP(DATE(YEAR($B61),MONTH($B61)-1,1),Índices!$B$6:$F$500,VLOOKUP(P$54,$L$7:$M$9,2,FALSE)+1,FALSE)*O61</f>
        <v>0</v>
      </c>
      <c r="Q61" s="209"/>
      <c r="R61" s="100">
        <f>VLOOKUP($B$48,Índices!$B$6:$F$500,VLOOKUP(R$54,$L$7:$M$9,2,FALSE)+1,FALSE)/VLOOKUP(DATE(YEAR($B61),MONTH($B61)-1,1),Índices!$B$6:$F$500,VLOOKUP(R$54,$L$7:$M$9,2,FALSE)+1,FALSE)*Q61</f>
        <v>0</v>
      </c>
      <c r="S61" s="209"/>
      <c r="T61" s="100">
        <f>VLOOKUP($B$48,Índices!$B$6:$F$500,VLOOKUP(T$54,$L$7:$M$9,2,FALSE)+1,FALSE)/VLOOKUP(DATE(YEAR($B61),MONTH($B61)-1,1),Índices!$B$6:$F$500,VLOOKUP(T$54,$L$7:$M$9,2,FALSE)+1,FALSE)*S61</f>
        <v>0</v>
      </c>
      <c r="U61" s="209"/>
      <c r="V61" s="100">
        <f>VLOOKUP($B$48,Índices!$B$6:$F$500,VLOOKUP(V$54,$L$7:$M$9,2,FALSE)+1,FALSE)/VLOOKUP(DATE(YEAR($B61),MONTH($B61)-1,1),Índices!$B$6:$F$500,VLOOKUP(V$54,$L$7:$M$9,2,FALSE)+1,FALSE)*U61</f>
        <v>0</v>
      </c>
      <c r="W61" s="209"/>
      <c r="X61" s="100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72">
        <f t="shared" si="6"/>
        <v>44197</v>
      </c>
      <c r="C62" s="209"/>
      <c r="D62" s="100">
        <f>VLOOKUP($B$79,Índices!$B$6:$F$500,VLOOKUP(D$54,$L$7:$M$9,2,FALSE)+1,FALSE)/VLOOKUP(DATE(YEAR($B62),MONTH($B62)-1,1),Índices!$B$6:$F$500,VLOOKUP(D$54,$L$7:$M$9,2,FALSE)+1,FALSE)*C62</f>
        <v>0</v>
      </c>
      <c r="E62" s="209"/>
      <c r="F62" s="100">
        <f>VLOOKUP($B$48,Índices!$B$6:$F$500,VLOOKUP(F$23,$L$7:$M$9,2,FALSE)+1,FALSE)/VLOOKUP(DATE(YEAR($B62),MONTH($B62)-1,1),Índices!$B$6:$F$500,VLOOKUP(F$23,$L$7:$M$9,2,FALSE)+1,FALSE)*E62</f>
        <v>0</v>
      </c>
      <c r="G62" s="209"/>
      <c r="H62" s="100">
        <f>VLOOKUP($B$48,Índices!$B$6:$F$500,VLOOKUP(H$54,$L$7:$M$9,2,FALSE)+1,FALSE)/VLOOKUP(DATE(YEAR($B62),MONTH($B62)-1,1),Índices!$B$6:$F$500,VLOOKUP(H$54,$L$7:$M$9,2,FALSE)+1,FALSE)*G62</f>
        <v>0</v>
      </c>
      <c r="I62" s="209"/>
      <c r="J62" s="100">
        <f>VLOOKUP($B$48,Índices!$B$6:$F$500,VLOOKUP(J$54,$L$7:$M$9,2,FALSE)+1,FALSE)/VLOOKUP(DATE(YEAR($B62),MONTH($B62)-1,1),Índices!$B$6:$F$500,VLOOKUP(J$54,$L$7:$M$9,2,FALSE)+1,FALSE)*I62</f>
        <v>0</v>
      </c>
      <c r="K62" s="209"/>
      <c r="L62" s="100">
        <f>VLOOKUP($B$48,Índices!$B$6:$F$500,VLOOKUP(L$54,$L$7:$M$9,2,FALSE)+1,FALSE)/VLOOKUP(DATE(YEAR($B62),MONTH($B62)-1,1),Índices!$B$6:$F$500,VLOOKUP(L$54,$L$7:$M$9,2,FALSE)+1,FALSE)*K62</f>
        <v>0</v>
      </c>
      <c r="M62" s="209"/>
      <c r="N62" s="100">
        <f>VLOOKUP($B$48,Índices!$B$6:$F$500,VLOOKUP(N$54,$L$7:$M$9,2,FALSE)+1,FALSE)/VLOOKUP(DATE(YEAR($B62),MONTH($B62)-1,1),Índices!$B$6:$F$500,VLOOKUP(N$54,$L$7:$M$9,2,FALSE)+1,FALSE)*M62</f>
        <v>0</v>
      </c>
      <c r="O62" s="209"/>
      <c r="P62" s="100">
        <f>VLOOKUP($B$48,Índices!$B$6:$F$500,VLOOKUP(P$54,$L$7:$M$9,2,FALSE)+1,FALSE)/VLOOKUP(DATE(YEAR($B62),MONTH($B62)-1,1),Índices!$B$6:$F$500,VLOOKUP(P$54,$L$7:$M$9,2,FALSE)+1,FALSE)*O62</f>
        <v>0</v>
      </c>
      <c r="Q62" s="209"/>
      <c r="R62" s="100">
        <f>VLOOKUP($B$48,Índices!$B$6:$F$500,VLOOKUP(R$54,$L$7:$M$9,2,FALSE)+1,FALSE)/VLOOKUP(DATE(YEAR($B62),MONTH($B62)-1,1),Índices!$B$6:$F$500,VLOOKUP(R$54,$L$7:$M$9,2,FALSE)+1,FALSE)*Q62</f>
        <v>0</v>
      </c>
      <c r="S62" s="209"/>
      <c r="T62" s="100">
        <f>VLOOKUP($B$48,Índices!$B$6:$F$500,VLOOKUP(T$54,$L$7:$M$9,2,FALSE)+1,FALSE)/VLOOKUP(DATE(YEAR($B62),MONTH($B62)-1,1),Índices!$B$6:$F$500,VLOOKUP(T$54,$L$7:$M$9,2,FALSE)+1,FALSE)*S62</f>
        <v>0</v>
      </c>
      <c r="U62" s="209"/>
      <c r="V62" s="100">
        <f>VLOOKUP($B$48,Índices!$B$6:$F$500,VLOOKUP(V$54,$L$7:$M$9,2,FALSE)+1,FALSE)/VLOOKUP(DATE(YEAR($B62),MONTH($B62)-1,1),Índices!$B$6:$F$500,VLOOKUP(V$54,$L$7:$M$9,2,FALSE)+1,FALSE)*U62</f>
        <v>0</v>
      </c>
      <c r="W62" s="209"/>
      <c r="X62" s="100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72">
        <f t="shared" si="6"/>
        <v>44228</v>
      </c>
      <c r="C63" s="209"/>
      <c r="D63" s="100">
        <f>VLOOKUP($B$79,Índices!$B$6:$F$500,VLOOKUP(D$54,$L$7:$M$9,2,FALSE)+1,FALSE)/VLOOKUP(DATE(YEAR($B63),MONTH($B63)-1,1),Índices!$B$6:$F$500,VLOOKUP(D$54,$L$7:$M$9,2,FALSE)+1,FALSE)*C63</f>
        <v>0</v>
      </c>
      <c r="E63" s="209"/>
      <c r="F63" s="100">
        <f>VLOOKUP($B$48,Índices!$B$6:$F$500,VLOOKUP(F$23,$L$7:$M$9,2,FALSE)+1,FALSE)/VLOOKUP(DATE(YEAR($B63),MONTH($B63)-1,1),Índices!$B$6:$F$500,VLOOKUP(F$23,$L$7:$M$9,2,FALSE)+1,FALSE)*E63</f>
        <v>0</v>
      </c>
      <c r="G63" s="209"/>
      <c r="H63" s="100">
        <f>VLOOKUP($B$48,Índices!$B$6:$F$500,VLOOKUP(H$54,$L$7:$M$9,2,FALSE)+1,FALSE)/VLOOKUP(DATE(YEAR($B63),MONTH($B63)-1,1),Índices!$B$6:$F$500,VLOOKUP(H$54,$L$7:$M$9,2,FALSE)+1,FALSE)*G63</f>
        <v>0</v>
      </c>
      <c r="I63" s="209"/>
      <c r="J63" s="100">
        <f>VLOOKUP($B$48,Índices!$B$6:$F$500,VLOOKUP(J$54,$L$7:$M$9,2,FALSE)+1,FALSE)/VLOOKUP(DATE(YEAR($B63),MONTH($B63)-1,1),Índices!$B$6:$F$500,VLOOKUP(J$54,$L$7:$M$9,2,FALSE)+1,FALSE)*I63</f>
        <v>0</v>
      </c>
      <c r="K63" s="209"/>
      <c r="L63" s="100">
        <f>VLOOKUP($B$48,Índices!$B$6:$F$500,VLOOKUP(L$54,$L$7:$M$9,2,FALSE)+1,FALSE)/VLOOKUP(DATE(YEAR($B63),MONTH($B63)-1,1),Índices!$B$6:$F$500,VLOOKUP(L$54,$L$7:$M$9,2,FALSE)+1,FALSE)*K63</f>
        <v>0</v>
      </c>
      <c r="M63" s="209"/>
      <c r="N63" s="100">
        <f>VLOOKUP($B$48,Índices!$B$6:$F$500,VLOOKUP(N$54,$L$7:$M$9,2,FALSE)+1,FALSE)/VLOOKUP(DATE(YEAR($B63),MONTH($B63)-1,1),Índices!$B$6:$F$500,VLOOKUP(N$54,$L$7:$M$9,2,FALSE)+1,FALSE)*M63</f>
        <v>0</v>
      </c>
      <c r="O63" s="209"/>
      <c r="P63" s="100">
        <f>VLOOKUP($B$48,Índices!$B$6:$F$500,VLOOKUP(P$54,$L$7:$M$9,2,FALSE)+1,FALSE)/VLOOKUP(DATE(YEAR($B63),MONTH($B63)-1,1),Índices!$B$6:$F$500,VLOOKUP(P$54,$L$7:$M$9,2,FALSE)+1,FALSE)*O63</f>
        <v>0</v>
      </c>
      <c r="Q63" s="209"/>
      <c r="R63" s="100">
        <f>VLOOKUP($B$48,Índices!$B$6:$F$500,VLOOKUP(R$54,$L$7:$M$9,2,FALSE)+1,FALSE)/VLOOKUP(DATE(YEAR($B63),MONTH($B63)-1,1),Índices!$B$6:$F$500,VLOOKUP(R$54,$L$7:$M$9,2,FALSE)+1,FALSE)*Q63</f>
        <v>0</v>
      </c>
      <c r="S63" s="209"/>
      <c r="T63" s="100">
        <f>VLOOKUP($B$48,Índices!$B$6:$F$500,VLOOKUP(T$54,$L$7:$M$9,2,FALSE)+1,FALSE)/VLOOKUP(DATE(YEAR($B63),MONTH($B63)-1,1),Índices!$B$6:$F$500,VLOOKUP(T$54,$L$7:$M$9,2,FALSE)+1,FALSE)*S63</f>
        <v>0</v>
      </c>
      <c r="U63" s="209"/>
      <c r="V63" s="100">
        <f>VLOOKUP($B$48,Índices!$B$6:$F$500,VLOOKUP(V$54,$L$7:$M$9,2,FALSE)+1,FALSE)/VLOOKUP(DATE(YEAR($B63),MONTH($B63)-1,1),Índices!$B$6:$F$500,VLOOKUP(V$54,$L$7:$M$9,2,FALSE)+1,FALSE)*U63</f>
        <v>0</v>
      </c>
      <c r="W63" s="209"/>
      <c r="X63" s="100">
        <f>VLOOKUP($B$48,Índices!$B$6:$F$500,VLOOKUP(X$54,$L$7:$M$9,2,FALSE)+1,FALSE)/VLOOKUP(DATE(YEAR($B63),MONTH($B63)-1,1),Índices!$B$6:$F$500,VLOOKUP(X$54,$L$7:$M$9,2,FALSE)+1,FALSE)*W63</f>
        <v>0</v>
      </c>
      <c r="Z63" s="68"/>
      <c r="AD63" s="210"/>
    </row>
    <row r="64" spans="2:30" ht="14.25">
      <c r="B64" s="272">
        <f t="shared" si="6"/>
        <v>44256</v>
      </c>
      <c r="C64" s="209"/>
      <c r="D64" s="100">
        <f>VLOOKUP($B$79,Índices!$B$6:$F$500,VLOOKUP(D$54,$L$7:$M$9,2,FALSE)+1,FALSE)/VLOOKUP(DATE(YEAR($B64),MONTH($B64)-1,1),Índices!$B$6:$F$500,VLOOKUP(D$54,$L$7:$M$9,2,FALSE)+1,FALSE)*C64</f>
        <v>0</v>
      </c>
      <c r="E64" s="209"/>
      <c r="F64" s="100">
        <f>VLOOKUP($B$48,Índices!$B$6:$F$500,VLOOKUP(F$23,$L$7:$M$9,2,FALSE)+1,FALSE)/VLOOKUP(DATE(YEAR($B64),MONTH($B64)-1,1),Índices!$B$6:$F$500,VLOOKUP(F$23,$L$7:$M$9,2,FALSE)+1,FALSE)*E64</f>
        <v>0</v>
      </c>
      <c r="G64" s="209"/>
      <c r="H64" s="100">
        <f>VLOOKUP($B$48,Índices!$B$6:$F$500,VLOOKUP(H$54,$L$7:$M$9,2,FALSE)+1,FALSE)/VLOOKUP(DATE(YEAR($B64),MONTH($B64)-1,1),Índices!$B$6:$F$500,VLOOKUP(H$54,$L$7:$M$9,2,FALSE)+1,FALSE)*G64</f>
        <v>0</v>
      </c>
      <c r="I64" s="209"/>
      <c r="J64" s="100">
        <f>VLOOKUP($B$48,Índices!$B$6:$F$500,VLOOKUP(J$54,$L$7:$M$9,2,FALSE)+1,FALSE)/VLOOKUP(DATE(YEAR($B64),MONTH($B64)-1,1),Índices!$B$6:$F$500,VLOOKUP(J$54,$L$7:$M$9,2,FALSE)+1,FALSE)*I64</f>
        <v>0</v>
      </c>
      <c r="K64" s="209"/>
      <c r="L64" s="100">
        <f>VLOOKUP($B$48,Índices!$B$6:$F$500,VLOOKUP(L$54,$L$7:$M$9,2,FALSE)+1,FALSE)/VLOOKUP(DATE(YEAR($B64),MONTH($B64)-1,1),Índices!$B$6:$F$500,VLOOKUP(L$54,$L$7:$M$9,2,FALSE)+1,FALSE)*K64</f>
        <v>0</v>
      </c>
      <c r="M64" s="209"/>
      <c r="N64" s="100">
        <f>VLOOKUP($B$48,Índices!$B$6:$F$500,VLOOKUP(N$54,$L$7:$M$9,2,FALSE)+1,FALSE)/VLOOKUP(DATE(YEAR($B64),MONTH($B64)-1,1),Índices!$B$6:$F$500,VLOOKUP(N$54,$L$7:$M$9,2,FALSE)+1,FALSE)*M64</f>
        <v>0</v>
      </c>
      <c r="O64" s="209"/>
      <c r="P64" s="100">
        <f>VLOOKUP($B$48,Índices!$B$6:$F$500,VLOOKUP(P$54,$L$7:$M$9,2,FALSE)+1,FALSE)/VLOOKUP(DATE(YEAR($B64),MONTH($B64)-1,1),Índices!$B$6:$F$500,VLOOKUP(P$54,$L$7:$M$9,2,FALSE)+1,FALSE)*O64</f>
        <v>0</v>
      </c>
      <c r="Q64" s="209"/>
      <c r="R64" s="100">
        <f>VLOOKUP($B$48,Índices!$B$6:$F$500,VLOOKUP(R$54,$L$7:$M$9,2,FALSE)+1,FALSE)/VLOOKUP(DATE(YEAR($B64),MONTH($B64)-1,1),Índices!$B$6:$F$500,VLOOKUP(R$54,$L$7:$M$9,2,FALSE)+1,FALSE)*Q64</f>
        <v>0</v>
      </c>
      <c r="S64" s="209"/>
      <c r="T64" s="100">
        <f>VLOOKUP($B$48,Índices!$B$6:$F$500,VLOOKUP(T$54,$L$7:$M$9,2,FALSE)+1,FALSE)/VLOOKUP(DATE(YEAR($B64),MONTH($B64)-1,1),Índices!$B$6:$F$500,VLOOKUP(T$54,$L$7:$M$9,2,FALSE)+1,FALSE)*S64</f>
        <v>0</v>
      </c>
      <c r="U64" s="209"/>
      <c r="V64" s="100">
        <f>VLOOKUP($B$48,Índices!$B$6:$F$500,VLOOKUP(V$54,$L$7:$M$9,2,FALSE)+1,FALSE)/VLOOKUP(DATE(YEAR($B64),MONTH($B64)-1,1),Índices!$B$6:$F$500,VLOOKUP(V$54,$L$7:$M$9,2,FALSE)+1,FALSE)*U64</f>
        <v>0</v>
      </c>
      <c r="W64" s="209"/>
      <c r="X64" s="100">
        <f>VLOOKUP($B$48,Índices!$B$6:$F$500,VLOOKUP(X$54,$L$7:$M$9,2,FALSE)+1,FALSE)/VLOOKUP(DATE(YEAR($B64),MONTH($B64)-1,1),Índices!$B$6:$F$500,VLOOKUP(X$54,$L$7:$M$9,2,FALSE)+1,FALSE)*W64</f>
        <v>0</v>
      </c>
      <c r="Z64" s="68"/>
      <c r="AD64" s="210"/>
    </row>
    <row r="65" spans="2:30" ht="14.25">
      <c r="B65" s="272">
        <f t="shared" si="6"/>
        <v>44287</v>
      </c>
      <c r="C65" s="209"/>
      <c r="D65" s="100">
        <f>VLOOKUP($B$79,Índices!$B$6:$F$500,VLOOKUP(D$54,$L$7:$M$9,2,FALSE)+1,FALSE)/VLOOKUP(DATE(YEAR($B65),MONTH($B65)-1,1),Índices!$B$6:$F$500,VLOOKUP(D$54,$L$7:$M$9,2,FALSE)+1,FALSE)*C65</f>
        <v>0</v>
      </c>
      <c r="E65" s="209"/>
      <c r="F65" s="100">
        <f>VLOOKUP($B$48,Índices!$B$6:$F$500,VLOOKUP(F$23,$L$7:$M$9,2,FALSE)+1,FALSE)/VLOOKUP(DATE(YEAR($B65),MONTH($B65)-1,1),Índices!$B$6:$F$500,VLOOKUP(F$23,$L$7:$M$9,2,FALSE)+1,FALSE)*E65</f>
        <v>0</v>
      </c>
      <c r="G65" s="209"/>
      <c r="H65" s="227">
        <f>VLOOKUP($B$48,Índices!$B$6:$F$500,VLOOKUP(H$54,$L$7:$M$9,2,FALSE)+1,FALSE)/VLOOKUP(DATE(YEAR($B65),MONTH($B65)-1,1),Índices!$B$6:$F$500,VLOOKUP(H$54,$L$7:$M$9,2,FALSE)+1,FALSE)*G65</f>
        <v>0</v>
      </c>
      <c r="I65" s="209"/>
      <c r="J65" s="227">
        <f>VLOOKUP($B$48,Índices!$B$6:$F$500,VLOOKUP(J$54,$L$7:$M$9,2,FALSE)+1,FALSE)/VLOOKUP(DATE(YEAR($B65),MONTH($B65)-1,1),Índices!$B$6:$F$500,VLOOKUP(J$54,$L$7:$M$9,2,FALSE)+1,FALSE)*I65</f>
        <v>0</v>
      </c>
      <c r="K65" s="209"/>
      <c r="L65" s="227">
        <f>VLOOKUP($B$48,Índices!$B$6:$F$500,VLOOKUP(L$54,$L$7:$M$9,2,FALSE)+1,FALSE)/VLOOKUP(DATE(YEAR($B65),MONTH($B65)-1,1),Índices!$B$6:$F$500,VLOOKUP(L$54,$L$7:$M$9,2,FALSE)+1,FALSE)*K65</f>
        <v>0</v>
      </c>
      <c r="M65" s="209"/>
      <c r="N65" s="227">
        <f>VLOOKUP($B$48,Índices!$B$6:$F$500,VLOOKUP(N$54,$L$7:$M$9,2,FALSE)+1,FALSE)/VLOOKUP(DATE(YEAR($B65),MONTH($B65)-1,1),Índices!$B$6:$F$500,VLOOKUP(N$54,$L$7:$M$9,2,FALSE)+1,FALSE)*M65</f>
        <v>0</v>
      </c>
      <c r="O65" s="209"/>
      <c r="P65" s="227">
        <f>VLOOKUP($B$48,Índices!$B$6:$F$500,VLOOKUP(P$54,$L$7:$M$9,2,FALSE)+1,FALSE)/VLOOKUP(DATE(YEAR($B65),MONTH($B65)-1,1),Índices!$B$6:$F$500,VLOOKUP(P$54,$L$7:$M$9,2,FALSE)+1,FALSE)*O65</f>
        <v>0</v>
      </c>
      <c r="Q65" s="209"/>
      <c r="R65" s="227">
        <f>VLOOKUP($B$48,Índices!$B$6:$F$500,VLOOKUP(R$54,$L$7:$M$9,2,FALSE)+1,FALSE)/VLOOKUP(DATE(YEAR($B65),MONTH($B65)-1,1),Índices!$B$6:$F$500,VLOOKUP(R$54,$L$7:$M$9,2,FALSE)+1,FALSE)*Q65</f>
        <v>0</v>
      </c>
      <c r="S65" s="209"/>
      <c r="T65" s="227">
        <f>VLOOKUP($B$48,Índices!$B$6:$F$500,VLOOKUP(T$54,$L$7:$M$9,2,FALSE)+1,FALSE)/VLOOKUP(DATE(YEAR($B65),MONTH($B65)-1,1),Índices!$B$6:$F$500,VLOOKUP(T$54,$L$7:$M$9,2,FALSE)+1,FALSE)*S65</f>
        <v>0</v>
      </c>
      <c r="U65" s="209"/>
      <c r="V65" s="227">
        <f>VLOOKUP($B$48,Índices!$B$6:$F$500,VLOOKUP(V$54,$L$7:$M$9,2,FALSE)+1,FALSE)/VLOOKUP(DATE(YEAR($B65),MONTH($B65)-1,1),Índices!$B$6:$F$500,VLOOKUP(V$54,$L$7:$M$9,2,FALSE)+1,FALSE)*U65</f>
        <v>0</v>
      </c>
      <c r="W65" s="209"/>
      <c r="X65" s="227">
        <f>VLOOKUP($B$48,Índices!$B$6:$F$500,VLOOKUP(X$54,$L$7:$M$9,2,FALSE)+1,FALSE)/VLOOKUP(DATE(YEAR($B65),MONTH($B65)-1,1),Índices!$B$6:$F$500,VLOOKUP(X$54,$L$7:$M$9,2,FALSE)+1,FALSE)*W65</f>
        <v>0</v>
      </c>
      <c r="Z65" s="68"/>
      <c r="AD65" s="210"/>
    </row>
    <row r="66" spans="2:30" ht="14.25">
      <c r="B66" s="272">
        <f t="shared" si="6"/>
        <v>44317</v>
      </c>
      <c r="C66" s="209"/>
      <c r="D66" s="100">
        <f>VLOOKUP($B$79,Índices!$B$6:$F$500,VLOOKUP(D$54,$L$7:$M$9,2,FALSE)+1,FALSE)/VLOOKUP(DATE(YEAR($B66),MONTH($B66)-1,1),Índices!$B$6:$F$500,VLOOKUP(D$54,$L$7:$M$9,2,FALSE)+1,FALSE)*C66</f>
        <v>0</v>
      </c>
      <c r="E66" s="209"/>
      <c r="F66" s="100">
        <f>VLOOKUP($B$48,Índices!$B$6:$F$500,VLOOKUP(F$23,$L$7:$M$9,2,FALSE)+1,FALSE)/VLOOKUP(DATE(YEAR($B66),MONTH($B66)-1,1),Índices!$B$6:$F$500,VLOOKUP(F$23,$L$7:$M$9,2,FALSE)+1,FALSE)*E66</f>
        <v>0</v>
      </c>
      <c r="G66" s="209"/>
      <c r="H66" s="227">
        <f>VLOOKUP($B$48,Índices!$B$6:$F$500,VLOOKUP(H$54,$L$7:$M$9,2,FALSE)+1,FALSE)/VLOOKUP(DATE(YEAR($B66),MONTH($B66)-1,1),Índices!$B$6:$F$500,VLOOKUP(H$54,$L$7:$M$9,2,FALSE)+1,FALSE)*G66</f>
        <v>0</v>
      </c>
      <c r="I66" s="209"/>
      <c r="J66" s="227">
        <f>VLOOKUP($B$48,Índices!$B$6:$F$500,VLOOKUP(J$54,$L$7:$M$9,2,FALSE)+1,FALSE)/VLOOKUP(DATE(YEAR($B66),MONTH($B66)-1,1),Índices!$B$6:$F$500,VLOOKUP(J$54,$L$7:$M$9,2,FALSE)+1,FALSE)*I66</f>
        <v>0</v>
      </c>
      <c r="K66" s="209"/>
      <c r="L66" s="227">
        <f>VLOOKUP($B$48,Índices!$B$6:$F$500,VLOOKUP(L$54,$L$7:$M$9,2,FALSE)+1,FALSE)/VLOOKUP(DATE(YEAR($B66),MONTH($B66)-1,1),Índices!$B$6:$F$500,VLOOKUP(L$54,$L$7:$M$9,2,FALSE)+1,FALSE)*K66</f>
        <v>0</v>
      </c>
      <c r="M66" s="209"/>
      <c r="N66" s="227">
        <f>VLOOKUP($B$48,Índices!$B$6:$F$500,VLOOKUP(N$54,$L$7:$M$9,2,FALSE)+1,FALSE)/VLOOKUP(DATE(YEAR($B66),MONTH($B66)-1,1),Índices!$B$6:$F$500,VLOOKUP(N$54,$L$7:$M$9,2,FALSE)+1,FALSE)*M66</f>
        <v>0</v>
      </c>
      <c r="O66" s="209"/>
      <c r="P66" s="227">
        <f>VLOOKUP($B$48,Índices!$B$6:$F$500,VLOOKUP(P$54,$L$7:$M$9,2,FALSE)+1,FALSE)/VLOOKUP(DATE(YEAR($B66),MONTH($B66)-1,1),Índices!$B$6:$F$500,VLOOKUP(P$54,$L$7:$M$9,2,FALSE)+1,FALSE)*O66</f>
        <v>0</v>
      </c>
      <c r="Q66" s="209"/>
      <c r="R66" s="227">
        <f>VLOOKUP($B$48,Índices!$B$6:$F$500,VLOOKUP(R$54,$L$7:$M$9,2,FALSE)+1,FALSE)/VLOOKUP(DATE(YEAR($B66),MONTH($B66)-1,1),Índices!$B$6:$F$500,VLOOKUP(R$54,$L$7:$M$9,2,FALSE)+1,FALSE)*Q66</f>
        <v>0</v>
      </c>
      <c r="S66" s="209"/>
      <c r="T66" s="227">
        <f>VLOOKUP($B$48,Índices!$B$6:$F$500,VLOOKUP(T$54,$L$7:$M$9,2,FALSE)+1,FALSE)/VLOOKUP(DATE(YEAR($B66),MONTH($B66)-1,1),Índices!$B$6:$F$500,VLOOKUP(T$54,$L$7:$M$9,2,FALSE)+1,FALSE)*S66</f>
        <v>0</v>
      </c>
      <c r="U66" s="209"/>
      <c r="V66" s="227">
        <f>VLOOKUP($B$48,Índices!$B$6:$F$500,VLOOKUP(V$54,$L$7:$M$9,2,FALSE)+1,FALSE)/VLOOKUP(DATE(YEAR($B66),MONTH($B66)-1,1),Índices!$B$6:$F$500,VLOOKUP(V$54,$L$7:$M$9,2,FALSE)+1,FALSE)*U66</f>
        <v>0</v>
      </c>
      <c r="W66" s="209"/>
      <c r="X66" s="227">
        <f>VLOOKUP($B$48,Índices!$B$6:$F$500,VLOOKUP(X$54,$L$7:$M$9,2,FALSE)+1,FALSE)/VLOOKUP(DATE(YEAR($B66),MONTH($B66)-1,1),Índices!$B$6:$F$500,VLOOKUP(X$54,$L$7:$M$9,2,FALSE)+1,FALSE)*W66</f>
        <v>0</v>
      </c>
      <c r="Z66" s="68"/>
      <c r="AD66" s="210"/>
    </row>
    <row r="67" spans="2:30" ht="14.25">
      <c r="B67" s="272">
        <f t="shared" si="6"/>
        <v>44348</v>
      </c>
      <c r="C67" s="209"/>
      <c r="D67" s="100">
        <f>VLOOKUP($B$79,Índices!$B$6:$F$500,VLOOKUP(D$54,$L$7:$M$9,2,FALSE)+1,FALSE)/VLOOKUP(DATE(YEAR($B67),MONTH($B67)-1,1),Índices!$B$6:$F$500,VLOOKUP(D$54,$L$7:$M$9,2,FALSE)+1,FALSE)*C67</f>
        <v>0</v>
      </c>
      <c r="E67" s="209"/>
      <c r="F67" s="100">
        <f>VLOOKUP($B$48,Índices!$B$6:$F$500,VLOOKUP(F$23,$L$7:$M$9,2,FALSE)+1,FALSE)/VLOOKUP(DATE(YEAR($B67),MONTH($B67)-1,1),Índices!$B$6:$F$500,VLOOKUP(F$23,$L$7:$M$9,2,FALSE)+1,FALSE)*E67</f>
        <v>0</v>
      </c>
      <c r="G67" s="209"/>
      <c r="H67" s="227">
        <f>VLOOKUP($B$48,Índices!$B$6:$F$500,VLOOKUP(H$54,$L$7:$M$9,2,FALSE)+1,FALSE)/VLOOKUP(DATE(YEAR($B67),MONTH($B67)-1,1),Índices!$B$6:$F$500,VLOOKUP(H$54,$L$7:$M$9,2,FALSE)+1,FALSE)*G67</f>
        <v>0</v>
      </c>
      <c r="I67" s="209"/>
      <c r="J67" s="227">
        <f>VLOOKUP($B$48,Índices!$B$6:$F$500,VLOOKUP(J$54,$L$7:$M$9,2,FALSE)+1,FALSE)/VLOOKUP(DATE(YEAR($B67),MONTH($B67)-1,1),Índices!$B$6:$F$500,VLOOKUP(J$54,$L$7:$M$9,2,FALSE)+1,FALSE)*I67</f>
        <v>0</v>
      </c>
      <c r="K67" s="209"/>
      <c r="L67" s="227">
        <f>VLOOKUP($B$48,Índices!$B$6:$F$500,VLOOKUP(L$54,$L$7:$M$9,2,FALSE)+1,FALSE)/VLOOKUP(DATE(YEAR($B67),MONTH($B67)-1,1),Índices!$B$6:$F$500,VLOOKUP(L$54,$L$7:$M$9,2,FALSE)+1,FALSE)*K67</f>
        <v>0</v>
      </c>
      <c r="M67" s="209"/>
      <c r="N67" s="227">
        <f>VLOOKUP($B$48,Índices!$B$6:$F$500,VLOOKUP(N$54,$L$7:$M$9,2,FALSE)+1,FALSE)/VLOOKUP(DATE(YEAR($B67),MONTH($B67)-1,1),Índices!$B$6:$F$500,VLOOKUP(N$54,$L$7:$M$9,2,FALSE)+1,FALSE)*M67</f>
        <v>0</v>
      </c>
      <c r="O67" s="209"/>
      <c r="P67" s="227">
        <f>VLOOKUP($B$48,Índices!$B$6:$F$500,VLOOKUP(P$54,$L$7:$M$9,2,FALSE)+1,FALSE)/VLOOKUP(DATE(YEAR($B67),MONTH($B67)-1,1),Índices!$B$6:$F$500,VLOOKUP(P$54,$L$7:$M$9,2,FALSE)+1,FALSE)*O67</f>
        <v>0</v>
      </c>
      <c r="Q67" s="209"/>
      <c r="R67" s="227">
        <f>VLOOKUP($B$48,Índices!$B$6:$F$500,VLOOKUP(R$54,$L$7:$M$9,2,FALSE)+1,FALSE)/VLOOKUP(DATE(YEAR($B67),MONTH($B67)-1,1),Índices!$B$6:$F$500,VLOOKUP(R$54,$L$7:$M$9,2,FALSE)+1,FALSE)*Q67</f>
        <v>0</v>
      </c>
      <c r="S67" s="209"/>
      <c r="T67" s="227">
        <f>VLOOKUP($B$48,Índices!$B$6:$F$500,VLOOKUP(T$54,$L$7:$M$9,2,FALSE)+1,FALSE)/VLOOKUP(DATE(YEAR($B67),MONTH($B67)-1,1),Índices!$B$6:$F$500,VLOOKUP(T$54,$L$7:$M$9,2,FALSE)+1,FALSE)*S67</f>
        <v>0</v>
      </c>
      <c r="U67" s="209"/>
      <c r="V67" s="227">
        <f>VLOOKUP($B$48,Índices!$B$6:$F$500,VLOOKUP(V$54,$L$7:$M$9,2,FALSE)+1,FALSE)/VLOOKUP(DATE(YEAR($B67),MONTH($B67)-1,1),Índices!$B$6:$F$500,VLOOKUP(V$54,$L$7:$M$9,2,FALSE)+1,FALSE)*U67</f>
        <v>0</v>
      </c>
      <c r="W67" s="209"/>
      <c r="X67" s="227">
        <f>VLOOKUP($B$48,Índices!$B$6:$F$500,VLOOKUP(X$54,$L$7:$M$9,2,FALSE)+1,FALSE)/VLOOKUP(DATE(YEAR($B67),MONTH($B67)-1,1),Índices!$B$6:$F$500,VLOOKUP(X$54,$L$7:$M$9,2,FALSE)+1,FALSE)*W67</f>
        <v>0</v>
      </c>
      <c r="Z67" s="68"/>
      <c r="AD67" s="210"/>
    </row>
    <row r="68" spans="2:30" ht="14.25">
      <c r="B68" s="272">
        <f t="shared" si="6"/>
        <v>44378</v>
      </c>
      <c r="C68" s="209">
        <f ca="1">Encargos!C31</f>
        <v>0</v>
      </c>
      <c r="D68" s="100">
        <f ca="1">VLOOKUP($B$79,Índices!$B$6:$F$500,VLOOKUP(D$54,$L$7:$M$9,2,FALSE)+1,FALSE)/VLOOKUP(DATE(YEAR($B68),MONTH($B68)-1,1),Índices!$B$6:$F$500,VLOOKUP(D$54,$L$7:$M$9,2,FALSE)+1,FALSE)*C68</f>
        <v>0</v>
      </c>
      <c r="E68" s="209">
        <f ca="1">Encargos!D31</f>
        <v>0</v>
      </c>
      <c r="F68" s="100">
        <f ca="1">VLOOKUP($B$79,Índices!$B$6:$F$500,VLOOKUP(F$54,$L$7:$M$9,2,FALSE)+1,FALSE)/VLOOKUP(DATE(YEAR($B68),MONTH($B68)-1,1),Índices!$B$6:$F$500,VLOOKUP(F$54,$L$7:$M$9,2,FALSE)+1,FALSE)*E68</f>
        <v>0</v>
      </c>
      <c r="G68" s="209">
        <f ca="1">Encargos!E31</f>
        <v>649.72137558912618</v>
      </c>
      <c r="H68" s="227">
        <f ca="1">VLOOKUP($B$48,Índices!$B$6:$F$500,VLOOKUP(H$54,$L$7:$M$9,2,FALSE)+1,FALSE)/VLOOKUP(DATE(YEAR($B68),MONTH($B68)-1,1),Índices!$B$6:$F$500,VLOOKUP(H$54,$L$7:$M$9,2,FALSE)+1,FALSE)*G68</f>
        <v>726.95290843244879</v>
      </c>
      <c r="I68" s="209">
        <f ca="1">Encargos!F31</f>
        <v>18859.761922723847</v>
      </c>
      <c r="J68" s="227">
        <f ca="1">VLOOKUP($B$48,Índices!$B$6:$F$500,VLOOKUP(J$54,$L$7:$M$9,2,FALSE)+1,FALSE)/VLOOKUP(DATE(YEAR($B68),MONTH($B68)-1,1),Índices!$B$6:$F$500,VLOOKUP(J$54,$L$7:$M$9,2,FALSE)+1,FALSE)*I68</f>
        <v>21101.597234100769</v>
      </c>
      <c r="K68" s="209">
        <f ca="1">Encargos!L62</f>
        <v>0</v>
      </c>
      <c r="L68" s="227">
        <f ca="1">VLOOKUP($B$48,Índices!$B$6:$F$500,VLOOKUP(L$54,$L$7:$M$9,2,FALSE)+1,FALSE)/VLOOKUP(DATE(YEAR($B68),MONTH($B68)-1,1),Índices!$B$6:$F$500,VLOOKUP(L$54,$L$7:$M$9,2,FALSE)+1,FALSE)*K68</f>
        <v>0</v>
      </c>
      <c r="M68" s="209">
        <f ca="1">Encargos!G31</f>
        <v>2968.1827192501514</v>
      </c>
      <c r="N68" s="227">
        <f ca="1">VLOOKUP($B$48,Índices!$B$6:$F$500,VLOOKUP(N$54,$L$7:$M$9,2,FALSE)+1,FALSE)/VLOOKUP(DATE(YEAR($B68),MONTH($B68)-1,1),Índices!$B$6:$F$500,VLOOKUP(N$54,$L$7:$M$9,2,FALSE)+1,FALSE)*M68</f>
        <v>3321.0067293250745</v>
      </c>
      <c r="O68" s="209">
        <f ca="1">Encargos!H31</f>
        <v>0</v>
      </c>
      <c r="P68" s="227">
        <f ca="1">VLOOKUP($B$48,Índices!$B$6:$F$500,VLOOKUP(P$54,$L$7:$M$9,2,FALSE)+1,FALSE)/VLOOKUP(DATE(YEAR($B68),MONTH($B68)-1,1),Índices!$B$6:$F$500,VLOOKUP(P$54,$L$7:$M$9,2,FALSE)+1,FALSE)*O68</f>
        <v>0</v>
      </c>
      <c r="Q68" s="209">
        <f ca="1">Encargos!I31</f>
        <v>0</v>
      </c>
      <c r="R68" s="227">
        <f ca="1">VLOOKUP($B$48,Índices!$B$6:$F$500,VLOOKUP(R$54,$L$7:$M$9,2,FALSE)+1,FALSE)/VLOOKUP(DATE(YEAR($B68),MONTH($B68)-1,1),Índices!$B$6:$F$500,VLOOKUP(R$54,$L$7:$M$9,2,FALSE)+1,FALSE)*Q68</f>
        <v>0</v>
      </c>
      <c r="S68" s="209"/>
      <c r="T68" s="227">
        <f>VLOOKUP($B$48,Índices!$B$6:$F$500,VLOOKUP(T$54,$L$7:$M$9,2,FALSE)+1,FALSE)/VLOOKUP(DATE(YEAR($B68),MONTH($B68)-1,1),Índices!$B$6:$F$500,VLOOKUP(T$54,$L$7:$M$9,2,FALSE)+1,FALSE)*S68</f>
        <v>0</v>
      </c>
      <c r="U68" s="209"/>
      <c r="V68" s="227">
        <f>VLOOKUP($B$48,Índices!$B$6:$F$500,VLOOKUP(V$54,$L$7:$M$9,2,FALSE)+1,FALSE)/VLOOKUP(DATE(YEAR($B68),MONTH($B68)-1,1),Índices!$B$6:$F$500,VLOOKUP(V$54,$L$7:$M$9,2,FALSE)+1,FALSE)*U68</f>
        <v>0</v>
      </c>
      <c r="W68" s="209">
        <f>CVE!$D$33</f>
        <v>0</v>
      </c>
      <c r="X68" s="227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10"/>
    </row>
    <row r="69" spans="2:30" ht="14.25">
      <c r="B69" s="272">
        <f t="shared" si="6"/>
        <v>44409</v>
      </c>
      <c r="C69" s="209">
        <f ca="1">Encargos!C32</f>
        <v>0</v>
      </c>
      <c r="D69" s="100">
        <f ca="1">VLOOKUP($B$79,Índices!$B$6:$F$500,VLOOKUP(D$54,$L$7:$M$9,2,FALSE)+1,FALSE)/VLOOKUP(DATE(YEAR($B69),MONTH($B69)-1,1),Índices!$B$6:$F$500,VLOOKUP(D$54,$L$7:$M$9,2,FALSE)+1,FALSE)*C69</f>
        <v>0</v>
      </c>
      <c r="E69" s="209">
        <f ca="1">Encargos!D32</f>
        <v>0</v>
      </c>
      <c r="F69" s="100">
        <f ca="1">VLOOKUP($B$79,Índices!$B$6:$F$500,VLOOKUP(F$54,$L$7:$M$9,2,FALSE)+1,FALSE)/VLOOKUP(DATE(YEAR($B69),MONTH($B69)-1,1),Índices!$B$6:$F$500,VLOOKUP(F$54,$L$7:$M$9,2,FALSE)+1,FALSE)*E69</f>
        <v>0</v>
      </c>
      <c r="G69" s="209">
        <f ca="1">Encargos!E32</f>
        <v>843.03683974337218</v>
      </c>
      <c r="H69" s="227">
        <f ca="1">VLOOKUP($B$48,Índices!$B$6:$F$500,VLOOKUP(H$54,$L$7:$M$9,2,FALSE)+1,FALSE)/VLOOKUP(DATE(YEAR($B69),MONTH($B69)-1,1),Índices!$B$6:$F$500,VLOOKUP(H$54,$L$7:$M$9,2,FALSE)+1,FALSE)*G69</f>
        <v>934.27874656154881</v>
      </c>
      <c r="I69" s="209">
        <f ca="1">Encargos!F32</f>
        <v>24638.284229389159</v>
      </c>
      <c r="J69" s="227">
        <f ca="1">VLOOKUP($B$48,Índices!$B$6:$F$500,VLOOKUP(J$54,$L$7:$M$9,2,FALSE)+1,FALSE)/VLOOKUP(DATE(YEAR($B69),MONTH($B69)-1,1),Índices!$B$6:$F$500,VLOOKUP(J$54,$L$7:$M$9,2,FALSE)+1,FALSE)*I69</f>
        <v>27304.886598156343</v>
      </c>
      <c r="K69" s="209">
        <f ca="1">Encargos!L63</f>
        <v>0</v>
      </c>
      <c r="L69" s="227">
        <f ca="1">VLOOKUP($B$48,Índices!$B$6:$F$500,VLOOKUP(L$54,$L$7:$M$9,2,FALSE)+1,FALSE)/VLOOKUP(DATE(YEAR($B69),MONTH($B69)-1,1),Índices!$B$6:$F$500,VLOOKUP(L$54,$L$7:$M$9,2,FALSE)+1,FALSE)*K69</f>
        <v>0</v>
      </c>
      <c r="M69" s="209">
        <f ca="1">Encargos!G32</f>
        <v>3893.406163378917</v>
      </c>
      <c r="N69" s="227">
        <f ca="1">VLOOKUP($B$48,Índices!$B$6:$F$500,VLOOKUP(N$54,$L$7:$M$9,2,FALSE)+1,FALSE)/VLOOKUP(DATE(YEAR($B69),MONTH($B69)-1,1),Índices!$B$6:$F$500,VLOOKUP(N$54,$L$7:$M$9,2,FALSE)+1,FALSE)*M69</f>
        <v>4314.7896493870403</v>
      </c>
      <c r="O69" s="209">
        <f ca="1">Encargos!H32</f>
        <v>0</v>
      </c>
      <c r="P69" s="227">
        <f ca="1">VLOOKUP($B$48,Índices!$B$6:$F$500,VLOOKUP(P$54,$L$7:$M$9,2,FALSE)+1,FALSE)/VLOOKUP(DATE(YEAR($B69),MONTH($B69)-1,1),Índices!$B$6:$F$500,VLOOKUP(P$54,$L$7:$M$9,2,FALSE)+1,FALSE)*O69</f>
        <v>0</v>
      </c>
      <c r="Q69" s="209">
        <f ca="1">Encargos!I32</f>
        <v>0</v>
      </c>
      <c r="R69" s="227">
        <f ca="1">VLOOKUP($B$48,Índices!$B$6:$F$500,VLOOKUP(R$54,$L$7:$M$9,2,FALSE)+1,FALSE)/VLOOKUP(DATE(YEAR($B69),MONTH($B69)-1,1),Índices!$B$6:$F$500,VLOOKUP(R$54,$L$7:$M$9,2,FALSE)+1,FALSE)*Q69</f>
        <v>0</v>
      </c>
      <c r="S69" s="209"/>
      <c r="T69" s="227">
        <f>VLOOKUP($B$48,Índices!$B$6:$F$500,VLOOKUP(T$54,$L$7:$M$9,2,FALSE)+1,FALSE)/VLOOKUP(DATE(YEAR($B69),MONTH($B69)-1,1),Índices!$B$6:$F$500,VLOOKUP(T$54,$L$7:$M$9,2,FALSE)+1,FALSE)*S69</f>
        <v>0</v>
      </c>
      <c r="U69" s="209"/>
      <c r="V69" s="227">
        <f>VLOOKUP($B$48,Índices!$B$6:$F$500,VLOOKUP(V$54,$L$7:$M$9,2,FALSE)+1,FALSE)/VLOOKUP(DATE(YEAR($B69),MONTH($B69)-1,1),Índices!$B$6:$F$500,VLOOKUP(V$54,$L$7:$M$9,2,FALSE)+1,FALSE)*U69</f>
        <v>0</v>
      </c>
      <c r="W69" s="209"/>
      <c r="X69" s="227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10"/>
    </row>
    <row r="70" spans="2:30" ht="14.25">
      <c r="B70" s="272">
        <f t="shared" si="6"/>
        <v>44440</v>
      </c>
      <c r="C70" s="209">
        <f ca="1">Encargos!C33</f>
        <v>0</v>
      </c>
      <c r="D70" s="100">
        <f ca="1">VLOOKUP($B$79,Índices!$B$6:$F$500,VLOOKUP(D$54,$L$7:$M$9,2,FALSE)+1,FALSE)/VLOOKUP(DATE(YEAR($B70),MONTH($B70)-1,1),Índices!$B$6:$F$500,VLOOKUP(D$54,$L$7:$M$9,2,FALSE)+1,FALSE)*C70</f>
        <v>0</v>
      </c>
      <c r="E70" s="209">
        <f ca="1">Encargos!D33</f>
        <v>0</v>
      </c>
      <c r="F70" s="100">
        <f ca="1">VLOOKUP($B$79,Índices!$B$6:$F$500,VLOOKUP(F$54,$L$7:$M$9,2,FALSE)+1,FALSE)/VLOOKUP(DATE(YEAR($B70),MONTH($B70)-1,1),Índices!$B$6:$F$500,VLOOKUP(F$54,$L$7:$M$9,2,FALSE)+1,FALSE)*E70</f>
        <v>0</v>
      </c>
      <c r="G70" s="209">
        <f ca="1">Encargos!E33</f>
        <v>831.93409729642372</v>
      </c>
      <c r="H70" s="227">
        <f ca="1">VLOOKUP($B$48,Índices!$B$6:$F$500,VLOOKUP(H$54,$L$7:$M$9,2,FALSE)+1,FALSE)/VLOOKUP(DATE(YEAR($B70),MONTH($B70)-1,1),Índices!$B$6:$F$500,VLOOKUP(H$54,$L$7:$M$9,2,FALSE)+1,FALSE)*G70</f>
        <v>914.02247122320557</v>
      </c>
      <c r="I70" s="209">
        <f ca="1">Encargos!F33</f>
        <v>24649.110535530199</v>
      </c>
      <c r="J70" s="227">
        <f ca="1">VLOOKUP($B$48,Índices!$B$6:$F$500,VLOOKUP(J$54,$L$7:$M$9,2,FALSE)+1,FALSE)/VLOOKUP(DATE(YEAR($B70),MONTH($B70)-1,1),Índices!$B$6:$F$500,VLOOKUP(J$54,$L$7:$M$9,2,FALSE)+1,FALSE)*I70</f>
        <v>27081.280835051206</v>
      </c>
      <c r="K70" s="209">
        <f ca="1">Encargos!L64</f>
        <v>0</v>
      </c>
      <c r="L70" s="227">
        <f ca="1">VLOOKUP($B$48,Índices!$B$6:$F$500,VLOOKUP(L$54,$L$7:$M$9,2,FALSE)+1,FALSE)/VLOOKUP(DATE(YEAR($B70),MONTH($B70)-1,1),Índices!$B$6:$F$500,VLOOKUP(L$54,$L$7:$M$9,2,FALSE)+1,FALSE)*K70</f>
        <v>0</v>
      </c>
      <c r="M70" s="209">
        <f ca="1">Encargos!G33</f>
        <v>3922.4882600441269</v>
      </c>
      <c r="N70" s="227">
        <f ca="1">VLOOKUP($B$48,Índices!$B$6:$F$500,VLOOKUP(N$54,$L$7:$M$9,2,FALSE)+1,FALSE)/VLOOKUP(DATE(YEAR($B70),MONTH($B70)-1,1),Índices!$B$6:$F$500,VLOOKUP(N$54,$L$7:$M$9,2,FALSE)+1,FALSE)*M70</f>
        <v>4309.526949839752</v>
      </c>
      <c r="O70" s="209">
        <f ca="1">Encargos!H33</f>
        <v>0</v>
      </c>
      <c r="P70" s="227">
        <f ca="1">VLOOKUP($B$48,Índices!$B$6:$F$500,VLOOKUP(P$54,$L$7:$M$9,2,FALSE)+1,FALSE)/VLOOKUP(DATE(YEAR($B70),MONTH($B70)-1,1),Índices!$B$6:$F$500,VLOOKUP(P$54,$L$7:$M$9,2,FALSE)+1,FALSE)*O70</f>
        <v>0</v>
      </c>
      <c r="Q70" s="209">
        <f ca="1">Encargos!I33</f>
        <v>0</v>
      </c>
      <c r="R70" s="227">
        <f ca="1">VLOOKUP($B$48,Índices!$B$6:$F$500,VLOOKUP(R$54,$L$7:$M$9,2,FALSE)+1,FALSE)/VLOOKUP(DATE(YEAR($B70),MONTH($B70)-1,1),Índices!$B$6:$F$500,VLOOKUP(R$54,$L$7:$M$9,2,FALSE)+1,FALSE)*Q70</f>
        <v>0</v>
      </c>
      <c r="S70" s="209"/>
      <c r="T70" s="227">
        <f>VLOOKUP($B$48,Índices!$B$6:$F$500,VLOOKUP(T$54,$L$7:$M$9,2,FALSE)+1,FALSE)/VLOOKUP(DATE(YEAR($B70),MONTH($B70)-1,1),Índices!$B$6:$F$500,VLOOKUP(T$54,$L$7:$M$9,2,FALSE)+1,FALSE)*S70</f>
        <v>0</v>
      </c>
      <c r="U70" s="209"/>
      <c r="V70" s="227">
        <f>VLOOKUP($B$48,Índices!$B$6:$F$500,VLOOKUP(V$54,$L$7:$M$9,2,FALSE)+1,FALSE)/VLOOKUP(DATE(YEAR($B70),MONTH($B70)-1,1),Índices!$B$6:$F$500,VLOOKUP(V$54,$L$7:$M$9,2,FALSE)+1,FALSE)*U70</f>
        <v>0</v>
      </c>
      <c r="W70" s="209"/>
      <c r="X70" s="227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10"/>
    </row>
    <row r="71" spans="2:30" ht="14.25">
      <c r="B71" s="272">
        <f t="shared" si="6"/>
        <v>44470</v>
      </c>
      <c r="C71" s="209">
        <f ca="1">Encargos!C34</f>
        <v>0</v>
      </c>
      <c r="D71" s="100">
        <f ca="1">VLOOKUP($B$79,Índices!$B$6:$F$500,VLOOKUP(D$54,$L$7:$M$9,2,FALSE)+1,FALSE)/VLOOKUP(DATE(YEAR($B71),MONTH($B71)-1,1),Índices!$B$6:$F$500,VLOOKUP(D$54,$L$7:$M$9,2,FALSE)+1,FALSE)*C71</f>
        <v>0</v>
      </c>
      <c r="E71" s="209">
        <f ca="1">Encargos!D34</f>
        <v>0</v>
      </c>
      <c r="F71" s="100">
        <f ca="1">VLOOKUP($B$79,Índices!$B$6:$F$500,VLOOKUP(F$54,$L$7:$M$9,2,FALSE)+1,FALSE)/VLOOKUP(DATE(YEAR($B71),MONTH($B71)-1,1),Índices!$B$6:$F$500,VLOOKUP(F$54,$L$7:$M$9,2,FALSE)+1,FALSE)*E71</f>
        <v>0</v>
      </c>
      <c r="G71" s="209">
        <f ca="1">Encargos!E34</f>
        <v>523.34423346320727</v>
      </c>
      <c r="H71" s="227">
        <f ca="1">VLOOKUP($B$48,Índices!$B$6:$F$500,VLOOKUP(H$54,$L$7:$M$9,2,FALSE)+1,FALSE)/VLOOKUP(DATE(YEAR($B71),MONTH($B71)-1,1),Índices!$B$6:$F$500,VLOOKUP(H$54,$L$7:$M$9,2,FALSE)+1,FALSE)*G71</f>
        <v>568.39039495634347</v>
      </c>
      <c r="I71" s="209">
        <f ca="1">Encargos!F34</f>
        <v>12677.658332681051</v>
      </c>
      <c r="J71" s="227">
        <f ca="1">VLOOKUP($B$48,Índices!$B$6:$F$500,VLOOKUP(J$54,$L$7:$M$9,2,FALSE)+1,FALSE)/VLOOKUP(DATE(YEAR($B71),MONTH($B71)-1,1),Índices!$B$6:$F$500,VLOOKUP(J$54,$L$7:$M$9,2,FALSE)+1,FALSE)*I71</f>
        <v>13768.870976469365</v>
      </c>
      <c r="K71" s="209">
        <f ca="1">Encargos!L65</f>
        <v>0</v>
      </c>
      <c r="L71" s="227">
        <f ca="1">VLOOKUP($B$48,Índices!$B$6:$F$500,VLOOKUP(L$54,$L$7:$M$9,2,FALSE)+1,FALSE)/VLOOKUP(DATE(YEAR($B71),MONTH($B71)-1,1),Índices!$B$6:$F$500,VLOOKUP(L$54,$L$7:$M$9,2,FALSE)+1,FALSE)*K71</f>
        <v>0</v>
      </c>
      <c r="M71" s="209">
        <f ca="1">Encargos!G34</f>
        <v>1801.1304120624918</v>
      </c>
      <c r="N71" s="227">
        <f ca="1">VLOOKUP($B$48,Índices!$B$6:$F$500,VLOOKUP(N$54,$L$7:$M$9,2,FALSE)+1,FALSE)/VLOOKUP(DATE(YEAR($B71),MONTH($B71)-1,1),Índices!$B$6:$F$500,VLOOKUP(N$54,$L$7:$M$9,2,FALSE)+1,FALSE)*M71</f>
        <v>1956.1603258824364</v>
      </c>
      <c r="O71" s="209">
        <f ca="1">Encargos!H34</f>
        <v>0</v>
      </c>
      <c r="P71" s="227">
        <f ca="1">VLOOKUP($B$48,Índices!$B$6:$F$500,VLOOKUP(P$54,$L$7:$M$9,2,FALSE)+1,FALSE)/VLOOKUP(DATE(YEAR($B71),MONTH($B71)-1,1),Índices!$B$6:$F$500,VLOOKUP(P$54,$L$7:$M$9,2,FALSE)+1,FALSE)*O71</f>
        <v>0</v>
      </c>
      <c r="Q71" s="209">
        <f ca="1">Encargos!I34</f>
        <v>0</v>
      </c>
      <c r="R71" s="227">
        <f ca="1">VLOOKUP($B$48,Índices!$B$6:$F$500,VLOOKUP(R$54,$L$7:$M$9,2,FALSE)+1,FALSE)/VLOOKUP(DATE(YEAR($B71),MONTH($B71)-1,1),Índices!$B$6:$F$500,VLOOKUP(R$54,$L$7:$M$9,2,FALSE)+1,FALSE)*Q71</f>
        <v>0</v>
      </c>
      <c r="S71" s="209"/>
      <c r="T71" s="227">
        <f>VLOOKUP($B$48,Índices!$B$6:$F$500,VLOOKUP(T$54,$L$7:$M$9,2,FALSE)+1,FALSE)/VLOOKUP(DATE(YEAR($B71),MONTH($B71)-1,1),Índices!$B$6:$F$500,VLOOKUP(T$54,$L$7:$M$9,2,FALSE)+1,FALSE)*S71</f>
        <v>0</v>
      </c>
      <c r="U71" s="209"/>
      <c r="V71" s="227">
        <f>VLOOKUP($B$48,Índices!$B$6:$F$500,VLOOKUP(V$54,$L$7:$M$9,2,FALSE)+1,FALSE)/VLOOKUP(DATE(YEAR($B71),MONTH($B71)-1,1),Índices!$B$6:$F$500,VLOOKUP(V$54,$L$7:$M$9,2,FALSE)+1,FALSE)*U71</f>
        <v>0</v>
      </c>
      <c r="W71" s="209"/>
      <c r="X71" s="227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10"/>
    </row>
    <row r="72" spans="2:30" ht="14.25">
      <c r="B72" s="272">
        <f t="shared" si="6"/>
        <v>44501</v>
      </c>
      <c r="C72" s="209">
        <f ca="1">Encargos!C35</f>
        <v>0</v>
      </c>
      <c r="D72" s="100">
        <f ca="1">VLOOKUP($B$79,Índices!$B$6:$F$500,VLOOKUP(D$54,$L$7:$M$9,2,FALSE)+1,FALSE)/VLOOKUP(DATE(YEAR($B72),MONTH($B72)-1,1),Índices!$B$6:$F$500,VLOOKUP(D$54,$L$7:$M$9,2,FALSE)+1,FALSE)*C72</f>
        <v>0</v>
      </c>
      <c r="E72" s="209">
        <f ca="1">Encargos!D35</f>
        <v>0</v>
      </c>
      <c r="F72" s="100">
        <f ca="1">VLOOKUP($B$79,Índices!$B$6:$F$500,VLOOKUP(F$54,$L$7:$M$9,2,FALSE)+1,FALSE)/VLOOKUP(DATE(YEAR($B72),MONTH($B72)-1,1),Índices!$B$6:$F$500,VLOOKUP(F$54,$L$7:$M$9,2,FALSE)+1,FALSE)*E72</f>
        <v>0</v>
      </c>
      <c r="G72" s="209">
        <f ca="1">Encargos!E35</f>
        <v>545.69855192913019</v>
      </c>
      <c r="H72" s="227">
        <f ca="1">VLOOKUP($B$48,Índices!$B$6:$F$500,VLOOKUP(H$54,$L$7:$M$9,2,FALSE)+1,FALSE)/VLOOKUP(DATE(YEAR($B72),MONTH($B72)-1,1),Índices!$B$6:$F$500,VLOOKUP(H$54,$L$7:$M$9,2,FALSE)+1,FALSE)*G72</f>
        <v>585.35218791223667</v>
      </c>
      <c r="I72" s="209">
        <f ca="1">Encargos!F35</f>
        <v>14789.140280099411</v>
      </c>
      <c r="J72" s="227">
        <f ca="1">VLOOKUP($B$48,Índices!$B$6:$F$500,VLOOKUP(J$54,$L$7:$M$9,2,FALSE)+1,FALSE)/VLOOKUP(DATE(YEAR($B72),MONTH($B72)-1,1),Índices!$B$6:$F$500,VLOOKUP(J$54,$L$7:$M$9,2,FALSE)+1,FALSE)*I72</f>
        <v>15863.805373303323</v>
      </c>
      <c r="K72" s="209">
        <f ca="1">Encargos!L66</f>
        <v>0</v>
      </c>
      <c r="L72" s="227">
        <f ca="1">VLOOKUP($B$48,Índices!$B$6:$F$500,VLOOKUP(L$54,$L$7:$M$9,2,FALSE)+1,FALSE)/VLOOKUP(DATE(YEAR($B72),MONTH($B72)-1,1),Índices!$B$6:$F$500,VLOOKUP(L$54,$L$7:$M$9,2,FALSE)+1,FALSE)*K72</f>
        <v>0</v>
      </c>
      <c r="M72" s="209">
        <f ca="1">Encargos!G35</f>
        <v>2248.6149103271455</v>
      </c>
      <c r="N72" s="227">
        <f ca="1">VLOOKUP($B$48,Índices!$B$6:$F$500,VLOOKUP(N$54,$L$7:$M$9,2,FALSE)+1,FALSE)/VLOOKUP(DATE(YEAR($B72),MONTH($B72)-1,1),Índices!$B$6:$F$500,VLOOKUP(N$54,$L$7:$M$9,2,FALSE)+1,FALSE)*M72</f>
        <v>2412.0123699778687</v>
      </c>
      <c r="O72" s="209">
        <f ca="1">Encargos!H35</f>
        <v>0</v>
      </c>
      <c r="P72" s="227">
        <f ca="1">VLOOKUP($B$48,Índices!$B$6:$F$500,VLOOKUP(P$54,$L$7:$M$9,2,FALSE)+1,FALSE)/VLOOKUP(DATE(YEAR($B72),MONTH($B72)-1,1),Índices!$B$6:$F$500,VLOOKUP(P$54,$L$7:$M$9,2,FALSE)+1,FALSE)*O72</f>
        <v>0</v>
      </c>
      <c r="Q72" s="209">
        <f ca="1">Encargos!I35</f>
        <v>0</v>
      </c>
      <c r="R72" s="227">
        <f ca="1">VLOOKUP($B$48,Índices!$B$6:$F$500,VLOOKUP(R$54,$L$7:$M$9,2,FALSE)+1,FALSE)/VLOOKUP(DATE(YEAR($B72),MONTH($B72)-1,1),Índices!$B$6:$F$500,VLOOKUP(R$54,$L$7:$M$9,2,FALSE)+1,FALSE)*Q72</f>
        <v>0</v>
      </c>
      <c r="S72" s="209"/>
      <c r="T72" s="227">
        <f>VLOOKUP($B$48,Índices!$B$6:$F$500,VLOOKUP(T$54,$L$7:$M$9,2,FALSE)+1,FALSE)/VLOOKUP(DATE(YEAR($B72),MONTH($B72)-1,1),Índices!$B$6:$F$500,VLOOKUP(T$54,$L$7:$M$9,2,FALSE)+1,FALSE)*S72</f>
        <v>0</v>
      </c>
      <c r="U72" s="209"/>
      <c r="V72" s="227">
        <f>VLOOKUP($B$48,Índices!$B$6:$F$500,VLOOKUP(V$54,$L$7:$M$9,2,FALSE)+1,FALSE)/VLOOKUP(DATE(YEAR($B72),MONTH($B72)-1,1),Índices!$B$6:$F$500,VLOOKUP(V$54,$L$7:$M$9,2,FALSE)+1,FALSE)*U72</f>
        <v>0</v>
      </c>
      <c r="W72" s="209"/>
      <c r="X72" s="227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10"/>
    </row>
    <row r="73" spans="2:30" ht="14.25">
      <c r="B73" s="272">
        <f t="shared" si="6"/>
        <v>44531</v>
      </c>
      <c r="C73" s="209">
        <f ca="1">Encargos!C36</f>
        <v>0</v>
      </c>
      <c r="D73" s="100">
        <f ca="1">VLOOKUP($B$79,Índices!$B$6:$F$500,VLOOKUP(D$54,$L$7:$M$9,2,FALSE)+1,FALSE)/VLOOKUP(DATE(YEAR($B73),MONTH($B73)-1,1),Índices!$B$6:$F$500,VLOOKUP(D$54,$L$7:$M$9,2,FALSE)+1,FALSE)*C73</f>
        <v>0</v>
      </c>
      <c r="E73" s="209">
        <f ca="1">Encargos!D36</f>
        <v>0</v>
      </c>
      <c r="F73" s="100">
        <f ca="1">VLOOKUP($B$79,Índices!$B$6:$F$500,VLOOKUP(F$54,$L$7:$M$9,2,FALSE)+1,FALSE)/VLOOKUP(DATE(YEAR($B73),MONTH($B73)-1,1),Índices!$B$6:$F$500,VLOOKUP(F$54,$L$7:$M$9,2,FALSE)+1,FALSE)*E73</f>
        <v>0</v>
      </c>
      <c r="G73" s="209">
        <f ca="1">Encargos!E36</f>
        <v>304.11119776073792</v>
      </c>
      <c r="H73" s="227">
        <f ca="1">VLOOKUP($B$48,Índices!$B$6:$F$500,VLOOKUP(H$54,$L$7:$M$9,2,FALSE)+1,FALSE)/VLOOKUP(DATE(YEAR($B73),MONTH($B73)-1,1),Índices!$B$6:$F$500,VLOOKUP(H$54,$L$7:$M$9,2,FALSE)+1,FALSE)*G73</f>
        <v>323.13963945883683</v>
      </c>
      <c r="I73" s="209">
        <f ca="1">Encargos!F36</f>
        <v>9057.1567662397283</v>
      </c>
      <c r="J73" s="227">
        <f ca="1">VLOOKUP($B$48,Índices!$B$6:$F$500,VLOOKUP(J$54,$L$7:$M$9,2,FALSE)+1,FALSE)/VLOOKUP(DATE(YEAR($B73),MONTH($B73)-1,1),Índices!$B$6:$F$500,VLOOKUP(J$54,$L$7:$M$9,2,FALSE)+1,FALSE)*I73</f>
        <v>9623.8691423243708</v>
      </c>
      <c r="K73" s="209">
        <f ca="1">Encargos!L67</f>
        <v>0</v>
      </c>
      <c r="L73" s="227">
        <f ca="1">VLOOKUP($B$48,Índices!$B$6:$F$500,VLOOKUP(L$54,$L$7:$M$9,2,FALSE)+1,FALSE)/VLOOKUP(DATE(YEAR($B73),MONTH($B73)-1,1),Índices!$B$6:$F$500,VLOOKUP(L$54,$L$7:$M$9,2,FALSE)+1,FALSE)*K73</f>
        <v>0</v>
      </c>
      <c r="M73" s="209">
        <f ca="1">Encargos!G36</f>
        <v>1438.6629787296479</v>
      </c>
      <c r="N73" s="227">
        <f ca="1">VLOOKUP($B$48,Índices!$B$6:$F$500,VLOOKUP(N$54,$L$7:$M$9,2,FALSE)+1,FALSE)/VLOOKUP(DATE(YEAR($B73),MONTH($B73)-1,1),Índices!$B$6:$F$500,VLOOKUP(N$54,$L$7:$M$9,2,FALSE)+1,FALSE)*M73</f>
        <v>1528.6810866307858</v>
      </c>
      <c r="O73" s="209">
        <f ca="1">Encargos!H36</f>
        <v>0</v>
      </c>
      <c r="P73" s="227">
        <f ca="1">VLOOKUP($B$48,Índices!$B$6:$F$500,VLOOKUP(P$54,$L$7:$M$9,2,FALSE)+1,FALSE)/VLOOKUP(DATE(YEAR($B73),MONTH($B73)-1,1),Índices!$B$6:$F$500,VLOOKUP(P$54,$L$7:$M$9,2,FALSE)+1,FALSE)*O73</f>
        <v>0</v>
      </c>
      <c r="Q73" s="209">
        <f ca="1">Encargos!I36</f>
        <v>0</v>
      </c>
      <c r="R73" s="227">
        <f ca="1">VLOOKUP($B$48,Índices!$B$6:$F$500,VLOOKUP(R$54,$L$7:$M$9,2,FALSE)+1,FALSE)/VLOOKUP(DATE(YEAR($B73),MONTH($B73)-1,1),Índices!$B$6:$F$500,VLOOKUP(R$54,$L$7:$M$9,2,FALSE)+1,FALSE)*Q73</f>
        <v>0</v>
      </c>
      <c r="S73" s="209"/>
      <c r="T73" s="227">
        <f>VLOOKUP($B$48,Índices!$B$6:$F$500,VLOOKUP(T$54,$L$7:$M$9,2,FALSE)+1,FALSE)/VLOOKUP(DATE(YEAR($B73),MONTH($B73)-1,1),Índices!$B$6:$F$500,VLOOKUP(T$54,$L$7:$M$9,2,FALSE)+1,FALSE)*S73</f>
        <v>0</v>
      </c>
      <c r="U73" s="209"/>
      <c r="V73" s="227">
        <f>VLOOKUP($B$48,Índices!$B$6:$F$500,VLOOKUP(V$54,$L$7:$M$9,2,FALSE)+1,FALSE)/VLOOKUP(DATE(YEAR($B73),MONTH($B73)-1,1),Índices!$B$6:$F$500,VLOOKUP(V$54,$L$7:$M$9,2,FALSE)+1,FALSE)*U73</f>
        <v>0</v>
      </c>
      <c r="W73" s="209"/>
      <c r="X73" s="227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10"/>
    </row>
    <row r="74" spans="2:30" ht="14.25">
      <c r="B74" s="272">
        <f t="shared" si="6"/>
        <v>44562</v>
      </c>
      <c r="C74" s="209">
        <f ca="1">Encargos!C37</f>
        <v>0</v>
      </c>
      <c r="D74" s="100">
        <f ca="1">VLOOKUP($B$79,Índices!$B$6:$F$500,VLOOKUP(D$54,$L$7:$M$9,2,FALSE)+1,FALSE)/VLOOKUP(DATE(YEAR($B74),MONTH($B74)-1,1),Índices!$B$6:$F$500,VLOOKUP(D$54,$L$7:$M$9,2,FALSE)+1,FALSE)*C74</f>
        <v>0</v>
      </c>
      <c r="E74" s="209">
        <f ca="1">Encargos!D37</f>
        <v>0</v>
      </c>
      <c r="F74" s="100">
        <f ca="1">VLOOKUP($B$79,Índices!$B$6:$F$500,VLOOKUP(F$54,$L$7:$M$9,2,FALSE)+1,FALSE)/VLOOKUP(DATE(YEAR($B74),MONTH($B74)-1,1),Índices!$B$6:$F$500,VLOOKUP(F$54,$L$7:$M$9,2,FALSE)+1,FALSE)*E74</f>
        <v>0</v>
      </c>
      <c r="G74" s="209">
        <f ca="1">Encargos!E37</f>
        <v>-1132.9076876340441</v>
      </c>
      <c r="H74" s="227">
        <f ca="1">VLOOKUP($B$48,Índices!$B$6:$F$500,VLOOKUP(H$54,$L$7:$M$9,2,FALSE)+1,FALSE)/VLOOKUP(DATE(YEAR($B74),MONTH($B74)-1,1),Índices!$B$6:$F$500,VLOOKUP(H$54,$L$7:$M$9,2,FALSE)+1,FALSE)*G74</f>
        <v>-1195.0709628061652</v>
      </c>
      <c r="I74" s="209">
        <f ca="1">Encargos!F37</f>
        <v>-31061.139167492453</v>
      </c>
      <c r="J74" s="227">
        <f ca="1">VLOOKUP($B$48,Índices!$B$6:$F$500,VLOOKUP(J$54,$L$7:$M$9,2,FALSE)+1,FALSE)/VLOOKUP(DATE(YEAR($B74),MONTH($B74)-1,1),Índices!$B$6:$F$500,VLOOKUP(J$54,$L$7:$M$9,2,FALSE)+1,FALSE)*I74</f>
        <v>-32765.481156080048</v>
      </c>
      <c r="K74" s="209">
        <f ca="1">Encargos!L68</f>
        <v>0</v>
      </c>
      <c r="L74" s="227">
        <f ca="1">VLOOKUP($B$48,Índices!$B$6:$F$500,VLOOKUP(L$54,$L$7:$M$9,2,FALSE)+1,FALSE)/VLOOKUP(DATE(YEAR($B74),MONTH($B74)-1,1),Índices!$B$6:$F$500,VLOOKUP(L$54,$L$7:$M$9,2,FALSE)+1,FALSE)*K74</f>
        <v>0</v>
      </c>
      <c r="M74" s="209">
        <f ca="1">Encargos!G37</f>
        <v>-4765.4614096225123</v>
      </c>
      <c r="N74" s="227">
        <f ca="1">VLOOKUP($B$48,Índices!$B$6:$F$500,VLOOKUP(N$54,$L$7:$M$9,2,FALSE)+1,FALSE)/VLOOKUP(DATE(YEAR($B74),MONTH($B74)-1,1),Índices!$B$6:$F$500,VLOOKUP(N$54,$L$7:$M$9,2,FALSE)+1,FALSE)*M74</f>
        <v>-5026.9449286788149</v>
      </c>
      <c r="O74" s="209">
        <f ca="1">Encargos!H37</f>
        <v>0</v>
      </c>
      <c r="P74" s="227">
        <f ca="1">VLOOKUP($B$48,Índices!$B$6:$F$500,VLOOKUP(P$54,$L$7:$M$9,2,FALSE)+1,FALSE)/VLOOKUP(DATE(YEAR($B74),MONTH($B74)-1,1),Índices!$B$6:$F$500,VLOOKUP(P$54,$L$7:$M$9,2,FALSE)+1,FALSE)*O74</f>
        <v>0</v>
      </c>
      <c r="Q74" s="209">
        <f ca="1">Encargos!I37</f>
        <v>0</v>
      </c>
      <c r="R74" s="227">
        <f ca="1">VLOOKUP($B$48,Índices!$B$6:$F$500,VLOOKUP(R$54,$L$7:$M$9,2,FALSE)+1,FALSE)/VLOOKUP(DATE(YEAR($B74),MONTH($B74)-1,1),Índices!$B$6:$F$500,VLOOKUP(R$54,$L$7:$M$9,2,FALSE)+1,FALSE)*Q74</f>
        <v>0</v>
      </c>
      <c r="S74" s="209"/>
      <c r="T74" s="227">
        <f>VLOOKUP($B$48,Índices!$B$6:$F$500,VLOOKUP(T$54,$L$7:$M$9,2,FALSE)+1,FALSE)/VLOOKUP(DATE(YEAR($B74),MONTH($B74)-1,1),Índices!$B$6:$F$500,VLOOKUP(T$54,$L$7:$M$9,2,FALSE)+1,FALSE)*S74</f>
        <v>0</v>
      </c>
      <c r="U74" s="209"/>
      <c r="V74" s="227">
        <f>VLOOKUP($B$48,Índices!$B$6:$F$500,VLOOKUP(V$54,$L$7:$M$9,2,FALSE)+1,FALSE)/VLOOKUP(DATE(YEAR($B74),MONTH($B74)-1,1),Índices!$B$6:$F$500,VLOOKUP(V$54,$L$7:$M$9,2,FALSE)+1,FALSE)*U74</f>
        <v>0</v>
      </c>
      <c r="W74" s="209"/>
      <c r="X74" s="227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10"/>
    </row>
    <row r="75" spans="2:30" ht="14.25">
      <c r="B75" s="272">
        <f t="shared" si="6"/>
        <v>44593</v>
      </c>
      <c r="C75" s="209">
        <f ca="1">Encargos!C38</f>
        <v>0</v>
      </c>
      <c r="D75" s="100">
        <f ca="1">VLOOKUP($B$79,Índices!$B$6:$F$500,VLOOKUP(D$54,$L$7:$M$9,2,FALSE)+1,FALSE)/VLOOKUP(DATE(YEAR($B75),MONTH($B75)-1,1),Índices!$B$6:$F$500,VLOOKUP(D$54,$L$7:$M$9,2,FALSE)+1,FALSE)*C75</f>
        <v>0</v>
      </c>
      <c r="E75" s="209">
        <f ca="1">Encargos!D38</f>
        <v>0</v>
      </c>
      <c r="F75" s="100">
        <f ca="1">VLOOKUP($B$79,Índices!$B$6:$F$500,VLOOKUP(F$54,$L$7:$M$9,2,FALSE)+1,FALSE)/VLOOKUP(DATE(YEAR($B75),MONTH($B75)-1,1),Índices!$B$6:$F$500,VLOOKUP(F$54,$L$7:$M$9,2,FALSE)+1,FALSE)*E75</f>
        <v>0</v>
      </c>
      <c r="G75" s="209">
        <f ca="1">Encargos!E38</f>
        <v>-2083.6304035931225</v>
      </c>
      <c r="H75" s="227">
        <f ca="1">VLOOKUP($B$48,Índices!$B$6:$F$500,VLOOKUP(H$54,$L$7:$M$9,2,FALSE)+1,FALSE)/VLOOKUP(DATE(YEAR($B75),MONTH($B75)-1,1),Índices!$B$6:$F$500,VLOOKUP(H$54,$L$7:$M$9,2,FALSE)+1,FALSE)*G75</f>
        <v>-2186.1544916516191</v>
      </c>
      <c r="I75" s="209">
        <f ca="1">Encargos!F38</f>
        <v>-56500.465800501232</v>
      </c>
      <c r="J75" s="227">
        <f ca="1">VLOOKUP($B$48,Índices!$B$6:$F$500,VLOOKUP(J$54,$L$7:$M$9,2,FALSE)+1,FALSE)/VLOOKUP(DATE(YEAR($B75),MONTH($B75)-1,1),Índices!$B$6:$F$500,VLOOKUP(J$54,$L$7:$M$9,2,FALSE)+1,FALSE)*I75</f>
        <v>-59280.545569488808</v>
      </c>
      <c r="K75" s="209">
        <f ca="1">Encargos!L69</f>
        <v>0</v>
      </c>
      <c r="L75" s="227">
        <f ca="1">VLOOKUP($B$48,Índices!$B$6:$F$500,VLOOKUP(L$54,$L$7:$M$9,2,FALSE)+1,FALSE)/VLOOKUP(DATE(YEAR($B75),MONTH($B75)-1,1),Índices!$B$6:$F$500,VLOOKUP(L$54,$L$7:$M$9,2,FALSE)+1,FALSE)*K75</f>
        <v>0</v>
      </c>
      <c r="M75" s="209">
        <f ca="1">Encargos!G38</f>
        <v>-8619.1181679048459</v>
      </c>
      <c r="N75" s="227">
        <f ca="1">VLOOKUP($B$48,Índices!$B$6:$F$500,VLOOKUP(N$54,$L$7:$M$9,2,FALSE)+1,FALSE)/VLOOKUP(DATE(YEAR($B75),MONTH($B75)-1,1),Índices!$B$6:$F$500,VLOOKUP(N$54,$L$7:$M$9,2,FALSE)+1,FALSE)*M75</f>
        <v>-9043.2179643510008</v>
      </c>
      <c r="O75" s="209">
        <f ca="1">Encargos!H38</f>
        <v>0</v>
      </c>
      <c r="P75" s="227">
        <f ca="1">VLOOKUP($B$48,Índices!$B$6:$F$500,VLOOKUP(P$54,$L$7:$M$9,2,FALSE)+1,FALSE)/VLOOKUP(DATE(YEAR($B75),MONTH($B75)-1,1),Índices!$B$6:$F$500,VLOOKUP(P$54,$L$7:$M$9,2,FALSE)+1,FALSE)*O75</f>
        <v>0</v>
      </c>
      <c r="Q75" s="209">
        <f ca="1">Encargos!I38</f>
        <v>0</v>
      </c>
      <c r="R75" s="227">
        <f ca="1">VLOOKUP($B$48,Índices!$B$6:$F$500,VLOOKUP(R$54,$L$7:$M$9,2,FALSE)+1,FALSE)/VLOOKUP(DATE(YEAR($B75),MONTH($B75)-1,1),Índices!$B$6:$F$500,VLOOKUP(R$54,$L$7:$M$9,2,FALSE)+1,FALSE)*Q75</f>
        <v>0</v>
      </c>
      <c r="S75" s="209"/>
      <c r="T75" s="227">
        <f>VLOOKUP($B$48,Índices!$B$6:$F$500,VLOOKUP(T$54,$L$7:$M$9,2,FALSE)+1,FALSE)/VLOOKUP(DATE(YEAR($B75),MONTH($B75)-1,1),Índices!$B$6:$F$500,VLOOKUP(T$54,$L$7:$M$9,2,FALSE)+1,FALSE)*S75</f>
        <v>0</v>
      </c>
      <c r="U75" s="209"/>
      <c r="V75" s="227">
        <f>VLOOKUP($B$48,Índices!$B$6:$F$500,VLOOKUP(V$54,$L$7:$M$9,2,FALSE)+1,FALSE)/VLOOKUP(DATE(YEAR($B75),MONTH($B75)-1,1),Índices!$B$6:$F$500,VLOOKUP(V$54,$L$7:$M$9,2,FALSE)+1,FALSE)*U75</f>
        <v>0</v>
      </c>
      <c r="W75" s="209"/>
      <c r="X75" s="227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10"/>
    </row>
    <row r="76" spans="2:30" ht="14.25">
      <c r="B76" s="272">
        <f t="shared" si="6"/>
        <v>44621</v>
      </c>
      <c r="C76" s="209">
        <f ca="1">Encargos!C39</f>
        <v>0</v>
      </c>
      <c r="D76" s="100">
        <f ca="1">VLOOKUP($B$79,Índices!$B$6:$F$500,VLOOKUP(D$54,$L$7:$M$9,2,FALSE)+1,FALSE)/VLOOKUP(DATE(YEAR($B76),MONTH($B76)-1,1),Índices!$B$6:$F$500,VLOOKUP(D$54,$L$7:$M$9,2,FALSE)+1,FALSE)*C76</f>
        <v>0</v>
      </c>
      <c r="E76" s="209">
        <f ca="1">Encargos!D39</f>
        <v>0</v>
      </c>
      <c r="F76" s="100">
        <f ca="1">VLOOKUP($B$79,Índices!$B$6:$F$500,VLOOKUP(F$54,$L$7:$M$9,2,FALSE)+1,FALSE)/VLOOKUP(DATE(YEAR($B76),MONTH($B76)-1,1),Índices!$B$6:$F$500,VLOOKUP(F$54,$L$7:$M$9,2,FALSE)+1,FALSE)*E76</f>
        <v>0</v>
      </c>
      <c r="G76" s="209">
        <f ca="1">Encargos!E39</f>
        <v>-1570.5390360654328</v>
      </c>
      <c r="H76" s="227">
        <f ca="1">VLOOKUP($B$48,Índices!$B$6:$F$500,VLOOKUP(H$54,$L$7:$M$9,2,FALSE)+1,FALSE)/VLOOKUP(DATE(YEAR($B76),MONTH($B76)-1,1),Índices!$B$6:$F$500,VLOOKUP(H$54,$L$7:$M$9,2,FALSE)+1,FALSE)*G76</f>
        <v>-1631.3391656610243</v>
      </c>
      <c r="I76" s="209">
        <f ca="1">Encargos!F39</f>
        <v>-45561.793163112598</v>
      </c>
      <c r="J76" s="227">
        <f ca="1">VLOOKUP($B$48,Índices!$B$6:$F$500,VLOOKUP(J$54,$L$7:$M$9,2,FALSE)+1,FALSE)/VLOOKUP(DATE(YEAR($B76),MONTH($B76)-1,1),Índices!$B$6:$F$500,VLOOKUP(J$54,$L$7:$M$9,2,FALSE)+1,FALSE)*I76</f>
        <v>-47325.622565191443</v>
      </c>
      <c r="K76" s="209">
        <f ca="1">Encargos!L70</f>
        <v>0</v>
      </c>
      <c r="L76" s="227">
        <f ca="1">VLOOKUP($B$48,Índices!$B$6:$F$500,VLOOKUP(L$54,$L$7:$M$9,2,FALSE)+1,FALSE)/VLOOKUP(DATE(YEAR($B76),MONTH($B76)-1,1),Índices!$B$6:$F$500,VLOOKUP(L$54,$L$7:$M$9,2,FALSE)+1,FALSE)*K76</f>
        <v>0</v>
      </c>
      <c r="M76" s="209">
        <f ca="1">Encargos!G39</f>
        <v>-7219.9052099634719</v>
      </c>
      <c r="N76" s="227">
        <f ca="1">VLOOKUP($B$48,Índices!$B$6:$F$500,VLOOKUP(N$54,$L$7:$M$9,2,FALSE)+1,FALSE)/VLOOKUP(DATE(YEAR($B76),MONTH($B76)-1,1),Índices!$B$6:$F$500,VLOOKUP(N$54,$L$7:$M$9,2,FALSE)+1,FALSE)*M76</f>
        <v>-7499.4087194931626</v>
      </c>
      <c r="O76" s="209">
        <f ca="1">Encargos!H39</f>
        <v>0</v>
      </c>
      <c r="P76" s="227">
        <f ca="1">VLOOKUP($B$48,Índices!$B$6:$F$500,VLOOKUP(P$54,$L$7:$M$9,2,FALSE)+1,FALSE)/VLOOKUP(DATE(YEAR($B76),MONTH($B76)-1,1),Índices!$B$6:$F$500,VLOOKUP(P$54,$L$7:$M$9,2,FALSE)+1,FALSE)*O76</f>
        <v>0</v>
      </c>
      <c r="Q76" s="209">
        <f ca="1">Encargos!I39</f>
        <v>0</v>
      </c>
      <c r="R76" s="227">
        <f ca="1">VLOOKUP($B$48,Índices!$B$6:$F$500,VLOOKUP(R$54,$L$7:$M$9,2,FALSE)+1,FALSE)/VLOOKUP(DATE(YEAR($B76),MONTH($B76)-1,1),Índices!$B$6:$F$500,VLOOKUP(R$54,$L$7:$M$9,2,FALSE)+1,FALSE)*Q76</f>
        <v>0</v>
      </c>
      <c r="S76" s="209"/>
      <c r="T76" s="227">
        <f>VLOOKUP($B$48,Índices!$B$6:$F$500,VLOOKUP(T$54,$L$7:$M$9,2,FALSE)+1,FALSE)/VLOOKUP(DATE(YEAR($B76),MONTH($B76)-1,1),Índices!$B$6:$F$500,VLOOKUP(T$54,$L$7:$M$9,2,FALSE)+1,FALSE)*S76</f>
        <v>0</v>
      </c>
      <c r="U76" s="209"/>
      <c r="V76" s="227">
        <f>VLOOKUP($B$48,Índices!$B$6:$F$500,VLOOKUP(V$54,$L$7:$M$9,2,FALSE)+1,FALSE)/VLOOKUP(DATE(YEAR($B76),MONTH($B76)-1,1),Índices!$B$6:$F$500,VLOOKUP(V$54,$L$7:$M$9,2,FALSE)+1,FALSE)*U76</f>
        <v>0</v>
      </c>
      <c r="W76" s="209"/>
      <c r="X76" s="227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10"/>
    </row>
    <row r="77" spans="2:30" ht="14.25">
      <c r="B77" s="272">
        <f t="shared" si="6"/>
        <v>44652</v>
      </c>
      <c r="C77" s="209">
        <f ca="1">Encargos!C40</f>
        <v>0</v>
      </c>
      <c r="D77" s="100">
        <f ca="1">VLOOKUP($B$79,Índices!$B$6:$F$500,VLOOKUP(D$54,$L$7:$M$9,2,FALSE)+1,FALSE)/VLOOKUP(DATE(YEAR($B77),MONTH($B77)-1,1),Índices!$B$6:$F$500,VLOOKUP(D$54,$L$7:$M$9,2,FALSE)+1,FALSE)*C77</f>
        <v>0</v>
      </c>
      <c r="E77" s="209">
        <f ca="1">Encargos!D40</f>
        <v>0</v>
      </c>
      <c r="F77" s="100">
        <f ca="1">VLOOKUP($B$79,Índices!$B$6:$F$500,VLOOKUP(F$54,$L$7:$M$9,2,FALSE)+1,FALSE)/VLOOKUP(DATE(YEAR($B77),MONTH($B77)-1,1),Índices!$B$6:$F$500,VLOOKUP(F$54,$L$7:$M$9,2,FALSE)+1,FALSE)*E77</f>
        <v>0</v>
      </c>
      <c r="G77" s="209">
        <f ca="1">Encargos!E40</f>
        <v>-349.01731627898516</v>
      </c>
      <c r="H77" s="227">
        <f ca="1">VLOOKUP($B$48,Índices!$B$6:$F$500,VLOOKUP(H$54,$L$7:$M$9,2,FALSE)+1,FALSE)/VLOOKUP(DATE(YEAR($B77),MONTH($B77)-1,1),Índices!$B$6:$F$500,VLOOKUP(H$54,$L$7:$M$9,2,FALSE)+1,FALSE)*G77</f>
        <v>-356.74927386777347</v>
      </c>
      <c r="I77" s="209">
        <f ca="1">Encargos!F40</f>
        <v>-9754.710488351353</v>
      </c>
      <c r="J77" s="227">
        <f ca="1">VLOOKUP($B$48,Índices!$B$6:$F$500,VLOOKUP(J$54,$L$7:$M$9,2,FALSE)+1,FALSE)/VLOOKUP(DATE(YEAR($B77),MONTH($B77)-1,1),Índices!$B$6:$F$500,VLOOKUP(J$54,$L$7:$M$9,2,FALSE)+1,FALSE)*I77</f>
        <v>-9970.8115362619737</v>
      </c>
      <c r="K77" s="209">
        <f ca="1">Encargos!L71</f>
        <v>0</v>
      </c>
      <c r="L77" s="227">
        <f ca="1">VLOOKUP($B$48,Índices!$B$6:$F$500,VLOOKUP(L$54,$L$7:$M$9,2,FALSE)+1,FALSE)/VLOOKUP(DATE(YEAR($B77),MONTH($B77)-1,1),Índices!$B$6:$F$500,VLOOKUP(L$54,$L$7:$M$9,2,FALSE)+1,FALSE)*K77</f>
        <v>0</v>
      </c>
      <c r="M77" s="209">
        <f ca="1">Encargos!G40</f>
        <v>-1550.1095795147703</v>
      </c>
      <c r="N77" s="227">
        <f ca="1">VLOOKUP($B$48,Índices!$B$6:$F$500,VLOOKUP(N$54,$L$7:$M$9,2,FALSE)+1,FALSE)/VLOOKUP(DATE(YEAR($B77),MONTH($B77)-1,1),Índices!$B$6:$F$500,VLOOKUP(N$54,$L$7:$M$9,2,FALSE)+1,FALSE)*M77</f>
        <v>-1584.4499430662515</v>
      </c>
      <c r="O77" s="209">
        <f ca="1">Encargos!H40</f>
        <v>0</v>
      </c>
      <c r="P77" s="227">
        <f ca="1">VLOOKUP($B$48,Índices!$B$6:$F$500,VLOOKUP(P$54,$L$7:$M$9,2,FALSE)+1,FALSE)/VLOOKUP(DATE(YEAR($B77),MONTH($B77)-1,1),Índices!$B$6:$F$500,VLOOKUP(P$54,$L$7:$M$9,2,FALSE)+1,FALSE)*O77</f>
        <v>0</v>
      </c>
      <c r="Q77" s="209">
        <f ca="1">Encargos!I40</f>
        <v>0</v>
      </c>
      <c r="R77" s="227">
        <f ca="1">VLOOKUP($B$48,Índices!$B$6:$F$500,VLOOKUP(R$54,$L$7:$M$9,2,FALSE)+1,FALSE)/VLOOKUP(DATE(YEAR($B77),MONTH($B77)-1,1),Índices!$B$6:$F$500,VLOOKUP(R$54,$L$7:$M$9,2,FALSE)+1,FALSE)*Q77</f>
        <v>0</v>
      </c>
      <c r="S77" s="209"/>
      <c r="T77" s="227">
        <f>VLOOKUP($B$48,Índices!$B$6:$F$500,VLOOKUP(T$54,$L$7:$M$9,2,FALSE)+1,FALSE)/VLOOKUP(DATE(YEAR($B77),MONTH($B77)-1,1),Índices!$B$6:$F$500,VLOOKUP(T$54,$L$7:$M$9,2,FALSE)+1,FALSE)*S77</f>
        <v>0</v>
      </c>
      <c r="U77" s="209"/>
      <c r="V77" s="227">
        <f>VLOOKUP($B$48,Índices!$B$6:$F$500,VLOOKUP(V$54,$L$7:$M$9,2,FALSE)+1,FALSE)/VLOOKUP(DATE(YEAR($B77),MONTH($B77)-1,1),Índices!$B$6:$F$500,VLOOKUP(V$54,$L$7:$M$9,2,FALSE)+1,FALSE)*U77</f>
        <v>0</v>
      </c>
      <c r="W77" s="209"/>
      <c r="X77" s="227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10"/>
    </row>
    <row r="78" spans="2:30" ht="14.25">
      <c r="B78" s="272">
        <f t="shared" si="6"/>
        <v>44682</v>
      </c>
      <c r="C78" s="209">
        <f ca="1">Encargos!C41</f>
        <v>0</v>
      </c>
      <c r="D78" s="100">
        <f ca="1">VLOOKUP($B$79,Índices!$B$6:$F$500,VLOOKUP(D$54,$L$7:$M$9,2,FALSE)+1,FALSE)/VLOOKUP(DATE(YEAR($B78),MONTH($B78)-1,1),Índices!$B$6:$F$500,VLOOKUP(D$54,$L$7:$M$9,2,FALSE)+1,FALSE)*C78</f>
        <v>0</v>
      </c>
      <c r="E78" s="209">
        <f ca="1">Encargos!D41</f>
        <v>0</v>
      </c>
      <c r="F78" s="100">
        <f ca="1">VLOOKUP($B$79,Índices!$B$6:$F$500,VLOOKUP(F$54,$L$7:$M$9,2,FALSE)+1,FALSE)/VLOOKUP(DATE(YEAR($B78),MONTH($B78)-1,1),Índices!$B$6:$F$500,VLOOKUP(F$54,$L$7:$M$9,2,FALSE)+1,FALSE)*E78</f>
        <v>0</v>
      </c>
      <c r="G78" s="209">
        <f ca="1">Encargos!E41</f>
        <v>438.19887353144804</v>
      </c>
      <c r="H78" s="227">
        <f ca="1">VLOOKUP($B$48,Índices!$B$6:$F$500,VLOOKUP(H$54,$L$7:$M$9,2,FALSE)+1,FALSE)/VLOOKUP(DATE(YEAR($B78),MONTH($B78)-1,1),Índices!$B$6:$F$500,VLOOKUP(H$54,$L$7:$M$9,2,FALSE)+1,FALSE)*G78</f>
        <v>443.20842592810749</v>
      </c>
      <c r="I78" s="209">
        <f ca="1">Encargos!F41</f>
        <v>11696.227339098754</v>
      </c>
      <c r="J78" s="227">
        <f ca="1">VLOOKUP($B$48,Índices!$B$6:$F$500,VLOOKUP(J$54,$L$7:$M$9,2,FALSE)+1,FALSE)/VLOOKUP(DATE(YEAR($B78),MONTH($B78)-1,1),Índices!$B$6:$F$500,VLOOKUP(J$54,$L$7:$M$9,2,FALSE)+1,FALSE)*I78</f>
        <v>11829.940288258698</v>
      </c>
      <c r="K78" s="209">
        <f ca="1">Encargos!L72</f>
        <v>0</v>
      </c>
      <c r="L78" s="227">
        <f ca="1">VLOOKUP($B$48,Índices!$B$6:$F$500,VLOOKUP(L$54,$L$7:$M$9,2,FALSE)+1,FALSE)/VLOOKUP(DATE(YEAR($B78),MONTH($B78)-1,1),Índices!$B$6:$F$500,VLOOKUP(L$54,$L$7:$M$9,2,FALSE)+1,FALSE)*K78</f>
        <v>0</v>
      </c>
      <c r="M78" s="209">
        <f ca="1">Encargos!G41</f>
        <v>1712.2740997866786</v>
      </c>
      <c r="N78" s="227">
        <f ca="1">VLOOKUP($B$48,Índices!$B$6:$F$500,VLOOKUP(N$54,$L$7:$M$9,2,FALSE)+1,FALSE)/VLOOKUP(DATE(YEAR($B78),MONTH($B78)-1,1),Índices!$B$6:$F$500,VLOOKUP(N$54,$L$7:$M$9,2,FALSE)+1,FALSE)*M78</f>
        <v>1731.8490629790672</v>
      </c>
      <c r="O78" s="209">
        <f ca="1">Encargos!H41</f>
        <v>0</v>
      </c>
      <c r="P78" s="227">
        <f ca="1">VLOOKUP($B$48,Índices!$B$6:$F$500,VLOOKUP(P$54,$L$7:$M$9,2,FALSE)+1,FALSE)/VLOOKUP(DATE(YEAR($B78),MONTH($B78)-1,1),Índices!$B$6:$F$500,VLOOKUP(P$54,$L$7:$M$9,2,FALSE)+1,FALSE)*O78</f>
        <v>0</v>
      </c>
      <c r="Q78" s="209">
        <f ca="1">Encargos!I41</f>
        <v>0</v>
      </c>
      <c r="R78" s="227">
        <f ca="1">VLOOKUP($B$48,Índices!$B$6:$F$500,VLOOKUP(R$54,$L$7:$M$9,2,FALSE)+1,FALSE)/VLOOKUP(DATE(YEAR($B78),MONTH($B78)-1,1),Índices!$B$6:$F$500,VLOOKUP(R$54,$L$7:$M$9,2,FALSE)+1,FALSE)*Q78</f>
        <v>0</v>
      </c>
      <c r="S78" s="209"/>
      <c r="T78" s="227">
        <f>VLOOKUP($B$48,Índices!$B$6:$F$500,VLOOKUP(T$54,$L$7:$M$9,2,FALSE)+1,FALSE)/VLOOKUP(DATE(YEAR($B78),MONTH($B78)-1,1),Índices!$B$6:$F$500,VLOOKUP(T$54,$L$7:$M$9,2,FALSE)+1,FALSE)*S78</f>
        <v>0</v>
      </c>
      <c r="U78" s="209"/>
      <c r="V78" s="227">
        <f>VLOOKUP($B$48,Índices!$B$6:$F$500,VLOOKUP(V$54,$L$7:$M$9,2,FALSE)+1,FALSE)/VLOOKUP(DATE(YEAR($B78),MONTH($B78)-1,1),Índices!$B$6:$F$500,VLOOKUP(V$54,$L$7:$M$9,2,FALSE)+1,FALSE)*U78</f>
        <v>0</v>
      </c>
      <c r="W78" s="209"/>
      <c r="X78" s="227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10"/>
    </row>
    <row r="79" spans="2:30" ht="14.25">
      <c r="B79" s="272">
        <f t="shared" si="6"/>
        <v>44713</v>
      </c>
      <c r="C79" s="209">
        <f ca="1">Encargos!C42</f>
        <v>0</v>
      </c>
      <c r="D79" s="100">
        <f ca="1">VLOOKUP($B$79,Índices!$B$6:$F$500,VLOOKUP(D$54,$L$7:$M$9,2,FALSE)+1,FALSE)/VLOOKUP(DATE(YEAR($B79),MONTH($B79)-1,1),Índices!$B$6:$F$500,VLOOKUP(D$54,$L$7:$M$9,2,FALSE)+1,FALSE)*C79</f>
        <v>0</v>
      </c>
      <c r="E79" s="209">
        <f ca="1">Encargos!D42</f>
        <v>0</v>
      </c>
      <c r="F79" s="100">
        <f ca="1">VLOOKUP($B$79,Índices!$B$6:$F$500,VLOOKUP(F$54,$L$7:$M$9,2,FALSE)+1,FALSE)/VLOOKUP(DATE(YEAR($B79),MONTH($B79)-1,1),Índices!$B$6:$F$500,VLOOKUP(F$54,$L$7:$M$9,2,FALSE)+1,FALSE)*E79</f>
        <v>0</v>
      </c>
      <c r="G79" s="209">
        <f ca="1">Encargos!E42</f>
        <v>-590.93505685006494</v>
      </c>
      <c r="H79" s="227">
        <f ca="1">VLOOKUP($B$48,Índices!$B$6:$F$500,VLOOKUP(H$54,$L$7:$M$9,2,FALSE)+1,FALSE)/VLOOKUP(DATE(YEAR($B79),MONTH($B79)-1,1),Índices!$B$6:$F$500,VLOOKUP(H$54,$L$7:$M$9,2,FALSE)+1,FALSE)*G79</f>
        <v>-594.89466304772452</v>
      </c>
      <c r="I79" s="209">
        <f ca="1">Encargos!F42</f>
        <v>-15696.473893494345</v>
      </c>
      <c r="J79" s="227">
        <f ca="1">VLOOKUP($B$48,Índices!$B$6:$F$500,VLOOKUP(J$54,$L$7:$M$9,2,FALSE)+1,FALSE)/VLOOKUP(DATE(YEAR($B79),MONTH($B79)-1,1),Índices!$B$6:$F$500,VLOOKUP(J$54,$L$7:$M$9,2,FALSE)+1,FALSE)*I79</f>
        <v>-15801.649334669521</v>
      </c>
      <c r="K79" s="209">
        <f ca="1">Encargos!L73</f>
        <v>0</v>
      </c>
      <c r="L79" s="227">
        <f ca="1">VLOOKUP($B$48,Índices!$B$6:$F$500,VLOOKUP(L$54,$L$7:$M$9,2,FALSE)+1,FALSE)/VLOOKUP(DATE(YEAR($B79),MONTH($B79)-1,1),Índices!$B$6:$F$500,VLOOKUP(L$54,$L$7:$M$9,2,FALSE)+1,FALSE)*K79</f>
        <v>0</v>
      </c>
      <c r="M79" s="209">
        <f ca="1">Encargos!G42</f>
        <v>-2444.6385286322256</v>
      </c>
      <c r="N79" s="227">
        <f ca="1">VLOOKUP($B$48,Índices!$B$6:$F$500,VLOOKUP(N$54,$L$7:$M$9,2,FALSE)+1,FALSE)/VLOOKUP(DATE(YEAR($B79),MONTH($B79)-1,1),Índices!$B$6:$F$500,VLOOKUP(N$54,$L$7:$M$9,2,FALSE)+1,FALSE)*M79</f>
        <v>-2461.0190187669746</v>
      </c>
      <c r="O79" s="209">
        <f ca="1">Encargos!H42</f>
        <v>0</v>
      </c>
      <c r="P79" s="227">
        <f ca="1">VLOOKUP($B$48,Índices!$B$6:$F$500,VLOOKUP(P$54,$L$7:$M$9,2,FALSE)+1,FALSE)/VLOOKUP(DATE(YEAR($B79),MONTH($B79)-1,1),Índices!$B$6:$F$500,VLOOKUP(P$54,$L$7:$M$9,2,FALSE)+1,FALSE)*O79</f>
        <v>0</v>
      </c>
      <c r="Q79" s="209">
        <f ca="1">Encargos!I42</f>
        <v>0</v>
      </c>
      <c r="R79" s="227">
        <f ca="1">VLOOKUP($B$48,Índices!$B$6:$F$500,VLOOKUP(R$54,$L$7:$M$9,2,FALSE)+1,FALSE)/VLOOKUP(DATE(YEAR($B79),MONTH($B79)-1,1),Índices!$B$6:$F$500,VLOOKUP(R$54,$L$7:$M$9,2,FALSE)+1,FALSE)*Q79</f>
        <v>0</v>
      </c>
      <c r="S79" s="209"/>
      <c r="T79" s="227">
        <f>VLOOKUP($B$48,Índices!$B$6:$F$500,VLOOKUP(T$54,$L$7:$M$9,2,FALSE)+1,FALSE)/VLOOKUP(DATE(YEAR($B79),MONTH($B79)-1,1),Índices!$B$6:$F$500,VLOOKUP(T$54,$L$7:$M$9,2,FALSE)+1,FALSE)*S79</f>
        <v>0</v>
      </c>
      <c r="U79" s="209"/>
      <c r="V79" s="227">
        <f>VLOOKUP($B$48,Índices!$B$6:$F$500,VLOOKUP(V$54,$L$7:$M$9,2,FALSE)+1,FALSE)/VLOOKUP(DATE(YEAR($B79),MONTH($B79)-1,1),Índices!$B$6:$F$500,VLOOKUP(V$54,$L$7:$M$9,2,FALSE)+1,FALSE)*U79</f>
        <v>0</v>
      </c>
      <c r="W79" s="209"/>
      <c r="X79" s="227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10"/>
    </row>
    <row r="80" spans="2:30" ht="14.25">
      <c r="C80" s="1538">
        <f ca="1">SUM(C56:C79)</f>
        <v>0</v>
      </c>
      <c r="D80" s="1539">
        <f ca="1">SUM(D56:D79)</f>
        <v>0</v>
      </c>
      <c r="E80" s="1538">
        <f ca="1">SUM(E56:E79)</f>
        <v>0</v>
      </c>
      <c r="F80" s="1539">
        <f ca="1">SUM(F56:F79)</f>
        <v>0</v>
      </c>
      <c r="G80" s="1538">
        <f ca="1">SUM(G55:G79)</f>
        <v>-1590.9843311082041</v>
      </c>
      <c r="H80" s="1538">
        <f t="shared" ref="H80:N80" ca="1" si="7">SUM(H55:H79)</f>
        <v>-1468.8637825615788</v>
      </c>
      <c r="I80" s="1538">
        <f t="shared" ca="1" si="7"/>
        <v>-42207.243107189832</v>
      </c>
      <c r="J80" s="1538">
        <f t="shared" ca="1" si="7"/>
        <v>-38569.859714027712</v>
      </c>
      <c r="K80" s="1538">
        <f t="shared" ca="1" si="7"/>
        <v>0</v>
      </c>
      <c r="L80" s="1538">
        <f t="shared" ca="1" si="7"/>
        <v>0</v>
      </c>
      <c r="M80" s="1538">
        <f t="shared" ca="1" si="7"/>
        <v>-6614.4733520586669</v>
      </c>
      <c r="N80" s="1538">
        <f t="shared" ca="1" si="7"/>
        <v>-6041.0144003341793</v>
      </c>
      <c r="O80" s="1538">
        <f t="shared" ref="O80:R80" ca="1" si="8">SUM(O55:O79)</f>
        <v>0</v>
      </c>
      <c r="P80" s="1538">
        <f t="shared" ca="1" si="8"/>
        <v>0</v>
      </c>
      <c r="Q80" s="1538">
        <f t="shared" ca="1" si="8"/>
        <v>0</v>
      </c>
      <c r="R80" s="1538">
        <f t="shared" ca="1" si="8"/>
        <v>0</v>
      </c>
      <c r="S80" s="1538">
        <f t="shared" ref="S80:X80" si="9">SUM(S55:S79)</f>
        <v>0</v>
      </c>
      <c r="T80" s="1538">
        <f t="shared" si="9"/>
        <v>0</v>
      </c>
      <c r="U80" s="1538">
        <f t="shared" si="9"/>
        <v>0</v>
      </c>
      <c r="V80" s="1541">
        <f t="shared" si="9"/>
        <v>0</v>
      </c>
      <c r="W80" s="1538">
        <f t="shared" si="9"/>
        <v>0</v>
      </c>
      <c r="X80" s="1541">
        <f t="shared" si="9"/>
        <v>0</v>
      </c>
      <c r="Y80" s="77"/>
      <c r="Z80" s="77"/>
      <c r="AA80" s="77"/>
      <c r="AB80" s="77"/>
      <c r="AD80" s="210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S22:T22"/>
    <mergeCell ref="U22:V22"/>
    <mergeCell ref="G22:H22"/>
    <mergeCell ref="I22:J22"/>
    <mergeCell ref="M53:N53"/>
    <mergeCell ref="S53:T53"/>
    <mergeCell ref="U53:V53"/>
    <mergeCell ref="Q22:R22"/>
    <mergeCell ref="W53:X53"/>
    <mergeCell ref="O53:P53"/>
    <mergeCell ref="Q53:R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0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4" customWidth="1"/>
    <col min="6" max="6" width="15.7109375" style="234" customWidth="1"/>
    <col min="7" max="7" width="13.140625" style="234" bestFit="1" customWidth="1"/>
    <col min="8" max="8" width="15.140625" style="234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1490</v>
      </c>
      <c r="C1" s="9" t="s">
        <v>1491</v>
      </c>
      <c r="D1" s="9" t="s">
        <v>1492</v>
      </c>
      <c r="E1" s="235" t="s">
        <v>1493</v>
      </c>
      <c r="F1" s="235" t="s">
        <v>1494</v>
      </c>
      <c r="G1" s="235" t="s">
        <v>1495</v>
      </c>
      <c r="H1" s="235" t="s">
        <v>1496</v>
      </c>
      <c r="I1" s="9" t="s">
        <v>232</v>
      </c>
      <c r="J1" s="9" t="s">
        <v>1497</v>
      </c>
      <c r="K1" s="9" t="s">
        <v>1498</v>
      </c>
      <c r="L1" s="9" t="s">
        <v>1499</v>
      </c>
      <c r="M1" s="9" t="s">
        <v>1500</v>
      </c>
      <c r="N1" s="9" t="s">
        <v>1040</v>
      </c>
      <c r="O1" s="9" t="s">
        <v>954</v>
      </c>
      <c r="P1" s="9" t="s">
        <v>1501</v>
      </c>
      <c r="Q1" s="8" t="s">
        <v>948</v>
      </c>
      <c r="R1" s="17" t="s">
        <v>1502</v>
      </c>
    </row>
    <row r="2" spans="2:18" hidden="1">
      <c r="E2" s="236"/>
      <c r="F2" s="236"/>
    </row>
    <row r="3" spans="2:18" hidden="1"/>
    <row r="4" spans="2:18" hidden="1"/>
    <row r="5" spans="2:18" hidden="1"/>
    <row r="6" spans="2:18" hidden="1"/>
    <row r="7" spans="2:18" hidden="1">
      <c r="E7" s="236"/>
      <c r="F7" s="236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6"/>
      <c r="F14" s="236"/>
    </row>
    <row r="15" spans="2:18" hidden="1">
      <c r="E15" s="236"/>
      <c r="F15" s="236"/>
    </row>
    <row r="16" spans="2:18" hidden="1">
      <c r="E16" s="236"/>
      <c r="F16" s="236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6"/>
      <c r="F23" s="236"/>
    </row>
    <row r="24" spans="5:6" hidden="1">
      <c r="E24" s="236"/>
      <c r="F24" s="236"/>
    </row>
    <row r="25" spans="5:6" hidden="1">
      <c r="E25" s="236"/>
      <c r="F25" s="236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6"/>
      <c r="F38" s="236"/>
    </row>
    <row r="39" spans="5:6" hidden="1">
      <c r="E39" s="236"/>
      <c r="F39" s="236"/>
    </row>
    <row r="40" spans="5:6" hidden="1">
      <c r="E40" s="236"/>
      <c r="F40" s="236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7"/>
      <c r="C50002" s="237"/>
      <c r="D50002" s="237"/>
      <c r="E50002" s="238"/>
      <c r="F50002" s="238"/>
      <c r="G50002" s="238"/>
      <c r="H50002" s="238"/>
      <c r="I50002" s="237"/>
      <c r="J50002" s="237"/>
      <c r="K50002" s="237"/>
      <c r="L50002" s="237"/>
      <c r="M50002" s="237"/>
      <c r="N50002" s="237"/>
      <c r="O50002" s="237"/>
      <c r="P50002" s="237"/>
      <c r="Q50002" s="239"/>
      <c r="R50002" s="239"/>
    </row>
    <row r="50003" spans="2:18">
      <c r="B50003" s="240"/>
      <c r="C50003" s="240"/>
      <c r="D50003" s="240"/>
      <c r="E50003" s="241"/>
      <c r="F50003" s="241"/>
      <c r="G50003" s="241"/>
      <c r="H50003" s="241"/>
      <c r="I50003" s="240"/>
      <c r="J50003" s="240"/>
      <c r="K50003" s="240"/>
      <c r="L50003" s="240"/>
      <c r="M50003" s="240"/>
      <c r="N50003" s="240"/>
      <c r="O50003" s="240"/>
      <c r="P50003" s="240"/>
      <c r="Q50003" s="242"/>
      <c r="R50003" s="242"/>
    </row>
    <row r="50004" spans="2:18">
      <c r="B50004" s="237"/>
      <c r="C50004" s="237"/>
      <c r="D50004" s="237"/>
      <c r="E50004" s="238"/>
      <c r="F50004" s="238"/>
      <c r="G50004" s="238"/>
      <c r="H50004" s="238"/>
      <c r="I50004" s="237"/>
      <c r="J50004" s="237"/>
      <c r="K50004" s="237"/>
      <c r="L50004" s="237"/>
      <c r="M50004" s="237"/>
      <c r="N50004" s="237"/>
      <c r="O50004" s="237"/>
      <c r="P50004" s="237"/>
      <c r="Q50004" s="239"/>
      <c r="R50004" s="239"/>
    </row>
    <row r="50009" spans="2:18">
      <c r="G50009" s="234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1491</v>
      </c>
      <c r="B1" t="s">
        <v>1039</v>
      </c>
      <c r="C1" t="s">
        <v>1503</v>
      </c>
      <c r="D1" t="s">
        <v>958</v>
      </c>
      <c r="E1" t="s">
        <v>1504</v>
      </c>
      <c r="F1" t="s">
        <v>58</v>
      </c>
      <c r="G1" t="s">
        <v>587</v>
      </c>
      <c r="H1" t="s">
        <v>1040</v>
      </c>
      <c r="I1" t="s">
        <v>120</v>
      </c>
      <c r="J1" t="s">
        <v>1495</v>
      </c>
      <c r="K1" t="s">
        <v>1505</v>
      </c>
      <c r="L1" t="s">
        <v>1506</v>
      </c>
      <c r="M1" t="s">
        <v>1507</v>
      </c>
      <c r="N1" t="s">
        <v>1050</v>
      </c>
      <c r="O1" t="s">
        <v>1508</v>
      </c>
      <c r="P1" t="s">
        <v>1509</v>
      </c>
      <c r="Q1" t="s">
        <v>1510</v>
      </c>
      <c r="R1" t="s">
        <v>1511</v>
      </c>
      <c r="S1" t="s">
        <v>232</v>
      </c>
      <c r="T1" t="s">
        <v>1512</v>
      </c>
      <c r="U1" t="s">
        <v>1513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542" t="s">
        <v>1514</v>
      </c>
      <c r="D2" s="3" t="s">
        <v>1515</v>
      </c>
    </row>
    <row r="3" spans="2:15">
      <c r="B3" s="5"/>
    </row>
    <row r="6" spans="2:15">
      <c r="B6" s="1543" t="s">
        <v>1516</v>
      </c>
      <c r="C6" s="1543" t="s">
        <v>1517</v>
      </c>
      <c r="D6" s="1543" t="s">
        <v>848</v>
      </c>
      <c r="E6" s="6" t="s">
        <v>1518</v>
      </c>
      <c r="F6" s="6" t="s">
        <v>1519</v>
      </c>
      <c r="G6" s="1544" t="s">
        <v>1520</v>
      </c>
      <c r="K6" s="1660" t="s">
        <v>2293</v>
      </c>
      <c r="L6" s="1661" t="s">
        <v>37</v>
      </c>
      <c r="M6" s="1662" t="s">
        <v>2294</v>
      </c>
      <c r="N6" s="1661" t="s">
        <v>1422</v>
      </c>
      <c r="O6" s="1663" t="s">
        <v>2295</v>
      </c>
    </row>
    <row r="7" spans="2:15">
      <c r="B7" s="1545">
        <v>32629</v>
      </c>
      <c r="C7" s="1546">
        <v>2.5789999999999999E-5</v>
      </c>
      <c r="D7" s="1546">
        <v>3.4132578959999998E-4</v>
      </c>
      <c r="E7" s="1546">
        <v>0</v>
      </c>
      <c r="F7" s="1546">
        <v>1</v>
      </c>
      <c r="K7" s="1664">
        <v>42064</v>
      </c>
      <c r="L7" s="1665"/>
      <c r="M7" s="1666">
        <v>0</v>
      </c>
      <c r="N7" s="1667">
        <v>1</v>
      </c>
      <c r="O7" s="1667">
        <v>1</v>
      </c>
    </row>
    <row r="8" spans="2:15">
      <c r="B8" s="1545">
        <v>32660</v>
      </c>
      <c r="C8" s="1546">
        <v>3.0859999999999999E-5</v>
      </c>
      <c r="D8" s="1546">
        <v>4.3911559890000003E-4</v>
      </c>
      <c r="E8" s="1546">
        <v>0</v>
      </c>
      <c r="F8" s="1546">
        <v>1</v>
      </c>
      <c r="G8" s="10"/>
      <c r="K8" s="1664">
        <v>42065</v>
      </c>
      <c r="L8" s="1665" t="s">
        <v>2296</v>
      </c>
      <c r="M8" s="1666">
        <v>4.5512999999999998E-2</v>
      </c>
      <c r="N8" s="1667">
        <v>1.00045513</v>
      </c>
      <c r="O8" s="1667">
        <v>1.00045513</v>
      </c>
    </row>
    <row r="9" spans="2:15">
      <c r="B9" s="1545">
        <v>32690</v>
      </c>
      <c r="C9" s="1546">
        <v>4.1940000000000002E-5</v>
      </c>
      <c r="D9" s="1546">
        <v>5.6092617030000002E-4</v>
      </c>
      <c r="E9" s="1546">
        <v>0</v>
      </c>
      <c r="F9" s="1546">
        <v>1</v>
      </c>
      <c r="K9" s="1664">
        <v>42066</v>
      </c>
      <c r="L9" s="1665" t="s">
        <v>2296</v>
      </c>
      <c r="M9" s="1666">
        <v>4.5512999999999998E-2</v>
      </c>
      <c r="N9" s="1667">
        <v>1.0009104671433169</v>
      </c>
      <c r="O9" s="1667">
        <v>1.0009104671433169</v>
      </c>
    </row>
    <row r="10" spans="2:15">
      <c r="B10" s="1545">
        <v>32721</v>
      </c>
      <c r="C10" s="1546">
        <v>5.7429999999999997E-5</v>
      </c>
      <c r="D10" s="1546">
        <v>7.5001448160000002E-4</v>
      </c>
      <c r="E10" s="1546">
        <v>0</v>
      </c>
      <c r="F10" s="1546">
        <v>1</v>
      </c>
      <c r="K10" s="1664">
        <v>42067</v>
      </c>
      <c r="L10" s="1665" t="s">
        <v>2296</v>
      </c>
      <c r="M10" s="1666">
        <v>4.5512999999999998E-2</v>
      </c>
      <c r="N10" s="1667">
        <v>1.0013660115242278</v>
      </c>
      <c r="O10" s="1667">
        <v>1.0013660115242278</v>
      </c>
    </row>
    <row r="11" spans="2:15">
      <c r="B11" s="1545">
        <v>32752</v>
      </c>
      <c r="C11" s="1546">
        <v>8.0350000000000001E-5</v>
      </c>
      <c r="D11" s="1546">
        <v>1.031719911E-3</v>
      </c>
      <c r="E11" s="1546">
        <v>0</v>
      </c>
      <c r="F11" s="1546">
        <v>1</v>
      </c>
      <c r="K11" s="1664">
        <v>42068</v>
      </c>
      <c r="L11" s="1665" t="s">
        <v>2296</v>
      </c>
      <c r="M11" s="1666">
        <v>4.7279000000000002E-2</v>
      </c>
      <c r="N11" s="1667">
        <v>1.0018394473608161</v>
      </c>
      <c r="O11" s="1667">
        <v>1.0018394473608161</v>
      </c>
    </row>
    <row r="12" spans="2:15">
      <c r="B12" s="1545">
        <v>32782</v>
      </c>
      <c r="C12" s="1546">
        <v>1.13E-4</v>
      </c>
      <c r="D12" s="1546">
        <v>1.4420348808E-3</v>
      </c>
      <c r="E12" s="1546">
        <v>0</v>
      </c>
      <c r="F12" s="1546">
        <v>1</v>
      </c>
      <c r="K12" s="1664">
        <v>42069</v>
      </c>
      <c r="L12" s="1665" t="s">
        <v>2296</v>
      </c>
      <c r="M12" s="1666">
        <v>4.7279000000000002E-2</v>
      </c>
      <c r="N12" s="1667">
        <v>1.0023131070331337</v>
      </c>
      <c r="O12" s="1667">
        <v>1.0023131070331337</v>
      </c>
    </row>
    <row r="13" spans="2:15">
      <c r="B13" s="1545">
        <v>32813</v>
      </c>
      <c r="C13" s="1546">
        <v>1.5873999999999999E-4</v>
      </c>
      <c r="D13" s="1546">
        <v>2.1316159802999999E-3</v>
      </c>
      <c r="E13" s="1546">
        <v>0</v>
      </c>
      <c r="F13" s="1546">
        <v>1</v>
      </c>
      <c r="K13" s="1664">
        <v>42070</v>
      </c>
      <c r="L13" s="1665"/>
      <c r="M13" s="1666">
        <v>0</v>
      </c>
      <c r="N13" s="1667">
        <v>1.0023131070331337</v>
      </c>
      <c r="O13" s="1667">
        <v>1.0023131070331337</v>
      </c>
    </row>
    <row r="14" spans="2:15">
      <c r="B14" s="1545">
        <v>32843</v>
      </c>
      <c r="C14" s="1546">
        <v>2.3356000000000001E-4</v>
      </c>
      <c r="D14" s="1546">
        <v>3.2293981927000001E-3</v>
      </c>
      <c r="E14" s="1546">
        <v>0</v>
      </c>
      <c r="F14" s="1546">
        <v>1</v>
      </c>
      <c r="K14" s="1664">
        <v>42071</v>
      </c>
      <c r="L14" s="1665"/>
      <c r="M14" s="1666">
        <v>0</v>
      </c>
      <c r="N14" s="1667">
        <v>1.0023131070331337</v>
      </c>
      <c r="O14" s="1667">
        <v>1.0023131070331337</v>
      </c>
    </row>
    <row r="15" spans="2:15">
      <c r="B15" s="1545">
        <v>32874</v>
      </c>
      <c r="C15" s="1546">
        <v>3.7711E-4</v>
      </c>
      <c r="D15" s="1546">
        <v>5.4108567453999999E-3</v>
      </c>
      <c r="E15" s="1546">
        <v>0</v>
      </c>
      <c r="F15" s="1546">
        <v>1</v>
      </c>
      <c r="K15" s="1664">
        <v>42072</v>
      </c>
      <c r="L15" s="1665" t="s">
        <v>2296</v>
      </c>
      <c r="M15" s="1666">
        <v>4.7279000000000002E-2</v>
      </c>
      <c r="N15" s="1667">
        <v>1.0027869906470077</v>
      </c>
      <c r="O15" s="1667">
        <v>1.0027869906470077</v>
      </c>
    </row>
    <row r="16" spans="2:15">
      <c r="B16" s="1545">
        <v>32905</v>
      </c>
      <c r="C16" s="1546">
        <v>6.8364999999999995E-4</v>
      </c>
      <c r="D16" s="1546">
        <v>9.5084984832999996E-3</v>
      </c>
      <c r="E16" s="1546">
        <v>0</v>
      </c>
      <c r="F16" s="1546">
        <v>1</v>
      </c>
      <c r="K16" s="1664">
        <v>42073</v>
      </c>
      <c r="L16" s="1665" t="s">
        <v>2296</v>
      </c>
      <c r="M16" s="1666">
        <v>4.7279000000000002E-2</v>
      </c>
      <c r="N16" s="1667">
        <v>1.0032610983083157</v>
      </c>
      <c r="O16" s="1667">
        <v>1.0032610983083157</v>
      </c>
    </row>
    <row r="17" spans="2:15">
      <c r="B17" s="1545">
        <v>32933</v>
      </c>
      <c r="C17" s="1546">
        <v>1.2575500000000001E-3</v>
      </c>
      <c r="D17" s="1546">
        <v>1.7342550351000002E-2</v>
      </c>
      <c r="E17" s="1546">
        <v>0</v>
      </c>
      <c r="F17" s="1546">
        <v>1</v>
      </c>
      <c r="K17" s="1664">
        <v>42074</v>
      </c>
      <c r="L17" s="1665" t="s">
        <v>2296</v>
      </c>
      <c r="M17" s="1666">
        <v>4.7279000000000002E-2</v>
      </c>
      <c r="N17" s="1667">
        <v>1.0037354301229848</v>
      </c>
      <c r="O17" s="1667">
        <v>1.0037354301229848</v>
      </c>
    </row>
    <row r="18" spans="2:15">
      <c r="B18" s="1545">
        <v>32964</v>
      </c>
      <c r="C18" s="1546">
        <v>1.61407E-3</v>
      </c>
      <c r="D18" s="1546">
        <v>2.00341140678E-2</v>
      </c>
      <c r="E18" s="1546">
        <v>0</v>
      </c>
      <c r="F18" s="1546">
        <v>1</v>
      </c>
      <c r="K18" s="1664">
        <v>42075</v>
      </c>
      <c r="L18" s="1665" t="s">
        <v>2296</v>
      </c>
      <c r="M18" s="1666">
        <v>4.7279000000000002E-2</v>
      </c>
      <c r="N18" s="1667">
        <v>1.0042099861969926</v>
      </c>
      <c r="O18" s="1667">
        <v>1.0042099861969926</v>
      </c>
    </row>
    <row r="19" spans="2:15">
      <c r="B19" s="1545">
        <v>32994</v>
      </c>
      <c r="C19" s="1546">
        <v>1.70973E-3</v>
      </c>
      <c r="D19" s="1546">
        <v>2.1554703244099999E-2</v>
      </c>
      <c r="E19" s="1546">
        <v>0</v>
      </c>
      <c r="F19" s="1546">
        <v>1</v>
      </c>
      <c r="K19" s="1664">
        <v>42076</v>
      </c>
      <c r="L19" s="1665" t="s">
        <v>2296</v>
      </c>
      <c r="M19" s="1666">
        <v>4.7279000000000002E-2</v>
      </c>
      <c r="N19" s="1667">
        <v>1.0046847666363665</v>
      </c>
      <c r="O19" s="1667">
        <v>1.0046847666363665</v>
      </c>
    </row>
    <row r="20" spans="2:15">
      <c r="B20" s="1545">
        <v>33025</v>
      </c>
      <c r="C20" s="1546">
        <v>1.87962E-3</v>
      </c>
      <c r="D20" s="1546">
        <v>2.4087380951899998E-2</v>
      </c>
      <c r="E20" s="1546">
        <v>0</v>
      </c>
      <c r="F20" s="1546">
        <v>1</v>
      </c>
      <c r="K20" s="1664">
        <v>42077</v>
      </c>
      <c r="L20" s="1665"/>
      <c r="M20" s="1666">
        <v>0</v>
      </c>
      <c r="N20" s="1667">
        <v>1.0046847666363665</v>
      </c>
      <c r="O20" s="1667">
        <v>1.0046847666363665</v>
      </c>
    </row>
    <row r="21" spans="2:15">
      <c r="B21" s="1545">
        <v>33055</v>
      </c>
      <c r="C21" s="1546">
        <v>2.10539E-3</v>
      </c>
      <c r="D21" s="1546">
        <v>2.7199470492E-2</v>
      </c>
      <c r="E21" s="1546">
        <v>0</v>
      </c>
      <c r="F21" s="1546">
        <v>1</v>
      </c>
      <c r="K21" s="1664">
        <v>42078</v>
      </c>
      <c r="L21" s="1665"/>
      <c r="M21" s="1666">
        <v>0</v>
      </c>
      <c r="N21" s="1667">
        <v>1.0046847666363665</v>
      </c>
      <c r="O21" s="1667">
        <v>1.0046847666363665</v>
      </c>
    </row>
    <row r="22" spans="2:15">
      <c r="B22" s="1545">
        <v>33086</v>
      </c>
      <c r="C22" s="1546">
        <v>2.39215E-3</v>
      </c>
      <c r="D22" s="1546">
        <v>3.0702762318699998E-2</v>
      </c>
      <c r="E22" s="1546">
        <v>0</v>
      </c>
      <c r="F22" s="1546">
        <v>1</v>
      </c>
      <c r="K22" s="1664">
        <v>42079</v>
      </c>
      <c r="L22" s="1665" t="s">
        <v>2296</v>
      </c>
      <c r="M22" s="1666">
        <v>4.7279000000000002E-2</v>
      </c>
      <c r="N22" s="1667">
        <v>1.0051597715471845</v>
      </c>
      <c r="O22" s="1667">
        <v>1.0051597715471845</v>
      </c>
    </row>
    <row r="23" spans="2:15">
      <c r="B23" s="1545">
        <v>33117</v>
      </c>
      <c r="C23" s="1546">
        <v>2.6984000000000001E-3</v>
      </c>
      <c r="D23" s="1546">
        <v>3.51270304097E-2</v>
      </c>
      <c r="E23" s="1546">
        <v>0</v>
      </c>
      <c r="F23" s="1546">
        <v>1</v>
      </c>
      <c r="K23" s="1664">
        <v>42080</v>
      </c>
      <c r="L23" s="1665" t="s">
        <v>2296</v>
      </c>
      <c r="M23" s="1666">
        <v>4.7279000000000002E-2</v>
      </c>
      <c r="N23" s="1667">
        <v>1.0056350010355741</v>
      </c>
      <c r="O23" s="1667">
        <v>1.0056350010355741</v>
      </c>
    </row>
    <row r="24" spans="2:15">
      <c r="B24" s="1545">
        <v>33147</v>
      </c>
      <c r="C24" s="1546">
        <v>3.0483699999999999E-3</v>
      </c>
      <c r="D24" s="1546">
        <v>4.0171272055300002E-2</v>
      </c>
      <c r="E24" s="1546">
        <v>0</v>
      </c>
      <c r="F24" s="1546">
        <v>1</v>
      </c>
      <c r="K24" s="1664">
        <v>42081</v>
      </c>
      <c r="L24" s="1665" t="s">
        <v>2296</v>
      </c>
      <c r="M24" s="1666">
        <v>4.7279000000000002E-2</v>
      </c>
      <c r="N24" s="1667">
        <v>1.0061104552077136</v>
      </c>
      <c r="O24" s="1667">
        <v>1.0061104552077136</v>
      </c>
    </row>
    <row r="25" spans="2:15">
      <c r="B25" s="1545">
        <v>33178</v>
      </c>
      <c r="C25" s="1546">
        <v>3.5622900000000001E-3</v>
      </c>
      <c r="D25" s="1546">
        <v>4.6924062784199999E-2</v>
      </c>
      <c r="E25" s="1546">
        <v>0</v>
      </c>
      <c r="F25" s="1546">
        <v>1</v>
      </c>
      <c r="K25" s="1664">
        <v>42082</v>
      </c>
      <c r="L25" s="1665" t="s">
        <v>2296</v>
      </c>
      <c r="M25" s="1666">
        <v>4.7279000000000002E-2</v>
      </c>
      <c r="N25" s="1667">
        <v>1.0065861341698312</v>
      </c>
      <c r="O25" s="1667">
        <v>1.0065861341698312</v>
      </c>
    </row>
    <row r="26" spans="2:15">
      <c r="B26" s="1545">
        <v>33208</v>
      </c>
      <c r="C26" s="1546">
        <v>4.2034799999999999E-3</v>
      </c>
      <c r="D26" s="1546">
        <v>5.5576860018600002E-2</v>
      </c>
      <c r="E26" s="1546">
        <v>0</v>
      </c>
      <c r="F26" s="1546">
        <v>1</v>
      </c>
      <c r="K26" s="1664">
        <v>42083</v>
      </c>
      <c r="L26" s="1665" t="s">
        <v>2296</v>
      </c>
      <c r="M26" s="1666">
        <v>4.7279000000000002E-2</v>
      </c>
      <c r="N26" s="1667">
        <v>1.0070620380282054</v>
      </c>
      <c r="O26" s="1667">
        <v>1.0070620380282054</v>
      </c>
    </row>
    <row r="27" spans="2:15">
      <c r="B27" s="1545">
        <v>33239</v>
      </c>
      <c r="C27" s="1546">
        <v>4.9475200000000004E-3</v>
      </c>
      <c r="D27" s="1546">
        <v>6.7109058472399993E-2</v>
      </c>
      <c r="E27" s="1546">
        <v>0</v>
      </c>
      <c r="F27" s="1546">
        <v>1</v>
      </c>
      <c r="K27" s="1664">
        <v>42084</v>
      </c>
      <c r="L27" s="1665"/>
      <c r="M27" s="1666">
        <v>0</v>
      </c>
      <c r="N27" s="1667">
        <v>1.0070620380282054</v>
      </c>
      <c r="O27" s="1667">
        <v>1.0070620380282054</v>
      </c>
    </row>
    <row r="28" spans="2:15">
      <c r="B28" s="1545">
        <v>33270</v>
      </c>
      <c r="C28" s="1546">
        <v>5.9873900000000004E-3</v>
      </c>
      <c r="D28" s="1546">
        <v>8.1014388849100005E-2</v>
      </c>
      <c r="E28" s="1546">
        <v>0</v>
      </c>
      <c r="F28" s="1546">
        <v>1</v>
      </c>
      <c r="K28" s="1664">
        <v>42085</v>
      </c>
      <c r="L28" s="1665"/>
      <c r="M28" s="1666">
        <v>0</v>
      </c>
      <c r="N28" s="1667">
        <v>1.0070620380282054</v>
      </c>
      <c r="O28" s="1667">
        <v>1.0070620380282054</v>
      </c>
    </row>
    <row r="29" spans="2:15">
      <c r="B29" s="1545">
        <v>33298</v>
      </c>
      <c r="C29" s="1546">
        <v>6.5374099999999996E-3</v>
      </c>
      <c r="D29" s="1546">
        <v>9.0673647120300002E-2</v>
      </c>
      <c r="E29" s="1546">
        <v>0</v>
      </c>
      <c r="F29" s="1546">
        <v>1</v>
      </c>
      <c r="K29" s="1664">
        <v>42086</v>
      </c>
      <c r="L29" s="1665" t="s">
        <v>2296</v>
      </c>
      <c r="M29" s="1666">
        <v>4.7279000000000002E-2</v>
      </c>
      <c r="N29" s="1667">
        <v>1.0075381668891645</v>
      </c>
      <c r="O29" s="1667">
        <v>1.0075381668891645</v>
      </c>
    </row>
    <row r="30" spans="2:15">
      <c r="B30" s="1545">
        <v>33329</v>
      </c>
      <c r="C30" s="1546">
        <v>7.0477600000000001E-3</v>
      </c>
      <c r="D30" s="1546">
        <v>9.5197603525800006E-2</v>
      </c>
      <c r="E30" s="1546">
        <v>0</v>
      </c>
      <c r="F30" s="1546">
        <v>1</v>
      </c>
      <c r="K30" s="1664">
        <v>42087</v>
      </c>
      <c r="L30" s="1665" t="s">
        <v>2296</v>
      </c>
      <c r="M30" s="1666">
        <v>4.7279000000000002E-2</v>
      </c>
      <c r="N30" s="1667">
        <v>1.008014520859088</v>
      </c>
      <c r="O30" s="1667">
        <v>1.008014520859088</v>
      </c>
    </row>
    <row r="31" spans="2:15">
      <c r="B31" s="1545">
        <v>33359</v>
      </c>
      <c r="C31" s="1546">
        <v>7.57502E-3</v>
      </c>
      <c r="D31" s="1546">
        <v>0.10227253780620001</v>
      </c>
      <c r="E31" s="1546">
        <v>0</v>
      </c>
      <c r="F31" s="1546">
        <v>1</v>
      </c>
      <c r="K31" s="1664">
        <v>42088</v>
      </c>
      <c r="L31" s="1665" t="s">
        <v>2296</v>
      </c>
      <c r="M31" s="1666">
        <v>4.7279000000000002E-2</v>
      </c>
      <c r="N31" s="1667">
        <v>1.008491100044405</v>
      </c>
      <c r="O31" s="1667">
        <v>1.008491100044405</v>
      </c>
    </row>
    <row r="32" spans="2:15">
      <c r="B32" s="1545">
        <v>33390</v>
      </c>
      <c r="C32" s="1546">
        <v>8.2174099999999996E-3</v>
      </c>
      <c r="D32" s="1546">
        <v>0.113715813284</v>
      </c>
      <c r="E32" s="1546">
        <v>0</v>
      </c>
      <c r="F32" s="1546">
        <v>1</v>
      </c>
      <c r="K32" s="1664">
        <v>42089</v>
      </c>
      <c r="L32" s="1665" t="s">
        <v>2296</v>
      </c>
      <c r="M32" s="1666">
        <v>4.7279000000000002E-2</v>
      </c>
      <c r="N32" s="1667">
        <v>1.0089679045515949</v>
      </c>
      <c r="O32" s="1667">
        <v>1.0089679045515949</v>
      </c>
    </row>
    <row r="33" spans="2:15">
      <c r="B33" s="1545">
        <v>33420</v>
      </c>
      <c r="C33" s="1546">
        <v>9.3037399999999996E-3</v>
      </c>
      <c r="D33" s="1546">
        <v>0.12782677804270001</v>
      </c>
      <c r="E33" s="1546">
        <v>0</v>
      </c>
      <c r="F33" s="1546">
        <v>1</v>
      </c>
      <c r="K33" s="1664">
        <v>42090</v>
      </c>
      <c r="L33" s="1665" t="s">
        <v>2296</v>
      </c>
      <c r="M33" s="1666">
        <v>4.7279000000000002E-2</v>
      </c>
      <c r="N33" s="1667">
        <v>1.0094449344871876</v>
      </c>
      <c r="O33" s="1667">
        <v>1.0094449344871876</v>
      </c>
    </row>
    <row r="34" spans="2:15">
      <c r="B34" s="1545">
        <v>33451</v>
      </c>
      <c r="C34" s="1546">
        <v>1.072268E-2</v>
      </c>
      <c r="D34" s="1546">
        <v>0.14780665921940001</v>
      </c>
      <c r="E34" s="1547">
        <v>0</v>
      </c>
      <c r="F34" s="1547">
        <v>1</v>
      </c>
      <c r="K34" s="1664">
        <v>42091</v>
      </c>
      <c r="L34" s="1665"/>
      <c r="M34" s="1666">
        <v>0</v>
      </c>
      <c r="N34" s="1667">
        <v>1.0094449344871876</v>
      </c>
      <c r="O34" s="1667">
        <v>1.0094449344871876</v>
      </c>
    </row>
    <row r="35" spans="2:15">
      <c r="B35" s="1545">
        <v>33482</v>
      </c>
      <c r="C35" s="1546">
        <v>1.232337E-2</v>
      </c>
      <c r="D35" s="1546">
        <v>0.17090995992909999</v>
      </c>
      <c r="E35" s="1547">
        <v>0</v>
      </c>
      <c r="F35" s="1547">
        <v>1</v>
      </c>
      <c r="K35" s="1664">
        <v>42092</v>
      </c>
      <c r="L35" s="1665"/>
      <c r="M35" s="1666">
        <v>0</v>
      </c>
      <c r="N35" s="1667">
        <v>1.0094449344871876</v>
      </c>
      <c r="O35" s="1667">
        <v>1.0094449344871876</v>
      </c>
    </row>
    <row r="36" spans="2:15">
      <c r="B36" s="1545">
        <v>33512</v>
      </c>
      <c r="C36" s="1546">
        <v>1.5112230000000001E-2</v>
      </c>
      <c r="D36" s="1546">
        <v>0.20548432454660001</v>
      </c>
      <c r="E36" s="1547">
        <v>0</v>
      </c>
      <c r="F36" s="1547">
        <v>1</v>
      </c>
      <c r="K36" s="1664">
        <v>42093</v>
      </c>
      <c r="L36" s="1665" t="s">
        <v>2296</v>
      </c>
      <c r="M36" s="1666">
        <v>4.7279000000000002E-2</v>
      </c>
      <c r="N36" s="1667">
        <v>1.0099221899577637</v>
      </c>
      <c r="O36" s="1667">
        <v>1.0099221899577637</v>
      </c>
    </row>
    <row r="37" spans="2:15">
      <c r="B37" s="1545">
        <v>33543</v>
      </c>
      <c r="C37" s="1546">
        <v>1.8984250000000001E-2</v>
      </c>
      <c r="D37" s="1546">
        <v>0.2572875157699</v>
      </c>
      <c r="E37" s="1547">
        <v>0</v>
      </c>
      <c r="F37" s="1547">
        <v>1</v>
      </c>
      <c r="K37" s="1664">
        <v>42094</v>
      </c>
      <c r="L37" s="1665" t="s">
        <v>2296</v>
      </c>
      <c r="M37" s="1666">
        <v>4.7279000000000002E-2</v>
      </c>
      <c r="N37" s="1667">
        <v>1.0103996710699537</v>
      </c>
      <c r="O37" s="1667">
        <v>1.0103996710699537</v>
      </c>
    </row>
    <row r="38" spans="2:15">
      <c r="B38" s="1545">
        <v>33573</v>
      </c>
      <c r="C38" s="1546">
        <v>2.347107E-2</v>
      </c>
      <c r="D38" s="1546">
        <v>0.31828867732630001</v>
      </c>
      <c r="E38" s="1547">
        <v>0</v>
      </c>
      <c r="F38" s="1547">
        <v>1</v>
      </c>
      <c r="K38" s="1664">
        <v>42095</v>
      </c>
      <c r="L38" s="1665" t="s">
        <v>2296</v>
      </c>
      <c r="M38" s="1666">
        <v>4.7279000000000002E-2</v>
      </c>
      <c r="N38" s="1667">
        <v>1.0108773779304387</v>
      </c>
      <c r="O38" s="1667">
        <v>1.0108773779304387</v>
      </c>
    </row>
    <row r="39" spans="2:15">
      <c r="B39" s="1545">
        <v>33604</v>
      </c>
      <c r="C39" s="1546">
        <v>2.9000140000000001E-2</v>
      </c>
      <c r="D39" s="1546">
        <v>0.40085366056990002</v>
      </c>
      <c r="E39" s="1547">
        <v>0</v>
      </c>
      <c r="F39" s="1547">
        <v>1</v>
      </c>
      <c r="K39" s="1664">
        <v>42096</v>
      </c>
      <c r="L39" s="1665" t="s">
        <v>2296</v>
      </c>
      <c r="M39" s="1666">
        <v>4.7279000000000002E-2</v>
      </c>
      <c r="N39" s="1667">
        <v>1.0113553106459503</v>
      </c>
      <c r="O39" s="1667">
        <v>1.0113553106459503</v>
      </c>
    </row>
    <row r="40" spans="2:15">
      <c r="B40" s="1545">
        <v>33635</v>
      </c>
      <c r="C40" s="1546">
        <v>3.7078809999999997E-2</v>
      </c>
      <c r="D40" s="1546">
        <v>0.49834103072840003</v>
      </c>
      <c r="E40" s="1547">
        <v>0</v>
      </c>
      <c r="F40" s="1547">
        <v>1</v>
      </c>
      <c r="K40" s="1664">
        <v>42097</v>
      </c>
      <c r="L40" s="1665"/>
      <c r="M40" s="1666">
        <v>0</v>
      </c>
      <c r="N40" s="1667">
        <v>1.0113553106459503</v>
      </c>
      <c r="O40" s="1667">
        <v>1.0113553106459503</v>
      </c>
    </row>
    <row r="41" spans="2:15">
      <c r="B41" s="1545">
        <v>33664</v>
      </c>
      <c r="C41" s="1546">
        <v>4.501144E-2</v>
      </c>
      <c r="D41" s="1546">
        <v>0.60498746741809994</v>
      </c>
      <c r="E41" s="1547">
        <v>0</v>
      </c>
      <c r="F41" s="1547">
        <v>1</v>
      </c>
      <c r="K41" s="1664">
        <v>42098</v>
      </c>
      <c r="L41" s="1665"/>
      <c r="M41" s="1666">
        <v>0</v>
      </c>
      <c r="N41" s="1667">
        <v>1.0113553106459503</v>
      </c>
      <c r="O41" s="1667">
        <v>1.0113553106459503</v>
      </c>
    </row>
    <row r="42" spans="2:15">
      <c r="B42" s="1545">
        <v>33695</v>
      </c>
      <c r="C42" s="1546">
        <v>5.3986060000000002E-2</v>
      </c>
      <c r="D42" s="1546">
        <v>0.72556146522830001</v>
      </c>
      <c r="E42" s="1547">
        <v>0</v>
      </c>
      <c r="F42" s="1547">
        <v>1</v>
      </c>
      <c r="K42" s="1664">
        <v>42099</v>
      </c>
      <c r="L42" s="1665"/>
      <c r="M42" s="1666">
        <v>0</v>
      </c>
      <c r="N42" s="1667">
        <v>1.0113553106459503</v>
      </c>
      <c r="O42" s="1667">
        <v>1.0113553106459503</v>
      </c>
    </row>
    <row r="43" spans="2:15">
      <c r="B43" s="1545">
        <v>33725</v>
      </c>
      <c r="C43" s="1546">
        <v>6.5012799999999996E-2</v>
      </c>
      <c r="D43" s="1546">
        <v>0.90593616441860003</v>
      </c>
      <c r="E43" s="1547">
        <v>0</v>
      </c>
      <c r="F43" s="1547">
        <v>1</v>
      </c>
      <c r="K43" s="1664">
        <v>42100</v>
      </c>
      <c r="L43" s="1665" t="s">
        <v>2296</v>
      </c>
      <c r="M43" s="1666">
        <v>4.7279000000000002E-2</v>
      </c>
      <c r="N43" s="1667">
        <v>1.0118334693232705</v>
      </c>
      <c r="O43" s="1667">
        <v>1.0118334693232705</v>
      </c>
    </row>
    <row r="44" spans="2:15">
      <c r="B44" s="1545">
        <v>33756</v>
      </c>
      <c r="C44" s="1546">
        <v>8.0361459999999996E-2</v>
      </c>
      <c r="D44" s="1546">
        <v>1.0890285720637001</v>
      </c>
      <c r="E44" s="1547">
        <v>0</v>
      </c>
      <c r="F44" s="1547">
        <v>1</v>
      </c>
      <c r="K44" s="1664">
        <v>42101</v>
      </c>
      <c r="L44" s="1665" t="s">
        <v>2296</v>
      </c>
      <c r="M44" s="1666">
        <v>4.7279000000000002E-2</v>
      </c>
      <c r="N44" s="1667">
        <v>1.0123118540692317</v>
      </c>
      <c r="O44" s="1667">
        <v>1.0123118540692317</v>
      </c>
    </row>
    <row r="45" spans="2:15">
      <c r="B45" s="1545">
        <v>33786</v>
      </c>
      <c r="C45" s="1546">
        <v>9.7908469999999997E-2</v>
      </c>
      <c r="D45" s="1546">
        <v>1.3267641484791</v>
      </c>
      <c r="E45" s="1547">
        <v>0</v>
      </c>
      <c r="F45" s="1547">
        <v>1</v>
      </c>
      <c r="K45" s="1664">
        <v>42102</v>
      </c>
      <c r="L45" s="1665" t="s">
        <v>2296</v>
      </c>
      <c r="M45" s="1666">
        <v>4.7279000000000002E-2</v>
      </c>
      <c r="N45" s="1667">
        <v>1.0127904649907171</v>
      </c>
      <c r="O45" s="1667">
        <v>1.0127904649907171</v>
      </c>
    </row>
    <row r="46" spans="2:15">
      <c r="B46" s="1545">
        <v>33817</v>
      </c>
      <c r="C46" s="1546">
        <v>0.12202180999999999</v>
      </c>
      <c r="D46" s="1546">
        <v>1.6205100844213001</v>
      </c>
      <c r="E46" s="1547">
        <v>0</v>
      </c>
      <c r="F46" s="1547">
        <v>1</v>
      </c>
      <c r="K46" s="1664">
        <v>42103</v>
      </c>
      <c r="L46" s="1665" t="s">
        <v>2296</v>
      </c>
      <c r="M46" s="1666">
        <v>4.7279000000000002E-2</v>
      </c>
      <c r="N46" s="1667">
        <v>1.0132693021946599</v>
      </c>
      <c r="O46" s="1667">
        <v>1.0132693021946599</v>
      </c>
    </row>
    <row r="47" spans="2:15">
      <c r="B47" s="1545">
        <v>33848</v>
      </c>
      <c r="C47" s="1546">
        <v>0.15285811999999999</v>
      </c>
      <c r="D47" s="1546">
        <v>2.0196408623306001</v>
      </c>
      <c r="E47" s="1547">
        <v>0</v>
      </c>
      <c r="F47" s="1547">
        <v>1</v>
      </c>
      <c r="K47" s="1664">
        <v>42104</v>
      </c>
      <c r="L47" s="1665" t="s">
        <v>2296</v>
      </c>
      <c r="M47" s="1666">
        <v>4.7279000000000002E-2</v>
      </c>
      <c r="N47" s="1667">
        <v>1.0137483657880444</v>
      </c>
      <c r="O47" s="1667">
        <v>1.0137483657880444</v>
      </c>
    </row>
    <row r="48" spans="2:15">
      <c r="B48" s="1545">
        <v>33878</v>
      </c>
      <c r="C48" s="1546">
        <v>0.19376498</v>
      </c>
      <c r="D48" s="1546">
        <v>2.5293973801068002</v>
      </c>
      <c r="E48" s="1547">
        <v>0</v>
      </c>
      <c r="F48" s="1547">
        <v>1</v>
      </c>
      <c r="K48" s="1664">
        <v>42105</v>
      </c>
      <c r="L48" s="1665"/>
      <c r="M48" s="1666">
        <v>0</v>
      </c>
      <c r="N48" s="1667">
        <v>1.0137483657880444</v>
      </c>
      <c r="O48" s="1667">
        <v>1.0137483657880444</v>
      </c>
    </row>
    <row r="49" spans="2:15">
      <c r="B49" s="1545">
        <v>33909</v>
      </c>
      <c r="C49" s="1546">
        <v>0.23916162999999999</v>
      </c>
      <c r="D49" s="1546">
        <v>3.0982598885127999</v>
      </c>
      <c r="E49" s="1547">
        <v>0</v>
      </c>
      <c r="F49" s="1547">
        <v>1</v>
      </c>
      <c r="K49" s="1664">
        <v>42106</v>
      </c>
      <c r="L49" s="1665"/>
      <c r="M49" s="1666">
        <v>0</v>
      </c>
      <c r="N49" s="1667">
        <v>1.0137483657880444</v>
      </c>
      <c r="O49" s="1667">
        <v>1.0137483657880444</v>
      </c>
    </row>
    <row r="50" spans="2:15">
      <c r="B50" s="1545">
        <v>33939</v>
      </c>
      <c r="C50" s="1546">
        <v>0.29913278999999998</v>
      </c>
      <c r="D50" s="1546">
        <v>3.8802596550900001</v>
      </c>
      <c r="E50" s="1547">
        <v>0</v>
      </c>
      <c r="F50" s="1547">
        <v>1</v>
      </c>
      <c r="K50" s="1664">
        <v>42107</v>
      </c>
      <c r="L50" s="1665" t="s">
        <v>2296</v>
      </c>
      <c r="M50" s="1666">
        <v>4.7279000000000002E-2</v>
      </c>
      <c r="N50" s="1667">
        <v>1.0142276558779053</v>
      </c>
      <c r="O50" s="1667">
        <v>1.0142276558779053</v>
      </c>
    </row>
    <row r="51" spans="2:15">
      <c r="B51" s="1545">
        <v>33970</v>
      </c>
      <c r="C51" s="1546">
        <v>0.37638683000000001</v>
      </c>
      <c r="D51" s="1546">
        <v>5.0579166458253004</v>
      </c>
      <c r="E51" s="1547">
        <v>0</v>
      </c>
      <c r="F51" s="1547">
        <v>1</v>
      </c>
      <c r="K51" s="1664">
        <v>42108</v>
      </c>
      <c r="L51" s="1665" t="s">
        <v>2296</v>
      </c>
      <c r="M51" s="1666">
        <v>4.7279000000000002E-2</v>
      </c>
      <c r="N51" s="1667">
        <v>1.0147071725713277</v>
      </c>
      <c r="O51" s="1667">
        <v>1.0147071725713277</v>
      </c>
    </row>
    <row r="52" spans="2:15">
      <c r="B52" s="1545">
        <v>34001</v>
      </c>
      <c r="C52" s="1546">
        <v>0.48335073000000001</v>
      </c>
      <c r="D52" s="1546">
        <v>6.3213843084293</v>
      </c>
      <c r="E52" s="1547">
        <v>0</v>
      </c>
      <c r="F52" s="1547">
        <v>1</v>
      </c>
      <c r="K52" s="1664">
        <v>42109</v>
      </c>
      <c r="L52" s="1665" t="s">
        <v>2296</v>
      </c>
      <c r="M52" s="1666">
        <v>4.7279000000000002E-2</v>
      </c>
      <c r="N52" s="1667">
        <v>1.0151869159754476</v>
      </c>
      <c r="O52" s="1667">
        <v>1.0151869159754476</v>
      </c>
    </row>
    <row r="53" spans="2:15">
      <c r="B53" s="1545">
        <v>34029</v>
      </c>
      <c r="C53" s="1546">
        <v>0.61023090000000002</v>
      </c>
      <c r="D53" s="1546">
        <v>8.0445948724788998</v>
      </c>
      <c r="E53" s="1547">
        <v>0</v>
      </c>
      <c r="F53" s="1547">
        <v>1</v>
      </c>
      <c r="K53" s="1664">
        <v>42110</v>
      </c>
      <c r="L53" s="1665" t="s">
        <v>2296</v>
      </c>
      <c r="M53" s="1666">
        <v>4.7279000000000002E-2</v>
      </c>
      <c r="N53" s="1667">
        <v>1.0156668861974516</v>
      </c>
      <c r="O53" s="1667">
        <v>1.0156668861974516</v>
      </c>
    </row>
    <row r="54" spans="2:15">
      <c r="B54" s="1545">
        <v>34060</v>
      </c>
      <c r="C54" s="1546">
        <v>0.78617482000000005</v>
      </c>
      <c r="D54" s="1546">
        <v>10.2769672819025</v>
      </c>
      <c r="E54" s="1547">
        <v>0</v>
      </c>
      <c r="F54" s="1547">
        <v>1</v>
      </c>
      <c r="K54" s="1664">
        <v>42111</v>
      </c>
      <c r="L54" s="1665" t="s">
        <v>2296</v>
      </c>
      <c r="M54" s="1666">
        <v>4.7279000000000002E-2</v>
      </c>
      <c r="N54" s="1667">
        <v>1.0161470833445767</v>
      </c>
      <c r="O54" s="1667">
        <v>1.0161470833445767</v>
      </c>
    </row>
    <row r="55" spans="2:15">
      <c r="B55" s="1545">
        <v>34090</v>
      </c>
      <c r="C55" s="1546">
        <v>1.01968087</v>
      </c>
      <c r="D55" s="1546">
        <v>13.1226581300609</v>
      </c>
      <c r="E55" s="1547">
        <v>0</v>
      </c>
      <c r="F55" s="1547">
        <v>1</v>
      </c>
      <c r="K55" s="1664">
        <v>42112</v>
      </c>
      <c r="L55" s="1665"/>
      <c r="M55" s="1666">
        <v>0</v>
      </c>
      <c r="N55" s="1667">
        <v>1.0161470833445767</v>
      </c>
      <c r="O55" s="1667">
        <v>1.0161470833445767</v>
      </c>
    </row>
    <row r="56" spans="2:15">
      <c r="B56" s="1545">
        <v>34121</v>
      </c>
      <c r="C56" s="1546">
        <v>1.3408208699999999</v>
      </c>
      <c r="D56" s="1546">
        <v>17.068642979808899</v>
      </c>
      <c r="E56" s="1547">
        <v>0</v>
      </c>
      <c r="F56" s="1547">
        <v>1</v>
      </c>
      <c r="K56" s="1664">
        <v>42113</v>
      </c>
      <c r="L56" s="1665"/>
      <c r="M56" s="1666">
        <v>0</v>
      </c>
      <c r="N56" s="1667">
        <v>1.0161470833445767</v>
      </c>
      <c r="O56" s="1667">
        <v>1.0161470833445767</v>
      </c>
    </row>
    <row r="57" spans="2:15">
      <c r="B57" s="1545">
        <v>34151</v>
      </c>
      <c r="C57" s="1546">
        <v>1.75984608</v>
      </c>
      <c r="D57" s="1546">
        <v>22.312130761236201</v>
      </c>
      <c r="E57" s="1547">
        <v>0</v>
      </c>
      <c r="F57" s="1547">
        <v>1</v>
      </c>
      <c r="K57" s="1664">
        <v>42114</v>
      </c>
      <c r="L57" s="1665" t="s">
        <v>2296</v>
      </c>
      <c r="M57" s="1666">
        <v>4.7279000000000002E-2</v>
      </c>
      <c r="N57" s="1667">
        <v>1.0166275075241111</v>
      </c>
      <c r="O57" s="1667">
        <v>1.0166275075241111</v>
      </c>
    </row>
    <row r="58" spans="2:15">
      <c r="B58" s="1545">
        <v>34182</v>
      </c>
      <c r="C58" s="1546">
        <v>2.31923637</v>
      </c>
      <c r="D58" s="1546">
        <v>29.666210936414501</v>
      </c>
      <c r="E58" s="1547">
        <v>0</v>
      </c>
      <c r="F58" s="1547">
        <v>1</v>
      </c>
      <c r="K58" s="1664">
        <v>42115</v>
      </c>
      <c r="L58" s="1665"/>
      <c r="M58" s="1666">
        <v>0</v>
      </c>
      <c r="N58" s="1667">
        <v>1.0166275075241111</v>
      </c>
      <c r="O58" s="1667">
        <v>1.0166275075241111</v>
      </c>
    </row>
    <row r="59" spans="2:15">
      <c r="B59" s="1545">
        <v>34213</v>
      </c>
      <c r="C59" s="1546">
        <v>3.1375231000000001</v>
      </c>
      <c r="D59" s="1546">
        <v>40.254080730946797</v>
      </c>
      <c r="E59" s="1547">
        <v>0</v>
      </c>
      <c r="F59" s="1547">
        <v>1</v>
      </c>
      <c r="K59" s="1664">
        <v>42116</v>
      </c>
      <c r="L59" s="1665" t="s">
        <v>2296</v>
      </c>
      <c r="M59" s="1666">
        <v>4.7279000000000002E-2</v>
      </c>
      <c r="N59" s="1667">
        <v>1.0171081588433935</v>
      </c>
      <c r="O59" s="1667">
        <v>1.0171081588433935</v>
      </c>
    </row>
    <row r="60" spans="2:15">
      <c r="B60" s="1545">
        <v>34243</v>
      </c>
      <c r="C60" s="1546">
        <v>4.2367972299999996</v>
      </c>
      <c r="D60" s="1546">
        <v>53.908264834853298</v>
      </c>
      <c r="E60" s="1547">
        <v>0</v>
      </c>
      <c r="F60" s="1547">
        <v>1</v>
      </c>
      <c r="K60" s="1664">
        <v>42117</v>
      </c>
      <c r="L60" s="1665" t="s">
        <v>2296</v>
      </c>
      <c r="M60" s="1666">
        <v>4.7279000000000002E-2</v>
      </c>
      <c r="N60" s="1667">
        <v>1.0175890374098129</v>
      </c>
      <c r="O60" s="1667">
        <v>1.0175890374098129</v>
      </c>
    </row>
    <row r="61" spans="2:15">
      <c r="B61" s="1545">
        <v>34274</v>
      </c>
      <c r="C61" s="1546">
        <v>5.7685216500000003</v>
      </c>
      <c r="D61" s="1546">
        <v>73.078046584524003</v>
      </c>
      <c r="E61" s="1547">
        <v>0</v>
      </c>
      <c r="F61" s="1547">
        <v>1</v>
      </c>
      <c r="K61" s="1664">
        <v>42118</v>
      </c>
      <c r="L61" s="1665" t="s">
        <v>2296</v>
      </c>
      <c r="M61" s="1666">
        <v>4.7279000000000002E-2</v>
      </c>
      <c r="N61" s="1667">
        <v>1.0180701433308097</v>
      </c>
      <c r="O61" s="1667">
        <v>1.0180701433308097</v>
      </c>
    </row>
    <row r="62" spans="2:15">
      <c r="B62" s="1545">
        <v>34304</v>
      </c>
      <c r="C62" s="1546">
        <v>7.9792505900000004</v>
      </c>
      <c r="D62" s="1546">
        <v>100</v>
      </c>
      <c r="E62" s="1547">
        <v>0</v>
      </c>
      <c r="F62" s="1547">
        <v>1</v>
      </c>
      <c r="K62" s="1664">
        <v>42119</v>
      </c>
      <c r="L62" s="1665"/>
      <c r="M62" s="1666">
        <v>0</v>
      </c>
      <c r="N62" s="1667">
        <v>1.0180701433308097</v>
      </c>
      <c r="O62" s="1667">
        <v>1.0180701433308097</v>
      </c>
    </row>
    <row r="63" spans="2:15">
      <c r="B63" s="1545">
        <v>34335</v>
      </c>
      <c r="C63" s="1546">
        <v>11.0967647</v>
      </c>
      <c r="D63" s="1546">
        <v>141.31</v>
      </c>
      <c r="E63" s="1547">
        <v>0</v>
      </c>
      <c r="F63" s="1547">
        <v>1</v>
      </c>
      <c r="K63" s="1664">
        <v>42120</v>
      </c>
      <c r="L63" s="1665"/>
      <c r="M63" s="1666">
        <v>0</v>
      </c>
      <c r="N63" s="1667">
        <v>1.0180701433308097</v>
      </c>
      <c r="O63" s="1667">
        <v>1.0180701433308097</v>
      </c>
    </row>
    <row r="64" spans="2:15">
      <c r="B64" s="1545">
        <v>34366</v>
      </c>
      <c r="C64" s="1546">
        <v>15.62186911</v>
      </c>
      <c r="D64" s="1546">
        <v>198.22</v>
      </c>
      <c r="E64" s="1547">
        <v>0</v>
      </c>
      <c r="F64" s="1547">
        <v>1</v>
      </c>
      <c r="K64" s="1664">
        <v>42121</v>
      </c>
      <c r="L64" s="1665" t="s">
        <v>2296</v>
      </c>
      <c r="M64" s="1666">
        <v>4.7314000000000002E-2</v>
      </c>
      <c r="N64" s="1667">
        <v>1.0185518330384251</v>
      </c>
      <c r="O64" s="1667">
        <v>1.0185518330384251</v>
      </c>
    </row>
    <row r="65" spans="2:15">
      <c r="B65" s="1545">
        <v>34394</v>
      </c>
      <c r="C65" s="1546">
        <v>22.762782099999999</v>
      </c>
      <c r="D65" s="1546">
        <v>282.95999999999998</v>
      </c>
      <c r="E65" s="1547">
        <v>0</v>
      </c>
      <c r="F65" s="1547">
        <v>1</v>
      </c>
      <c r="K65" s="1664">
        <v>42122</v>
      </c>
      <c r="L65" s="1665" t="s">
        <v>2296</v>
      </c>
      <c r="M65" s="1666">
        <v>4.7350000000000003E-2</v>
      </c>
      <c r="N65" s="1667">
        <v>1.0190341173313688</v>
      </c>
      <c r="O65" s="1667">
        <v>1.0190341173313688</v>
      </c>
    </row>
    <row r="66" spans="2:15">
      <c r="B66" s="1545">
        <v>34425</v>
      </c>
      <c r="C66" s="1546">
        <v>32.074938510000003</v>
      </c>
      <c r="D66" s="1546">
        <v>403.73</v>
      </c>
      <c r="E66" s="1547">
        <v>0</v>
      </c>
      <c r="F66" s="1547">
        <v>1</v>
      </c>
      <c r="K66" s="1664">
        <v>42123</v>
      </c>
      <c r="L66" s="1665" t="s">
        <v>2296</v>
      </c>
      <c r="M66" s="1666">
        <v>4.7350000000000003E-2</v>
      </c>
      <c r="N66" s="1667">
        <v>1.0195166299859253</v>
      </c>
      <c r="O66" s="1667">
        <v>1.0195166299859253</v>
      </c>
    </row>
    <row r="67" spans="2:15">
      <c r="B67" s="1545">
        <v>34455</v>
      </c>
      <c r="C67" s="1546">
        <v>45.731576959999998</v>
      </c>
      <c r="D67" s="1546">
        <v>581.49</v>
      </c>
      <c r="E67" s="1547">
        <v>0</v>
      </c>
      <c r="F67" s="1547">
        <v>1</v>
      </c>
      <c r="K67" s="1664">
        <v>42124</v>
      </c>
      <c r="L67" s="1665" t="s">
        <v>2296</v>
      </c>
      <c r="M67" s="1666">
        <v>4.9036999999999997E-2</v>
      </c>
      <c r="N67" s="1667">
        <v>1.0200165703557715</v>
      </c>
      <c r="O67" s="1667">
        <v>1.0200165703557715</v>
      </c>
    </row>
    <row r="68" spans="2:15">
      <c r="B68" s="1545">
        <v>34486</v>
      </c>
      <c r="C68" s="1546">
        <v>66.408212939999999</v>
      </c>
      <c r="D68" s="1546">
        <v>857.29</v>
      </c>
      <c r="E68" s="1547">
        <v>0</v>
      </c>
      <c r="F68" s="1547">
        <v>1</v>
      </c>
      <c r="K68" s="1664">
        <v>42125</v>
      </c>
      <c r="L68" s="1665"/>
      <c r="M68" s="1666">
        <v>0</v>
      </c>
      <c r="N68" s="1667">
        <v>1.0200165703557715</v>
      </c>
      <c r="O68" s="1667">
        <v>1.0200165703557715</v>
      </c>
    </row>
    <row r="69" spans="2:15">
      <c r="B69" s="1545">
        <v>34516</v>
      </c>
      <c r="C69" s="1546">
        <v>92.968426030000003</v>
      </c>
      <c r="D69" s="1546">
        <v>915.93</v>
      </c>
      <c r="E69" s="1547">
        <v>0</v>
      </c>
      <c r="F69" s="1547">
        <v>1</v>
      </c>
      <c r="K69" s="1664">
        <v>42126</v>
      </c>
      <c r="L69" s="1665"/>
      <c r="M69" s="1666">
        <v>0</v>
      </c>
      <c r="N69" s="1667">
        <v>1.0200165703557715</v>
      </c>
      <c r="O69" s="1667">
        <v>1.0200165703557715</v>
      </c>
    </row>
    <row r="70" spans="2:15">
      <c r="B70" s="1545">
        <v>34547</v>
      </c>
      <c r="C70" s="1546">
        <v>100</v>
      </c>
      <c r="D70" s="1546">
        <v>932.97</v>
      </c>
      <c r="E70" s="1547">
        <v>1.0417031360600404</v>
      </c>
      <c r="F70" s="1547">
        <v>1.0417031360600404</v>
      </c>
      <c r="K70" s="1664">
        <v>42127</v>
      </c>
      <c r="L70" s="1665"/>
      <c r="M70" s="1666">
        <v>0</v>
      </c>
      <c r="N70" s="1667">
        <v>1.0200165703557715</v>
      </c>
      <c r="O70" s="1667">
        <v>1.0200165703557715</v>
      </c>
    </row>
    <row r="71" spans="2:15">
      <c r="B71" s="1545">
        <v>34578</v>
      </c>
      <c r="C71" s="1546">
        <v>101.751</v>
      </c>
      <c r="D71" s="1546">
        <v>947.24</v>
      </c>
      <c r="E71" s="1547">
        <v>1.040191380612066</v>
      </c>
      <c r="F71" s="1547">
        <v>1.0835706232862121</v>
      </c>
      <c r="K71" s="1664">
        <v>42128</v>
      </c>
      <c r="L71" s="1665" t="s">
        <v>2296</v>
      </c>
      <c r="M71" s="1666">
        <v>4.9036999999999997E-2</v>
      </c>
      <c r="N71" s="1667">
        <v>1.020516755881377</v>
      </c>
      <c r="O71" s="1667">
        <v>1.020516755881377</v>
      </c>
    </row>
    <row r="72" spans="2:15">
      <c r="B72" s="1545">
        <v>34608</v>
      </c>
      <c r="C72" s="1546">
        <v>103.602</v>
      </c>
      <c r="D72" s="1546">
        <v>972.06</v>
      </c>
      <c r="E72" s="1547">
        <v>1.0400235119965635</v>
      </c>
      <c r="F72" s="1547">
        <v>1.1269389251264317</v>
      </c>
      <c r="K72" s="1664">
        <v>42129</v>
      </c>
      <c r="L72" s="1665" t="s">
        <v>2296</v>
      </c>
      <c r="M72" s="1666">
        <v>4.9036999999999997E-2</v>
      </c>
      <c r="N72" s="1667">
        <v>1.0210171866829587</v>
      </c>
      <c r="O72" s="1667">
        <v>1.0210171866829587</v>
      </c>
    </row>
    <row r="73" spans="2:15">
      <c r="B73" s="1545">
        <v>34639</v>
      </c>
      <c r="C73" s="1546">
        <v>106.553</v>
      </c>
      <c r="D73" s="1546">
        <v>999.37</v>
      </c>
      <c r="E73" s="1547">
        <v>1.0448704061969656</v>
      </c>
      <c r="F73" s="1547">
        <v>1.1775051324560264</v>
      </c>
      <c r="K73" s="1664">
        <v>42130</v>
      </c>
      <c r="L73" s="1665" t="s">
        <v>2296</v>
      </c>
      <c r="M73" s="1666">
        <v>4.9036999999999997E-2</v>
      </c>
      <c r="N73" s="1667">
        <v>1.0215178628807926</v>
      </c>
      <c r="O73" s="1667">
        <v>1.0215178628807926</v>
      </c>
    </row>
    <row r="74" spans="2:15">
      <c r="B74" s="1545">
        <v>34669</v>
      </c>
      <c r="C74" s="1546">
        <v>107.45</v>
      </c>
      <c r="D74" s="1546">
        <v>1016.46</v>
      </c>
      <c r="E74" s="1547">
        <v>1.0379749903132509</v>
      </c>
      <c r="F74" s="1547">
        <v>1.2222208784548472</v>
      </c>
      <c r="K74" s="1664">
        <v>42131</v>
      </c>
      <c r="L74" s="1665" t="s">
        <v>2296</v>
      </c>
      <c r="M74" s="1666">
        <v>4.9036999999999997E-2</v>
      </c>
      <c r="N74" s="1667">
        <v>1.0220187845952136</v>
      </c>
      <c r="O74" s="1667">
        <v>1.0220187845952136</v>
      </c>
    </row>
    <row r="75" spans="2:15">
      <c r="B75" s="1545">
        <v>34700</v>
      </c>
      <c r="C75" s="1546">
        <v>108.44199999999999</v>
      </c>
      <c r="D75" s="1546">
        <v>1033.74</v>
      </c>
      <c r="E75" s="1547">
        <v>1.033745155557255</v>
      </c>
      <c r="F75" s="1547">
        <v>1.2634649121236308</v>
      </c>
      <c r="K75" s="1664">
        <v>42132</v>
      </c>
      <c r="L75" s="1665" t="s">
        <v>2296</v>
      </c>
      <c r="M75" s="1666">
        <v>4.9036999999999997E-2</v>
      </c>
      <c r="N75" s="1667">
        <v>1.0225199519466155</v>
      </c>
      <c r="O75" s="1667">
        <v>1.0225199519466155</v>
      </c>
    </row>
    <row r="76" spans="2:15">
      <c r="B76" s="1545">
        <v>34731</v>
      </c>
      <c r="C76" s="1546">
        <v>109.9455</v>
      </c>
      <c r="D76" s="1546">
        <v>1044.28</v>
      </c>
      <c r="E76" s="1547">
        <v>1.0361946548110796</v>
      </c>
      <c r="F76" s="1547">
        <v>1.3091955884838566</v>
      </c>
      <c r="K76" s="1664">
        <v>42133</v>
      </c>
      <c r="L76" s="1665"/>
      <c r="M76" s="1666">
        <v>0</v>
      </c>
      <c r="N76" s="1667">
        <v>1.0225199519466155</v>
      </c>
      <c r="O76" s="1667">
        <v>1.0225199519466155</v>
      </c>
    </row>
    <row r="77" spans="2:15">
      <c r="B77" s="1545">
        <v>34759</v>
      </c>
      <c r="C77" s="1546">
        <v>111.178</v>
      </c>
      <c r="D77" s="1546">
        <v>1060.47</v>
      </c>
      <c r="E77" s="1547">
        <v>1.0426211014987152</v>
      </c>
      <c r="F77" s="1547">
        <v>1.3649949465422972</v>
      </c>
      <c r="K77" s="1664">
        <v>42134</v>
      </c>
      <c r="L77" s="1665"/>
      <c r="M77" s="1666">
        <v>0</v>
      </c>
      <c r="N77" s="1667">
        <v>1.0225199519466155</v>
      </c>
      <c r="O77" s="1667">
        <v>1.0225199519466155</v>
      </c>
    </row>
    <row r="78" spans="2:15">
      <c r="B78" s="1545">
        <v>34790</v>
      </c>
      <c r="C78" s="1546">
        <v>113.518</v>
      </c>
      <c r="D78" s="1546">
        <v>1086.24</v>
      </c>
      <c r="E78" s="1547">
        <v>1.0502446731743562</v>
      </c>
      <c r="F78" s="1547">
        <v>1.4335786715159629</v>
      </c>
      <c r="K78" s="1664">
        <v>42135</v>
      </c>
      <c r="L78" s="1665" t="s">
        <v>2296</v>
      </c>
      <c r="M78" s="1666">
        <v>4.9036999999999997E-2</v>
      </c>
      <c r="N78" s="1667">
        <v>1.0230213650554516</v>
      </c>
      <c r="O78" s="1667">
        <v>1.0230213650554516</v>
      </c>
    </row>
    <row r="79" spans="2:15">
      <c r="B79" s="1545">
        <v>34820</v>
      </c>
      <c r="C79" s="1546">
        <v>114.17100000000001</v>
      </c>
      <c r="D79" s="1546">
        <v>1115.24</v>
      </c>
      <c r="E79" s="1547">
        <v>1.0450356278102417</v>
      </c>
      <c r="F79" s="1547">
        <v>1.4981407870030565</v>
      </c>
      <c r="K79" s="1664">
        <v>42136</v>
      </c>
      <c r="L79" s="1665" t="s">
        <v>2296</v>
      </c>
      <c r="M79" s="1666">
        <v>4.9036999999999997E-2</v>
      </c>
      <c r="N79" s="1667">
        <v>1.0235230240422339</v>
      </c>
      <c r="O79" s="1667">
        <v>1.0235230240422339</v>
      </c>
    </row>
    <row r="80" spans="2:15">
      <c r="B80" s="1545">
        <v>34851</v>
      </c>
      <c r="C80" s="1546">
        <v>116.98399999999999</v>
      </c>
      <c r="D80" s="1546">
        <v>1140.44</v>
      </c>
      <c r="E80" s="1547">
        <v>1.0423602226147934</v>
      </c>
      <c r="F80" s="1547">
        <v>1.5616023642488079</v>
      </c>
      <c r="K80" s="1664">
        <v>42137</v>
      </c>
      <c r="L80" s="1665" t="s">
        <v>2296</v>
      </c>
      <c r="M80" s="1666">
        <v>4.9036999999999997E-2</v>
      </c>
      <c r="N80" s="1667">
        <v>1.0240249290275336</v>
      </c>
      <c r="O80" s="1667">
        <v>1.0240249290275336</v>
      </c>
    </row>
    <row r="81" spans="2:15">
      <c r="B81" s="1545">
        <v>34881</v>
      </c>
      <c r="C81" s="1546">
        <v>119.114</v>
      </c>
      <c r="D81" s="1546">
        <v>1167.3499999999999</v>
      </c>
      <c r="E81" s="1547">
        <v>1.0402311780170954</v>
      </c>
      <c r="F81" s="1547">
        <v>1.6244274669568188</v>
      </c>
      <c r="K81" s="1664">
        <v>42138</v>
      </c>
      <c r="L81" s="1665" t="s">
        <v>2296</v>
      </c>
      <c r="M81" s="1666">
        <v>4.9036999999999997E-2</v>
      </c>
      <c r="N81" s="1667">
        <v>1.024527080131981</v>
      </c>
      <c r="O81" s="1667">
        <v>1.024527080131981</v>
      </c>
    </row>
    <row r="82" spans="2:15">
      <c r="B82" s="1545">
        <v>34912</v>
      </c>
      <c r="C82" s="1546">
        <v>121.729</v>
      </c>
      <c r="D82" s="1546">
        <v>1178.9100000000001</v>
      </c>
      <c r="E82" s="1546">
        <v>1.0383979241220025</v>
      </c>
      <c r="F82" s="1546">
        <v>1.6868021095747234</v>
      </c>
      <c r="G82" s="7">
        <v>41036.512291666666</v>
      </c>
      <c r="K82" s="1664">
        <v>42139</v>
      </c>
      <c r="L82" s="1665" t="s">
        <v>2296</v>
      </c>
      <c r="M82" s="1666">
        <v>4.9036999999999997E-2</v>
      </c>
      <c r="N82" s="1667">
        <v>1.0250294774762654</v>
      </c>
      <c r="O82" s="1667">
        <v>1.0250294774762654</v>
      </c>
    </row>
    <row r="83" spans="2:15">
      <c r="B83" s="1545">
        <v>34943</v>
      </c>
      <c r="C83" s="1546">
        <v>120.869</v>
      </c>
      <c r="D83" s="1546">
        <v>1190.58</v>
      </c>
      <c r="E83" s="1546">
        <v>1.0349384575781275</v>
      </c>
      <c r="F83" s="1546">
        <v>1.745736373522796</v>
      </c>
      <c r="K83" s="1664">
        <v>42140</v>
      </c>
      <c r="L83" s="1665"/>
      <c r="M83" s="1666">
        <v>0</v>
      </c>
      <c r="N83" s="1667">
        <v>1.0250294774762654</v>
      </c>
      <c r="O83" s="1667">
        <v>1.0250294774762654</v>
      </c>
    </row>
    <row r="84" spans="2:15">
      <c r="B84" s="1545">
        <v>34973</v>
      </c>
      <c r="C84" s="1546">
        <v>121.503</v>
      </c>
      <c r="D84" s="1546">
        <v>1207.3699999999999</v>
      </c>
      <c r="E84" s="1546">
        <v>1.0324041438440343</v>
      </c>
      <c r="F84" s="1546">
        <v>1.8023054660841915</v>
      </c>
      <c r="K84" s="1664">
        <v>42141</v>
      </c>
      <c r="L84" s="1665"/>
      <c r="M84" s="1666">
        <v>0</v>
      </c>
      <c r="N84" s="1667">
        <v>1.0250294774762654</v>
      </c>
      <c r="O84" s="1667">
        <v>1.0250294774762654</v>
      </c>
    </row>
    <row r="85" spans="2:15">
      <c r="B85" s="1545">
        <v>35004</v>
      </c>
      <c r="C85" s="1546">
        <v>122.955</v>
      </c>
      <c r="D85" s="1546">
        <v>1225.1199999999999</v>
      </c>
      <c r="E85" s="1546">
        <v>1.0316999077357936</v>
      </c>
      <c r="F85" s="1546">
        <v>1.8594383830707768</v>
      </c>
      <c r="K85" s="1664">
        <v>42142</v>
      </c>
      <c r="L85" s="1665" t="s">
        <v>2296</v>
      </c>
      <c r="M85" s="1666">
        <v>4.9036999999999997E-2</v>
      </c>
      <c r="N85" s="1667">
        <v>1.0255321211811355</v>
      </c>
      <c r="O85" s="1667">
        <v>1.0255321211811355</v>
      </c>
    </row>
    <row r="86" spans="2:15">
      <c r="B86" s="1545">
        <v>35034</v>
      </c>
      <c r="C86" s="1546">
        <v>123.833</v>
      </c>
      <c r="D86" s="1546">
        <v>1244.23</v>
      </c>
      <c r="E86" s="1546">
        <v>1.0292086837764389</v>
      </c>
      <c r="F86" s="1546">
        <v>1.913750130803664</v>
      </c>
      <c r="K86" s="1664">
        <v>42143</v>
      </c>
      <c r="L86" s="1665" t="s">
        <v>2296</v>
      </c>
      <c r="M86" s="1666">
        <v>4.9036999999999997E-2</v>
      </c>
      <c r="N86" s="1667">
        <v>1.0260350113673991</v>
      </c>
      <c r="O86" s="1667">
        <v>1.0260350113673991</v>
      </c>
    </row>
    <row r="87" spans="2:15">
      <c r="B87" s="1545">
        <v>35065</v>
      </c>
      <c r="C87" s="1546">
        <v>125.977</v>
      </c>
      <c r="D87" s="1546">
        <v>1260.9000000000001</v>
      </c>
      <c r="E87" s="1546">
        <v>1.0271429062533448</v>
      </c>
      <c r="F87" s="1546">
        <v>1.9656948711963942</v>
      </c>
      <c r="K87" s="1664">
        <v>42144</v>
      </c>
      <c r="L87" s="1665" t="s">
        <v>2296</v>
      </c>
      <c r="M87" s="1666">
        <v>4.9036999999999997E-2</v>
      </c>
      <c r="N87" s="1667">
        <v>1.0265381481559233</v>
      </c>
      <c r="O87" s="1667">
        <v>1.0265381481559233</v>
      </c>
    </row>
    <row r="88" spans="2:15">
      <c r="B88" s="1545">
        <v>35096</v>
      </c>
      <c r="C88" s="1546">
        <v>127.202</v>
      </c>
      <c r="D88" s="1546">
        <v>1273.8900000000001</v>
      </c>
      <c r="E88" s="1546">
        <v>1.026088709032714</v>
      </c>
      <c r="F88" s="1546">
        <v>2.0169773127381352</v>
      </c>
      <c r="K88" s="1664">
        <v>42145</v>
      </c>
      <c r="L88" s="1665" t="s">
        <v>2296</v>
      </c>
      <c r="M88" s="1666">
        <v>4.9036999999999997E-2</v>
      </c>
      <c r="N88" s="1667">
        <v>1.0270415316676345</v>
      </c>
      <c r="O88" s="1667">
        <v>1.0270415316676345</v>
      </c>
    </row>
    <row r="89" spans="2:15">
      <c r="B89" s="1545">
        <v>35125</v>
      </c>
      <c r="C89" s="1546">
        <v>127.715</v>
      </c>
      <c r="D89" s="1546">
        <v>1278.3499999999999</v>
      </c>
      <c r="E89" s="1546">
        <v>1.0222082178682002</v>
      </c>
      <c r="F89" s="1546">
        <v>2.0617707843346404</v>
      </c>
      <c r="K89" s="1664">
        <v>42146</v>
      </c>
      <c r="L89" s="1665" t="s">
        <v>2296</v>
      </c>
      <c r="M89" s="1666">
        <v>4.9036999999999997E-2</v>
      </c>
      <c r="N89" s="1667">
        <v>1.0275451620235183</v>
      </c>
      <c r="O89" s="1667">
        <v>1.0275451620235183</v>
      </c>
    </row>
    <row r="90" spans="2:15">
      <c r="B90" s="1545">
        <v>35156</v>
      </c>
      <c r="C90" s="1546">
        <v>128.13</v>
      </c>
      <c r="D90" s="1546">
        <v>1294.46</v>
      </c>
      <c r="E90" s="1546">
        <v>1.0227569082086725</v>
      </c>
      <c r="F90" s="1546">
        <v>2.1086903128210666</v>
      </c>
      <c r="K90" s="1664">
        <v>42147</v>
      </c>
      <c r="L90" s="1665"/>
      <c r="M90" s="1666">
        <v>0</v>
      </c>
      <c r="N90" s="1667">
        <v>1.0275451620235183</v>
      </c>
      <c r="O90" s="1667">
        <v>1.0275451620235183</v>
      </c>
    </row>
    <row r="91" spans="2:15">
      <c r="B91" s="1545">
        <v>35186</v>
      </c>
      <c r="C91" s="1546">
        <v>130.12100000000001</v>
      </c>
      <c r="D91" s="1546">
        <v>1310.25</v>
      </c>
      <c r="E91" s="1546">
        <v>1.0210626514511167</v>
      </c>
      <c r="F91" s="1546">
        <v>2.1531049218983629</v>
      </c>
      <c r="K91" s="1664">
        <v>42148</v>
      </c>
      <c r="L91" s="1665"/>
      <c r="M91" s="1666">
        <v>0</v>
      </c>
      <c r="N91" s="1667">
        <v>1.0275451620235183</v>
      </c>
      <c r="O91" s="1667">
        <v>1.0275451620235183</v>
      </c>
    </row>
    <row r="92" spans="2:15">
      <c r="B92" s="1545">
        <v>35217</v>
      </c>
      <c r="C92" s="1546">
        <v>131.44499999999999</v>
      </c>
      <c r="D92" s="1546">
        <v>1325.84</v>
      </c>
      <c r="E92" s="1546">
        <v>1.020826552130859</v>
      </c>
      <c r="F92" s="1546">
        <v>2.1979466737974884</v>
      </c>
      <c r="K92" s="1664">
        <v>42149</v>
      </c>
      <c r="L92" s="1665" t="s">
        <v>2296</v>
      </c>
      <c r="M92" s="1666">
        <v>4.9036999999999997E-2</v>
      </c>
      <c r="N92" s="1667">
        <v>1.0280490393446198</v>
      </c>
      <c r="O92" s="1667">
        <v>1.0280490393446198</v>
      </c>
    </row>
    <row r="93" spans="2:15">
      <c r="B93" s="1545">
        <v>35247</v>
      </c>
      <c r="C93" s="1546">
        <v>133.21299999999999</v>
      </c>
      <c r="D93" s="1546">
        <v>1340.56</v>
      </c>
      <c r="E93" s="1546">
        <v>1.0192856968560815</v>
      </c>
      <c r="F93" s="1546">
        <v>2.2403356070541793</v>
      </c>
      <c r="K93" s="1664">
        <v>42150</v>
      </c>
      <c r="L93" s="1665" t="s">
        <v>2296</v>
      </c>
      <c r="M93" s="1666">
        <v>4.9036999999999997E-2</v>
      </c>
      <c r="N93" s="1667">
        <v>1.0285531637520433</v>
      </c>
      <c r="O93" s="1667">
        <v>1.0285531637520433</v>
      </c>
    </row>
    <row r="94" spans="2:15">
      <c r="B94" s="1545">
        <v>35278</v>
      </c>
      <c r="C94" s="1546">
        <v>133.58699999999999</v>
      </c>
      <c r="D94" s="1546">
        <v>1346.46</v>
      </c>
      <c r="E94" s="1546">
        <v>1.0196791435025818</v>
      </c>
      <c r="F94" s="1546">
        <v>2.2844234929593421</v>
      </c>
      <c r="K94" s="1664">
        <v>42151</v>
      </c>
      <c r="L94" s="1665" t="s">
        <v>2296</v>
      </c>
      <c r="M94" s="1666">
        <v>4.9036999999999997E-2</v>
      </c>
      <c r="N94" s="1667">
        <v>1.0290575353669524</v>
      </c>
      <c r="O94" s="1667">
        <v>1.0290575353669524</v>
      </c>
    </row>
    <row r="95" spans="2:15">
      <c r="B95" s="1545">
        <v>35309</v>
      </c>
      <c r="C95" s="1546">
        <v>133.72200000000001</v>
      </c>
      <c r="D95" s="1546">
        <v>1348.48</v>
      </c>
      <c r="E95" s="1546">
        <v>1.0190405257020327</v>
      </c>
      <c r="F95" s="1546">
        <v>2.3279201171913617</v>
      </c>
      <c r="K95" s="1664">
        <v>42152</v>
      </c>
      <c r="L95" s="1665" t="s">
        <v>2296</v>
      </c>
      <c r="M95" s="1666">
        <v>4.9036999999999997E-2</v>
      </c>
      <c r="N95" s="1667">
        <v>1.0295621543105704</v>
      </c>
      <c r="O95" s="1667">
        <v>1.0295621543105704</v>
      </c>
    </row>
    <row r="96" spans="2:15">
      <c r="B96" s="1545">
        <v>35339</v>
      </c>
      <c r="C96" s="1546">
        <v>133.97800000000001</v>
      </c>
      <c r="D96" s="1546">
        <v>1352.53</v>
      </c>
      <c r="E96" s="1546">
        <v>1.0194350405573067</v>
      </c>
      <c r="F96" s="1546">
        <v>2.3731633390831459</v>
      </c>
      <c r="K96" s="1664">
        <v>42153</v>
      </c>
      <c r="L96" s="1665" t="s">
        <v>2296</v>
      </c>
      <c r="M96" s="1666">
        <v>4.9036999999999997E-2</v>
      </c>
      <c r="N96" s="1667">
        <v>1.0300670207041798</v>
      </c>
      <c r="O96" s="1667">
        <v>1.0300670207041798</v>
      </c>
    </row>
    <row r="97" spans="2:15">
      <c r="B97" s="1545">
        <v>35370</v>
      </c>
      <c r="C97" s="1546">
        <v>134.24199999999999</v>
      </c>
      <c r="D97" s="1546">
        <v>1356.86</v>
      </c>
      <c r="E97" s="1546">
        <v>1.018952291397875</v>
      </c>
      <c r="F97" s="1546">
        <v>2.4181402222202037</v>
      </c>
      <c r="K97" s="1664">
        <v>42154</v>
      </c>
      <c r="L97" s="1665"/>
      <c r="M97" s="1666">
        <v>0</v>
      </c>
      <c r="N97" s="1667">
        <v>1.0300670207041798</v>
      </c>
      <c r="O97" s="1667">
        <v>1.0300670207041798</v>
      </c>
    </row>
    <row r="98" spans="2:15">
      <c r="B98" s="1545">
        <v>35400</v>
      </c>
      <c r="C98" s="1546">
        <v>135.22499999999999</v>
      </c>
      <c r="D98" s="1546">
        <v>1363.24</v>
      </c>
      <c r="E98" s="1546">
        <v>1.0189221360623306</v>
      </c>
      <c r="F98" s="1546">
        <v>2.4638966005228489</v>
      </c>
      <c r="K98" s="1664">
        <v>42155</v>
      </c>
      <c r="L98" s="1665"/>
      <c r="M98" s="1666">
        <v>0</v>
      </c>
      <c r="N98" s="1667">
        <v>1.0300670207041798</v>
      </c>
      <c r="O98" s="1667">
        <v>1.0300670207041798</v>
      </c>
    </row>
    <row r="99" spans="2:15">
      <c r="B99" s="1545">
        <v>35431</v>
      </c>
      <c r="C99" s="1546">
        <v>137.613</v>
      </c>
      <c r="D99" s="1546">
        <v>1379.33</v>
      </c>
      <c r="E99" s="1546">
        <v>1.0182168360386268</v>
      </c>
      <c r="F99" s="1546">
        <v>2.5087810009107034</v>
      </c>
      <c r="K99" s="1664">
        <v>42156</v>
      </c>
      <c r="L99" s="1665" t="s">
        <v>2296</v>
      </c>
      <c r="M99" s="1666">
        <v>4.9036999999999997E-2</v>
      </c>
      <c r="N99" s="1667">
        <v>1.0305721346691226</v>
      </c>
      <c r="O99" s="1667">
        <v>1.0305721346691226</v>
      </c>
    </row>
    <row r="100" spans="2:15">
      <c r="B100" s="1545">
        <v>35462</v>
      </c>
      <c r="C100" s="1546">
        <v>138.20400000000001</v>
      </c>
      <c r="D100" s="1546">
        <v>1386.23</v>
      </c>
      <c r="E100" s="1546">
        <v>1.018615977536991</v>
      </c>
      <c r="F100" s="1546">
        <v>2.5554844116688868</v>
      </c>
      <c r="K100" s="1664">
        <v>42157</v>
      </c>
      <c r="L100" s="1665" t="s">
        <v>2296</v>
      </c>
      <c r="M100" s="1666">
        <v>4.9036999999999997E-2</v>
      </c>
      <c r="N100" s="1667">
        <v>1.0310774963268003</v>
      </c>
      <c r="O100" s="1667">
        <v>1.0310774963268003</v>
      </c>
    </row>
    <row r="101" spans="2:15">
      <c r="B101" s="1545">
        <v>35490</v>
      </c>
      <c r="C101" s="1546">
        <v>139.79499999999999</v>
      </c>
      <c r="D101" s="1546">
        <v>1393.3</v>
      </c>
      <c r="E101" s="1546">
        <v>1.0181653196053577</v>
      </c>
      <c r="F101" s="1546">
        <v>2.6019056027533618</v>
      </c>
      <c r="K101" s="1664">
        <v>42158</v>
      </c>
      <c r="L101" s="1665" t="s">
        <v>2296</v>
      </c>
      <c r="M101" s="1666">
        <v>4.9036999999999997E-2</v>
      </c>
      <c r="N101" s="1667">
        <v>1.0315831057986742</v>
      </c>
      <c r="O101" s="1667">
        <v>1.0315831057986742</v>
      </c>
    </row>
    <row r="102" spans="2:15">
      <c r="B102" s="1545">
        <v>35521</v>
      </c>
      <c r="C102" s="1546">
        <v>140.74199999999999</v>
      </c>
      <c r="D102" s="1546">
        <v>1405.56</v>
      </c>
      <c r="E102" s="1546">
        <v>1.0174130782041242</v>
      </c>
      <c r="F102" s="1546">
        <v>2.6472127884938548</v>
      </c>
      <c r="K102" s="1664">
        <v>42159</v>
      </c>
      <c r="L102" s="1665"/>
      <c r="M102" s="1666">
        <v>0</v>
      </c>
      <c r="N102" s="1667">
        <v>1.0315831057986742</v>
      </c>
      <c r="O102" s="1667">
        <v>1.0315831057986742</v>
      </c>
    </row>
    <row r="103" spans="2:15">
      <c r="B103" s="1545">
        <v>35551</v>
      </c>
      <c r="C103" s="1546">
        <v>141.04</v>
      </c>
      <c r="D103" s="1546">
        <v>1411.32</v>
      </c>
      <c r="E103" s="1546">
        <v>1.0173859708262292</v>
      </c>
      <c r="F103" s="1546">
        <v>2.6932371528054295</v>
      </c>
      <c r="K103" s="1664">
        <v>42160</v>
      </c>
      <c r="L103" s="1665" t="s">
        <v>2296</v>
      </c>
      <c r="M103" s="1666">
        <v>5.0788E-2</v>
      </c>
      <c r="N103" s="1667">
        <v>1.0321070262264471</v>
      </c>
      <c r="O103" s="1667">
        <v>1.0321070262264471</v>
      </c>
    </row>
    <row r="104" spans="2:15">
      <c r="B104" s="1545">
        <v>35582</v>
      </c>
      <c r="C104" s="1546">
        <v>142.09</v>
      </c>
      <c r="D104" s="1546">
        <v>1418.94</v>
      </c>
      <c r="E104" s="1546">
        <v>1.0160683269749473</v>
      </c>
      <c r="F104" s="1546">
        <v>2.7365129679977831</v>
      </c>
      <c r="K104" s="1664">
        <v>42161</v>
      </c>
      <c r="L104" s="1665"/>
      <c r="M104" s="1666">
        <v>0</v>
      </c>
      <c r="N104" s="1667">
        <v>1.0321070262264471</v>
      </c>
      <c r="O104" s="1667">
        <v>1.0321070262264471</v>
      </c>
    </row>
    <row r="105" spans="2:15">
      <c r="B105" s="1545">
        <v>35612</v>
      </c>
      <c r="C105" s="1546">
        <v>142.221</v>
      </c>
      <c r="D105" s="1546">
        <v>1422.06</v>
      </c>
      <c r="E105" s="1546">
        <v>1.0160384417373229</v>
      </c>
      <c r="F105" s="1546">
        <v>2.7804023717984441</v>
      </c>
      <c r="K105" s="1664">
        <v>42162</v>
      </c>
      <c r="L105" s="1665"/>
      <c r="M105" s="1666">
        <v>0</v>
      </c>
      <c r="N105" s="1667">
        <v>1.0321070262264471</v>
      </c>
      <c r="O105" s="1667">
        <v>1.0321070262264471</v>
      </c>
    </row>
    <row r="106" spans="2:15">
      <c r="B106" s="1545">
        <v>35643</v>
      </c>
      <c r="C106" s="1546">
        <v>142.35300000000001</v>
      </c>
      <c r="D106" s="1546">
        <v>1421.78</v>
      </c>
      <c r="E106" s="1546">
        <v>1.0158585469231169</v>
      </c>
      <c r="F106" s="1546">
        <v>2.8244955132767555</v>
      </c>
      <c r="K106" s="1664">
        <v>42163</v>
      </c>
      <c r="L106" s="1665" t="s">
        <v>2296</v>
      </c>
      <c r="M106" s="1666">
        <v>5.0788E-2</v>
      </c>
      <c r="N106" s="1667">
        <v>1.0326312127429271</v>
      </c>
      <c r="O106" s="1667">
        <v>1.0326312127429271</v>
      </c>
    </row>
    <row r="107" spans="2:15">
      <c r="B107" s="1545">
        <v>35674</v>
      </c>
      <c r="C107" s="1546">
        <v>143.042</v>
      </c>
      <c r="D107" s="1546">
        <v>1422.63</v>
      </c>
      <c r="E107" s="1546">
        <v>1.0159028051900765</v>
      </c>
      <c r="F107" s="1546">
        <v>2.869412915184641</v>
      </c>
      <c r="K107" s="1664">
        <v>42164</v>
      </c>
      <c r="L107" s="1665" t="s">
        <v>2296</v>
      </c>
      <c r="M107" s="1666">
        <v>5.0788E-2</v>
      </c>
      <c r="N107" s="1667">
        <v>1.033155665483255</v>
      </c>
      <c r="O107" s="1667">
        <v>1.033155665483255</v>
      </c>
    </row>
    <row r="108" spans="2:15">
      <c r="B108" s="1545">
        <v>35704</v>
      </c>
      <c r="C108" s="1546">
        <v>143.56700000000001</v>
      </c>
      <c r="D108" s="1546">
        <v>1425.9</v>
      </c>
      <c r="E108" s="1546">
        <v>1.0167288802763557</v>
      </c>
      <c r="F108" s="1546">
        <v>2.9174149803061935</v>
      </c>
      <c r="K108" s="1664">
        <v>42165</v>
      </c>
      <c r="L108" s="1665" t="s">
        <v>2296</v>
      </c>
      <c r="M108" s="1666">
        <v>5.0788E-2</v>
      </c>
      <c r="N108" s="1667">
        <v>1.0336803845826406</v>
      </c>
      <c r="O108" s="1667">
        <v>1.0336803845826406</v>
      </c>
    </row>
    <row r="109" spans="2:15">
      <c r="B109" s="1545">
        <v>35735</v>
      </c>
      <c r="C109" s="1546">
        <v>144.48099999999999</v>
      </c>
      <c r="D109" s="1546">
        <v>1428.32</v>
      </c>
      <c r="E109" s="1546">
        <v>1.0304347964479648</v>
      </c>
      <c r="F109" s="1546">
        <v>3.0062059113860555</v>
      </c>
      <c r="K109" s="1664">
        <v>42166</v>
      </c>
      <c r="L109" s="1665" t="s">
        <v>2296</v>
      </c>
      <c r="M109" s="1666">
        <v>5.0788E-2</v>
      </c>
      <c r="N109" s="1667">
        <v>1.0342053701763625</v>
      </c>
      <c r="O109" s="1667">
        <v>1.0342053701763625</v>
      </c>
    </row>
    <row r="110" spans="2:15">
      <c r="B110" s="1545">
        <v>35765</v>
      </c>
      <c r="C110" s="1546">
        <v>145.69499999999999</v>
      </c>
      <c r="D110" s="1546">
        <v>1434.46</v>
      </c>
      <c r="E110" s="1546">
        <v>1.0311549813439238</v>
      </c>
      <c r="F110" s="1546">
        <v>3.0998642004712815</v>
      </c>
      <c r="K110" s="1664">
        <v>42167</v>
      </c>
      <c r="L110" s="1665" t="s">
        <v>2296</v>
      </c>
      <c r="M110" s="1666">
        <v>5.0788E-2</v>
      </c>
      <c r="N110" s="1667">
        <v>1.0347306223997677</v>
      </c>
      <c r="O110" s="1667">
        <v>1.0347306223997677</v>
      </c>
    </row>
    <row r="111" spans="2:15">
      <c r="B111" s="1545">
        <v>35796</v>
      </c>
      <c r="C111" s="1546">
        <v>147.09100000000001</v>
      </c>
      <c r="D111" s="1546">
        <v>1444.64</v>
      </c>
      <c r="E111" s="1546">
        <v>1.0280960413836384</v>
      </c>
      <c r="F111" s="1546">
        <v>3.1869581133313818</v>
      </c>
      <c r="K111" s="1664">
        <v>42168</v>
      </c>
      <c r="L111" s="1665"/>
      <c r="M111" s="1666">
        <v>0</v>
      </c>
      <c r="N111" s="1667">
        <v>1.0347306223997677</v>
      </c>
      <c r="O111" s="1667">
        <v>1.0347306223997677</v>
      </c>
    </row>
    <row r="112" spans="2:15">
      <c r="B112" s="1545">
        <v>35827</v>
      </c>
      <c r="C112" s="1546">
        <v>147.35599999999999</v>
      </c>
      <c r="D112" s="1546">
        <v>1451.29</v>
      </c>
      <c r="E112" s="1546">
        <v>1.0236711069024262</v>
      </c>
      <c r="F112" s="1546">
        <v>3.2623969395256034</v>
      </c>
      <c r="K112" s="1664">
        <v>42169</v>
      </c>
      <c r="L112" s="1665"/>
      <c r="M112" s="1666">
        <v>0</v>
      </c>
      <c r="N112" s="1667">
        <v>1.0347306223997677</v>
      </c>
      <c r="O112" s="1667">
        <v>1.0347306223997677</v>
      </c>
    </row>
    <row r="113" spans="2:15">
      <c r="B113" s="1545">
        <v>35855</v>
      </c>
      <c r="C113" s="1546">
        <v>147.63499999999999</v>
      </c>
      <c r="D113" s="1546">
        <v>1456.22</v>
      </c>
      <c r="E113" s="1546">
        <v>1.0220072916308196</v>
      </c>
      <c r="F113" s="1546">
        <v>3.3341934603892365</v>
      </c>
      <c r="K113" s="1664">
        <v>42170</v>
      </c>
      <c r="L113" s="1665" t="s">
        <v>2296</v>
      </c>
      <c r="M113" s="1666">
        <v>5.0788E-2</v>
      </c>
      <c r="N113" s="1667">
        <v>1.0352561413882722</v>
      </c>
      <c r="O113" s="1667">
        <v>1.0352561413882722</v>
      </c>
    </row>
    <row r="114" spans="2:15">
      <c r="B114" s="1545">
        <v>35886</v>
      </c>
      <c r="C114" s="1546">
        <v>147.821</v>
      </c>
      <c r="D114" s="1546">
        <v>1459.71</v>
      </c>
      <c r="E114" s="1546">
        <v>1.0199031041694671</v>
      </c>
      <c r="F114" s="1546">
        <v>3.4005542601525192</v>
      </c>
      <c r="K114" s="1664">
        <v>42171</v>
      </c>
      <c r="L114" s="1665" t="s">
        <v>2296</v>
      </c>
      <c r="M114" s="1666">
        <v>5.0788E-2</v>
      </c>
      <c r="N114" s="1667">
        <v>1.0357819272773605</v>
      </c>
      <c r="O114" s="1667">
        <v>1.0357819272773605</v>
      </c>
    </row>
    <row r="115" spans="2:15">
      <c r="B115" s="1545">
        <v>35916</v>
      </c>
      <c r="C115" s="1546">
        <v>148.02099999999999</v>
      </c>
      <c r="D115" s="1546">
        <v>1467.01</v>
      </c>
      <c r="E115" s="1546">
        <v>1.0171306475499944</v>
      </c>
      <c r="F115" s="1546">
        <v>3.4588079566578238</v>
      </c>
      <c r="K115" s="1664">
        <v>42172</v>
      </c>
      <c r="L115" s="1665" t="s">
        <v>2296</v>
      </c>
      <c r="M115" s="1666">
        <v>5.0788E-2</v>
      </c>
      <c r="N115" s="1667">
        <v>1.0363079802025861</v>
      </c>
      <c r="O115" s="1667">
        <v>1.0363079802025861</v>
      </c>
    </row>
    <row r="116" spans="2:15">
      <c r="B116" s="1545">
        <v>35947</v>
      </c>
      <c r="C116" s="1546">
        <v>148.58799999999999</v>
      </c>
      <c r="D116" s="1546">
        <v>1467.3</v>
      </c>
      <c r="E116" s="1546">
        <v>1.0167959651913006</v>
      </c>
      <c r="F116" s="1546">
        <v>3.5169019747012422</v>
      </c>
      <c r="K116" s="1664">
        <v>42173</v>
      </c>
      <c r="L116" s="1665" t="s">
        <v>2296</v>
      </c>
      <c r="M116" s="1666">
        <v>5.0788E-2</v>
      </c>
      <c r="N116" s="1667">
        <v>1.0368343002995715</v>
      </c>
      <c r="O116" s="1667">
        <v>1.0368343002995715</v>
      </c>
    </row>
    <row r="117" spans="2:15">
      <c r="B117" s="1545">
        <v>35977</v>
      </c>
      <c r="C117" s="1546">
        <v>148.339</v>
      </c>
      <c r="D117" s="1546">
        <v>1465.54</v>
      </c>
      <c r="E117" s="1546">
        <v>1.0170373206405035</v>
      </c>
      <c r="F117" s="1546">
        <v>3.5768205613054471</v>
      </c>
      <c r="K117" s="1664">
        <v>42174</v>
      </c>
      <c r="L117" s="1665" t="s">
        <v>2296</v>
      </c>
      <c r="M117" s="1666">
        <v>5.0788E-2</v>
      </c>
      <c r="N117" s="1667">
        <v>1.0373608877040077</v>
      </c>
      <c r="O117" s="1667">
        <v>1.0373608877040077</v>
      </c>
    </row>
    <row r="118" spans="2:15">
      <c r="B118" s="1545">
        <v>36008</v>
      </c>
      <c r="C118" s="1546">
        <v>148.10900000000001</v>
      </c>
      <c r="D118" s="1546">
        <v>1458.07</v>
      </c>
      <c r="E118" s="1546">
        <v>1.0147631694962493</v>
      </c>
      <c r="F118" s="1546">
        <v>3.6296257695096692</v>
      </c>
      <c r="K118" s="1664">
        <v>42175</v>
      </c>
      <c r="L118" s="1665"/>
      <c r="M118" s="1666">
        <v>0</v>
      </c>
      <c r="N118" s="1667">
        <v>1.0373608877040077</v>
      </c>
      <c r="O118" s="1667">
        <v>1.0373608877040077</v>
      </c>
    </row>
    <row r="119" spans="2:15">
      <c r="B119" s="1545">
        <v>36039</v>
      </c>
      <c r="C119" s="1546">
        <v>147.98400000000001</v>
      </c>
      <c r="D119" s="1546">
        <v>1454.86</v>
      </c>
      <c r="E119" s="1546">
        <v>1.0255896332244516</v>
      </c>
      <c r="F119" s="1546">
        <v>3.7225065616934394</v>
      </c>
      <c r="K119" s="1664">
        <v>42176</v>
      </c>
      <c r="L119" s="1665"/>
      <c r="M119" s="1666">
        <v>0</v>
      </c>
      <c r="N119" s="1667">
        <v>1.0373608877040077</v>
      </c>
      <c r="O119" s="1667">
        <v>1.0373608877040077</v>
      </c>
    </row>
    <row r="120" spans="2:15">
      <c r="B120" s="1545">
        <v>36069</v>
      </c>
      <c r="C120" s="1546">
        <v>148.1</v>
      </c>
      <c r="D120" s="1546">
        <v>1455.15</v>
      </c>
      <c r="E120" s="1546">
        <v>1.0308188720930029</v>
      </c>
      <c r="F120" s="1546">
        <v>3.8372300152836338</v>
      </c>
      <c r="K120" s="1664">
        <v>42177</v>
      </c>
      <c r="L120" s="1665" t="s">
        <v>2296</v>
      </c>
      <c r="M120" s="1666">
        <v>5.0788E-2</v>
      </c>
      <c r="N120" s="1667">
        <v>1.0378877425516548</v>
      </c>
      <c r="O120" s="1667">
        <v>1.0378877425516548</v>
      </c>
    </row>
    <row r="121" spans="2:15">
      <c r="B121" s="1545">
        <v>36100</v>
      </c>
      <c r="C121" s="1546">
        <v>147.62799999999999</v>
      </c>
      <c r="D121" s="1546">
        <v>1453.4</v>
      </c>
      <c r="E121" s="1546">
        <v>1.0277678356785036</v>
      </c>
      <c r="F121" s="1546">
        <v>3.9437815878086515</v>
      </c>
      <c r="K121" s="1664">
        <v>42178</v>
      </c>
      <c r="L121" s="1665" t="s">
        <v>2296</v>
      </c>
      <c r="M121" s="1666">
        <v>5.0788E-2</v>
      </c>
      <c r="N121" s="1667">
        <v>1.038414864978342</v>
      </c>
      <c r="O121" s="1667">
        <v>1.038414864978342</v>
      </c>
    </row>
    <row r="122" spans="2:15">
      <c r="B122" s="1545">
        <v>36130</v>
      </c>
      <c r="C122" s="1546">
        <v>148.291</v>
      </c>
      <c r="D122" s="1546">
        <v>1458.2</v>
      </c>
      <c r="E122" s="1546">
        <v>1.025049538167373</v>
      </c>
      <c r="F122" s="1546">
        <v>4.0425714952162473</v>
      </c>
      <c r="K122" s="1664">
        <v>42179</v>
      </c>
      <c r="L122" s="1665" t="s">
        <v>2296</v>
      </c>
      <c r="M122" s="1666">
        <v>5.0788E-2</v>
      </c>
      <c r="N122" s="1667">
        <v>1.0389422551199672</v>
      </c>
      <c r="O122" s="1667">
        <v>1.0389422551199672</v>
      </c>
    </row>
    <row r="123" spans="2:15">
      <c r="B123" s="1545">
        <v>36161</v>
      </c>
      <c r="C123" s="1546">
        <v>149.53299999999999</v>
      </c>
      <c r="D123" s="1546">
        <v>1468.41</v>
      </c>
      <c r="E123" s="1546">
        <v>1.022811290449001</v>
      </c>
      <c r="F123" s="1546">
        <v>4.1347877677544771</v>
      </c>
      <c r="K123" s="1664">
        <v>42180</v>
      </c>
      <c r="L123" s="1665" t="s">
        <v>2296</v>
      </c>
      <c r="M123" s="1666">
        <v>5.0788E-2</v>
      </c>
      <c r="N123" s="1667">
        <v>1.0394699131124976</v>
      </c>
      <c r="O123" s="1667">
        <v>1.0394699131124976</v>
      </c>
    </row>
    <row r="124" spans="2:15">
      <c r="B124" s="1545">
        <v>36192</v>
      </c>
      <c r="C124" s="1546">
        <v>154.93299999999999</v>
      </c>
      <c r="D124" s="1546">
        <v>1483.83</v>
      </c>
      <c r="E124" s="1546">
        <v>1.0264662861429437</v>
      </c>
      <c r="F124" s="1546">
        <v>4.2442202439562102</v>
      </c>
      <c r="K124" s="1664">
        <v>42181</v>
      </c>
      <c r="L124" s="1665" t="s">
        <v>2296</v>
      </c>
      <c r="M124" s="1666">
        <v>5.0788E-2</v>
      </c>
      <c r="N124" s="1667">
        <v>1.0399978390919691</v>
      </c>
      <c r="O124" s="1667">
        <v>1.0399978390919691</v>
      </c>
    </row>
    <row r="125" spans="2:15">
      <c r="B125" s="1545">
        <v>36220</v>
      </c>
      <c r="C125" s="1546">
        <v>159.32499999999999</v>
      </c>
      <c r="D125" s="1546">
        <v>1500.15</v>
      </c>
      <c r="E125" s="1546">
        <v>1.033345195070198</v>
      </c>
      <c r="F125" s="1546">
        <v>4.3857445959118131</v>
      </c>
      <c r="K125" s="1664">
        <v>42182</v>
      </c>
      <c r="L125" s="1665"/>
      <c r="M125" s="1666">
        <v>0</v>
      </c>
      <c r="N125" s="1667">
        <v>1.0399978390919691</v>
      </c>
      <c r="O125" s="1667">
        <v>1.0399978390919691</v>
      </c>
    </row>
    <row r="126" spans="2:15">
      <c r="B126" s="1545">
        <v>36251</v>
      </c>
      <c r="C126" s="1546">
        <v>160.459</v>
      </c>
      <c r="D126" s="1546">
        <v>1508.55</v>
      </c>
      <c r="E126" s="1546">
        <v>1.027563660965396</v>
      </c>
      <c r="F126" s="1546">
        <v>4.5066317730343437</v>
      </c>
      <c r="K126" s="1664">
        <v>42183</v>
      </c>
      <c r="L126" s="1665"/>
      <c r="M126" s="1666">
        <v>0</v>
      </c>
      <c r="N126" s="1667">
        <v>1.0399978390919691</v>
      </c>
      <c r="O126" s="1667">
        <v>1.0399978390919691</v>
      </c>
    </row>
    <row r="127" spans="2:15">
      <c r="B127" s="1545">
        <v>36281</v>
      </c>
      <c r="C127" s="1546">
        <v>159.99600000000001</v>
      </c>
      <c r="D127" s="1546">
        <v>1513.08</v>
      </c>
      <c r="E127" s="1546">
        <v>1.0201883000304468</v>
      </c>
      <c r="F127" s="1546">
        <v>4.5976130073951058</v>
      </c>
      <c r="K127" s="1664">
        <v>42184</v>
      </c>
      <c r="L127" s="1665" t="s">
        <v>2296</v>
      </c>
      <c r="M127" s="1666">
        <v>5.0788E-2</v>
      </c>
      <c r="N127" s="1667">
        <v>1.0405260331944872</v>
      </c>
      <c r="O127" s="1667">
        <v>1.0405260331944872</v>
      </c>
    </row>
    <row r="128" spans="2:15">
      <c r="B128" s="1545">
        <v>36312</v>
      </c>
      <c r="C128" s="1546">
        <v>160.57300000000001</v>
      </c>
      <c r="D128" s="1546">
        <v>1515.95</v>
      </c>
      <c r="E128" s="1546">
        <v>1.0175637707499077</v>
      </c>
      <c r="F128" s="1546">
        <v>4.6783644282537873</v>
      </c>
      <c r="K128" s="1664">
        <v>42185</v>
      </c>
      <c r="L128" s="1665" t="s">
        <v>2296</v>
      </c>
      <c r="M128" s="1666">
        <v>5.0788E-2</v>
      </c>
      <c r="N128" s="1667">
        <v>1.041054495556226</v>
      </c>
      <c r="O128" s="1667">
        <v>1.041054495556226</v>
      </c>
    </row>
    <row r="129" spans="2:15">
      <c r="B129" s="1545">
        <v>36342</v>
      </c>
      <c r="C129" s="1546">
        <v>163.06</v>
      </c>
      <c r="D129" s="1546">
        <v>1532.47</v>
      </c>
      <c r="E129" s="1546">
        <v>1.0165876375704719</v>
      </c>
      <c r="F129" s="1546">
        <v>4.7559674418122491</v>
      </c>
      <c r="K129" s="1664">
        <v>42186</v>
      </c>
      <c r="L129" s="1665" t="s">
        <v>2296</v>
      </c>
      <c r="M129" s="1666">
        <v>5.0788E-2</v>
      </c>
      <c r="N129" s="1667">
        <v>1.041583226313429</v>
      </c>
      <c r="O129" s="1667">
        <v>1.041583226313429</v>
      </c>
    </row>
    <row r="130" spans="2:15">
      <c r="B130" s="1545">
        <v>36373</v>
      </c>
      <c r="C130" s="1546">
        <v>165.60300000000001</v>
      </c>
      <c r="D130" s="1546">
        <v>1541.05</v>
      </c>
      <c r="E130" s="1546">
        <v>1.0156847483880824</v>
      </c>
      <c r="F130" s="1546">
        <v>4.8305635944789866</v>
      </c>
      <c r="K130" s="1664">
        <v>42187</v>
      </c>
      <c r="L130" s="1665" t="s">
        <v>2296</v>
      </c>
      <c r="M130" s="1666">
        <v>5.0788E-2</v>
      </c>
      <c r="N130" s="1667">
        <v>1.0421122256024091</v>
      </c>
      <c r="O130" s="1667">
        <v>1.0421122256024091</v>
      </c>
    </row>
    <row r="131" spans="2:15">
      <c r="B131" s="1545">
        <v>36404</v>
      </c>
      <c r="C131" s="1546">
        <v>167.99700000000001</v>
      </c>
      <c r="D131" s="1546">
        <v>1545.83</v>
      </c>
      <c r="E131" s="1546">
        <v>1.0155901672784533</v>
      </c>
      <c r="F131" s="1546">
        <v>4.9058728889661207</v>
      </c>
      <c r="K131" s="1664">
        <v>42188</v>
      </c>
      <c r="L131" s="1665" t="s">
        <v>2296</v>
      </c>
      <c r="M131" s="1666">
        <v>5.0788E-2</v>
      </c>
      <c r="N131" s="1667">
        <v>1.042641493559548</v>
      </c>
      <c r="O131" s="1667">
        <v>1.042641493559548</v>
      </c>
    </row>
    <row r="132" spans="2:15">
      <c r="B132" s="1545">
        <v>36434</v>
      </c>
      <c r="C132" s="1546">
        <v>170.86099999999999</v>
      </c>
      <c r="D132" s="1546">
        <v>1564.23</v>
      </c>
      <c r="E132" s="1546">
        <v>1.0145370189540868</v>
      </c>
      <c r="F132" s="1546">
        <v>4.9771896561393616</v>
      </c>
      <c r="K132" s="1664">
        <v>42189</v>
      </c>
      <c r="L132" s="1665"/>
      <c r="M132" s="1666">
        <v>0</v>
      </c>
      <c r="N132" s="1667">
        <v>1.042641493559548</v>
      </c>
      <c r="O132" s="1667">
        <v>1.042641493559548</v>
      </c>
    </row>
    <row r="133" spans="2:15">
      <c r="B133" s="1545">
        <v>36465</v>
      </c>
      <c r="C133" s="1546">
        <v>174.93899999999999</v>
      </c>
      <c r="D133" s="1546">
        <v>1579.09</v>
      </c>
      <c r="E133" s="1546">
        <v>1.0152599173733607</v>
      </c>
      <c r="F133" s="1546">
        <v>5.0531411590435944</v>
      </c>
      <c r="K133" s="1664">
        <v>42190</v>
      </c>
      <c r="L133" s="1665"/>
      <c r="M133" s="1666">
        <v>0</v>
      </c>
      <c r="N133" s="1667">
        <v>1.042641493559548</v>
      </c>
      <c r="O133" s="1667">
        <v>1.042641493559548</v>
      </c>
    </row>
    <row r="134" spans="2:15">
      <c r="B134" s="1545">
        <v>36495</v>
      </c>
      <c r="C134" s="1546">
        <v>178.09899999999999</v>
      </c>
      <c r="D134" s="1546">
        <v>1588.56</v>
      </c>
      <c r="E134" s="1546">
        <v>1.0159962861507461</v>
      </c>
      <c r="F134" s="1546">
        <v>5.1339726509837682</v>
      </c>
      <c r="K134" s="1664">
        <v>42191</v>
      </c>
      <c r="L134" s="1665" t="s">
        <v>2296</v>
      </c>
      <c r="M134" s="1666">
        <v>5.0788E-2</v>
      </c>
      <c r="N134" s="1667">
        <v>1.0431710303212971</v>
      </c>
      <c r="O134" s="1667">
        <v>1.0431710303212971</v>
      </c>
    </row>
    <row r="135" spans="2:15">
      <c r="B135" s="1545">
        <v>36526</v>
      </c>
      <c r="C135" s="1546">
        <v>180.30099999999999</v>
      </c>
      <c r="D135" s="1546">
        <v>1598.41</v>
      </c>
      <c r="E135" s="1546">
        <v>1.0145573263269665</v>
      </c>
      <c r="F135" s="1546">
        <v>5.20870956621786</v>
      </c>
      <c r="K135" s="1664">
        <v>42192</v>
      </c>
      <c r="L135" s="1665" t="s">
        <v>2296</v>
      </c>
      <c r="M135" s="1666">
        <v>5.0788E-2</v>
      </c>
      <c r="N135" s="1667">
        <v>1.0437008360241766</v>
      </c>
      <c r="O135" s="1667">
        <v>1.0437008360241766</v>
      </c>
    </row>
    <row r="136" spans="2:15">
      <c r="B136" s="1545">
        <v>36557</v>
      </c>
      <c r="C136" s="1546">
        <v>180.935</v>
      </c>
      <c r="D136" s="1546">
        <v>1600.49</v>
      </c>
      <c r="E136" s="1546">
        <v>1.0145089461247463</v>
      </c>
      <c r="F136" s="1546">
        <v>5.2842824526935654</v>
      </c>
      <c r="K136" s="1664">
        <v>42193</v>
      </c>
      <c r="L136" s="1665" t="s">
        <v>2296</v>
      </c>
      <c r="M136" s="1666">
        <v>5.0788E-2</v>
      </c>
      <c r="N136" s="1667">
        <v>1.0442309108047767</v>
      </c>
      <c r="O136" s="1667">
        <v>1.0442309108047767</v>
      </c>
    </row>
    <row r="137" spans="2:15">
      <c r="B137" s="1545">
        <v>36586</v>
      </c>
      <c r="C137" s="1546">
        <v>181.214</v>
      </c>
      <c r="D137" s="1546">
        <v>1604.01</v>
      </c>
      <c r="E137" s="1546">
        <v>1.0158860407835757</v>
      </c>
      <c r="F137" s="1546">
        <v>5.3682287792489891</v>
      </c>
      <c r="K137" s="1664">
        <v>42194</v>
      </c>
      <c r="L137" s="1665" t="s">
        <v>2296</v>
      </c>
      <c r="M137" s="1666">
        <v>5.0788E-2</v>
      </c>
      <c r="N137" s="1667">
        <v>1.0447612547997562</v>
      </c>
      <c r="O137" s="1667">
        <v>1.0447612547997562</v>
      </c>
    </row>
    <row r="138" spans="2:15">
      <c r="B138" s="1545">
        <v>36617</v>
      </c>
      <c r="C138" s="1546">
        <v>181.63499999999999</v>
      </c>
      <c r="D138" s="1546">
        <v>1610.75</v>
      </c>
      <c r="E138" s="1546">
        <v>1.0136441914221253</v>
      </c>
      <c r="F138" s="1546">
        <v>5.4414739203108242</v>
      </c>
      <c r="K138" s="1664">
        <v>42195</v>
      </c>
      <c r="L138" s="1665" t="s">
        <v>2296</v>
      </c>
      <c r="M138" s="1666">
        <v>5.0788E-2</v>
      </c>
      <c r="N138" s="1667">
        <v>1.0452918681458438</v>
      </c>
      <c r="O138" s="1667">
        <v>1.0452918681458438</v>
      </c>
    </row>
    <row r="139" spans="2:15">
      <c r="B139" s="1545">
        <v>36647</v>
      </c>
      <c r="C139" s="1546">
        <v>182.18899999999999</v>
      </c>
      <c r="D139" s="1546">
        <v>1610.91</v>
      </c>
      <c r="E139" s="1546">
        <v>1.0156265899953318</v>
      </c>
      <c r="F139" s="1546">
        <v>5.5265056022338124</v>
      </c>
      <c r="K139" s="1664">
        <v>42196</v>
      </c>
      <c r="L139" s="1665"/>
      <c r="M139" s="1666">
        <v>0</v>
      </c>
      <c r="N139" s="1667">
        <v>1.0452918681458438</v>
      </c>
      <c r="O139" s="1667">
        <v>1.0452918681458438</v>
      </c>
    </row>
    <row r="140" spans="2:15">
      <c r="B140" s="1545">
        <v>36678</v>
      </c>
      <c r="C140" s="1546">
        <v>183.745</v>
      </c>
      <c r="D140" s="1546">
        <v>1614.62</v>
      </c>
      <c r="E140" s="1546">
        <v>1.0145668910909638</v>
      </c>
      <c r="F140" s="1546">
        <v>5.6070096074551534</v>
      </c>
      <c r="K140" s="1664">
        <v>42197</v>
      </c>
      <c r="L140" s="1665"/>
      <c r="M140" s="1666">
        <v>0</v>
      </c>
      <c r="N140" s="1667">
        <v>1.0452918681458438</v>
      </c>
      <c r="O140" s="1667">
        <v>1.0452918681458438</v>
      </c>
    </row>
    <row r="141" spans="2:15">
      <c r="B141" s="1545">
        <v>36708</v>
      </c>
      <c r="C141" s="1546">
        <v>186.63399999999999</v>
      </c>
      <c r="D141" s="1546">
        <v>1640.62</v>
      </c>
      <c r="E141" s="1546">
        <v>1.0130599958288005</v>
      </c>
      <c r="F141" s="1546">
        <v>5.6802371295405623</v>
      </c>
      <c r="K141" s="1664">
        <v>42198</v>
      </c>
      <c r="L141" s="1665" t="s">
        <v>2296</v>
      </c>
      <c r="M141" s="1666">
        <v>5.0788E-2</v>
      </c>
      <c r="N141" s="1667">
        <v>1.0458227509798377</v>
      </c>
      <c r="O141" s="1667">
        <v>1.0458227509798377</v>
      </c>
    </row>
    <row r="142" spans="2:15">
      <c r="B142" s="1545">
        <v>36739</v>
      </c>
      <c r="C142" s="1546">
        <v>191.08699999999999</v>
      </c>
      <c r="D142" s="1546">
        <v>1662.11</v>
      </c>
      <c r="E142" s="1546">
        <v>1.0140543715890855</v>
      </c>
      <c r="F142" s="1546">
        <v>5.7600692928732462</v>
      </c>
      <c r="K142" s="1664">
        <v>42199</v>
      </c>
      <c r="L142" s="1665" t="s">
        <v>2296</v>
      </c>
      <c r="M142" s="1666">
        <v>5.0788E-2</v>
      </c>
      <c r="N142" s="1667">
        <v>1.0463539034386053</v>
      </c>
      <c r="O142" s="1667">
        <v>1.0463539034386053</v>
      </c>
    </row>
    <row r="143" spans="2:15">
      <c r="B143" s="1545">
        <v>36770</v>
      </c>
      <c r="C143" s="1546">
        <v>193.297</v>
      </c>
      <c r="D143" s="1546">
        <v>1665.93</v>
      </c>
      <c r="E143" s="1546">
        <v>1.0128508890656427</v>
      </c>
      <c r="F143" s="1546">
        <v>5.8340913043663756</v>
      </c>
      <c r="K143" s="1664">
        <v>42200</v>
      </c>
      <c r="L143" s="1665" t="s">
        <v>2296</v>
      </c>
      <c r="M143" s="1666">
        <v>5.0788E-2</v>
      </c>
      <c r="N143" s="1667">
        <v>1.0468853256590838</v>
      </c>
      <c r="O143" s="1667">
        <v>1.0468853256590838</v>
      </c>
    </row>
    <row r="144" spans="2:15">
      <c r="B144" s="1545">
        <v>36800</v>
      </c>
      <c r="C144" s="1546">
        <v>194.04</v>
      </c>
      <c r="D144" s="1546">
        <v>1668.26</v>
      </c>
      <c r="E144" s="1546">
        <v>1.013495295624836</v>
      </c>
      <c r="F144" s="1546">
        <v>5.9128240912210845</v>
      </c>
      <c r="K144" s="1664">
        <v>42201</v>
      </c>
      <c r="L144" s="1665" t="s">
        <v>2296</v>
      </c>
      <c r="M144" s="1666">
        <v>5.0788E-2</v>
      </c>
      <c r="N144" s="1667">
        <v>1.0474170177782796</v>
      </c>
      <c r="O144" s="1667">
        <v>1.0474170177782796</v>
      </c>
    </row>
    <row r="145" spans="2:15">
      <c r="B145" s="1545">
        <v>36831</v>
      </c>
      <c r="C145" s="1546">
        <v>194.59899999999999</v>
      </c>
      <c r="D145" s="1546">
        <v>1673.6</v>
      </c>
      <c r="E145" s="1546">
        <v>1.013431060777086</v>
      </c>
      <c r="F145" s="1546">
        <v>5.992239590954493</v>
      </c>
      <c r="K145" s="1664">
        <v>42202</v>
      </c>
      <c r="L145" s="1665" t="s">
        <v>2296</v>
      </c>
      <c r="M145" s="1666">
        <v>5.0788E-2</v>
      </c>
      <c r="N145" s="1667">
        <v>1.0479489799332689</v>
      </c>
      <c r="O145" s="1667">
        <v>1.0479489799332689</v>
      </c>
    </row>
    <row r="146" spans="2:15">
      <c r="B146" s="1545">
        <v>36861</v>
      </c>
      <c r="C146" s="1546">
        <v>195.827</v>
      </c>
      <c r="D146" s="1546">
        <v>1683.47</v>
      </c>
      <c r="E146" s="1546">
        <v>1.0125716392096709</v>
      </c>
      <c r="F146" s="1546">
        <v>6.0675718651498789</v>
      </c>
      <c r="K146" s="1664">
        <v>42203</v>
      </c>
      <c r="L146" s="1665"/>
      <c r="M146" s="1666">
        <v>0</v>
      </c>
      <c r="N146" s="1667">
        <v>1.0479489799332689</v>
      </c>
      <c r="O146" s="1667">
        <v>1.0479489799332689</v>
      </c>
    </row>
    <row r="147" spans="2:15">
      <c r="B147" s="1545">
        <v>36892</v>
      </c>
      <c r="C147" s="1546">
        <v>197.04499999999999</v>
      </c>
      <c r="D147" s="1546">
        <v>1693.07</v>
      </c>
      <c r="E147" s="1546">
        <v>1.0126506879847863</v>
      </c>
      <c r="F147" s="1546">
        <v>6.144330823641158</v>
      </c>
      <c r="K147" s="1664">
        <v>42204</v>
      </c>
      <c r="L147" s="1665"/>
      <c r="M147" s="1666">
        <v>0</v>
      </c>
      <c r="N147" s="1667">
        <v>1.0479489799332689</v>
      </c>
      <c r="O147" s="1667">
        <v>1.0479489799332689</v>
      </c>
    </row>
    <row r="148" spans="2:15">
      <c r="B148" s="1545">
        <v>36923</v>
      </c>
      <c r="C148" s="1546">
        <v>197.49100000000001</v>
      </c>
      <c r="D148" s="1546">
        <v>1700.86</v>
      </c>
      <c r="E148" s="1546">
        <v>1.0101583510827936</v>
      </c>
      <c r="F148" s="1546">
        <v>6.206747093316535</v>
      </c>
      <c r="K148" s="1664">
        <v>42205</v>
      </c>
      <c r="L148" s="1665" t="s">
        <v>2296</v>
      </c>
      <c r="M148" s="1666">
        <v>5.0788E-2</v>
      </c>
      <c r="N148" s="1667">
        <v>1.0484812122611973</v>
      </c>
      <c r="O148" s="1667">
        <v>1.0484812122611973</v>
      </c>
    </row>
    <row r="149" spans="2:15">
      <c r="B149" s="1545">
        <v>36951</v>
      </c>
      <c r="C149" s="1546">
        <v>198.60599999999999</v>
      </c>
      <c r="D149" s="1546">
        <v>1707.32</v>
      </c>
      <c r="E149" s="1546">
        <v>1.0125785495836725</v>
      </c>
      <c r="F149" s="1546">
        <v>6.2848189693831324</v>
      </c>
      <c r="K149" s="1664">
        <v>42206</v>
      </c>
      <c r="L149" s="1665" t="s">
        <v>2296</v>
      </c>
      <c r="M149" s="1666">
        <v>5.0788E-2</v>
      </c>
      <c r="N149" s="1667">
        <v>1.0490137148992804</v>
      </c>
      <c r="O149" s="1667">
        <v>1.0490137148992804</v>
      </c>
    </row>
    <row r="150" spans="2:15">
      <c r="B150" s="1545">
        <v>36982</v>
      </c>
      <c r="C150" s="1546">
        <v>200.59100000000001</v>
      </c>
      <c r="D150" s="1546">
        <v>1717.22</v>
      </c>
      <c r="E150" s="1546">
        <v>1.0118637336714187</v>
      </c>
      <c r="F150" s="1546">
        <v>6.3593803878089741</v>
      </c>
      <c r="K150" s="1664">
        <v>42207</v>
      </c>
      <c r="L150" s="1665" t="s">
        <v>2296</v>
      </c>
      <c r="M150" s="1666">
        <v>5.0788E-2</v>
      </c>
      <c r="N150" s="1667">
        <v>1.0495464879848035</v>
      </c>
      <c r="O150" s="1667">
        <v>1.0495464879848035</v>
      </c>
    </row>
    <row r="151" spans="2:15">
      <c r="B151" s="1545">
        <v>37012</v>
      </c>
      <c r="C151" s="1546">
        <v>202.32400000000001</v>
      </c>
      <c r="D151" s="1546">
        <v>1724.26</v>
      </c>
      <c r="E151" s="1546">
        <v>1.0133677002760824</v>
      </c>
      <c r="F151" s="1546">
        <v>6.4443906787748011</v>
      </c>
      <c r="K151" s="1664">
        <v>42208</v>
      </c>
      <c r="L151" s="1665" t="s">
        <v>2296</v>
      </c>
      <c r="M151" s="1666">
        <v>5.0788E-2</v>
      </c>
      <c r="N151" s="1667">
        <v>1.0500795316551212</v>
      </c>
      <c r="O151" s="1667">
        <v>1.0500795316551212</v>
      </c>
    </row>
    <row r="152" spans="2:15">
      <c r="B152" s="1545">
        <v>37043</v>
      </c>
      <c r="C152" s="1546">
        <v>204.31</v>
      </c>
      <c r="D152" s="1546">
        <v>1733.23</v>
      </c>
      <c r="E152" s="1546">
        <v>1.0127331554566117</v>
      </c>
      <c r="F152" s="1546">
        <v>6.5264481071107801</v>
      </c>
      <c r="K152" s="1664">
        <v>42209</v>
      </c>
      <c r="L152" s="1665" t="s">
        <v>2296</v>
      </c>
      <c r="M152" s="1666">
        <v>5.0788E-2</v>
      </c>
      <c r="N152" s="1667">
        <v>1.0506128460476583</v>
      </c>
      <c r="O152" s="1667">
        <v>1.0506128460476583</v>
      </c>
    </row>
    <row r="153" spans="2:15">
      <c r="B153" s="1545">
        <v>37073</v>
      </c>
      <c r="C153" s="1546">
        <v>207.34100000000001</v>
      </c>
      <c r="D153" s="1546">
        <v>1756.28</v>
      </c>
      <c r="E153" s="1546">
        <v>1.014979822756394</v>
      </c>
      <c r="F153" s="1546">
        <v>6.6242131429841029</v>
      </c>
      <c r="K153" s="1664">
        <v>42210</v>
      </c>
      <c r="L153" s="1665"/>
      <c r="M153" s="1666">
        <v>0</v>
      </c>
      <c r="N153" s="1667">
        <v>1.0506128460476583</v>
      </c>
      <c r="O153" s="1667">
        <v>1.0506128460476583</v>
      </c>
    </row>
    <row r="154" spans="2:15">
      <c r="B154" s="1545">
        <v>37104</v>
      </c>
      <c r="C154" s="1546">
        <v>210.21100000000001</v>
      </c>
      <c r="D154" s="1546">
        <v>1768.57</v>
      </c>
      <c r="E154" s="1546">
        <v>1.0160000122718875</v>
      </c>
      <c r="F154" s="1546">
        <v>6.7302006345634471</v>
      </c>
      <c r="K154" s="1664">
        <v>42211</v>
      </c>
      <c r="L154" s="1665"/>
      <c r="M154" s="1666">
        <v>0</v>
      </c>
      <c r="N154" s="1667">
        <v>1.0506128460476583</v>
      </c>
      <c r="O154" s="1667">
        <v>1.0506128460476583</v>
      </c>
    </row>
    <row r="155" spans="2:15">
      <c r="B155" s="1545">
        <v>37135</v>
      </c>
      <c r="C155" s="1546">
        <v>210.85300000000001</v>
      </c>
      <c r="D155" s="1546">
        <v>1773.52</v>
      </c>
      <c r="E155" s="1546">
        <v>1.013243107438228</v>
      </c>
      <c r="F155" s="1546">
        <v>6.8193294046478012</v>
      </c>
      <c r="K155" s="1664">
        <v>42212</v>
      </c>
      <c r="L155" s="1665" t="s">
        <v>2296</v>
      </c>
      <c r="M155" s="1666">
        <v>5.0788E-2</v>
      </c>
      <c r="N155" s="1667">
        <v>1.051146431299909</v>
      </c>
      <c r="O155" s="1667">
        <v>1.051146431299909</v>
      </c>
    </row>
    <row r="156" spans="2:15">
      <c r="B156" s="1545">
        <v>37165</v>
      </c>
      <c r="C156" s="1546">
        <v>213.339</v>
      </c>
      <c r="D156" s="1546">
        <v>1788.24</v>
      </c>
      <c r="E156" s="1546">
        <v>1.0153493751182632</v>
      </c>
      <c r="F156" s="1546">
        <v>6.9240018497347426</v>
      </c>
      <c r="K156" s="1664">
        <v>42213</v>
      </c>
      <c r="L156" s="1665" t="s">
        <v>2296</v>
      </c>
      <c r="M156" s="1666">
        <v>5.0788E-2</v>
      </c>
      <c r="N156" s="1667">
        <v>1.0516802875494375</v>
      </c>
      <c r="O156" s="1667">
        <v>1.0516802875494375</v>
      </c>
    </row>
    <row r="157" spans="2:15">
      <c r="B157" s="1545">
        <v>37196</v>
      </c>
      <c r="C157" s="1546">
        <v>215.685</v>
      </c>
      <c r="D157" s="1546">
        <v>1800.94</v>
      </c>
      <c r="E157" s="1546">
        <v>1.0139343824698488</v>
      </c>
      <c r="F157" s="1546">
        <v>7.0204835397308871</v>
      </c>
      <c r="K157" s="1664">
        <v>42214</v>
      </c>
      <c r="L157" s="1665" t="s">
        <v>2296</v>
      </c>
      <c r="M157" s="1666">
        <v>5.0788E-2</v>
      </c>
      <c r="N157" s="1667">
        <v>1.0522144149338781</v>
      </c>
      <c r="O157" s="1667">
        <v>1.0522144149338781</v>
      </c>
    </row>
    <row r="158" spans="2:15">
      <c r="B158" s="1545">
        <v>37226</v>
      </c>
      <c r="C158" s="1546">
        <v>216.16300000000001</v>
      </c>
      <c r="D158" s="1546">
        <v>1812.65</v>
      </c>
      <c r="E158" s="1546">
        <v>1.0139354159682339</v>
      </c>
      <c r="F158" s="1546">
        <v>7.1183168981551761</v>
      </c>
      <c r="K158" s="1664">
        <v>42215</v>
      </c>
      <c r="L158" s="1665" t="s">
        <v>2296</v>
      </c>
      <c r="M158" s="1666">
        <v>5.2531000000000001E-2</v>
      </c>
      <c r="N158" s="1667">
        <v>1.0527671536881871</v>
      </c>
      <c r="O158" s="1667">
        <v>1.0527671536881871</v>
      </c>
    </row>
    <row r="159" spans="2:15">
      <c r="B159" s="1545">
        <v>37257</v>
      </c>
      <c r="C159" s="1546">
        <v>216.94399999999999</v>
      </c>
      <c r="D159" s="1546">
        <v>1822.08</v>
      </c>
      <c r="E159" s="1546">
        <v>1.0153395939759675</v>
      </c>
      <c r="F159" s="1546">
        <v>7.2275089891651447</v>
      </c>
      <c r="K159" s="1664">
        <v>42216</v>
      </c>
      <c r="L159" s="1665" t="s">
        <v>2296</v>
      </c>
      <c r="M159" s="1666">
        <v>5.2531000000000001E-2</v>
      </c>
      <c r="N159" s="1667">
        <v>1.0533201828016909</v>
      </c>
      <c r="O159" s="1667">
        <v>1.0533201828016909</v>
      </c>
    </row>
    <row r="160" spans="2:15">
      <c r="B160" s="1545">
        <v>37288</v>
      </c>
      <c r="C160" s="1546">
        <v>217.07400000000001</v>
      </c>
      <c r="D160" s="1546">
        <v>1828.64</v>
      </c>
      <c r="E160" s="1546">
        <v>1.012482154231837</v>
      </c>
      <c r="F160" s="1546">
        <v>7.3177238710798918</v>
      </c>
      <c r="K160" s="1664">
        <v>42217</v>
      </c>
      <c r="L160" s="1665"/>
      <c r="M160" s="1666">
        <v>0</v>
      </c>
      <c r="N160" s="1667">
        <v>1.0533201828016909</v>
      </c>
      <c r="O160" s="1667">
        <v>1.0533201828016909</v>
      </c>
    </row>
    <row r="161" spans="2:15">
      <c r="B161" s="1545">
        <v>37316</v>
      </c>
      <c r="C161" s="1546">
        <v>217.27600000000001</v>
      </c>
      <c r="D161" s="1546">
        <v>1839.61</v>
      </c>
      <c r="E161" s="1546">
        <v>1.013713327882185</v>
      </c>
      <c r="F161" s="1546">
        <v>7.4180742178753025</v>
      </c>
      <c r="K161" s="1664">
        <v>42218</v>
      </c>
      <c r="L161" s="1665"/>
      <c r="M161" s="1666">
        <v>0</v>
      </c>
      <c r="N161" s="1667">
        <v>1.0533201828016909</v>
      </c>
      <c r="O161" s="1667">
        <v>1.0533201828016909</v>
      </c>
    </row>
    <row r="162" spans="2:15">
      <c r="B162" s="1545">
        <v>37347</v>
      </c>
      <c r="C162" s="1546">
        <v>218.48599999999999</v>
      </c>
      <c r="D162" s="1546">
        <v>1854.33</v>
      </c>
      <c r="E162" s="1546">
        <v>1.0148356719718208</v>
      </c>
      <c r="F162" s="1546">
        <v>7.5281263336343214</v>
      </c>
      <c r="K162" s="1664">
        <v>42219</v>
      </c>
      <c r="L162" s="1665" t="s">
        <v>2296</v>
      </c>
      <c r="M162" s="1666">
        <v>5.2531000000000001E-2</v>
      </c>
      <c r="N162" s="1667">
        <v>1.0538735024269186</v>
      </c>
      <c r="O162" s="1667">
        <v>1.0538735024269186</v>
      </c>
    </row>
    <row r="163" spans="2:15">
      <c r="B163" s="1545">
        <v>37377</v>
      </c>
      <c r="C163" s="1546">
        <v>220.292</v>
      </c>
      <c r="D163" s="1546">
        <v>1858.22</v>
      </c>
      <c r="E163" s="1546">
        <v>1.0141498936566418</v>
      </c>
      <c r="F163" s="1546">
        <v>7.6346485206890113</v>
      </c>
      <c r="K163" s="1664">
        <v>42220</v>
      </c>
      <c r="L163" s="1665" t="s">
        <v>2296</v>
      </c>
      <c r="M163" s="1666">
        <v>5.2531000000000001E-2</v>
      </c>
      <c r="N163" s="1667">
        <v>1.0544271127164784</v>
      </c>
      <c r="O163" s="1667">
        <v>1.0544271127164784</v>
      </c>
    </row>
    <row r="164" spans="2:15">
      <c r="B164" s="1545">
        <v>37408</v>
      </c>
      <c r="C164" s="1546">
        <v>223.68799999999999</v>
      </c>
      <c r="D164" s="1546">
        <v>1866.02</v>
      </c>
      <c r="E164" s="1546">
        <v>1.0132903281280037</v>
      </c>
      <c r="F164" s="1546">
        <v>7.7361155046709458</v>
      </c>
      <c r="K164" s="1664">
        <v>42221</v>
      </c>
      <c r="L164" s="1665" t="s">
        <v>2296</v>
      </c>
      <c r="M164" s="1666">
        <v>5.2531000000000001E-2</v>
      </c>
      <c r="N164" s="1667">
        <v>1.0549810138230595</v>
      </c>
      <c r="O164" s="1667">
        <v>1.0549810138230595</v>
      </c>
    </row>
    <row r="165" spans="2:15">
      <c r="B165" s="1545">
        <v>37438</v>
      </c>
      <c r="C165" s="1546">
        <v>228.05699999999999</v>
      </c>
      <c r="D165" s="1546">
        <v>1888.23</v>
      </c>
      <c r="E165" s="1546">
        <v>1.0153543455443825</v>
      </c>
      <c r="F165" s="1546">
        <v>7.8548984953009189</v>
      </c>
      <c r="K165" s="1664">
        <v>42222</v>
      </c>
      <c r="L165" s="1665" t="s">
        <v>2296</v>
      </c>
      <c r="M165" s="1666">
        <v>5.2531000000000001E-2</v>
      </c>
      <c r="N165" s="1667">
        <v>1.055535205899431</v>
      </c>
      <c r="O165" s="1667">
        <v>1.055535205899431</v>
      </c>
    </row>
    <row r="166" spans="2:15">
      <c r="B166" s="1545">
        <v>37469</v>
      </c>
      <c r="C166" s="1546">
        <v>233.34800000000001</v>
      </c>
      <c r="D166" s="1546">
        <v>1900.5</v>
      </c>
      <c r="E166" s="1546">
        <v>1.0144340404848073</v>
      </c>
      <c r="F166" s="1546">
        <v>7.9682764181861447</v>
      </c>
      <c r="K166" s="1664">
        <v>42223</v>
      </c>
      <c r="L166" s="1665" t="s">
        <v>2296</v>
      </c>
      <c r="M166" s="1666">
        <v>5.2531000000000001E-2</v>
      </c>
      <c r="N166" s="1667">
        <v>1.0560896890984419</v>
      </c>
      <c r="O166" s="1667">
        <v>1.0560896890984419</v>
      </c>
    </row>
    <row r="167" spans="2:15">
      <c r="B167" s="1545">
        <v>37500</v>
      </c>
      <c r="C167" s="1546">
        <v>238.94300000000001</v>
      </c>
      <c r="D167" s="1546">
        <v>1914.18</v>
      </c>
      <c r="E167" s="1546">
        <v>1.0138126637754254</v>
      </c>
      <c r="F167" s="1546">
        <v>8.0783395412202008</v>
      </c>
      <c r="K167" s="1664">
        <v>42224</v>
      </c>
      <c r="L167" s="1665"/>
      <c r="M167" s="1666">
        <v>0</v>
      </c>
      <c r="N167" s="1667">
        <v>1.0560896890984419</v>
      </c>
      <c r="O167" s="1667">
        <v>1.0560896890984419</v>
      </c>
    </row>
    <row r="168" spans="2:15">
      <c r="B168" s="1545">
        <v>37530</v>
      </c>
      <c r="C168" s="1546">
        <v>248.19900000000001</v>
      </c>
      <c r="D168" s="1546">
        <v>1939.26</v>
      </c>
      <c r="E168" s="1546">
        <v>1.0164592520111337</v>
      </c>
      <c r="F168" s="1546">
        <v>8.2113029675606501</v>
      </c>
      <c r="K168" s="1664">
        <v>42225</v>
      </c>
      <c r="L168" s="1665"/>
      <c r="M168" s="1666">
        <v>0</v>
      </c>
      <c r="N168" s="1667">
        <v>1.0560896890984419</v>
      </c>
      <c r="O168" s="1667">
        <v>1.0560896890984419</v>
      </c>
    </row>
    <row r="169" spans="2:15">
      <c r="B169" s="1545">
        <v>37561</v>
      </c>
      <c r="C169" s="1546">
        <v>261.08</v>
      </c>
      <c r="D169" s="1546">
        <v>1997.83</v>
      </c>
      <c r="E169" s="1546">
        <v>1.0154093077816833</v>
      </c>
      <c r="F169" s="1546">
        <v>8.337833462276441</v>
      </c>
      <c r="K169" s="1664">
        <v>42226</v>
      </c>
      <c r="L169" s="1665" t="s">
        <v>2296</v>
      </c>
      <c r="M169" s="1666">
        <v>5.2531000000000001E-2</v>
      </c>
      <c r="N169" s="1667">
        <v>1.0566444635730223</v>
      </c>
      <c r="O169" s="1667">
        <v>1.0566444635730223</v>
      </c>
    </row>
    <row r="170" spans="2:15">
      <c r="B170" s="1545">
        <v>37591</v>
      </c>
      <c r="C170" s="1546">
        <v>270.86700000000002</v>
      </c>
      <c r="D170" s="1546">
        <v>2039.78</v>
      </c>
      <c r="E170" s="1546">
        <v>1.0174244857414556</v>
      </c>
      <c r="F170" s="1546">
        <v>8.483115922554509</v>
      </c>
      <c r="K170" s="1664">
        <v>42227</v>
      </c>
      <c r="L170" s="1665" t="s">
        <v>2296</v>
      </c>
      <c r="M170" s="1666">
        <v>5.2531000000000001E-2</v>
      </c>
      <c r="N170" s="1667">
        <v>1.0571995294761818</v>
      </c>
      <c r="O170" s="1667">
        <v>1.0571995294761818</v>
      </c>
    </row>
    <row r="171" spans="2:15">
      <c r="B171" s="1545">
        <v>37622</v>
      </c>
      <c r="C171" s="1546">
        <v>277.173</v>
      </c>
      <c r="D171" s="1546">
        <v>2085.6799999999998</v>
      </c>
      <c r="E171" s="1546">
        <v>1.0197126646415859</v>
      </c>
      <c r="F171" s="1546">
        <v>8.6503407418515241</v>
      </c>
      <c r="K171" s="1664">
        <v>42228</v>
      </c>
      <c r="L171" s="1665" t="s">
        <v>2296</v>
      </c>
      <c r="M171" s="1666">
        <v>5.2531000000000001E-2</v>
      </c>
      <c r="N171" s="1667">
        <v>1.0577548869610109</v>
      </c>
      <c r="O171" s="1667">
        <v>1.0577548869610109</v>
      </c>
    </row>
    <row r="172" spans="2:15">
      <c r="B172" s="1545">
        <v>37653</v>
      </c>
      <c r="C172" s="1546">
        <v>283.50599999999997</v>
      </c>
      <c r="D172" s="1546">
        <v>2118.4299999999998</v>
      </c>
      <c r="E172" s="1546">
        <v>1.0183037986307939</v>
      </c>
      <c r="F172" s="1546">
        <v>8.8086748368781276</v>
      </c>
      <c r="K172" s="1664">
        <v>42229</v>
      </c>
      <c r="L172" s="1665" t="s">
        <v>2296</v>
      </c>
      <c r="M172" s="1666">
        <v>5.2531000000000001E-2</v>
      </c>
      <c r="N172" s="1667">
        <v>1.0583105361806804</v>
      </c>
      <c r="O172" s="1667">
        <v>1.0583105361806804</v>
      </c>
    </row>
    <row r="173" spans="2:15">
      <c r="B173" s="1545">
        <v>37681</v>
      </c>
      <c r="C173" s="1546">
        <v>287.85500000000002</v>
      </c>
      <c r="D173" s="1546">
        <v>2144.4899999999998</v>
      </c>
      <c r="E173" s="1546">
        <v>1.0177701866474056</v>
      </c>
      <c r="F173" s="1546">
        <v>8.9652066328457565</v>
      </c>
      <c r="K173" s="1664">
        <v>42230</v>
      </c>
      <c r="L173" s="1665" t="s">
        <v>2296</v>
      </c>
      <c r="M173" s="1666">
        <v>5.2531000000000001E-2</v>
      </c>
      <c r="N173" s="1667">
        <v>1.0588664772884415</v>
      </c>
      <c r="O173" s="1667">
        <v>1.0588664772884415</v>
      </c>
    </row>
    <row r="174" spans="2:15">
      <c r="B174" s="1545">
        <v>37712</v>
      </c>
      <c r="C174" s="1546">
        <v>290.512</v>
      </c>
      <c r="D174" s="1546">
        <v>2165.29</v>
      </c>
      <c r="E174" s="1546">
        <v>1.0187159495984839</v>
      </c>
      <c r="F174" s="1546">
        <v>9.1329989883260918</v>
      </c>
      <c r="K174" s="1664">
        <v>42231</v>
      </c>
      <c r="L174" s="1665"/>
      <c r="M174" s="1666">
        <v>0</v>
      </c>
      <c r="N174" s="1667">
        <v>1.0588664772884415</v>
      </c>
      <c r="O174" s="1667">
        <v>1.0588664772884415</v>
      </c>
    </row>
    <row r="175" spans="2:15">
      <c r="B175" s="1545">
        <v>37742</v>
      </c>
      <c r="C175" s="1546">
        <v>289.74700000000001</v>
      </c>
      <c r="D175" s="1546">
        <v>2178.5</v>
      </c>
      <c r="E175" s="1546">
        <v>1.0196535248447016</v>
      </c>
      <c r="F175" s="1546">
        <v>9.312494610849793</v>
      </c>
      <c r="K175" s="1664">
        <v>42232</v>
      </c>
      <c r="L175" s="1665"/>
      <c r="M175" s="1666">
        <v>0</v>
      </c>
      <c r="N175" s="1667">
        <v>1.0588664772884415</v>
      </c>
      <c r="O175" s="1667">
        <v>1.0588664772884415</v>
      </c>
    </row>
    <row r="176" spans="2:15">
      <c r="B176" s="1545">
        <v>37773</v>
      </c>
      <c r="C176" s="1546">
        <v>286.84300000000002</v>
      </c>
      <c r="D176" s="1546">
        <v>2175.23</v>
      </c>
      <c r="E176" s="1546">
        <v>1.0185667947451373</v>
      </c>
      <c r="F176" s="1546">
        <v>9.4853977868546391</v>
      </c>
      <c r="K176" s="1664">
        <v>42233</v>
      </c>
      <c r="L176" s="1665" t="s">
        <v>2296</v>
      </c>
      <c r="M176" s="1666">
        <v>5.2531000000000001E-2</v>
      </c>
      <c r="N176" s="1667">
        <v>1.0594227104376259</v>
      </c>
      <c r="O176" s="1667">
        <v>1.0594227104376259</v>
      </c>
    </row>
    <row r="177" spans="2:15">
      <c r="B177" s="1545">
        <v>37803</v>
      </c>
      <c r="C177" s="1546">
        <v>285.649</v>
      </c>
      <c r="D177" s="1546">
        <v>2179.58</v>
      </c>
      <c r="E177" s="1546">
        <v>1.0208424747911398</v>
      </c>
      <c r="F177" s="1546">
        <v>9.6830969511110894</v>
      </c>
      <c r="K177" s="1664">
        <v>42234</v>
      </c>
      <c r="L177" s="1665" t="s">
        <v>2296</v>
      </c>
      <c r="M177" s="1666">
        <v>5.2531000000000001E-2</v>
      </c>
      <c r="N177" s="1667">
        <v>1.059979235781646</v>
      </c>
      <c r="O177" s="1667">
        <v>1.059979235781646</v>
      </c>
    </row>
    <row r="178" spans="2:15">
      <c r="B178" s="1545">
        <v>37834</v>
      </c>
      <c r="C178" s="1546">
        <v>286.73500000000001</v>
      </c>
      <c r="D178" s="1546">
        <v>2186.9899999999998</v>
      </c>
      <c r="E178" s="1546">
        <v>1.0177426111342931</v>
      </c>
      <c r="F178" s="1546">
        <v>9.8549003748903132</v>
      </c>
      <c r="K178" s="1664">
        <v>42235</v>
      </c>
      <c r="L178" s="1665" t="s">
        <v>2296</v>
      </c>
      <c r="M178" s="1666">
        <v>5.2531000000000001E-2</v>
      </c>
      <c r="N178" s="1667">
        <v>1.0605360534739945</v>
      </c>
      <c r="O178" s="1667">
        <v>1.0605360534739945</v>
      </c>
    </row>
    <row r="179" spans="2:15">
      <c r="B179" s="1545">
        <v>37865</v>
      </c>
      <c r="C179" s="1546">
        <v>290.12700000000001</v>
      </c>
      <c r="D179" s="1546">
        <v>2204.0500000000002</v>
      </c>
      <c r="E179" s="1546">
        <v>1.0167950902831471</v>
      </c>
      <c r="F179" s="1546">
        <v>10.020414316418016</v>
      </c>
      <c r="K179" s="1664">
        <v>42236</v>
      </c>
      <c r="L179" s="1665" t="s">
        <v>2296</v>
      </c>
      <c r="M179" s="1666">
        <v>5.2531000000000001E-2</v>
      </c>
      <c r="N179" s="1667">
        <v>1.061093163668245</v>
      </c>
      <c r="O179" s="1667">
        <v>1.061093163668245</v>
      </c>
    </row>
    <row r="180" spans="2:15">
      <c r="B180" s="1545">
        <v>37895</v>
      </c>
      <c r="C180" s="1546">
        <v>291.22899999999998</v>
      </c>
      <c r="D180" s="1546">
        <v>2210.44</v>
      </c>
      <c r="E180" s="1546">
        <v>1.0164205992977207</v>
      </c>
      <c r="F180" s="1546">
        <v>10.18495552470506</v>
      </c>
      <c r="K180" s="1664">
        <v>42237</v>
      </c>
      <c r="L180" s="1665" t="s">
        <v>2296</v>
      </c>
      <c r="M180" s="1666">
        <v>5.2531000000000001E-2</v>
      </c>
      <c r="N180" s="1667">
        <v>1.0616505665180516</v>
      </c>
      <c r="O180" s="1667">
        <v>1.0616505665180516</v>
      </c>
    </row>
    <row r="181" spans="2:15">
      <c r="B181" s="1545">
        <v>37926</v>
      </c>
      <c r="C181" s="1546">
        <v>292.65699999999998</v>
      </c>
      <c r="D181" s="1546">
        <v>2217.96</v>
      </c>
      <c r="E181" s="1546">
        <v>1.0134353138584866</v>
      </c>
      <c r="F181" s="1546">
        <v>10.3217935988142</v>
      </c>
      <c r="K181" s="1664">
        <v>42238</v>
      </c>
      <c r="L181" s="1665"/>
      <c r="M181" s="1666">
        <v>0</v>
      </c>
      <c r="N181" s="1667">
        <v>1.0616505665180516</v>
      </c>
      <c r="O181" s="1667">
        <v>1.0616505665180516</v>
      </c>
    </row>
    <row r="182" spans="2:15">
      <c r="B182" s="1545">
        <v>37956</v>
      </c>
      <c r="C182" s="1546">
        <v>294.45499999999998</v>
      </c>
      <c r="D182" s="1546">
        <v>2229.4899999999998</v>
      </c>
      <c r="E182" s="1546">
        <v>1.0137325047762002</v>
      </c>
      <c r="F182" s="1546">
        <v>10.463537678708869</v>
      </c>
      <c r="K182" s="1664">
        <v>42239</v>
      </c>
      <c r="L182" s="1665"/>
      <c r="M182" s="1666">
        <v>0</v>
      </c>
      <c r="N182" s="1667">
        <v>1.0616505665180516</v>
      </c>
      <c r="O182" s="1667">
        <v>1.0616505665180516</v>
      </c>
    </row>
    <row r="183" spans="2:15">
      <c r="B183" s="1545">
        <v>37987</v>
      </c>
      <c r="C183" s="1546">
        <v>297.03899999999999</v>
      </c>
      <c r="D183" s="1546">
        <v>2246.4299999999998</v>
      </c>
      <c r="E183" s="1546">
        <v>1.0126755135884871</v>
      </c>
      <c r="F183" s="1546">
        <v>10.59616839273899</v>
      </c>
      <c r="K183" s="1664">
        <v>42240</v>
      </c>
      <c r="L183" s="1665" t="s">
        <v>2296</v>
      </c>
      <c r="M183" s="1666">
        <v>5.2531000000000001E-2</v>
      </c>
      <c r="N183" s="1667">
        <v>1.0622082621771491</v>
      </c>
      <c r="O183" s="1667">
        <v>1.0622082621771491</v>
      </c>
    </row>
    <row r="184" spans="2:15">
      <c r="B184" s="1545">
        <v>38018</v>
      </c>
      <c r="C184" s="1546">
        <v>299.09699999999998</v>
      </c>
      <c r="D184" s="1546">
        <v>2260.13</v>
      </c>
      <c r="E184" s="1546">
        <v>1.0108439419169848</v>
      </c>
      <c r="F184" s="1546">
        <v>10.711072627332442</v>
      </c>
      <c r="K184" s="1664">
        <v>42241</v>
      </c>
      <c r="L184" s="1665" t="s">
        <v>2296</v>
      </c>
      <c r="M184" s="1666">
        <v>5.2531000000000001E-2</v>
      </c>
      <c r="N184" s="1667">
        <v>1.0627662507993534</v>
      </c>
      <c r="O184" s="1667">
        <v>1.0627662507993534</v>
      </c>
    </row>
    <row r="185" spans="2:15">
      <c r="B185" s="1545">
        <v>38047</v>
      </c>
      <c r="C185" s="1546">
        <v>302.48399999999998</v>
      </c>
      <c r="D185" s="1546">
        <v>2270.75</v>
      </c>
      <c r="E185" s="1546">
        <v>1.0137912342986635</v>
      </c>
      <c r="F185" s="1546">
        <v>10.858791539525985</v>
      </c>
      <c r="K185" s="1664">
        <v>42242</v>
      </c>
      <c r="L185" s="1665" t="s">
        <v>2296</v>
      </c>
      <c r="M185" s="1666">
        <v>5.2531000000000001E-2</v>
      </c>
      <c r="N185" s="1667">
        <v>1.0633245325385607</v>
      </c>
      <c r="O185" s="1667">
        <v>1.0633245325385607</v>
      </c>
    </row>
    <row r="186" spans="2:15">
      <c r="B186" s="1545">
        <v>38078</v>
      </c>
      <c r="C186" s="1546">
        <v>306.15100000000001</v>
      </c>
      <c r="D186" s="1546">
        <v>2279.15</v>
      </c>
      <c r="E186" s="1546">
        <v>1.011818501098614</v>
      </c>
      <c r="F186" s="1546">
        <v>10.987126179265493</v>
      </c>
      <c r="K186" s="1664">
        <v>42243</v>
      </c>
      <c r="L186" s="1665" t="s">
        <v>2296</v>
      </c>
      <c r="M186" s="1666">
        <v>5.2531000000000001E-2</v>
      </c>
      <c r="N186" s="1667">
        <v>1.0638831075487485</v>
      </c>
      <c r="O186" s="1667">
        <v>1.0638831075487485</v>
      </c>
    </row>
    <row r="187" spans="2:15">
      <c r="B187" s="1545">
        <v>38108</v>
      </c>
      <c r="C187" s="1546">
        <v>310.15199999999999</v>
      </c>
      <c r="D187" s="1546">
        <v>2290.77</v>
      </c>
      <c r="E187" s="1546">
        <v>1.0122780474663127</v>
      </c>
      <c r="F187" s="1546">
        <v>11.122026636012881</v>
      </c>
      <c r="K187" s="1664">
        <v>42244</v>
      </c>
      <c r="L187" s="1665" t="s">
        <v>2296</v>
      </c>
      <c r="M187" s="1666">
        <v>5.2531000000000001E-2</v>
      </c>
      <c r="N187" s="1667">
        <v>1.0644419759839749</v>
      </c>
      <c r="O187" s="1667">
        <v>1.0644419759839749</v>
      </c>
    </row>
    <row r="188" spans="2:15">
      <c r="B188" s="1545">
        <v>38139</v>
      </c>
      <c r="C188" s="1546">
        <v>314.41899999999998</v>
      </c>
      <c r="D188" s="1546">
        <v>2307.0300000000002</v>
      </c>
      <c r="E188" s="1546">
        <v>1.0122988884857291</v>
      </c>
      <c r="F188" s="1546">
        <v>11.258815201344513</v>
      </c>
      <c r="K188" s="1664">
        <v>42245</v>
      </c>
      <c r="L188" s="1665"/>
      <c r="M188" s="1666">
        <v>0</v>
      </c>
      <c r="N188" s="1667">
        <v>1.0644419759839749</v>
      </c>
      <c r="O188" s="1667">
        <v>1.0644419759839749</v>
      </c>
    </row>
    <row r="189" spans="2:15">
      <c r="B189" s="1545">
        <v>38169</v>
      </c>
      <c r="C189" s="1546">
        <v>318.53199999999998</v>
      </c>
      <c r="D189" s="1546">
        <v>2328.02</v>
      </c>
      <c r="E189" s="1546">
        <v>1.012868893920805</v>
      </c>
      <c r="F189" s="1546">
        <v>11.403703699844563</v>
      </c>
      <c r="K189" s="1664">
        <v>42246</v>
      </c>
      <c r="L189" s="1665"/>
      <c r="M189" s="1666">
        <v>0</v>
      </c>
      <c r="N189" s="1667">
        <v>1.0644419759839749</v>
      </c>
      <c r="O189" s="1667">
        <v>1.0644419759839749</v>
      </c>
    </row>
    <row r="190" spans="2:15">
      <c r="B190" s="1545">
        <v>38200</v>
      </c>
      <c r="C190" s="1546">
        <v>322.41199999999998</v>
      </c>
      <c r="D190" s="1546">
        <v>2344.08</v>
      </c>
      <c r="E190" s="1546">
        <v>1.0129358583775749</v>
      </c>
      <c r="F190" s="1546">
        <v>11.551220395885579</v>
      </c>
      <c r="K190" s="1664">
        <v>42247</v>
      </c>
      <c r="L190" s="1665" t="s">
        <v>2296</v>
      </c>
      <c r="M190" s="1666">
        <v>5.2531000000000001E-2</v>
      </c>
      <c r="N190" s="1667">
        <v>1.065001137998379</v>
      </c>
      <c r="O190" s="1667">
        <v>1.065001137998379</v>
      </c>
    </row>
    <row r="191" spans="2:15">
      <c r="B191" s="1545">
        <v>38231</v>
      </c>
      <c r="C191" s="1546">
        <v>324.65100000000001</v>
      </c>
      <c r="D191" s="1546">
        <v>2351.8200000000002</v>
      </c>
      <c r="E191" s="1546">
        <v>1.0125132709021758</v>
      </c>
      <c r="F191" s="1546">
        <v>11.695763945950034</v>
      </c>
      <c r="K191" s="1664">
        <v>42248</v>
      </c>
      <c r="L191" s="1665" t="s">
        <v>2296</v>
      </c>
      <c r="M191" s="1666">
        <v>5.2531000000000001E-2</v>
      </c>
      <c r="N191" s="1667">
        <v>1.065560593746181</v>
      </c>
      <c r="O191" s="1667">
        <v>1.065560593746181</v>
      </c>
    </row>
    <row r="192" spans="2:15">
      <c r="B192" s="1545">
        <v>38261</v>
      </c>
      <c r="C192" s="1546">
        <v>325.92500000000001</v>
      </c>
      <c r="D192" s="1546">
        <v>2362.17</v>
      </c>
      <c r="E192" s="1546">
        <v>1.0121322386789289</v>
      </c>
      <c r="F192" s="1546">
        <v>11.837659745674712</v>
      </c>
      <c r="K192" s="1664">
        <v>42249</v>
      </c>
      <c r="L192" s="1665" t="s">
        <v>2296</v>
      </c>
      <c r="M192" s="1666">
        <v>5.2531000000000001E-2</v>
      </c>
      <c r="N192" s="1667">
        <v>1.0661203433816817</v>
      </c>
      <c r="O192" s="1667">
        <v>1.0661203433816817</v>
      </c>
    </row>
    <row r="193" spans="2:15">
      <c r="B193" s="1545">
        <v>38292</v>
      </c>
      <c r="C193" s="1546">
        <v>328.58800000000002</v>
      </c>
      <c r="D193" s="1546">
        <v>2378.4699999999998</v>
      </c>
      <c r="E193" s="1546">
        <v>1.0125098562166484</v>
      </c>
      <c r="F193" s="1546">
        <v>11.985747167034708</v>
      </c>
      <c r="K193" s="1664">
        <v>42250</v>
      </c>
      <c r="L193" s="1665" t="s">
        <v>2296</v>
      </c>
      <c r="M193" s="1666">
        <v>5.2531000000000001E-2</v>
      </c>
      <c r="N193" s="1667">
        <v>1.0666803870592636</v>
      </c>
      <c r="O193" s="1667">
        <v>1.0666803870592636</v>
      </c>
    </row>
    <row r="194" spans="2:15">
      <c r="B194" s="1545">
        <v>38322</v>
      </c>
      <c r="C194" s="1546">
        <v>331.005</v>
      </c>
      <c r="D194" s="1546">
        <v>2398.92</v>
      </c>
      <c r="E194" s="1546">
        <v>1.0148282315457626</v>
      </c>
      <c r="F194" s="1546">
        <v>12.163474601276468</v>
      </c>
      <c r="K194" s="1664">
        <v>42251</v>
      </c>
      <c r="L194" s="1665" t="s">
        <v>2296</v>
      </c>
      <c r="M194" s="1666">
        <v>5.2531000000000001E-2</v>
      </c>
      <c r="N194" s="1667">
        <v>1.0672407249333897</v>
      </c>
      <c r="O194" s="1667">
        <v>1.0672407249333897</v>
      </c>
    </row>
    <row r="195" spans="2:15">
      <c r="B195" s="1545">
        <v>38353</v>
      </c>
      <c r="C195" s="1546">
        <v>332.298</v>
      </c>
      <c r="D195" s="1546">
        <v>2412.83</v>
      </c>
      <c r="E195" s="1546">
        <v>1.0138388229391033</v>
      </c>
      <c r="F195" s="1546">
        <v>12.331802772607814</v>
      </c>
      <c r="K195" s="1664">
        <v>42252</v>
      </c>
      <c r="L195" s="1665"/>
      <c r="M195" s="1666">
        <v>0</v>
      </c>
      <c r="N195" s="1667">
        <v>1.0672407249333897</v>
      </c>
      <c r="O195" s="1667">
        <v>1.0672407249333897</v>
      </c>
    </row>
    <row r="196" spans="2:15">
      <c r="B196" s="1545">
        <v>38384</v>
      </c>
      <c r="C196" s="1546">
        <v>333.28800000000001</v>
      </c>
      <c r="D196" s="1546">
        <v>2427.0700000000002</v>
      </c>
      <c r="E196" s="1546">
        <v>1.0121818576713373</v>
      </c>
      <c r="F196" s="1546">
        <v>12.482027038814724</v>
      </c>
      <c r="K196" s="1664">
        <v>42253</v>
      </c>
      <c r="L196" s="1665"/>
      <c r="M196" s="1666">
        <v>0</v>
      </c>
      <c r="N196" s="1667">
        <v>1.0672407249333897</v>
      </c>
      <c r="O196" s="1667">
        <v>1.0672407249333897</v>
      </c>
    </row>
    <row r="197" spans="2:15">
      <c r="B197" s="1545">
        <v>38412</v>
      </c>
      <c r="C197" s="1546">
        <v>336.12299999999999</v>
      </c>
      <c r="D197" s="1546">
        <v>2441.87</v>
      </c>
      <c r="E197" s="1546">
        <v>1.0152817807540921</v>
      </c>
      <c r="F197" s="1546">
        <v>12.672774639388541</v>
      </c>
      <c r="G197" s="67"/>
      <c r="K197" s="1664">
        <v>42254</v>
      </c>
      <c r="L197" s="1665"/>
      <c r="M197" s="1666">
        <v>0</v>
      </c>
      <c r="N197" s="1667">
        <v>1.0672407249333897</v>
      </c>
      <c r="O197" s="1667">
        <v>1.0672407249333897</v>
      </c>
    </row>
    <row r="198" spans="2:15">
      <c r="B198" s="1545">
        <v>38443</v>
      </c>
      <c r="C198" s="1546">
        <v>339.03</v>
      </c>
      <c r="D198" s="1546">
        <v>2463.11</v>
      </c>
      <c r="E198" s="1546">
        <v>1.0141152901477553</v>
      </c>
      <c r="F198" s="1546">
        <v>12.851654530400625</v>
      </c>
      <c r="K198" s="1664">
        <v>42255</v>
      </c>
      <c r="L198" s="1665" t="s">
        <v>2296</v>
      </c>
      <c r="M198" s="1666">
        <v>5.2531000000000001E-2</v>
      </c>
      <c r="N198" s="1667">
        <v>1.0678013571586045</v>
      </c>
      <c r="O198" s="1667">
        <v>1.0678013571586045</v>
      </c>
    </row>
    <row r="199" spans="2:15">
      <c r="B199" s="1545">
        <v>38473</v>
      </c>
      <c r="C199" s="1546">
        <v>338.29899999999998</v>
      </c>
      <c r="D199" s="1546">
        <v>2475.1799999999998</v>
      </c>
      <c r="E199" s="1546">
        <v>1.0150306502044895</v>
      </c>
      <c r="F199" s="1546">
        <v>13.044823254196018</v>
      </c>
      <c r="K199" s="1664">
        <v>42256</v>
      </c>
      <c r="L199" s="1665" t="s">
        <v>2296</v>
      </c>
      <c r="M199" s="1666">
        <v>5.2531000000000001E-2</v>
      </c>
      <c r="N199" s="1667">
        <v>1.0683622838895335</v>
      </c>
      <c r="O199" s="1667">
        <v>1.0683622838895335</v>
      </c>
    </row>
    <row r="200" spans="2:15">
      <c r="B200" s="1545">
        <v>38504</v>
      </c>
      <c r="C200" s="1546">
        <v>336.80099999999999</v>
      </c>
      <c r="D200" s="1546">
        <v>2474.6799999999998</v>
      </c>
      <c r="E200" s="1546">
        <v>1.0158560276185216</v>
      </c>
      <c r="F200" s="1546">
        <v>13.251662331993282</v>
      </c>
      <c r="K200" s="1664">
        <v>42257</v>
      </c>
      <c r="L200" s="1665" t="s">
        <v>2296</v>
      </c>
      <c r="M200" s="1666">
        <v>5.2531000000000001E-2</v>
      </c>
      <c r="N200" s="1667">
        <v>1.0689235052808834</v>
      </c>
      <c r="O200" s="1667">
        <v>1.0689235052808834</v>
      </c>
    </row>
    <row r="201" spans="2:15">
      <c r="B201" s="1545">
        <v>38534</v>
      </c>
      <c r="C201" s="1546">
        <v>335.66300000000001</v>
      </c>
      <c r="D201" s="1546">
        <v>2480.87</v>
      </c>
      <c r="E201" s="1546">
        <v>1.0151134516871545</v>
      </c>
      <c r="F201" s="1546">
        <v>13.451940690422347</v>
      </c>
      <c r="K201" s="1664">
        <v>42258</v>
      </c>
      <c r="L201" s="1665" t="s">
        <v>2296</v>
      </c>
      <c r="M201" s="1666">
        <v>5.2531000000000001E-2</v>
      </c>
      <c r="N201" s="1667">
        <v>1.0694850214874425</v>
      </c>
      <c r="O201" s="1667">
        <v>1.0694850214874425</v>
      </c>
    </row>
    <row r="202" spans="2:15">
      <c r="B202" s="1545">
        <v>38565</v>
      </c>
      <c r="C202" s="1546">
        <v>333.47399999999999</v>
      </c>
      <c r="D202" s="1546">
        <v>2485.09</v>
      </c>
      <c r="E202" s="1546">
        <v>1.0165848332092207</v>
      </c>
      <c r="F202" s="1546">
        <v>13.675038883113331</v>
      </c>
      <c r="K202" s="1664">
        <v>42259</v>
      </c>
      <c r="L202" s="1665"/>
      <c r="M202" s="1666">
        <v>0</v>
      </c>
      <c r="N202" s="1667">
        <v>1.0694850214874425</v>
      </c>
      <c r="O202" s="1667">
        <v>1.0694850214874425</v>
      </c>
    </row>
    <row r="203" spans="2:15">
      <c r="B203" s="1545">
        <v>38596</v>
      </c>
      <c r="C203" s="1546">
        <v>331.69</v>
      </c>
      <c r="D203" s="1546">
        <v>2493.79</v>
      </c>
      <c r="E203" s="1546">
        <v>1.0150313602253485</v>
      </c>
      <c r="F203" s="1546">
        <v>13.880593318661054</v>
      </c>
      <c r="K203" s="1664">
        <v>42260</v>
      </c>
      <c r="L203" s="1665"/>
      <c r="M203" s="1666">
        <v>0</v>
      </c>
      <c r="N203" s="1667">
        <v>1.0694850214874425</v>
      </c>
      <c r="O203" s="1667">
        <v>1.0694850214874425</v>
      </c>
    </row>
    <row r="204" spans="2:15">
      <c r="B204" s="1545">
        <v>38626</v>
      </c>
      <c r="C204" s="1546">
        <v>333.69400000000002</v>
      </c>
      <c r="D204" s="1546">
        <v>2512.4899999999998</v>
      </c>
      <c r="E204" s="1546">
        <v>1.0140716431638075</v>
      </c>
      <c r="F204" s="1546">
        <v>14.075916074743184</v>
      </c>
      <c r="K204" s="1664">
        <v>42261</v>
      </c>
      <c r="L204" s="1665" t="s">
        <v>2296</v>
      </c>
      <c r="M204" s="1666">
        <v>5.2531000000000001E-2</v>
      </c>
      <c r="N204" s="1667">
        <v>1.0700468326640802</v>
      </c>
      <c r="O204" s="1667">
        <v>1.0700468326640802</v>
      </c>
    </row>
    <row r="205" spans="2:15">
      <c r="B205" s="1545">
        <v>38657</v>
      </c>
      <c r="C205" s="1546">
        <v>335.03300000000002</v>
      </c>
      <c r="D205" s="1546">
        <v>2526.31</v>
      </c>
      <c r="E205" s="1546">
        <v>1.0138104099310956</v>
      </c>
      <c r="F205" s="1546">
        <v>14.270310245891086</v>
      </c>
      <c r="K205" s="1664">
        <v>42262</v>
      </c>
      <c r="L205" s="1665" t="s">
        <v>2296</v>
      </c>
      <c r="M205" s="1666">
        <v>5.2531000000000001E-2</v>
      </c>
      <c r="N205" s="1667">
        <v>1.0706089389657469</v>
      </c>
      <c r="O205" s="1667">
        <v>1.0706089389657469</v>
      </c>
    </row>
    <row r="206" spans="2:15">
      <c r="B206" s="1545">
        <v>38687</v>
      </c>
      <c r="C206" s="1546">
        <v>335.00599999999997</v>
      </c>
      <c r="D206" s="1546">
        <v>2535.4</v>
      </c>
      <c r="E206" s="1546">
        <v>1.0147357208231795</v>
      </c>
      <c r="F206" s="1546">
        <v>14.480593553734694</v>
      </c>
      <c r="K206" s="1664">
        <v>42263</v>
      </c>
      <c r="L206" s="1665" t="s">
        <v>2296</v>
      </c>
      <c r="M206" s="1666">
        <v>5.2531000000000001E-2</v>
      </c>
      <c r="N206" s="1667">
        <v>1.071171340547475</v>
      </c>
      <c r="O206" s="1667">
        <v>1.071171340547475</v>
      </c>
    </row>
    <row r="207" spans="2:15">
      <c r="B207" s="1545">
        <v>38718</v>
      </c>
      <c r="C207" s="1546">
        <v>338.08300000000003</v>
      </c>
      <c r="D207" s="1546">
        <v>2550.36</v>
      </c>
      <c r="E207" s="1546">
        <v>1.0142931741687891</v>
      </c>
      <c r="F207" s="1546">
        <v>14.687567199465668</v>
      </c>
      <c r="K207" s="1664">
        <v>42264</v>
      </c>
      <c r="L207" s="1665" t="s">
        <v>2296</v>
      </c>
      <c r="M207" s="1666">
        <v>5.2531000000000001E-2</v>
      </c>
      <c r="N207" s="1667">
        <v>1.071734037564378</v>
      </c>
      <c r="O207" s="1667">
        <v>1.071734037564378</v>
      </c>
    </row>
    <row r="208" spans="2:15">
      <c r="B208" s="1545">
        <v>38749</v>
      </c>
      <c r="C208" s="1546">
        <v>338.12799999999999</v>
      </c>
      <c r="D208" s="1546">
        <v>2560.8200000000002</v>
      </c>
      <c r="E208" s="1546">
        <v>1.0114506306443078</v>
      </c>
      <c r="F208" s="1546">
        <v>14.855749106530201</v>
      </c>
      <c r="K208" s="1664">
        <v>42265</v>
      </c>
      <c r="L208" s="1665" t="s">
        <v>2296</v>
      </c>
      <c r="M208" s="1666">
        <v>5.2531000000000001E-2</v>
      </c>
      <c r="N208" s="1667">
        <v>1.072297030171651</v>
      </c>
      <c r="O208" s="1667">
        <v>1.072297030171651</v>
      </c>
    </row>
    <row r="209" spans="2:15">
      <c r="B209" s="1545">
        <v>38777</v>
      </c>
      <c r="C209" s="1546">
        <v>337.339</v>
      </c>
      <c r="D209" s="1546">
        <v>2571.83</v>
      </c>
      <c r="E209" s="1546">
        <v>1.0142230199009199</v>
      </c>
      <c r="F209" s="1546">
        <v>15.067042721715453</v>
      </c>
      <c r="K209" s="1664">
        <v>42266</v>
      </c>
      <c r="L209" s="1665"/>
      <c r="M209" s="1666">
        <v>0</v>
      </c>
      <c r="N209" s="1667">
        <v>1.072297030171651</v>
      </c>
      <c r="O209" s="1667">
        <v>1.072297030171651</v>
      </c>
    </row>
    <row r="210" spans="2:15">
      <c r="B210" s="1545">
        <v>38808</v>
      </c>
      <c r="C210" s="1546">
        <v>335.92099999999999</v>
      </c>
      <c r="D210" s="1546">
        <v>2577.23</v>
      </c>
      <c r="E210" s="1546">
        <v>1.0107787821533378</v>
      </c>
      <c r="F210" s="1546">
        <v>15.229447092907858</v>
      </c>
      <c r="K210" s="1664">
        <v>42267</v>
      </c>
      <c r="L210" s="1665"/>
      <c r="M210" s="1666">
        <v>0</v>
      </c>
      <c r="N210" s="1667">
        <v>1.072297030171651</v>
      </c>
      <c r="O210" s="1667">
        <v>1.072297030171651</v>
      </c>
    </row>
    <row r="211" spans="2:15">
      <c r="B211" s="1545">
        <v>38838</v>
      </c>
      <c r="C211" s="1546">
        <v>337.185</v>
      </c>
      <c r="D211" s="1546">
        <v>2579.81</v>
      </c>
      <c r="E211" s="1546">
        <v>1.0128136552027243</v>
      </c>
      <c r="F211" s="1546">
        <v>15.424591976884511</v>
      </c>
      <c r="K211" s="1664">
        <v>42268</v>
      </c>
      <c r="L211" s="1665" t="s">
        <v>2296</v>
      </c>
      <c r="M211" s="1666">
        <v>5.2531000000000001E-2</v>
      </c>
      <c r="N211" s="1667">
        <v>1.0728603185245704</v>
      </c>
      <c r="O211" s="1667">
        <v>1.0728603185245704</v>
      </c>
    </row>
    <row r="212" spans="2:15">
      <c r="B212" s="1545">
        <v>38869</v>
      </c>
      <c r="C212" s="1546">
        <v>339.71199999999999</v>
      </c>
      <c r="D212" s="1546">
        <v>2574.39</v>
      </c>
      <c r="E212" s="1546">
        <v>1.0118439390435949</v>
      </c>
      <c r="F212" s="1546">
        <v>15.607279904031055</v>
      </c>
      <c r="K212" s="1664">
        <v>42269</v>
      </c>
      <c r="L212" s="1665" t="s">
        <v>2296</v>
      </c>
      <c r="M212" s="1666">
        <v>5.2531000000000001E-2</v>
      </c>
      <c r="N212" s="1667">
        <v>1.0734239027784946</v>
      </c>
      <c r="O212" s="1667">
        <v>1.0734239027784946</v>
      </c>
    </row>
    <row r="213" spans="2:15">
      <c r="B213" s="1545">
        <v>38899</v>
      </c>
      <c r="C213" s="1546">
        <v>340.31200000000001</v>
      </c>
      <c r="D213" s="1546">
        <v>2579.2800000000002</v>
      </c>
      <c r="E213" s="1546">
        <v>1.0116996590630269</v>
      </c>
      <c r="F213" s="1546">
        <v>15.78987975780945</v>
      </c>
      <c r="K213" s="1664">
        <v>42270</v>
      </c>
      <c r="L213" s="1665" t="s">
        <v>2296</v>
      </c>
      <c r="M213" s="1666">
        <v>5.2531000000000001E-2</v>
      </c>
      <c r="N213" s="1667">
        <v>1.0739877830888631</v>
      </c>
      <c r="O213" s="1667">
        <v>1.0739877830888631</v>
      </c>
    </row>
    <row r="214" spans="2:15">
      <c r="B214" s="1545">
        <v>38930</v>
      </c>
      <c r="C214" s="1546">
        <v>341.57400000000001</v>
      </c>
      <c r="D214" s="1546">
        <v>2580.5700000000002</v>
      </c>
      <c r="E214" s="1546">
        <v>1.012562646303421</v>
      </c>
      <c r="F214" s="1546">
        <v>15.988242432380357</v>
      </c>
      <c r="K214" s="1664">
        <v>42271</v>
      </c>
      <c r="L214" s="1665" t="s">
        <v>2296</v>
      </c>
      <c r="M214" s="1666">
        <v>5.2531000000000001E-2</v>
      </c>
      <c r="N214" s="1667">
        <v>1.0745519596111974</v>
      </c>
      <c r="O214" s="1667">
        <v>1.0745519596111974</v>
      </c>
    </row>
    <row r="215" spans="2:15" ht="13.5" customHeight="1">
      <c r="B215" s="1545">
        <v>38961</v>
      </c>
      <c r="C215" s="1546">
        <v>342.56099999999998</v>
      </c>
      <c r="D215" s="1546">
        <v>2585.9899999999998</v>
      </c>
      <c r="E215" s="1546">
        <v>1.0105730983323107</v>
      </c>
      <c r="F215" s="1546">
        <v>16.157287691778738</v>
      </c>
      <c r="K215" s="1664">
        <v>42272</v>
      </c>
      <c r="L215" s="1665" t="s">
        <v>2296</v>
      </c>
      <c r="M215" s="1666">
        <v>5.2531000000000001E-2</v>
      </c>
      <c r="N215" s="1667">
        <v>1.0751164325011009</v>
      </c>
      <c r="O215" s="1667">
        <v>1.0751164325011009</v>
      </c>
    </row>
    <row r="216" spans="2:15">
      <c r="B216" s="1545">
        <v>38991</v>
      </c>
      <c r="C216" s="1546">
        <v>344.15499999999997</v>
      </c>
      <c r="D216" s="1546">
        <v>2594.52</v>
      </c>
      <c r="E216" s="1546">
        <v>1.0109424441222723</v>
      </c>
      <c r="F216" s="1546">
        <v>16.334087909513503</v>
      </c>
      <c r="K216" s="1664">
        <v>42273</v>
      </c>
      <c r="L216" s="1665"/>
      <c r="M216" s="1666">
        <v>0</v>
      </c>
      <c r="N216" s="1667">
        <v>1.0751164325011009</v>
      </c>
      <c r="O216" s="1667">
        <v>1.0751164325011009</v>
      </c>
    </row>
    <row r="217" spans="2:15">
      <c r="B217" s="1545">
        <v>39022</v>
      </c>
      <c r="C217" s="1546">
        <v>346.74599999999998</v>
      </c>
      <c r="D217" s="1546">
        <v>2602.56</v>
      </c>
      <c r="E217" s="1546">
        <v>1.0102060517349183</v>
      </c>
      <c r="F217" s="1546">
        <v>16.500794455760701</v>
      </c>
      <c r="K217" s="1664">
        <v>42274</v>
      </c>
      <c r="L217" s="1665"/>
      <c r="M217" s="1666">
        <v>0</v>
      </c>
      <c r="N217" s="1667">
        <v>1.0751164325011009</v>
      </c>
      <c r="O217" s="1667">
        <v>1.0751164325011009</v>
      </c>
    </row>
    <row r="218" spans="2:15">
      <c r="B218" s="1545">
        <v>39052</v>
      </c>
      <c r="C218" s="1546">
        <v>347.84199999999998</v>
      </c>
      <c r="D218" s="1546">
        <v>2615.0500000000002</v>
      </c>
      <c r="E218" s="1546">
        <v>1.0098788606332807</v>
      </c>
      <c r="F218" s="1546">
        <v>16.663803504527571</v>
      </c>
      <c r="K218" s="1664">
        <v>42275</v>
      </c>
      <c r="L218" s="1665" t="s">
        <v>2296</v>
      </c>
      <c r="M218" s="1666">
        <v>5.2531000000000001E-2</v>
      </c>
      <c r="N218" s="1667">
        <v>1.0756812019142581</v>
      </c>
      <c r="O218" s="1667">
        <v>1.0756812019142581</v>
      </c>
    </row>
    <row r="219" spans="2:15">
      <c r="B219" s="1545">
        <v>39083</v>
      </c>
      <c r="C219" s="1546">
        <v>349.59300000000002</v>
      </c>
      <c r="D219" s="1546">
        <v>2626.56</v>
      </c>
      <c r="E219" s="1546">
        <v>1.0108280266006449</v>
      </c>
      <c r="F219" s="1546">
        <v>16.844239612142516</v>
      </c>
      <c r="K219" s="1664">
        <v>42276</v>
      </c>
      <c r="L219" s="1665" t="s">
        <v>2296</v>
      </c>
      <c r="M219" s="1666">
        <v>5.2531000000000001E-2</v>
      </c>
      <c r="N219" s="1667">
        <v>1.0762462680064357</v>
      </c>
      <c r="O219" s="1667">
        <v>1.0762462680064357</v>
      </c>
    </row>
    <row r="220" spans="2:15">
      <c r="B220" s="1545">
        <v>39114</v>
      </c>
      <c r="C220" s="1546">
        <v>350.524</v>
      </c>
      <c r="D220" s="1546">
        <v>2638.12</v>
      </c>
      <c r="E220" s="1546">
        <v>1.008724844950982</v>
      </c>
      <c r="F220" s="1546">
        <v>16.991202991075649</v>
      </c>
      <c r="K220" s="1664">
        <v>42277</v>
      </c>
      <c r="L220" s="1665" t="s">
        <v>2296</v>
      </c>
      <c r="M220" s="1666">
        <v>5.2531000000000001E-2</v>
      </c>
      <c r="N220" s="1667">
        <v>1.0768116309334823</v>
      </c>
      <c r="O220" s="1667">
        <v>1.0768116309334823</v>
      </c>
    </row>
    <row r="221" spans="2:15">
      <c r="B221" s="1545">
        <v>39142</v>
      </c>
      <c r="C221" s="1546">
        <v>351.71699999999998</v>
      </c>
      <c r="D221" s="1546">
        <v>2647.88</v>
      </c>
      <c r="E221" s="1546">
        <v>1.0105222327764332</v>
      </c>
      <c r="F221" s="1546">
        <v>17.169988384099376</v>
      </c>
      <c r="K221" s="1664">
        <v>42278</v>
      </c>
      <c r="L221" s="1665" t="s">
        <v>2296</v>
      </c>
      <c r="M221" s="1666">
        <v>5.2531000000000001E-2</v>
      </c>
      <c r="N221" s="1667">
        <v>1.0773772908513279</v>
      </c>
      <c r="O221" s="1667">
        <v>1.0773772908513279</v>
      </c>
    </row>
    <row r="222" spans="2:15">
      <c r="B222" s="1545">
        <v>39173</v>
      </c>
      <c r="C222" s="1546">
        <v>351.86900000000003</v>
      </c>
      <c r="D222" s="1546">
        <v>2654.5</v>
      </c>
      <c r="E222" s="1546">
        <v>1.0094482340398951</v>
      </c>
      <c r="F222" s="1546">
        <v>17.332214452814629</v>
      </c>
      <c r="K222" s="1664">
        <v>42279</v>
      </c>
      <c r="L222" s="1665" t="s">
        <v>2296</v>
      </c>
      <c r="M222" s="1666">
        <v>5.2531000000000001E-2</v>
      </c>
      <c r="N222" s="1667">
        <v>1.0779432479159849</v>
      </c>
      <c r="O222" s="1667">
        <v>1.0779432479159849</v>
      </c>
    </row>
    <row r="223" spans="2:15">
      <c r="B223" s="1545">
        <v>39203</v>
      </c>
      <c r="C223" s="1546">
        <v>352.02</v>
      </c>
      <c r="D223" s="1546">
        <v>2661.93</v>
      </c>
      <c r="E223" s="1546">
        <v>1.0102807696314628</v>
      </c>
      <c r="F223" s="1546">
        <v>17.510402956807127</v>
      </c>
      <c r="K223" s="1664">
        <v>42280</v>
      </c>
      <c r="L223" s="1665"/>
      <c r="M223" s="1666">
        <v>0</v>
      </c>
      <c r="N223" s="1667">
        <v>1.0779432479159849</v>
      </c>
      <c r="O223" s="1667">
        <v>1.0779432479159849</v>
      </c>
    </row>
    <row r="224" spans="2:15">
      <c r="B224" s="1545">
        <v>39234</v>
      </c>
      <c r="C224" s="1546">
        <v>352.93599999999998</v>
      </c>
      <c r="D224" s="1546">
        <v>2669.38</v>
      </c>
      <c r="E224" s="1546">
        <v>1.0090562894719608</v>
      </c>
      <c r="F224" s="1546">
        <v>17.668982234754651</v>
      </c>
      <c r="K224" s="1664">
        <v>42281</v>
      </c>
      <c r="L224" s="1665"/>
      <c r="M224" s="1666">
        <v>0</v>
      </c>
      <c r="N224" s="1667">
        <v>1.0779432479159849</v>
      </c>
      <c r="O224" s="1667">
        <v>1.0779432479159849</v>
      </c>
    </row>
    <row r="225" spans="2:15">
      <c r="B225" s="1545">
        <v>39264</v>
      </c>
      <c r="C225" s="1546">
        <v>353.92</v>
      </c>
      <c r="D225" s="1546">
        <v>2675.79</v>
      </c>
      <c r="E225" s="1546">
        <v>1.0097263257608722</v>
      </c>
      <c r="F225" s="1546">
        <v>17.840836511832936</v>
      </c>
      <c r="K225" s="1664">
        <v>42282</v>
      </c>
      <c r="L225" s="1665" t="s">
        <v>2296</v>
      </c>
      <c r="M225" s="1666">
        <v>5.2531000000000001E-2</v>
      </c>
      <c r="N225" s="1667">
        <v>1.0785095022835478</v>
      </c>
      <c r="O225" s="1667">
        <v>1.0785095022835478</v>
      </c>
    </row>
    <row r="226" spans="2:15">
      <c r="B226" s="1545">
        <v>39295</v>
      </c>
      <c r="C226" s="1546">
        <v>357.404</v>
      </c>
      <c r="D226" s="1546">
        <v>2688.37</v>
      </c>
      <c r="E226" s="1546">
        <v>1.0099263513682912</v>
      </c>
      <c r="F226" s="1546">
        <v>18.017930923753628</v>
      </c>
      <c r="K226" s="1664">
        <v>42283</v>
      </c>
      <c r="L226" s="1665" t="s">
        <v>2296</v>
      </c>
      <c r="M226" s="1666">
        <v>5.2531000000000001E-2</v>
      </c>
      <c r="N226" s="1667">
        <v>1.0790760541101925</v>
      </c>
      <c r="O226" s="1667">
        <v>1.0790760541101925</v>
      </c>
    </row>
    <row r="227" spans="2:15">
      <c r="B227" s="1545">
        <v>39326</v>
      </c>
      <c r="C227" s="1546">
        <v>361.99700000000001</v>
      </c>
      <c r="D227" s="1546">
        <v>2693.21</v>
      </c>
      <c r="E227" s="1546">
        <v>1.0080496134415582</v>
      </c>
      <c r="F227" s="1546">
        <v>18.162968302706542</v>
      </c>
      <c r="K227" s="1664">
        <v>42284</v>
      </c>
      <c r="L227" s="1665" t="s">
        <v>2296</v>
      </c>
      <c r="M227" s="1666">
        <v>5.2531000000000001E-2</v>
      </c>
      <c r="N227" s="1667">
        <v>1.0796429035521771</v>
      </c>
      <c r="O227" s="1667">
        <v>1.0796429035521771</v>
      </c>
    </row>
    <row r="228" spans="2:15">
      <c r="B228" s="1545">
        <v>39356</v>
      </c>
      <c r="C228" s="1546">
        <v>365.79399999999998</v>
      </c>
      <c r="D228" s="1546">
        <v>2701.29</v>
      </c>
      <c r="E228" s="1546">
        <v>1.0092949262855189</v>
      </c>
      <c r="F228" s="1546">
        <v>18.331791754206414</v>
      </c>
      <c r="K228" s="1664">
        <v>42285</v>
      </c>
      <c r="L228" s="1665" t="s">
        <v>2296</v>
      </c>
      <c r="M228" s="1666">
        <v>5.2531000000000001E-2</v>
      </c>
      <c r="N228" s="1667">
        <v>1.0802100507658421</v>
      </c>
      <c r="O228" s="1667">
        <v>1.0802100507658421</v>
      </c>
    </row>
    <row r="229" spans="2:15">
      <c r="B229" s="1545">
        <v>39387</v>
      </c>
      <c r="C229" s="1546">
        <v>368.334</v>
      </c>
      <c r="D229" s="1546">
        <v>2711.55</v>
      </c>
      <c r="E229" s="1546">
        <v>1.0084467048252397</v>
      </c>
      <c r="F229" s="1546">
        <v>18.486634988071959</v>
      </c>
      <c r="K229" s="1664">
        <v>42286</v>
      </c>
      <c r="L229" s="1665" t="s">
        <v>2296</v>
      </c>
      <c r="M229" s="1666">
        <v>5.2531000000000001E-2</v>
      </c>
      <c r="N229" s="1667">
        <v>1.08077749590761</v>
      </c>
      <c r="O229" s="1667">
        <v>1.08077749590761</v>
      </c>
    </row>
    <row r="230" spans="2:15">
      <c r="B230" s="1545">
        <v>39417</v>
      </c>
      <c r="C230" s="1546">
        <v>374.815</v>
      </c>
      <c r="D230" s="1546">
        <v>2731.62</v>
      </c>
      <c r="E230" s="1546">
        <v>1.0084467048252395</v>
      </c>
      <c r="F230" s="1546">
        <v>18.642786137028146</v>
      </c>
      <c r="K230" s="1664">
        <v>42287</v>
      </c>
      <c r="L230" s="1665"/>
      <c r="M230" s="1666">
        <v>0</v>
      </c>
      <c r="N230" s="1667">
        <v>1.08077749590761</v>
      </c>
      <c r="O230" s="1667">
        <v>1.08077749590761</v>
      </c>
    </row>
    <row r="231" spans="2:15">
      <c r="B231" s="1545">
        <v>39448</v>
      </c>
      <c r="C231" s="1546">
        <v>378.9</v>
      </c>
      <c r="D231" s="1546">
        <v>2746.37</v>
      </c>
      <c r="E231" s="1546">
        <v>1.0092938367057227</v>
      </c>
      <c r="F231" s="1546">
        <v>18.816049147125398</v>
      </c>
      <c r="K231" s="1664">
        <v>42288</v>
      </c>
      <c r="L231" s="1665"/>
      <c r="M231" s="1666">
        <v>0</v>
      </c>
      <c r="N231" s="1667">
        <v>1.08077749590761</v>
      </c>
      <c r="O231" s="1667">
        <v>1.08077749590761</v>
      </c>
    </row>
    <row r="232" spans="2:15">
      <c r="B232" s="1545">
        <v>39479</v>
      </c>
      <c r="C232" s="1546">
        <v>380.90600000000001</v>
      </c>
      <c r="D232" s="1546">
        <v>2759.83</v>
      </c>
      <c r="E232" s="1546">
        <v>1.0080223173492819</v>
      </c>
      <c r="F232" s="1546">
        <v>18.966997464643324</v>
      </c>
      <c r="K232" s="1664">
        <v>42289</v>
      </c>
      <c r="L232" s="1665"/>
      <c r="M232" s="1666">
        <v>0</v>
      </c>
      <c r="N232" s="1667">
        <v>1.08077749590761</v>
      </c>
      <c r="O232" s="1667">
        <v>1.08077749590761</v>
      </c>
    </row>
    <row r="233" spans="2:15">
      <c r="B233" s="1545">
        <v>39508</v>
      </c>
      <c r="C233" s="1546">
        <v>383.73099999999999</v>
      </c>
      <c r="D233" s="1546">
        <v>2773.08</v>
      </c>
      <c r="E233" s="1546">
        <v>1.0084459790490408</v>
      </c>
      <c r="F233" s="1546">
        <v>19.12719232785291</v>
      </c>
      <c r="K233" s="1664">
        <v>42290</v>
      </c>
      <c r="L233" s="1665" t="s">
        <v>2296</v>
      </c>
      <c r="M233" s="1666">
        <v>5.2531000000000001E-2</v>
      </c>
      <c r="N233" s="1667">
        <v>1.0813452391339853</v>
      </c>
      <c r="O233" s="1667">
        <v>1.0813452391339853</v>
      </c>
    </row>
    <row r="234" spans="2:15">
      <c r="B234" s="1545">
        <v>39539</v>
      </c>
      <c r="C234" s="1546">
        <v>386.38</v>
      </c>
      <c r="D234" s="1546">
        <v>2788.33</v>
      </c>
      <c r="E234" s="1546">
        <v>1.0090142575644072</v>
      </c>
      <c r="F234" s="1546">
        <v>19.299609765980129</v>
      </c>
      <c r="K234" s="1664">
        <v>42291</v>
      </c>
      <c r="L234" s="1665" t="s">
        <v>2296</v>
      </c>
      <c r="M234" s="1666">
        <v>5.2531000000000001E-2</v>
      </c>
      <c r="N234" s="1667">
        <v>1.0819132806015548</v>
      </c>
      <c r="O234" s="1667">
        <v>1.0819132806015548</v>
      </c>
    </row>
    <row r="235" spans="2:15">
      <c r="B235" s="1545">
        <v>39569</v>
      </c>
      <c r="C235" s="1546">
        <v>392.59199999999998</v>
      </c>
      <c r="D235" s="1546">
        <v>2810.36</v>
      </c>
      <c r="E235" s="1546">
        <v>1.0087678287685495</v>
      </c>
      <c r="F235" s="1546">
        <v>19.46882543970807</v>
      </c>
      <c r="K235" s="1664">
        <v>42292</v>
      </c>
      <c r="L235" s="1665" t="s">
        <v>2296</v>
      </c>
      <c r="M235" s="1666">
        <v>5.2531000000000001E-2</v>
      </c>
      <c r="N235" s="1667">
        <v>1.0824816204669876</v>
      </c>
      <c r="O235" s="1667">
        <v>1.0824816204669876</v>
      </c>
    </row>
    <row r="236" spans="2:15">
      <c r="B236" s="1545">
        <v>39600</v>
      </c>
      <c r="C236" s="1546">
        <v>400.38200000000001</v>
      </c>
      <c r="D236" s="1546">
        <v>2831.16</v>
      </c>
      <c r="E236" s="1546">
        <v>1.0095559246898425</v>
      </c>
      <c r="F236" s="1546">
        <v>19.654868069409609</v>
      </c>
      <c r="K236" s="1664">
        <v>42293</v>
      </c>
      <c r="L236" s="1665" t="s">
        <v>2296</v>
      </c>
      <c r="M236" s="1666">
        <v>5.2531000000000001E-2</v>
      </c>
      <c r="N236" s="1667">
        <v>1.0830502588870352</v>
      </c>
      <c r="O236" s="1667">
        <v>1.0830502588870352</v>
      </c>
    </row>
    <row r="237" spans="2:15">
      <c r="B237" s="1545">
        <v>39630</v>
      </c>
      <c r="C237" s="1546">
        <v>407.44600000000003</v>
      </c>
      <c r="D237" s="1546">
        <v>2846.16</v>
      </c>
      <c r="E237" s="1546">
        <v>1.0106967121371</v>
      </c>
      <c r="F237" s="1546">
        <v>19.865110535240763</v>
      </c>
      <c r="K237" s="1664">
        <v>42294</v>
      </c>
      <c r="L237" s="1665"/>
      <c r="M237" s="1666">
        <v>0</v>
      </c>
      <c r="N237" s="1667">
        <v>1.0830502588870352</v>
      </c>
      <c r="O237" s="1667">
        <v>1.0830502588870352</v>
      </c>
    </row>
    <row r="238" spans="2:15">
      <c r="B238" s="1545">
        <v>39661</v>
      </c>
      <c r="C238" s="1546">
        <v>406.12700000000001</v>
      </c>
      <c r="D238" s="1546">
        <v>2854.13</v>
      </c>
      <c r="E238" s="1546">
        <v>1.0101765713502602</v>
      </c>
      <c r="F238" s="1546">
        <v>20.067269249983447</v>
      </c>
      <c r="K238" s="1664">
        <v>42295</v>
      </c>
      <c r="L238" s="1665"/>
      <c r="M238" s="1666">
        <v>0</v>
      </c>
      <c r="N238" s="1667">
        <v>1.0830502588870352</v>
      </c>
      <c r="O238" s="1667">
        <v>1.0830502588870352</v>
      </c>
    </row>
    <row r="239" spans="2:15">
      <c r="B239" s="1545">
        <v>39692</v>
      </c>
      <c r="C239" s="1546">
        <v>406.55700000000002</v>
      </c>
      <c r="D239" s="1546">
        <v>2861.55</v>
      </c>
      <c r="E239" s="1546">
        <v>1.011030909274969</v>
      </c>
      <c r="F239" s="1546">
        <v>20.288629476476387</v>
      </c>
      <c r="K239" s="1664">
        <v>42296</v>
      </c>
      <c r="L239" s="1665" t="s">
        <v>2296</v>
      </c>
      <c r="M239" s="1666">
        <v>5.2531000000000001E-2</v>
      </c>
      <c r="N239" s="1667">
        <v>1.0836191960185311</v>
      </c>
      <c r="O239" s="1667">
        <v>1.0836191960185311</v>
      </c>
    </row>
    <row r="240" spans="2:15">
      <c r="B240" s="1545">
        <v>39722</v>
      </c>
      <c r="C240" s="1546">
        <v>410.524</v>
      </c>
      <c r="D240" s="1546">
        <v>2874.43</v>
      </c>
      <c r="E240" s="1546">
        <v>1.0117587656900342</v>
      </c>
      <c r="F240" s="1546">
        <v>20.527198716662195</v>
      </c>
      <c r="K240" s="1664">
        <v>42297</v>
      </c>
      <c r="L240" s="1665" t="s">
        <v>2296</v>
      </c>
      <c r="M240" s="1666">
        <v>5.2531000000000001E-2</v>
      </c>
      <c r="N240" s="1667">
        <v>1.0841884320183917</v>
      </c>
      <c r="O240" s="1667">
        <v>1.0841884320183917</v>
      </c>
    </row>
    <row r="241" spans="2:15">
      <c r="B241" s="1545">
        <v>39753</v>
      </c>
      <c r="C241" s="1546">
        <v>412.10399999999998</v>
      </c>
      <c r="D241" s="1546">
        <v>2884.78</v>
      </c>
      <c r="E241" s="1546">
        <v>1.0101996908301405</v>
      </c>
      <c r="F241" s="1546">
        <v>20.736569797181005</v>
      </c>
      <c r="K241" s="1664">
        <v>42298</v>
      </c>
      <c r="L241" s="1665" t="s">
        <v>2296</v>
      </c>
      <c r="M241" s="1666">
        <v>5.2531000000000001E-2</v>
      </c>
      <c r="N241" s="1667">
        <v>1.0847579670436152</v>
      </c>
      <c r="O241" s="1667">
        <v>1.0847579670436152</v>
      </c>
    </row>
    <row r="242" spans="2:15">
      <c r="B242" s="1545">
        <v>39783</v>
      </c>
      <c r="C242" s="1546">
        <v>411.57499999999999</v>
      </c>
      <c r="D242" s="1546">
        <v>2892.86</v>
      </c>
      <c r="E242" s="1546">
        <v>1.0112409294280835</v>
      </c>
      <c r="F242" s="1546">
        <v>20.969668114851643</v>
      </c>
      <c r="K242" s="1664">
        <v>42299</v>
      </c>
      <c r="L242" s="1665" t="s">
        <v>2296</v>
      </c>
      <c r="M242" s="1666">
        <v>5.2531000000000001E-2</v>
      </c>
      <c r="N242" s="1667">
        <v>1.0853278012512828</v>
      </c>
      <c r="O242" s="1667">
        <v>1.0853278012512828</v>
      </c>
    </row>
    <row r="243" spans="2:15">
      <c r="B243" s="1545">
        <v>39814</v>
      </c>
      <c r="C243" s="1546">
        <v>409.78199999999998</v>
      </c>
      <c r="D243" s="1546">
        <v>2906.74</v>
      </c>
      <c r="E243" s="1546">
        <v>1.0104780743150839</v>
      </c>
      <c r="F243" s="1546">
        <v>21.189389855721704</v>
      </c>
      <c r="K243" s="1664">
        <v>42300</v>
      </c>
      <c r="L243" s="1665" t="s">
        <v>2296</v>
      </c>
      <c r="M243" s="1666">
        <v>5.2531000000000001E-2</v>
      </c>
      <c r="N243" s="1667">
        <v>1.0858979347985582</v>
      </c>
      <c r="O243" s="1667">
        <v>1.0858979347985582</v>
      </c>
    </row>
    <row r="244" spans="2:15">
      <c r="B244" s="1545">
        <v>39845</v>
      </c>
      <c r="C244" s="1546">
        <v>410.84899999999999</v>
      </c>
      <c r="D244" s="1546">
        <v>2922.73</v>
      </c>
      <c r="E244" s="1546">
        <v>1.0085508573858042</v>
      </c>
      <c r="F244" s="1546">
        <v>21.370577306470185</v>
      </c>
      <c r="K244" s="1664">
        <v>42301</v>
      </c>
      <c r="L244" s="1665"/>
      <c r="M244" s="1666">
        <v>0</v>
      </c>
      <c r="N244" s="1667">
        <v>1.0858979347985582</v>
      </c>
      <c r="O244" s="1667">
        <v>1.0858979347985582</v>
      </c>
    </row>
    <row r="245" spans="2:15">
      <c r="B245" s="1545">
        <v>39873</v>
      </c>
      <c r="C245" s="1546">
        <v>407.80799999999999</v>
      </c>
      <c r="D245" s="1546">
        <v>2928.57</v>
      </c>
      <c r="E245" s="1546">
        <v>1.0097088387156097</v>
      </c>
      <c r="F245" s="1546">
        <v>21.578060794798173</v>
      </c>
      <c r="K245" s="1664">
        <v>42302</v>
      </c>
      <c r="L245" s="1665"/>
      <c r="M245" s="1666">
        <v>0</v>
      </c>
      <c r="N245" s="1667">
        <v>1.0858979347985582</v>
      </c>
      <c r="O245" s="1667">
        <v>1.0858979347985582</v>
      </c>
    </row>
    <row r="246" spans="2:15">
      <c r="B246" s="1545">
        <v>39904</v>
      </c>
      <c r="C246" s="1546">
        <v>407.18099999999998</v>
      </c>
      <c r="D246" s="1546">
        <v>2942.63</v>
      </c>
      <c r="E246" s="1546">
        <v>1.008395669248594</v>
      </c>
      <c r="F246" s="1546">
        <v>21.759223056257351</v>
      </c>
      <c r="K246" s="1664">
        <v>42303</v>
      </c>
      <c r="L246" s="1665" t="s">
        <v>2296</v>
      </c>
      <c r="M246" s="1666">
        <v>5.2531000000000001E-2</v>
      </c>
      <c r="N246" s="1667">
        <v>1.0864683678426872</v>
      </c>
      <c r="O246" s="1667">
        <v>1.0864683678426872</v>
      </c>
    </row>
    <row r="247" spans="2:15">
      <c r="B247" s="1545">
        <v>39934</v>
      </c>
      <c r="C247" s="1546">
        <v>406.88499999999999</v>
      </c>
      <c r="D247" s="1546">
        <v>2956.46</v>
      </c>
      <c r="E247" s="1546">
        <v>1.0077089274459567</v>
      </c>
      <c r="F247" s="1546">
        <v>21.926963328078429</v>
      </c>
      <c r="K247" s="1664">
        <v>42304</v>
      </c>
      <c r="L247" s="1665" t="s">
        <v>2296</v>
      </c>
      <c r="M247" s="1666">
        <v>5.2531000000000001E-2</v>
      </c>
      <c r="N247" s="1667">
        <v>1.0870391005409987</v>
      </c>
      <c r="O247" s="1667">
        <v>1.0870391005409987</v>
      </c>
    </row>
    <row r="248" spans="2:15">
      <c r="B248" s="1545">
        <v>39965</v>
      </c>
      <c r="C248" s="1546">
        <v>406.48599999999999</v>
      </c>
      <c r="D248" s="1546">
        <v>2967.1</v>
      </c>
      <c r="E248" s="1546">
        <v>1.0076218232644543</v>
      </c>
      <c r="F248" s="1546">
        <v>22.094086767291213</v>
      </c>
      <c r="K248" s="1664">
        <v>42305</v>
      </c>
      <c r="L248" s="1665" t="s">
        <v>2296</v>
      </c>
      <c r="M248" s="1666">
        <v>5.2531000000000001E-2</v>
      </c>
      <c r="N248" s="1667">
        <v>1.0876101330509038</v>
      </c>
      <c r="O248" s="1667">
        <v>1.0876101330509038</v>
      </c>
    </row>
    <row r="249" spans="2:15">
      <c r="B249" s="1545">
        <v>39995</v>
      </c>
      <c r="C249" s="1546">
        <v>404.71800000000002</v>
      </c>
      <c r="D249" s="1546">
        <v>2974.22</v>
      </c>
      <c r="E249" s="1546">
        <v>1.0079014252372847</v>
      </c>
      <c r="F249" s="1546">
        <v>22.268661542069044</v>
      </c>
      <c r="K249" s="1664">
        <v>42306</v>
      </c>
      <c r="L249" s="1665" t="s">
        <v>2296</v>
      </c>
      <c r="M249" s="1666">
        <v>5.2531000000000001E-2</v>
      </c>
      <c r="N249" s="1667">
        <v>1.0881814655298967</v>
      </c>
      <c r="O249" s="1667">
        <v>1.0881814655298967</v>
      </c>
    </row>
    <row r="250" spans="2:15">
      <c r="B250" s="1545">
        <v>40026</v>
      </c>
      <c r="C250" s="1546">
        <v>403.25299999999999</v>
      </c>
      <c r="D250" s="1546">
        <v>2978.68</v>
      </c>
      <c r="E250" s="1546">
        <v>1.0069374854840563</v>
      </c>
      <c r="F250" s="1546">
        <v>22.423150058266511</v>
      </c>
      <c r="K250" s="1664">
        <v>42307</v>
      </c>
      <c r="L250" s="1665" t="s">
        <v>2296</v>
      </c>
      <c r="M250" s="1666">
        <v>5.2531000000000001E-2</v>
      </c>
      <c r="N250" s="1667">
        <v>1.0887530981355542</v>
      </c>
      <c r="O250" s="1667">
        <v>1.0887530981355542</v>
      </c>
    </row>
    <row r="251" spans="2:15">
      <c r="B251" s="1545">
        <v>40057</v>
      </c>
      <c r="C251" s="1546">
        <v>404.94499999999999</v>
      </c>
      <c r="D251" s="1546">
        <v>2985.83</v>
      </c>
      <c r="E251" s="1546">
        <v>1.0069374854840563</v>
      </c>
      <c r="F251" s="1546">
        <v>22.578710336302549</v>
      </c>
      <c r="K251" s="1664">
        <v>42308</v>
      </c>
      <c r="L251" s="1665"/>
      <c r="M251" s="1666">
        <v>0</v>
      </c>
      <c r="N251" s="1667">
        <v>1.0887530981355542</v>
      </c>
      <c r="O251" s="1667">
        <v>1.0887530981355542</v>
      </c>
    </row>
    <row r="252" spans="2:15">
      <c r="B252" s="1545">
        <v>40087</v>
      </c>
      <c r="C252" s="1546">
        <v>405.12900000000002</v>
      </c>
      <c r="D252" s="1546">
        <v>2994.19</v>
      </c>
      <c r="E252" s="1546">
        <v>1.006937485484056</v>
      </c>
      <c r="F252" s="1546">
        <v>22.735349811509355</v>
      </c>
      <c r="K252" s="1664">
        <v>42309</v>
      </c>
      <c r="L252" s="1665"/>
      <c r="M252" s="1666">
        <v>0</v>
      </c>
      <c r="N252" s="1667">
        <v>1.0887530981355542</v>
      </c>
      <c r="O252" s="1667">
        <v>1.0887530981355542</v>
      </c>
    </row>
    <row r="253" spans="2:15">
      <c r="B253" s="1545">
        <v>40118</v>
      </c>
      <c r="C253" s="1546">
        <v>405.548</v>
      </c>
      <c r="D253" s="1546">
        <v>3006.47</v>
      </c>
      <c r="E253" s="1546">
        <v>1.006606040313162</v>
      </c>
      <c r="F253" s="1546">
        <v>22.885540448898027</v>
      </c>
      <c r="K253" s="1664">
        <v>42310</v>
      </c>
      <c r="L253" s="1665"/>
      <c r="M253" s="1666">
        <v>0</v>
      </c>
      <c r="N253" s="1667">
        <v>1.0887530981355542</v>
      </c>
      <c r="O253" s="1667">
        <v>1.0887530981355542</v>
      </c>
    </row>
    <row r="254" spans="2:15">
      <c r="B254" s="1545">
        <v>40148</v>
      </c>
      <c r="C254" s="1546">
        <v>404.49900000000002</v>
      </c>
      <c r="D254" s="1546">
        <v>3017.59</v>
      </c>
      <c r="E254" s="1546">
        <v>1.0072686672230315</v>
      </c>
      <c r="F254" s="1546">
        <v>23.051887826640293</v>
      </c>
      <c r="K254" s="1664">
        <v>42311</v>
      </c>
      <c r="L254" s="1665" t="s">
        <v>2296</v>
      </c>
      <c r="M254" s="1666">
        <v>5.2531000000000001E-2</v>
      </c>
      <c r="N254" s="1667">
        <v>1.0893250310255358</v>
      </c>
      <c r="O254" s="1667">
        <v>1.0893250310255358</v>
      </c>
    </row>
    <row r="255" spans="2:15">
      <c r="B255" s="1545">
        <v>40179</v>
      </c>
      <c r="C255" s="1546">
        <v>407.04899999999998</v>
      </c>
      <c r="D255" s="1546">
        <v>3040.22</v>
      </c>
      <c r="E255" s="1546">
        <v>1.0066056679915218</v>
      </c>
      <c r="F255" s="1546">
        <v>23.204160944200883</v>
      </c>
      <c r="K255" s="1664">
        <v>42312</v>
      </c>
      <c r="L255" s="1665" t="s">
        <v>2296</v>
      </c>
      <c r="M255" s="1666">
        <v>5.2531000000000001E-2</v>
      </c>
      <c r="N255" s="1667">
        <v>1.0898972643575837</v>
      </c>
      <c r="O255" s="1667">
        <v>1.0898972643575837</v>
      </c>
    </row>
    <row r="256" spans="2:15">
      <c r="B256" s="1545">
        <v>40210</v>
      </c>
      <c r="C256" s="1546">
        <v>411.84300000000002</v>
      </c>
      <c r="D256" s="1546">
        <v>3063.93</v>
      </c>
      <c r="E256" s="1546">
        <v>1.0059434772325486</v>
      </c>
      <c r="F256" s="1546">
        <v>23.342074346473133</v>
      </c>
      <c r="K256" s="1664">
        <v>42313</v>
      </c>
      <c r="L256" s="1665" t="s">
        <v>2296</v>
      </c>
      <c r="M256" s="1666">
        <v>5.2531000000000001E-2</v>
      </c>
      <c r="N256" s="1667">
        <v>1.0904697982895235</v>
      </c>
      <c r="O256" s="1667">
        <v>1.0904697982895235</v>
      </c>
    </row>
    <row r="257" spans="2:15">
      <c r="B257" s="1545">
        <v>40238</v>
      </c>
      <c r="C257" s="1546">
        <v>415.73399999999998</v>
      </c>
      <c r="D257" s="1546">
        <v>3079.86</v>
      </c>
      <c r="E257" s="1546">
        <v>1.0076007032666325</v>
      </c>
      <c r="F257" s="1546">
        <v>23.519490527208351</v>
      </c>
      <c r="K257" s="1664">
        <v>42314</v>
      </c>
      <c r="L257" s="1665" t="s">
        <v>2296</v>
      </c>
      <c r="M257" s="1666">
        <v>5.2531000000000001E-2</v>
      </c>
      <c r="N257" s="1667">
        <v>1.0910426329792631</v>
      </c>
      <c r="O257" s="1667">
        <v>1.0910426329792631</v>
      </c>
    </row>
    <row r="258" spans="2:15">
      <c r="B258" s="1545">
        <v>40269</v>
      </c>
      <c r="C258" s="1546">
        <v>418.91699999999997</v>
      </c>
      <c r="D258" s="1546">
        <v>3097.42</v>
      </c>
      <c r="E258" s="1546">
        <v>1.0066591320264642</v>
      </c>
      <c r="F258" s="1546">
        <v>23.676109919824206</v>
      </c>
      <c r="K258" s="1664">
        <v>42315</v>
      </c>
      <c r="L258" s="1665"/>
      <c r="M258" s="1666">
        <v>0</v>
      </c>
      <c r="N258" s="1667">
        <v>1.0910426329792631</v>
      </c>
      <c r="O258" s="1667">
        <v>1.0910426329792631</v>
      </c>
    </row>
    <row r="259" spans="2:15">
      <c r="B259" s="1545">
        <v>40299</v>
      </c>
      <c r="C259" s="1546">
        <v>423.88499999999999</v>
      </c>
      <c r="D259" s="1546">
        <v>3110.74</v>
      </c>
      <c r="E259" s="1546">
        <v>1.0075136425194853</v>
      </c>
      <c r="F259" s="1546">
        <v>23.854003746013806</v>
      </c>
      <c r="K259" s="1664">
        <v>42316</v>
      </c>
      <c r="L259" s="1665"/>
      <c r="M259" s="1666">
        <v>0</v>
      </c>
      <c r="N259" s="1667">
        <v>1.0910426329792631</v>
      </c>
      <c r="O259" s="1667">
        <v>1.0910426329792631</v>
      </c>
    </row>
    <row r="260" spans="2:15">
      <c r="B260" s="1545">
        <v>40330</v>
      </c>
      <c r="C260" s="1546">
        <v>427.48899999999998</v>
      </c>
      <c r="D260" s="1546">
        <v>3110.74</v>
      </c>
      <c r="E260" s="1546">
        <v>1.0079257581819461</v>
      </c>
      <c r="F260" s="1546">
        <v>24.043064811375949</v>
      </c>
      <c r="K260" s="1664">
        <v>42317</v>
      </c>
      <c r="L260" s="1665" t="s">
        <v>2296</v>
      </c>
      <c r="M260" s="1666">
        <v>5.2531000000000001E-2</v>
      </c>
      <c r="N260" s="1667">
        <v>1.0916157685847934</v>
      </c>
      <c r="O260" s="1667">
        <v>1.0916157685847934</v>
      </c>
    </row>
    <row r="261" spans="2:15">
      <c r="B261" s="1545">
        <v>40360</v>
      </c>
      <c r="C261" s="1546">
        <v>428.15</v>
      </c>
      <c r="D261" s="1546">
        <v>3111.05</v>
      </c>
      <c r="E261" s="1546">
        <v>1.0086102956499179</v>
      </c>
      <c r="F261" s="1546">
        <v>24.250082707732034</v>
      </c>
      <c r="K261" s="1664">
        <v>42318</v>
      </c>
      <c r="L261" s="1665" t="s">
        <v>2296</v>
      </c>
      <c r="M261" s="1666">
        <v>5.2531000000000001E-2</v>
      </c>
      <c r="N261" s="1667">
        <v>1.0921892052641886</v>
      </c>
      <c r="O261" s="1667">
        <v>1.0921892052641886</v>
      </c>
    </row>
    <row r="262" spans="2:15">
      <c r="B262" s="1545">
        <v>40391</v>
      </c>
      <c r="C262" s="1546">
        <v>431.44499999999999</v>
      </c>
      <c r="D262" s="1546">
        <v>3112.29</v>
      </c>
      <c r="E262" s="1546">
        <v>1.0088820963555043</v>
      </c>
      <c r="F262" s="1546">
        <v>24.465474278971058</v>
      </c>
      <c r="K262" s="1664">
        <v>42319</v>
      </c>
      <c r="L262" s="1665" t="s">
        <v>2296</v>
      </c>
      <c r="M262" s="1666">
        <v>5.2531000000000001E-2</v>
      </c>
      <c r="N262" s="1667">
        <v>1.0927629431756058</v>
      </c>
      <c r="O262" s="1667">
        <v>1.0927629431756058</v>
      </c>
    </row>
    <row r="263" spans="2:15">
      <c r="B263" s="1545">
        <v>40422</v>
      </c>
      <c r="C263" s="1546">
        <v>436.423</v>
      </c>
      <c r="D263" s="1546">
        <v>3126.29</v>
      </c>
      <c r="E263" s="1546">
        <v>1.0084766584844942</v>
      </c>
      <c r="F263" s="1546">
        <v>24.672859749095071</v>
      </c>
      <c r="K263" s="1664">
        <v>42320</v>
      </c>
      <c r="L263" s="1665" t="s">
        <v>2296</v>
      </c>
      <c r="M263" s="1666">
        <v>5.2531000000000001E-2</v>
      </c>
      <c r="N263" s="1667">
        <v>1.0933369824772854</v>
      </c>
      <c r="O263" s="1667">
        <v>1.0933369824772854</v>
      </c>
    </row>
    <row r="264" spans="2:15">
      <c r="B264" s="1545">
        <v>40452</v>
      </c>
      <c r="C264" s="1546">
        <v>440.82900000000001</v>
      </c>
      <c r="D264" s="1546">
        <v>3149.74</v>
      </c>
      <c r="E264" s="1546">
        <v>1.0080713835461668</v>
      </c>
      <c r="F264" s="1546">
        <v>24.872003863310798</v>
      </c>
      <c r="K264" s="1664">
        <v>42321</v>
      </c>
      <c r="L264" s="1665" t="s">
        <v>2296</v>
      </c>
      <c r="M264" s="1666">
        <v>5.2531000000000001E-2</v>
      </c>
      <c r="N264" s="1667">
        <v>1.0939113233275506</v>
      </c>
      <c r="O264" s="1667">
        <v>1.0939113233275506</v>
      </c>
    </row>
    <row r="265" spans="2:15">
      <c r="B265" s="1545">
        <v>40483</v>
      </c>
      <c r="C265" s="1546">
        <v>447.20600000000002</v>
      </c>
      <c r="D265" s="1546">
        <v>3175.88</v>
      </c>
      <c r="E265" s="1546">
        <v>1.008071383546167</v>
      </c>
      <c r="F265" s="1546">
        <v>25.072755346053327</v>
      </c>
      <c r="K265" s="1664">
        <v>42322</v>
      </c>
      <c r="L265" s="1665"/>
      <c r="M265" s="1666">
        <v>0</v>
      </c>
      <c r="N265" s="1667">
        <v>1.0939113233275506</v>
      </c>
      <c r="O265" s="1667">
        <v>1.0939113233275506</v>
      </c>
    </row>
    <row r="266" spans="2:15">
      <c r="B266" s="1545">
        <v>40513</v>
      </c>
      <c r="C266" s="1546">
        <v>450.30099999999999</v>
      </c>
      <c r="D266" s="1546">
        <v>3195.89</v>
      </c>
      <c r="E266" s="1546">
        <v>1.0092887868177591</v>
      </c>
      <c r="F266" s="1546">
        <v>25.305650825396647</v>
      </c>
      <c r="K266" s="1664">
        <v>42323</v>
      </c>
      <c r="L266" s="1665"/>
      <c r="M266" s="1666">
        <v>0</v>
      </c>
      <c r="N266" s="1667">
        <v>1.0939113233275506</v>
      </c>
      <c r="O266" s="1667">
        <v>1.0939113233275506</v>
      </c>
    </row>
    <row r="267" spans="2:15">
      <c r="B267" s="1545">
        <v>40544</v>
      </c>
      <c r="C267" s="1546">
        <v>453.875</v>
      </c>
      <c r="D267" s="1546">
        <v>3222.42</v>
      </c>
      <c r="E267" s="1546">
        <v>1.0086232010755674</v>
      </c>
      <c r="F267" s="1546">
        <v>25.52386654081214</v>
      </c>
      <c r="K267" s="1664">
        <v>42324</v>
      </c>
      <c r="L267" s="1665" t="s">
        <v>2296</v>
      </c>
      <c r="M267" s="1666">
        <v>5.2531000000000001E-2</v>
      </c>
      <c r="N267" s="1667">
        <v>1.0944859658848078</v>
      </c>
      <c r="O267" s="1667">
        <v>1.0944859658848078</v>
      </c>
    </row>
    <row r="268" spans="2:15">
      <c r="B268" s="1545">
        <v>40575</v>
      </c>
      <c r="C268" s="1546">
        <v>458.39699999999999</v>
      </c>
      <c r="D268" s="1546">
        <v>3248.2</v>
      </c>
      <c r="E268" s="1546">
        <v>1.0084390842010735</v>
      </c>
      <c r="F268" s="1546">
        <v>25.739264599687019</v>
      </c>
      <c r="K268" s="1664">
        <v>42325</v>
      </c>
      <c r="L268" s="1665" t="s">
        <v>2296</v>
      </c>
      <c r="M268" s="1666">
        <v>5.2531000000000001E-2</v>
      </c>
      <c r="N268" s="1667">
        <v>1.0950609103075468</v>
      </c>
      <c r="O268" s="1667">
        <v>1.0950609103075468</v>
      </c>
    </row>
    <row r="269" spans="2:15">
      <c r="B269" s="1545">
        <v>40603</v>
      </c>
      <c r="C269" s="1546">
        <v>461.24900000000002</v>
      </c>
      <c r="D269" s="1546">
        <v>3273.86</v>
      </c>
      <c r="E269" s="1546">
        <v>1.0092045846073012</v>
      </c>
      <c r="F269" s="1546">
        <v>25.97618383842455</v>
      </c>
      <c r="K269" s="1664">
        <v>42326</v>
      </c>
      <c r="L269" s="1665" t="s">
        <v>2296</v>
      </c>
      <c r="M269" s="1666">
        <v>5.2531000000000001E-2</v>
      </c>
      <c r="N269" s="1667">
        <v>1.0956361567543405</v>
      </c>
      <c r="O269" s="1667">
        <v>1.0956361567543405</v>
      </c>
    </row>
    <row r="270" spans="2:15">
      <c r="B270" s="1545">
        <v>40634</v>
      </c>
      <c r="C270" s="1546">
        <v>463.31099999999998</v>
      </c>
      <c r="D270" s="1546">
        <v>3299.07</v>
      </c>
      <c r="E270" s="1546">
        <v>1.0084015541577225</v>
      </c>
      <c r="F270" s="1546">
        <v>26.194424153754028</v>
      </c>
      <c r="K270" s="1664">
        <v>42327</v>
      </c>
      <c r="L270" s="1665" t="s">
        <v>2296</v>
      </c>
      <c r="M270" s="1666">
        <v>5.2531000000000001E-2</v>
      </c>
      <c r="N270" s="1667">
        <v>1.0962117053838452</v>
      </c>
      <c r="O270" s="1667">
        <v>1.0962117053838452</v>
      </c>
    </row>
    <row r="271" spans="2:15">
      <c r="B271" s="1545">
        <v>40664</v>
      </c>
      <c r="C271" s="1546">
        <v>465.31099999999998</v>
      </c>
      <c r="D271" s="1546">
        <v>3314.58</v>
      </c>
      <c r="E271" s="1546">
        <v>1.0098798495673293</v>
      </c>
      <c r="F271" s="1546">
        <v>26.453221123895936</v>
      </c>
      <c r="K271" s="1664">
        <v>42328</v>
      </c>
      <c r="L271" s="1665" t="s">
        <v>2296</v>
      </c>
      <c r="M271" s="1666">
        <v>5.2531000000000001E-2</v>
      </c>
      <c r="N271" s="1667">
        <v>1.0967875563548004</v>
      </c>
      <c r="O271" s="1667">
        <v>1.0967875563548004</v>
      </c>
    </row>
    <row r="272" spans="2:15">
      <c r="B272" s="1545">
        <v>40695</v>
      </c>
      <c r="C272" s="1546">
        <v>464.46300000000002</v>
      </c>
      <c r="D272" s="1546">
        <v>3319.55</v>
      </c>
      <c r="E272" s="1546">
        <v>1.0095627565914342</v>
      </c>
      <c r="F272" s="1546">
        <v>26.706186838563141</v>
      </c>
      <c r="K272" s="1664">
        <v>42329</v>
      </c>
      <c r="L272" s="1665"/>
      <c r="M272" s="1666">
        <v>0</v>
      </c>
      <c r="N272" s="1667">
        <v>1.0967875563548004</v>
      </c>
      <c r="O272" s="1667">
        <v>1.0967875563548004</v>
      </c>
    </row>
    <row r="273" spans="2:15">
      <c r="B273" s="1545">
        <v>40725</v>
      </c>
      <c r="C273" s="1546">
        <v>463.92700000000002</v>
      </c>
      <c r="D273" s="1546">
        <v>3324.86</v>
      </c>
      <c r="E273" s="1546">
        <v>1.0096788504099796</v>
      </c>
      <c r="F273" s="1546">
        <v>26.96467202599456</v>
      </c>
      <c r="K273" s="1664">
        <v>42330</v>
      </c>
      <c r="L273" s="1665"/>
      <c r="M273" s="1666">
        <v>0</v>
      </c>
      <c r="N273" s="1667">
        <v>1.0967875563548004</v>
      </c>
      <c r="O273" s="1667">
        <v>1.0967875563548004</v>
      </c>
    </row>
    <row r="274" spans="2:15">
      <c r="B274" s="1545">
        <v>40756</v>
      </c>
      <c r="C274" s="1546">
        <v>465.96800000000002</v>
      </c>
      <c r="D274" s="1546">
        <v>3337.16</v>
      </c>
      <c r="E274" s="1546">
        <v>1.0107406292787873</v>
      </c>
      <c r="F274" s="1546">
        <v>27.254289571849853</v>
      </c>
      <c r="K274" s="1664">
        <v>42331</v>
      </c>
      <c r="L274" s="1665" t="s">
        <v>2296</v>
      </c>
      <c r="M274" s="1666">
        <v>5.2531000000000001E-2</v>
      </c>
      <c r="N274" s="1667">
        <v>1.0973637098260292</v>
      </c>
      <c r="O274" s="1667">
        <v>1.0973637098260292</v>
      </c>
    </row>
    <row r="275" spans="2:15">
      <c r="B275" s="1545">
        <v>40787</v>
      </c>
      <c r="C275" s="1546">
        <v>468.97500000000002</v>
      </c>
      <c r="D275" s="1546">
        <v>3354.85</v>
      </c>
      <c r="E275" s="1546">
        <v>1.00941760689889</v>
      </c>
      <c r="F275" s="1546">
        <v>27.510959757346054</v>
      </c>
      <c r="K275" s="1664">
        <v>42332</v>
      </c>
      <c r="L275" s="1665" t="s">
        <v>2296</v>
      </c>
      <c r="M275" s="1666">
        <v>5.2531000000000001E-2</v>
      </c>
      <c r="N275" s="1667">
        <v>1.0979401659564378</v>
      </c>
      <c r="O275" s="1667">
        <v>1.0979401659564378</v>
      </c>
    </row>
    <row r="276" spans="2:15">
      <c r="B276" s="1545">
        <v>40817</v>
      </c>
      <c r="C276" s="1546">
        <v>471.46600000000001</v>
      </c>
      <c r="D276" s="1546">
        <v>3369.28</v>
      </c>
      <c r="E276" s="1546">
        <v>1.0088195463919019</v>
      </c>
      <c r="F276" s="1546">
        <v>27.753593943211712</v>
      </c>
      <c r="K276" s="1664">
        <v>42333</v>
      </c>
      <c r="L276" s="1665" t="s">
        <v>2296</v>
      </c>
      <c r="M276" s="1666">
        <v>5.2531000000000001E-2</v>
      </c>
      <c r="N276" s="1667">
        <v>1.0985169249050164</v>
      </c>
      <c r="O276" s="1667">
        <v>1.0985169249050164</v>
      </c>
    </row>
    <row r="277" spans="2:15">
      <c r="B277" s="1545">
        <v>40848</v>
      </c>
      <c r="C277" s="1546">
        <v>473.80799999999999</v>
      </c>
      <c r="D277" s="1546">
        <v>3386.8</v>
      </c>
      <c r="E277" s="1546">
        <v>1.0086047745492386</v>
      </c>
      <c r="F277" s="1546">
        <v>27.992407362024164</v>
      </c>
      <c r="K277" s="1664">
        <v>42334</v>
      </c>
      <c r="L277" s="1665" t="s">
        <v>2296</v>
      </c>
      <c r="M277" s="1666">
        <v>5.2531000000000001E-2</v>
      </c>
      <c r="N277" s="1667">
        <v>1.0990939868308383</v>
      </c>
      <c r="O277" s="1667">
        <v>1.0990939868308383</v>
      </c>
    </row>
    <row r="278" spans="2:15">
      <c r="B278" s="1545">
        <v>40878</v>
      </c>
      <c r="C278" s="1546">
        <v>473.25200000000001</v>
      </c>
      <c r="D278" s="1546">
        <v>3403.73</v>
      </c>
      <c r="E278" s="1546">
        <v>1.0090732804800764</v>
      </c>
      <c r="F278" s="1546">
        <v>28.246390325332364</v>
      </c>
      <c r="K278" s="1664">
        <v>42335</v>
      </c>
      <c r="L278" s="1665" t="s">
        <v>2296</v>
      </c>
      <c r="M278" s="1666">
        <v>5.2531000000000001E-2</v>
      </c>
      <c r="N278" s="1667">
        <v>1.0996713518930603</v>
      </c>
      <c r="O278" s="1667">
        <v>1.0996713518930603</v>
      </c>
    </row>
    <row r="279" spans="2:15">
      <c r="B279" s="1545">
        <v>40909</v>
      </c>
      <c r="C279" s="1546">
        <v>474.42899999999997</v>
      </c>
      <c r="D279" s="1546">
        <v>3422.79</v>
      </c>
      <c r="E279" s="1546">
        <v>1.0089101617717657</v>
      </c>
      <c r="F279" s="1546">
        <v>28.498070232599513</v>
      </c>
      <c r="K279" s="1664">
        <v>42336</v>
      </c>
      <c r="L279" s="1665"/>
      <c r="M279" s="1666">
        <v>0</v>
      </c>
      <c r="N279" s="1667">
        <v>1.0996713518930603</v>
      </c>
      <c r="O279" s="1667">
        <v>1.0996713518930603</v>
      </c>
    </row>
    <row r="280" spans="2:15">
      <c r="B280" s="1545">
        <v>40940</v>
      </c>
      <c r="C280" s="1546">
        <v>474.13799999999998</v>
      </c>
      <c r="D280" s="1546">
        <v>3438.19</v>
      </c>
      <c r="E280" s="1546">
        <v>1.0074877292470876</v>
      </c>
      <c r="F280" s="1546">
        <v>28.711456066565706</v>
      </c>
      <c r="K280" s="1664">
        <v>42337</v>
      </c>
      <c r="L280" s="1665"/>
      <c r="M280" s="1666">
        <v>0</v>
      </c>
      <c r="N280" s="1667">
        <v>1.0996713518930603</v>
      </c>
      <c r="O280" s="1667">
        <v>1.0996713518930603</v>
      </c>
    </row>
    <row r="281" spans="2:15">
      <c r="B281" s="1545">
        <v>40969</v>
      </c>
      <c r="C281" s="1546">
        <v>476.166</v>
      </c>
      <c r="D281" s="1546">
        <v>3445.41</v>
      </c>
      <c r="E281" s="1546">
        <v>1.0082113884808406</v>
      </c>
      <c r="F281" s="1546">
        <v>28.947216986178862</v>
      </c>
      <c r="K281" s="1664">
        <v>42338</v>
      </c>
      <c r="L281" s="1665" t="s">
        <v>2296</v>
      </c>
      <c r="M281" s="1666">
        <v>5.2531000000000001E-2</v>
      </c>
      <c r="N281" s="1667">
        <v>1.1002490202509232</v>
      </c>
      <c r="O281" s="1667">
        <v>1.1002490202509232</v>
      </c>
    </row>
    <row r="282" spans="2:15">
      <c r="B282" s="1545">
        <v>41000</v>
      </c>
      <c r="C282" s="1546">
        <v>480.22899999999998</v>
      </c>
      <c r="D282" s="1546">
        <v>3467.46</v>
      </c>
      <c r="E282" s="1546">
        <v>1.0071187588624242</v>
      </c>
      <c r="F282" s="1546">
        <v>29.15328524364174</v>
      </c>
      <c r="K282" s="1664">
        <v>42339</v>
      </c>
      <c r="L282" s="1665" t="s">
        <v>2296</v>
      </c>
      <c r="M282" s="1666">
        <v>5.2531000000000001E-2</v>
      </c>
      <c r="N282" s="1667">
        <v>1.1008269920637512</v>
      </c>
      <c r="O282" s="1667">
        <v>1.1008269920637512</v>
      </c>
    </row>
    <row r="283" spans="2:15">
      <c r="B283" s="1545">
        <v>41030</v>
      </c>
      <c r="C283" s="1546">
        <v>485.14</v>
      </c>
      <c r="D283" s="1546">
        <v>3479.94</v>
      </c>
      <c r="E283" s="1546">
        <v>1.007447242329657</v>
      </c>
      <c r="F283" s="1546">
        <v>29.370396823556753</v>
      </c>
      <c r="G283" s="11"/>
      <c r="K283" s="1664">
        <v>42340</v>
      </c>
      <c r="L283" s="1665" t="s">
        <v>2296</v>
      </c>
      <c r="M283" s="1666">
        <v>5.2531000000000001E-2</v>
      </c>
      <c r="N283" s="1667">
        <v>1.1014052674909522</v>
      </c>
      <c r="O283" s="1667">
        <v>1.1014052674909522</v>
      </c>
    </row>
    <row r="284" spans="2:15">
      <c r="B284" s="1545">
        <v>41061</v>
      </c>
      <c r="C284" s="1546">
        <v>488.34199999999998</v>
      </c>
      <c r="D284" s="1546">
        <v>3482.72</v>
      </c>
      <c r="E284" s="1546">
        <v>1.0064150263426446</v>
      </c>
      <c r="F284" s="1546">
        <v>29.558808692873793</v>
      </c>
      <c r="K284" s="1664">
        <v>42341</v>
      </c>
      <c r="L284" s="1665" t="s">
        <v>2296</v>
      </c>
      <c r="M284" s="1666">
        <v>5.2531000000000001E-2</v>
      </c>
      <c r="N284" s="1667">
        <v>1.101983846692018</v>
      </c>
      <c r="O284" s="1667">
        <v>1.101983846692018</v>
      </c>
    </row>
    <row r="285" spans="2:15">
      <c r="B285" s="1545">
        <v>41091</v>
      </c>
      <c r="C285" s="1546">
        <v>494.89100000000002</v>
      </c>
      <c r="D285" s="1546">
        <v>3497.7</v>
      </c>
      <c r="E285" s="1546">
        <v>1.0067996486835762</v>
      </c>
      <c r="F285" s="1546">
        <v>29.759798207490373</v>
      </c>
      <c r="K285" s="1664">
        <v>42342</v>
      </c>
      <c r="L285" s="1665" t="s">
        <v>2296</v>
      </c>
      <c r="M285" s="1666">
        <v>5.2531000000000001E-2</v>
      </c>
      <c r="N285" s="1667">
        <v>1.1025627298265237</v>
      </c>
      <c r="O285" s="1667">
        <v>1.1025627298265237</v>
      </c>
    </row>
    <row r="286" spans="2:15">
      <c r="B286" s="1545">
        <v>41122</v>
      </c>
      <c r="C286" s="1546">
        <v>501.95699999999999</v>
      </c>
      <c r="D286" s="1546">
        <v>3512.04</v>
      </c>
      <c r="E286" s="1546">
        <v>1.0069181066014252</v>
      </c>
      <c r="F286" s="1546">
        <v>29.965679663926696</v>
      </c>
      <c r="K286" s="1664">
        <v>42343</v>
      </c>
      <c r="L286" s="1665"/>
      <c r="M286" s="1666">
        <v>0</v>
      </c>
      <c r="N286" s="1667">
        <v>1.1025627298265237</v>
      </c>
      <c r="O286" s="1667">
        <v>1.1025627298265237</v>
      </c>
    </row>
    <row r="287" spans="2:15">
      <c r="B287" s="1545">
        <v>41153</v>
      </c>
      <c r="C287" s="1546">
        <v>506.80399999999997</v>
      </c>
      <c r="D287" s="1546">
        <v>3532.06</v>
      </c>
      <c r="E287" s="1546">
        <v>1.0053899533259578</v>
      </c>
      <c r="F287" s="1546">
        <v>30.127193278695866</v>
      </c>
      <c r="K287" s="1664">
        <v>42344</v>
      </c>
      <c r="L287" s="1665"/>
      <c r="M287" s="1666">
        <v>0</v>
      </c>
      <c r="N287" s="1667">
        <v>1.1025627298265237</v>
      </c>
      <c r="O287" s="1667">
        <v>1.1025627298265237</v>
      </c>
    </row>
    <row r="288" spans="2:15">
      <c r="B288" s="1545">
        <v>41183</v>
      </c>
      <c r="C288" s="1546">
        <v>506.92599999999999</v>
      </c>
      <c r="D288" s="1546">
        <v>3552.9</v>
      </c>
      <c r="E288" s="1546">
        <v>1.0061133864051108</v>
      </c>
      <c r="F288" s="1546">
        <v>30.311372452509993</v>
      </c>
      <c r="K288" s="1664">
        <v>42345</v>
      </c>
      <c r="L288" s="1665" t="s">
        <v>2296</v>
      </c>
      <c r="M288" s="1666">
        <v>5.2531000000000001E-2</v>
      </c>
      <c r="N288" s="1667">
        <v>1.1031419170541288</v>
      </c>
      <c r="O288" s="1667">
        <v>1.1031419170541288</v>
      </c>
    </row>
    <row r="289" spans="2:15">
      <c r="B289" s="1545">
        <v>41214</v>
      </c>
      <c r="C289" s="1546">
        <v>506.79500000000002</v>
      </c>
      <c r="D289" s="1546">
        <v>3574.22</v>
      </c>
      <c r="E289" s="1546">
        <v>1.0054884576647556</v>
      </c>
      <c r="F289" s="1546">
        <v>30.477735136976232</v>
      </c>
      <c r="K289" s="1664">
        <v>42346</v>
      </c>
      <c r="L289" s="1665" t="s">
        <v>2296</v>
      </c>
      <c r="M289" s="1666">
        <v>5.2531000000000001E-2</v>
      </c>
      <c r="N289" s="1667">
        <v>1.1037214085345766</v>
      </c>
      <c r="O289" s="1667">
        <v>1.1037214085345766</v>
      </c>
    </row>
    <row r="290" spans="2:15">
      <c r="B290" s="1545">
        <v>41244</v>
      </c>
      <c r="C290" s="1546">
        <v>510.25200000000001</v>
      </c>
      <c r="D290" s="1546">
        <v>3602.46</v>
      </c>
      <c r="E290" s="1546">
        <v>1.0055015154231364</v>
      </c>
      <c r="F290" s="1546">
        <v>30.645408866894574</v>
      </c>
      <c r="K290" s="1664">
        <v>42347</v>
      </c>
      <c r="L290" s="1665" t="s">
        <v>2296</v>
      </c>
      <c r="M290" s="1666">
        <v>5.2531000000000001E-2</v>
      </c>
      <c r="N290" s="1667">
        <v>1.1043012044276939</v>
      </c>
      <c r="O290" s="1667">
        <v>1.1043012044276939</v>
      </c>
    </row>
    <row r="291" spans="2:15">
      <c r="B291" s="1545">
        <v>41275</v>
      </c>
      <c r="C291" s="1546">
        <v>511.97699999999998</v>
      </c>
      <c r="D291" s="1546">
        <v>3633.44</v>
      </c>
      <c r="E291" s="1546">
        <v>1.0060143970219473</v>
      </c>
      <c r="F291" s="1546">
        <v>30.82972252271998</v>
      </c>
      <c r="K291" s="1664">
        <v>42348</v>
      </c>
      <c r="L291" s="1665" t="s">
        <v>2296</v>
      </c>
      <c r="M291" s="1666">
        <v>5.2531000000000001E-2</v>
      </c>
      <c r="N291" s="1667">
        <v>1.1048813048933919</v>
      </c>
      <c r="O291" s="1667">
        <v>1.1048813048933919</v>
      </c>
    </row>
    <row r="292" spans="2:15">
      <c r="B292" s="1545">
        <v>41306</v>
      </c>
      <c r="C292" s="1546">
        <v>513.46699999999998</v>
      </c>
      <c r="D292" s="1546">
        <v>3655.24</v>
      </c>
      <c r="E292" s="1546">
        <v>1.0049274991744226</v>
      </c>
      <c r="F292" s="1546">
        <v>30.98163595499836</v>
      </c>
      <c r="K292" s="1664">
        <v>42349</v>
      </c>
      <c r="L292" s="1665" t="s">
        <v>2296</v>
      </c>
      <c r="M292" s="1666">
        <v>5.2531000000000001E-2</v>
      </c>
      <c r="N292" s="1667">
        <v>1.1054617100916655</v>
      </c>
      <c r="O292" s="1667">
        <v>1.1054617100916655</v>
      </c>
    </row>
    <row r="293" spans="2:15">
      <c r="B293" s="1545">
        <v>41334</v>
      </c>
      <c r="C293" s="1546">
        <v>514.52599999999995</v>
      </c>
      <c r="D293" s="1546">
        <v>3672.42</v>
      </c>
      <c r="E293" s="1546">
        <v>1.0054940366101026</v>
      </c>
      <c r="F293" s="1546">
        <v>31.151850197175992</v>
      </c>
      <c r="K293" s="1664">
        <v>42350</v>
      </c>
      <c r="L293" s="1665"/>
      <c r="M293" s="1666">
        <v>0</v>
      </c>
      <c r="N293" s="1667">
        <v>1.1054617100916655</v>
      </c>
      <c r="O293" s="1667">
        <v>1.1054617100916655</v>
      </c>
    </row>
    <row r="294" spans="2:15">
      <c r="B294" s="1545">
        <v>41365</v>
      </c>
      <c r="C294" s="1546">
        <v>515.27599999999995</v>
      </c>
      <c r="D294" s="1546">
        <v>3692.62</v>
      </c>
      <c r="E294" s="1546">
        <v>1.0061364605097283</v>
      </c>
      <c r="F294" s="1546">
        <v>31.343012295715933</v>
      </c>
      <c r="K294" s="1664">
        <v>42351</v>
      </c>
      <c r="L294" s="1665"/>
      <c r="M294" s="1666">
        <v>0</v>
      </c>
      <c r="N294" s="1667">
        <v>1.1054617100916655</v>
      </c>
      <c r="O294" s="1667">
        <v>1.1054617100916655</v>
      </c>
    </row>
    <row r="295" spans="2:15">
      <c r="B295" s="1545">
        <v>41395</v>
      </c>
      <c r="C295" s="1546">
        <v>515.29899999999998</v>
      </c>
      <c r="D295" s="1546">
        <v>3706.28</v>
      </c>
      <c r="E295" s="1546">
        <v>1.0059853629993882</v>
      </c>
      <c r="F295" s="1546">
        <v>31.530611601800082</v>
      </c>
      <c r="K295" s="1664">
        <v>42352</v>
      </c>
      <c r="L295" s="1665" t="s">
        <v>2296</v>
      </c>
      <c r="M295" s="1666">
        <v>5.2531000000000001E-2</v>
      </c>
      <c r="N295" s="1667">
        <v>1.1060424201825938</v>
      </c>
      <c r="O295" s="1667">
        <v>1.1060424201825938</v>
      </c>
    </row>
    <row r="296" spans="2:15">
      <c r="B296" s="1545">
        <v>41426</v>
      </c>
      <c r="C296" s="1546">
        <v>519.15300000000002</v>
      </c>
      <c r="D296" s="1546">
        <v>3715.92</v>
      </c>
      <c r="E296" s="1546">
        <v>1.0060527337434972</v>
      </c>
      <c r="F296" s="1546">
        <v>31.721457998595405</v>
      </c>
      <c r="G296" s="66"/>
      <c r="K296" s="1664">
        <v>42353</v>
      </c>
      <c r="L296" s="1665" t="s">
        <v>2296</v>
      </c>
      <c r="M296" s="1666">
        <v>5.2531000000000001E-2</v>
      </c>
      <c r="N296" s="1667">
        <v>1.10662343532634</v>
      </c>
      <c r="O296" s="1667">
        <v>1.10662343532634</v>
      </c>
    </row>
    <row r="297" spans="2:15">
      <c r="B297" s="1545">
        <v>41456</v>
      </c>
      <c r="C297" s="1546">
        <v>520.50800000000004</v>
      </c>
      <c r="D297" s="1546">
        <v>3717.03</v>
      </c>
      <c r="E297" s="1546">
        <v>1.0072409169740031</v>
      </c>
      <c r="F297" s="1546">
        <v>31.951150442257561</v>
      </c>
      <c r="K297" s="1664">
        <v>42354</v>
      </c>
      <c r="L297" s="1665" t="s">
        <v>2296</v>
      </c>
      <c r="M297" s="1666">
        <v>5.2531000000000001E-2</v>
      </c>
      <c r="N297" s="1667">
        <v>1.1072047556831512</v>
      </c>
      <c r="O297" s="1667">
        <v>1.1072047556831512</v>
      </c>
    </row>
    <row r="298" spans="2:15">
      <c r="B298" s="1545">
        <v>41487</v>
      </c>
      <c r="C298" s="1546">
        <v>521.27</v>
      </c>
      <c r="D298" s="1546">
        <v>3725.95</v>
      </c>
      <c r="E298" s="1546">
        <v>1.0071031495053051</v>
      </c>
      <c r="F298" s="1546">
        <v>32.178104240715413</v>
      </c>
      <c r="K298" s="1664">
        <v>42355</v>
      </c>
      <c r="L298" s="1665" t="s">
        <v>2296</v>
      </c>
      <c r="M298" s="1666">
        <v>5.2531000000000001E-2</v>
      </c>
      <c r="N298" s="1667">
        <v>1.1077863814133591</v>
      </c>
      <c r="O298" s="1667">
        <v>1.1077863814133591</v>
      </c>
    </row>
    <row r="299" spans="2:15">
      <c r="B299" s="1545">
        <v>41518</v>
      </c>
      <c r="C299" s="1546">
        <v>529.08500000000004</v>
      </c>
      <c r="D299" s="1546">
        <v>3738.99</v>
      </c>
      <c r="E299" s="1546">
        <v>1.0071302882501354</v>
      </c>
      <c r="F299" s="1546">
        <v>32.407543399294617</v>
      </c>
      <c r="K299" s="1664">
        <v>42356</v>
      </c>
      <c r="L299" s="1665" t="s">
        <v>2296</v>
      </c>
      <c r="M299" s="1666">
        <v>5.2531000000000001E-2</v>
      </c>
      <c r="N299" s="1667">
        <v>1.1083683126773793</v>
      </c>
      <c r="O299" s="1667">
        <v>1.1083683126773793</v>
      </c>
    </row>
    <row r="300" spans="2:15">
      <c r="B300" s="1545">
        <v>41548</v>
      </c>
      <c r="C300" s="1546">
        <v>533.62099999999998</v>
      </c>
      <c r="D300" s="1546">
        <v>3760.3</v>
      </c>
      <c r="E300" s="1546">
        <v>1.0081051023495244</v>
      </c>
      <c r="F300" s="1546">
        <v>32.670209855442558</v>
      </c>
      <c r="G300" s="67"/>
      <c r="K300" s="1664">
        <v>42357</v>
      </c>
      <c r="L300" s="1665"/>
      <c r="M300" s="1666">
        <v>0</v>
      </c>
      <c r="N300" s="1667">
        <v>1.1083683126773793</v>
      </c>
      <c r="O300" s="1667">
        <v>1.1083683126773793</v>
      </c>
    </row>
    <row r="301" spans="2:15">
      <c r="B301" s="1545">
        <v>41579</v>
      </c>
      <c r="C301" s="1546">
        <v>535.16800000000001</v>
      </c>
      <c r="D301" s="1546">
        <v>3780.61</v>
      </c>
      <c r="E301" s="1546">
        <v>1.0071920752752215</v>
      </c>
      <c r="F301" s="1546">
        <v>32.905176463980183</v>
      </c>
      <c r="G301" s="67"/>
      <c r="K301" s="1664">
        <v>42358</v>
      </c>
      <c r="L301" s="1665"/>
      <c r="M301" s="1666">
        <v>0</v>
      </c>
      <c r="N301" s="1667">
        <v>1.1083683126773793</v>
      </c>
      <c r="O301" s="1667">
        <v>1.1083683126773793</v>
      </c>
    </row>
    <row r="302" spans="2:15">
      <c r="B302" s="1545">
        <v>41609</v>
      </c>
      <c r="C302" s="1546">
        <v>538.37</v>
      </c>
      <c r="D302" s="1546">
        <v>3815.39</v>
      </c>
      <c r="E302" s="1546">
        <v>1.0078974581644051</v>
      </c>
      <c r="F302" s="1546">
        <v>33.165043718496833</v>
      </c>
      <c r="G302" s="66"/>
      <c r="K302" s="1664">
        <v>42359</v>
      </c>
      <c r="L302" s="1665" t="s">
        <v>2296</v>
      </c>
      <c r="M302" s="1666">
        <v>5.2531000000000001E-2</v>
      </c>
      <c r="N302" s="1667">
        <v>1.1089505496357119</v>
      </c>
      <c r="O302" s="1667">
        <v>1.1089505496357119</v>
      </c>
    </row>
    <row r="303" spans="2:15">
      <c r="B303" s="1545">
        <v>41640</v>
      </c>
      <c r="C303" s="1546">
        <v>540.95899999999995</v>
      </c>
      <c r="D303" s="1546">
        <v>3836.38</v>
      </c>
      <c r="E303" s="1546">
        <v>1.0084934395272054</v>
      </c>
      <c r="F303" s="1546">
        <v>33.446729011737006</v>
      </c>
      <c r="K303" s="1664">
        <v>42360</v>
      </c>
      <c r="L303" s="1665" t="s">
        <v>2296</v>
      </c>
      <c r="M303" s="1666">
        <v>5.2531000000000001E-2</v>
      </c>
      <c r="N303" s="1667">
        <v>1.109533092448941</v>
      </c>
      <c r="O303" s="1667">
        <v>1.109533092448941</v>
      </c>
    </row>
    <row r="304" spans="2:15">
      <c r="B304" s="1545">
        <v>41671</v>
      </c>
      <c r="C304" s="1546">
        <v>543.03800000000001</v>
      </c>
      <c r="D304" s="1546">
        <v>3862.84</v>
      </c>
      <c r="E304" s="1546">
        <v>1.007901464239193</v>
      </c>
      <c r="F304" s="1546">
        <v>33.711007144941227</v>
      </c>
      <c r="K304" s="1664">
        <v>42361</v>
      </c>
      <c r="L304" s="1665" t="s">
        <v>2296</v>
      </c>
      <c r="M304" s="1666">
        <v>5.2531000000000001E-2</v>
      </c>
      <c r="N304" s="1667">
        <v>1.1101159412777355</v>
      </c>
      <c r="O304" s="1667">
        <v>1.1101159412777355</v>
      </c>
    </row>
    <row r="305" spans="2:15">
      <c r="B305" s="1545">
        <v>41699</v>
      </c>
      <c r="C305" s="1546">
        <v>552.08699999999999</v>
      </c>
      <c r="D305" s="1546">
        <v>3898.38</v>
      </c>
      <c r="E305" s="1546">
        <v>1.0076595732083427</v>
      </c>
      <c r="F305" s="1546">
        <v>33.969219072094866</v>
      </c>
      <c r="K305" s="1664">
        <v>42362</v>
      </c>
      <c r="L305" s="1665" t="s">
        <v>2296</v>
      </c>
      <c r="M305" s="1666">
        <v>5.2531000000000001E-2</v>
      </c>
      <c r="N305" s="1667">
        <v>1.110699096282848</v>
      </c>
      <c r="O305" s="1667">
        <v>1.110699096282848</v>
      </c>
    </row>
    <row r="306" spans="2:15">
      <c r="B306" s="1545">
        <v>41730</v>
      </c>
      <c r="C306" s="1546">
        <v>556.41999999999996</v>
      </c>
      <c r="D306" s="1546">
        <v>3924.5</v>
      </c>
      <c r="E306" s="1546">
        <v>1.0082266762081393</v>
      </c>
      <c r="F306" s="1546">
        <v>34.248672838444342</v>
      </c>
      <c r="K306" s="1664">
        <v>42363</v>
      </c>
      <c r="L306" s="1665"/>
      <c r="M306" s="1666">
        <v>0</v>
      </c>
      <c r="N306" s="1667">
        <v>1.110699096282848</v>
      </c>
      <c r="O306" s="1667">
        <v>1.110699096282848</v>
      </c>
    </row>
    <row r="307" spans="2:15">
      <c r="B307" s="1545">
        <v>41760</v>
      </c>
      <c r="C307" s="1546">
        <v>555.67899999999997</v>
      </c>
      <c r="D307" s="1546">
        <v>3942.55</v>
      </c>
      <c r="E307" s="1546">
        <v>1.0086587318278823</v>
      </c>
      <c r="F307" s="1546">
        <v>34.545222912013308</v>
      </c>
      <c r="K307" s="1664">
        <v>42364</v>
      </c>
      <c r="L307" s="1665"/>
      <c r="M307" s="1666">
        <v>0</v>
      </c>
      <c r="N307" s="1667">
        <v>1.110699096282848</v>
      </c>
      <c r="O307" s="1667">
        <v>1.110699096282848</v>
      </c>
    </row>
    <row r="308" spans="2:15">
      <c r="B308" s="1545">
        <v>41791</v>
      </c>
      <c r="C308" s="1546">
        <v>551.55399999999997</v>
      </c>
      <c r="D308" s="1546">
        <v>3958.32</v>
      </c>
      <c r="E308" s="1546">
        <v>1.0082447163000285</v>
      </c>
      <c r="F308" s="1546">
        <v>34.830038474444102</v>
      </c>
      <c r="K308" s="1664">
        <v>42365</v>
      </c>
      <c r="L308" s="1665"/>
      <c r="M308" s="1666">
        <v>0</v>
      </c>
      <c r="N308" s="1667">
        <v>1.110699096282848</v>
      </c>
      <c r="O308" s="1667">
        <v>1.110699096282848</v>
      </c>
    </row>
    <row r="309" spans="2:15">
      <c r="B309" s="1545">
        <v>41821</v>
      </c>
      <c r="C309" s="1546">
        <v>548.202</v>
      </c>
      <c r="D309" s="1546">
        <v>3958.72</v>
      </c>
      <c r="E309" s="1546">
        <v>1.0094872729749897</v>
      </c>
      <c r="F309" s="1546">
        <v>35.160480557180549</v>
      </c>
      <c r="K309" s="1664">
        <v>42366</v>
      </c>
      <c r="L309" s="1665" t="s">
        <v>2296</v>
      </c>
      <c r="M309" s="1666">
        <v>5.2531000000000001E-2</v>
      </c>
      <c r="N309" s="1667">
        <v>1.1112825576251164</v>
      </c>
      <c r="O309" s="1667">
        <v>1.1112825576251164</v>
      </c>
    </row>
    <row r="310" spans="2:15">
      <c r="B310" s="1545">
        <v>41852</v>
      </c>
      <c r="C310" s="1546">
        <v>546.745</v>
      </c>
      <c r="D310" s="1546">
        <v>3968.62</v>
      </c>
      <c r="E310" s="1546">
        <v>1.0086598207325679</v>
      </c>
      <c r="F310" s="1546">
        <v>35.464964015676671</v>
      </c>
      <c r="K310" s="1664">
        <v>42367</v>
      </c>
      <c r="L310" s="1665" t="s">
        <v>2296</v>
      </c>
      <c r="M310" s="1666">
        <v>5.2531000000000001E-2</v>
      </c>
      <c r="N310" s="1667">
        <v>1.1118663254654624</v>
      </c>
      <c r="O310" s="1667">
        <v>1.1118663254654624</v>
      </c>
    </row>
    <row r="311" spans="2:15">
      <c r="B311" s="1545">
        <v>41883</v>
      </c>
      <c r="C311" s="1546">
        <v>547.83900000000006</v>
      </c>
      <c r="D311" s="1546">
        <v>3991.24</v>
      </c>
      <c r="E311" s="1546">
        <v>1.0090729173629331</v>
      </c>
      <c r="F311" s="1546">
        <v>35.786734703470302</v>
      </c>
      <c r="K311" s="1664">
        <v>42368</v>
      </c>
      <c r="L311" s="1665" t="s">
        <v>2296</v>
      </c>
      <c r="M311" s="1666">
        <v>5.2531000000000001E-2</v>
      </c>
      <c r="N311" s="1667">
        <v>1.1124503999648927</v>
      </c>
      <c r="O311" s="1667">
        <v>1.1124503999648927</v>
      </c>
    </row>
    <row r="312" spans="2:15">
      <c r="B312" s="1545">
        <v>41913</v>
      </c>
      <c r="C312" s="1546">
        <v>549.39599999999996</v>
      </c>
      <c r="D312" s="1546">
        <v>4008</v>
      </c>
      <c r="E312" s="1546">
        <v>1.009505315279368</v>
      </c>
      <c r="F312" s="1546">
        <v>36.126898899645887</v>
      </c>
      <c r="K312" s="1664">
        <v>42369</v>
      </c>
      <c r="L312" s="1665" t="s">
        <v>2296</v>
      </c>
      <c r="M312" s="1666">
        <v>5.2531000000000001E-2</v>
      </c>
      <c r="N312" s="1667">
        <v>1.1130347812844983</v>
      </c>
      <c r="O312" s="1667">
        <v>1.1130347812844983</v>
      </c>
    </row>
    <row r="313" spans="2:15">
      <c r="B313" s="1545">
        <v>41944</v>
      </c>
      <c r="C313" s="1546">
        <v>554.76900000000001</v>
      </c>
      <c r="D313" s="1546">
        <v>4028.44</v>
      </c>
      <c r="E313" s="1546">
        <v>1.0084249317586502</v>
      </c>
      <c r="F313" s="1546">
        <v>36.431265557527063</v>
      </c>
      <c r="K313" s="1664">
        <v>42370</v>
      </c>
      <c r="L313" s="1665"/>
      <c r="M313" s="1666">
        <v>0</v>
      </c>
      <c r="N313" s="1667">
        <v>1.1130347812844983</v>
      </c>
      <c r="O313" s="1667">
        <v>1.1130347812844983</v>
      </c>
    </row>
    <row r="314" spans="2:15">
      <c r="B314" s="1545">
        <v>41974</v>
      </c>
      <c r="C314" s="1546">
        <v>558.21299999999997</v>
      </c>
      <c r="D314" s="1546">
        <v>4059.86</v>
      </c>
      <c r="E314" s="1546">
        <v>1.0096129495106978</v>
      </c>
      <c r="F314" s="1546">
        <v>36.781477473942395</v>
      </c>
      <c r="K314" s="1664">
        <v>42371</v>
      </c>
      <c r="L314" s="1665"/>
      <c r="M314" s="1666">
        <v>0</v>
      </c>
      <c r="N314" s="1667">
        <v>1.1130347812844983</v>
      </c>
      <c r="O314" s="1667">
        <v>1.1130347812844983</v>
      </c>
    </row>
    <row r="315" spans="2:15">
      <c r="B315" s="1545">
        <v>42005</v>
      </c>
      <c r="C315" s="1546">
        <v>562.48199999999997</v>
      </c>
      <c r="D315" s="1546">
        <v>4110.2</v>
      </c>
      <c r="E315" s="1546">
        <v>1.0093507541041149</v>
      </c>
      <c r="F315" s="1546">
        <v>37.12541202538727</v>
      </c>
      <c r="K315" s="1664">
        <v>42372</v>
      </c>
      <c r="L315" s="1665"/>
      <c r="M315" s="1666">
        <v>0</v>
      </c>
      <c r="N315" s="1667">
        <v>1.1130347812844983</v>
      </c>
      <c r="O315" s="1667">
        <v>1.1130347812844983</v>
      </c>
    </row>
    <row r="316" spans="2:15">
      <c r="B316" s="1545">
        <v>42036</v>
      </c>
      <c r="C316" s="1546">
        <v>564.00400000000002</v>
      </c>
      <c r="D316" s="1546">
        <v>4160.34</v>
      </c>
      <c r="E316" s="1546">
        <v>1.0082241099890967</v>
      </c>
      <c r="F316" s="1546">
        <v>37.43073549727459</v>
      </c>
      <c r="K316" s="1664">
        <v>42373</v>
      </c>
      <c r="L316" s="1665" t="s">
        <v>2296</v>
      </c>
      <c r="M316" s="1666">
        <v>5.2531000000000001E-2</v>
      </c>
      <c r="N316" s="1667">
        <v>1.1136194695854549</v>
      </c>
      <c r="O316" s="1667">
        <v>1.1136194695854549</v>
      </c>
    </row>
    <row r="317" spans="2:15">
      <c r="B317" s="1545">
        <v>42064</v>
      </c>
      <c r="C317" s="1546">
        <v>569.53599999999994</v>
      </c>
      <c r="D317" s="1546">
        <v>4215.26</v>
      </c>
      <c r="E317" s="1546">
        <v>1.0103996710699541</v>
      </c>
      <c r="F317" s="1546">
        <v>37.820002834352699</v>
      </c>
      <c r="K317" s="1664">
        <v>42374</v>
      </c>
      <c r="L317" s="1665" t="s">
        <v>2296</v>
      </c>
      <c r="M317" s="1666">
        <v>5.2531000000000001E-2</v>
      </c>
      <c r="N317" s="1667">
        <v>1.1142044650290228</v>
      </c>
      <c r="O317" s="1667">
        <v>1.1142044650290228</v>
      </c>
    </row>
    <row r="318" spans="2:15">
      <c r="B318" s="1545">
        <v>42095</v>
      </c>
      <c r="C318" s="1546">
        <v>576.17499999999995</v>
      </c>
      <c r="D318" s="1546">
        <v>4245.1899999999996</v>
      </c>
      <c r="E318" s="1546">
        <v>1.0095179160892187</v>
      </c>
      <c r="F318" s="1546">
        <v>38.179970447824083</v>
      </c>
      <c r="K318" s="1664">
        <v>42375</v>
      </c>
      <c r="L318" s="1665" t="s">
        <v>2296</v>
      </c>
      <c r="M318" s="1666">
        <v>5.2531000000000001E-2</v>
      </c>
      <c r="N318" s="1667">
        <v>1.1147897677765473</v>
      </c>
      <c r="O318" s="1667">
        <v>1.1147897677765473</v>
      </c>
    </row>
    <row r="319" spans="2:15">
      <c r="B319" s="1545">
        <v>42125</v>
      </c>
      <c r="C319" s="1546">
        <v>578.51599999999996</v>
      </c>
      <c r="D319" s="1546">
        <v>4276.6000000000004</v>
      </c>
      <c r="E319" s="1546">
        <v>1.0098532226245138</v>
      </c>
      <c r="F319" s="1546">
        <v>38.556166196443854</v>
      </c>
      <c r="K319" s="1664">
        <v>42376</v>
      </c>
      <c r="L319" s="1665" t="s">
        <v>2296</v>
      </c>
      <c r="M319" s="1666">
        <v>5.2531000000000001E-2</v>
      </c>
      <c r="N319" s="1667">
        <v>1.115375377989458</v>
      </c>
      <c r="O319" s="1667">
        <v>1.115375377989458</v>
      </c>
    </row>
    <row r="320" spans="2:15">
      <c r="B320" s="1545">
        <v>42156</v>
      </c>
      <c r="C320" s="1546">
        <v>582.40099999999995</v>
      </c>
      <c r="D320" s="1546">
        <v>4310.3900000000003</v>
      </c>
      <c r="E320" s="1546">
        <v>1.0106667572412273</v>
      </c>
      <c r="F320" s="1546">
        <v>38.967435461413736</v>
      </c>
      <c r="K320" s="1664">
        <v>42377</v>
      </c>
      <c r="L320" s="1665" t="s">
        <v>2296</v>
      </c>
      <c r="M320" s="1666">
        <v>5.2531000000000001E-2</v>
      </c>
      <c r="N320" s="1667">
        <v>1.1159612958292695</v>
      </c>
      <c r="O320" s="1667">
        <v>1.1159612958292695</v>
      </c>
    </row>
    <row r="321" spans="2:15">
      <c r="B321" s="1545">
        <v>42186</v>
      </c>
      <c r="C321" s="1546">
        <v>586.42600000000004</v>
      </c>
      <c r="D321" s="1546">
        <v>4337.1099999999997</v>
      </c>
      <c r="E321" s="1546">
        <v>1.0117819838421735</v>
      </c>
      <c r="F321" s="1546">
        <v>39.426549156391054</v>
      </c>
      <c r="K321" s="1664">
        <v>42378</v>
      </c>
      <c r="L321" s="1665"/>
      <c r="M321" s="1666">
        <v>0</v>
      </c>
      <c r="N321" s="1667">
        <v>1.1159612958292695</v>
      </c>
      <c r="O321" s="1667">
        <v>1.1159612958292695</v>
      </c>
    </row>
    <row r="322" spans="2:15">
      <c r="B322" s="1545">
        <v>42217</v>
      </c>
      <c r="C322" s="1546">
        <v>588.04200000000003</v>
      </c>
      <c r="D322" s="1546">
        <v>4346.6499999999996</v>
      </c>
      <c r="E322" s="1546">
        <v>1.0110896528780247</v>
      </c>
      <c r="F322" s="1546">
        <v>39.863775900713804</v>
      </c>
      <c r="K322" s="1664">
        <v>42379</v>
      </c>
      <c r="L322" s="1665"/>
      <c r="M322" s="1666">
        <v>0</v>
      </c>
      <c r="N322" s="1667">
        <v>1.1159612958292695</v>
      </c>
      <c r="O322" s="1667">
        <v>1.1159612958292695</v>
      </c>
    </row>
    <row r="323" spans="2:15">
      <c r="B323" s="1545">
        <v>42248</v>
      </c>
      <c r="C323" s="1546">
        <v>593.60599999999999</v>
      </c>
      <c r="D323" s="1546">
        <v>4370.12</v>
      </c>
      <c r="E323" s="1546">
        <v>1.0110896528780244</v>
      </c>
      <c r="F323" s="1546">
        <v>40.305851337860076</v>
      </c>
      <c r="K323" s="1664">
        <v>42380</v>
      </c>
      <c r="L323" s="1665" t="s">
        <v>2296</v>
      </c>
      <c r="M323" s="1666">
        <v>5.2531000000000001E-2</v>
      </c>
      <c r="N323" s="1667">
        <v>1.1165475214575815</v>
      </c>
      <c r="O323" s="1667">
        <v>1.1165475214575815</v>
      </c>
    </row>
    <row r="324" spans="2:15">
      <c r="B324" s="1545">
        <v>42278</v>
      </c>
      <c r="C324" s="1546">
        <v>604.83199999999999</v>
      </c>
      <c r="D324" s="1546">
        <v>4405.95</v>
      </c>
      <c r="E324" s="1546">
        <v>1.0110896528780242</v>
      </c>
      <c r="F324" s="1546">
        <v>40.752829238150191</v>
      </c>
      <c r="K324" s="1664">
        <v>42381</v>
      </c>
      <c r="L324" s="1665" t="s">
        <v>2296</v>
      </c>
      <c r="M324" s="1666">
        <v>5.2531000000000001E-2</v>
      </c>
      <c r="N324" s="1667">
        <v>1.1171340550360784</v>
      </c>
      <c r="O324" s="1667">
        <v>1.1171340550360784</v>
      </c>
    </row>
    <row r="325" spans="2:15">
      <c r="B325" s="1545">
        <v>42309</v>
      </c>
      <c r="C325" s="1546">
        <v>614.05100000000004</v>
      </c>
      <c r="D325" s="1546">
        <v>4450.45</v>
      </c>
      <c r="E325" s="1546">
        <v>1.0105587962367735</v>
      </c>
      <c r="F325" s="1546">
        <v>41.183130058147846</v>
      </c>
      <c r="K325" s="1664">
        <v>42382</v>
      </c>
      <c r="L325" s="1665" t="s">
        <v>2296</v>
      </c>
      <c r="M325" s="1666">
        <v>5.2531000000000001E-2</v>
      </c>
      <c r="N325" s="1667">
        <v>1.1177208967265295</v>
      </c>
      <c r="O325" s="1667">
        <v>1.1177208967265295</v>
      </c>
    </row>
    <row r="326" spans="2:15">
      <c r="B326" s="1545">
        <v>42339</v>
      </c>
      <c r="C326" s="1546">
        <v>617.04399999999998</v>
      </c>
      <c r="D326" s="1546">
        <v>4493.17</v>
      </c>
      <c r="E326" s="1546">
        <v>1.0116207883835777</v>
      </c>
      <c r="F326" s="1546">
        <v>41.66171049752694</v>
      </c>
      <c r="K326" s="1664">
        <v>42383</v>
      </c>
      <c r="L326" s="1665" t="s">
        <v>2296</v>
      </c>
      <c r="M326" s="1666">
        <v>5.2531000000000001E-2</v>
      </c>
      <c r="N326" s="1667">
        <v>1.1183080466907889</v>
      </c>
      <c r="O326" s="1667">
        <v>1.1183080466907889</v>
      </c>
    </row>
    <row r="327" spans="2:15">
      <c r="B327" s="1545">
        <v>42370</v>
      </c>
      <c r="C327" s="1546">
        <v>624.05999999999995</v>
      </c>
      <c r="D327" s="1546">
        <v>4550.2299999999996</v>
      </c>
      <c r="E327" s="1546">
        <v>1.0105587962367735</v>
      </c>
      <c r="F327" s="1546">
        <v>42.101608009545771</v>
      </c>
      <c r="K327" s="1664">
        <v>42384</v>
      </c>
      <c r="L327" s="1665" t="s">
        <v>2296</v>
      </c>
      <c r="M327" s="1666">
        <v>5.2531000000000001E-2</v>
      </c>
      <c r="N327" s="1667">
        <v>1.118895505090796</v>
      </c>
      <c r="O327" s="1667">
        <v>1.118895505090796</v>
      </c>
    </row>
    <row r="328" spans="2:15">
      <c r="B328" s="1545">
        <v>42401</v>
      </c>
      <c r="C328" s="1546">
        <v>632.11400000000003</v>
      </c>
      <c r="D328" s="1546">
        <v>4591.18</v>
      </c>
      <c r="E328" s="1546">
        <v>1.0100282183134115</v>
      </c>
      <c r="F328" s="1546">
        <v>42.523812126011173</v>
      </c>
      <c r="K328" s="1664">
        <v>42385</v>
      </c>
      <c r="L328" s="1665"/>
      <c r="M328" s="1666">
        <v>0</v>
      </c>
      <c r="N328" s="1667">
        <v>1.118895505090796</v>
      </c>
      <c r="O328" s="1667">
        <v>1.118895505090796</v>
      </c>
    </row>
    <row r="329" spans="2:15">
      <c r="B329" s="1545">
        <v>42430</v>
      </c>
      <c r="C329" s="1546">
        <v>635.34900000000005</v>
      </c>
      <c r="D329" s="1546">
        <v>4610.92</v>
      </c>
      <c r="E329" s="1546">
        <v>1.0116207883835779</v>
      </c>
      <c r="F329" s="1546">
        <v>43.017972347990572</v>
      </c>
      <c r="K329" s="1664">
        <v>42386</v>
      </c>
      <c r="L329" s="1665"/>
      <c r="M329" s="1666">
        <v>0</v>
      </c>
      <c r="N329" s="1667">
        <v>1.118895505090796</v>
      </c>
      <c r="O329" s="1667">
        <v>1.118895505090796</v>
      </c>
    </row>
    <row r="330" spans="2:15">
      <c r="B330" s="1545">
        <v>42461</v>
      </c>
      <c r="C330" s="1546">
        <v>637.43399999999997</v>
      </c>
      <c r="D330" s="1546">
        <v>4639.05</v>
      </c>
      <c r="E330" s="1546">
        <v>1.0105587962367735</v>
      </c>
      <c r="F330" s="1546">
        <v>43.472190352532159</v>
      </c>
      <c r="K330" s="1664">
        <v>42387</v>
      </c>
      <c r="L330" s="1665" t="s">
        <v>2296</v>
      </c>
      <c r="M330" s="1666">
        <v>5.2531000000000001E-2</v>
      </c>
      <c r="N330" s="1667">
        <v>1.1194832720885752</v>
      </c>
      <c r="O330" s="1667">
        <v>1.1194832720885752</v>
      </c>
    </row>
    <row r="331" spans="2:15">
      <c r="B331" s="1545">
        <v>42491</v>
      </c>
      <c r="C331" s="1546">
        <v>642.65099999999995</v>
      </c>
      <c r="D331" s="1546">
        <v>4675.2299999999996</v>
      </c>
      <c r="E331" s="1546">
        <v>1.0110896528780244</v>
      </c>
      <c r="F331" s="1546">
        <v>43.954281853389141</v>
      </c>
      <c r="K331" s="1664">
        <v>42388</v>
      </c>
      <c r="L331" s="1665" t="s">
        <v>2296</v>
      </c>
      <c r="M331" s="1666">
        <v>5.2531000000000001E-2</v>
      </c>
      <c r="N331" s="1667">
        <v>1.1200713478462361</v>
      </c>
      <c r="O331" s="1667">
        <v>1.1200713478462361</v>
      </c>
    </row>
    <row r="332" spans="2:15">
      <c r="B332" s="1545">
        <v>42522</v>
      </c>
      <c r="C332" s="1546">
        <v>653.49599999999998</v>
      </c>
      <c r="D332" s="1546">
        <v>4691.59</v>
      </c>
      <c r="E332" s="1546">
        <v>1.0116207883835777</v>
      </c>
      <c r="F332" s="1546">
        <v>44.465065261359506</v>
      </c>
      <c r="K332" s="1664">
        <v>42389</v>
      </c>
      <c r="L332" s="1665" t="s">
        <v>2296</v>
      </c>
      <c r="M332" s="1666">
        <v>5.2531000000000001E-2</v>
      </c>
      <c r="N332" s="1667">
        <v>1.1206597325259733</v>
      </c>
      <c r="O332" s="1667">
        <v>1.1206597325259733</v>
      </c>
    </row>
    <row r="333" spans="2:15">
      <c r="B333" s="1545">
        <v>42552</v>
      </c>
      <c r="C333" s="1546">
        <v>654.64099999999996</v>
      </c>
      <c r="D333" s="1546">
        <v>4715.99</v>
      </c>
      <c r="E333" s="1546">
        <v>1.0110896528780242</v>
      </c>
      <c r="F333" s="1546">
        <v>44.958167400306678</v>
      </c>
      <c r="K333" s="1664">
        <v>42390</v>
      </c>
      <c r="L333" s="1665" t="s">
        <v>2296</v>
      </c>
      <c r="M333" s="1666">
        <v>5.2531000000000001E-2</v>
      </c>
      <c r="N333" s="1667">
        <v>1.1212484262900666</v>
      </c>
      <c r="O333" s="1667">
        <v>1.1212484262900666</v>
      </c>
    </row>
    <row r="334" spans="2:15">
      <c r="B334" s="1545">
        <v>42583</v>
      </c>
      <c r="C334" s="1546">
        <v>655.60199999999998</v>
      </c>
      <c r="D334" s="1546">
        <v>4736.74</v>
      </c>
      <c r="E334" s="1546">
        <v>1.0121522028999232</v>
      </c>
      <c r="F334" s="1546">
        <v>45.504508172563916</v>
      </c>
      <c r="K334" s="1664">
        <v>42391</v>
      </c>
      <c r="L334" s="1665" t="s">
        <v>2296</v>
      </c>
      <c r="M334" s="1666">
        <v>5.2531000000000001E-2</v>
      </c>
      <c r="N334" s="1667">
        <v>1.121837429300881</v>
      </c>
      <c r="O334" s="1667">
        <v>1.121837429300881</v>
      </c>
    </row>
    <row r="335" spans="2:15">
      <c r="B335" s="1545">
        <v>42614</v>
      </c>
      <c r="C335" s="1546">
        <v>656.89400000000001</v>
      </c>
      <c r="D335" s="1546">
        <v>4740.53</v>
      </c>
      <c r="E335" s="1546">
        <v>1.0110896528780247</v>
      </c>
      <c r="F335" s="1546">
        <v>46.009137372582884</v>
      </c>
      <c r="K335" s="1664">
        <v>42392</v>
      </c>
      <c r="L335" s="1665"/>
      <c r="M335" s="1666">
        <v>0</v>
      </c>
      <c r="N335" s="1667">
        <v>1.121837429300881</v>
      </c>
      <c r="O335" s="1667">
        <v>1.121837429300881</v>
      </c>
    </row>
    <row r="336" spans="2:15">
      <c r="B336" s="1545">
        <v>42644</v>
      </c>
      <c r="C336" s="1546">
        <v>657.92700000000002</v>
      </c>
      <c r="D336" s="1546">
        <v>4752.8599999999997</v>
      </c>
      <c r="E336" s="1546">
        <v>1.0104884196148551</v>
      </c>
      <c r="F336" s="1546">
        <v>46.491700511464046</v>
      </c>
      <c r="K336" s="1664">
        <v>42393</v>
      </c>
      <c r="L336" s="1665"/>
      <c r="M336" s="1666">
        <v>0</v>
      </c>
      <c r="N336" s="1667">
        <v>1.121837429300881</v>
      </c>
      <c r="O336" s="1667">
        <v>1.121837429300881</v>
      </c>
    </row>
    <row r="337" spans="2:15">
      <c r="B337" s="1545">
        <v>42675</v>
      </c>
      <c r="C337" s="1546">
        <v>657.75199999999995</v>
      </c>
      <c r="D337" s="1546">
        <v>4761.42</v>
      </c>
      <c r="E337" s="1546">
        <v>1.0103828638714687</v>
      </c>
      <c r="F337" s="1546">
        <v>46.974417509027667</v>
      </c>
      <c r="K337" s="1664">
        <v>42394</v>
      </c>
      <c r="L337" s="1665" t="s">
        <v>2296</v>
      </c>
      <c r="M337" s="1666">
        <v>5.2531000000000001E-2</v>
      </c>
      <c r="N337" s="1667">
        <v>1.1224267417208671</v>
      </c>
      <c r="O337" s="1667">
        <v>1.1224267417208671</v>
      </c>
    </row>
    <row r="338" spans="2:15">
      <c r="B338" s="1545">
        <v>42705</v>
      </c>
      <c r="C338" s="1546">
        <v>661.30399999999997</v>
      </c>
      <c r="D338" s="1546">
        <v>4775.7</v>
      </c>
      <c r="E338" s="1546">
        <v>1.0112331468569866</v>
      </c>
      <c r="F338" s="1546">
        <v>47.502088039427981</v>
      </c>
      <c r="K338" s="1664">
        <v>42395</v>
      </c>
      <c r="L338" s="1665" t="s">
        <v>2296</v>
      </c>
      <c r="M338" s="1666">
        <v>5.2531000000000001E-2</v>
      </c>
      <c r="N338" s="1667">
        <v>1.1230163637125605</v>
      </c>
      <c r="O338" s="1667">
        <v>1.1230163637125605</v>
      </c>
    </row>
    <row r="339" spans="2:15">
      <c r="B339" s="1545">
        <v>42736</v>
      </c>
      <c r="C339" s="1546">
        <v>665.54200000000003</v>
      </c>
      <c r="D339" s="1546">
        <v>4793.8500000000004</v>
      </c>
      <c r="E339" s="1546">
        <v>1.0108612048503447</v>
      </c>
      <c r="F339" s="1546">
        <v>48.018017948443315</v>
      </c>
      <c r="K339" s="1664">
        <v>42396</v>
      </c>
      <c r="L339" s="1665" t="s">
        <v>2296</v>
      </c>
      <c r="M339" s="1666">
        <v>5.2531000000000001E-2</v>
      </c>
      <c r="N339" s="1667">
        <v>1.1236062954385824</v>
      </c>
      <c r="O339" s="1667">
        <v>1.1236062954385824</v>
      </c>
    </row>
    <row r="340" spans="2:15">
      <c r="B340" s="1545">
        <v>42767</v>
      </c>
      <c r="C340" s="1546">
        <v>666.09900000000005</v>
      </c>
      <c r="D340" s="1546">
        <v>4809.67</v>
      </c>
      <c r="E340" s="1546">
        <v>1.0086508422083289</v>
      </c>
      <c r="F340" s="1546">
        <v>48.433414244872004</v>
      </c>
      <c r="K340" s="1664">
        <v>42397</v>
      </c>
      <c r="L340" s="1665" t="s">
        <v>2296</v>
      </c>
      <c r="M340" s="1666">
        <v>5.2531000000000001E-2</v>
      </c>
      <c r="N340" s="1667">
        <v>1.1241965370616391</v>
      </c>
      <c r="O340" s="1667">
        <v>1.1241965370616391</v>
      </c>
    </row>
    <row r="341" spans="2:15">
      <c r="B341" s="1545">
        <v>42795</v>
      </c>
      <c r="C341" s="1546">
        <v>666.197</v>
      </c>
      <c r="D341" s="1546">
        <v>4821.6899999999996</v>
      </c>
      <c r="E341" s="1546">
        <v>1.0105205646045978</v>
      </c>
      <c r="F341" s="1546">
        <v>48.94296110845643</v>
      </c>
      <c r="K341" s="1664">
        <v>42398</v>
      </c>
      <c r="L341" s="1665" t="s">
        <v>2296</v>
      </c>
      <c r="M341" s="1666">
        <v>5.2531000000000001E-2</v>
      </c>
      <c r="N341" s="1667">
        <v>1.124787088744523</v>
      </c>
      <c r="O341" s="1667">
        <v>1.124787088744523</v>
      </c>
    </row>
    <row r="342" spans="2:15">
      <c r="B342" s="1545">
        <v>42826</v>
      </c>
      <c r="C342" s="1546">
        <v>658.89800000000002</v>
      </c>
      <c r="D342" s="1546">
        <v>4828.4399999999996</v>
      </c>
      <c r="E342" s="1546">
        <v>1.0078658059100756</v>
      </c>
      <c r="F342" s="1546">
        <v>49.327936941199923</v>
      </c>
      <c r="K342" s="1664">
        <v>42399</v>
      </c>
      <c r="L342" s="1665"/>
      <c r="M342" s="1666">
        <v>0</v>
      </c>
      <c r="N342" s="1667">
        <v>1.124787088744523</v>
      </c>
      <c r="O342" s="1667">
        <v>1.124787088744523</v>
      </c>
    </row>
    <row r="343" spans="2:15">
      <c r="B343" s="1545">
        <v>42856</v>
      </c>
      <c r="C343" s="1546">
        <v>652.75800000000004</v>
      </c>
      <c r="D343" s="1546">
        <v>4843.41</v>
      </c>
      <c r="E343" s="1546">
        <v>1.0092713189779878</v>
      </c>
      <c r="F343" s="1546">
        <v>49.785271979107854</v>
      </c>
      <c r="K343" s="1664">
        <v>42400</v>
      </c>
      <c r="L343" s="1665"/>
      <c r="M343" s="1666">
        <v>0</v>
      </c>
      <c r="N343" s="1667">
        <v>1.124787088744523</v>
      </c>
      <c r="O343" s="1667">
        <v>1.124787088744523</v>
      </c>
    </row>
    <row r="344" spans="2:15">
      <c r="B344" s="1545">
        <v>42887</v>
      </c>
      <c r="C344" s="1546">
        <v>648.40899999999999</v>
      </c>
      <c r="D344" s="1546">
        <v>4832.2700000000004</v>
      </c>
      <c r="E344" s="1546">
        <v>1.0080886926571575</v>
      </c>
      <c r="F344" s="1546">
        <v>50.187969742999854</v>
      </c>
      <c r="K344" s="1664">
        <v>42401</v>
      </c>
      <c r="L344" s="1665" t="s">
        <v>2296</v>
      </c>
      <c r="M344" s="1666">
        <v>5.2531000000000001E-2</v>
      </c>
      <c r="N344" s="1667">
        <v>1.1253779506501114</v>
      </c>
      <c r="O344" s="1667">
        <v>1.1253779506501114</v>
      </c>
    </row>
    <row r="345" spans="2:15">
      <c r="B345" s="1545">
        <v>42917</v>
      </c>
      <c r="C345" s="1546">
        <v>643.76599999999996</v>
      </c>
      <c r="D345" s="1546">
        <v>4843.87</v>
      </c>
      <c r="E345" s="1546">
        <v>1.0079792299470567</v>
      </c>
      <c r="F345" s="1546">
        <v>50.588431094155176</v>
      </c>
      <c r="K345" s="1664">
        <v>42402</v>
      </c>
      <c r="L345" s="1665" t="s">
        <v>2296</v>
      </c>
      <c r="M345" s="1666">
        <v>5.2531000000000001E-2</v>
      </c>
      <c r="N345" s="1667">
        <v>1.1259691229413673</v>
      </c>
      <c r="O345" s="1667">
        <v>1.1259691229413673</v>
      </c>
    </row>
    <row r="346" spans="2:15">
      <c r="B346" s="1545">
        <v>42948</v>
      </c>
      <c r="C346" s="1546">
        <v>644.38300000000004</v>
      </c>
      <c r="D346" s="1546">
        <v>4853.07</v>
      </c>
      <c r="E346" s="1546">
        <v>1.0080228940119034</v>
      </c>
      <c r="F346" s="1546">
        <v>50.994296715052059</v>
      </c>
      <c r="K346" s="1664">
        <v>42403</v>
      </c>
      <c r="L346" s="1665" t="s">
        <v>2296</v>
      </c>
      <c r="M346" s="1666">
        <v>5.2531000000000001E-2</v>
      </c>
      <c r="N346" s="1667">
        <v>1.1265606057813395</v>
      </c>
      <c r="O346" s="1667">
        <v>1.1265606057813395</v>
      </c>
    </row>
    <row r="347" spans="2:15">
      <c r="B347" s="1545">
        <v>42979</v>
      </c>
      <c r="C347" s="1546">
        <v>647.4</v>
      </c>
      <c r="D347" s="1546">
        <v>4860.83</v>
      </c>
      <c r="E347" s="1546">
        <v>1.0063846003708505</v>
      </c>
      <c r="F347" s="1546">
        <v>51.319874920770239</v>
      </c>
      <c r="K347" s="1664">
        <v>42404</v>
      </c>
      <c r="L347" s="1665" t="s">
        <v>2296</v>
      </c>
      <c r="M347" s="1666">
        <v>5.2531000000000001E-2</v>
      </c>
      <c r="N347" s="1667">
        <v>1.1271523993331625</v>
      </c>
      <c r="O347" s="1667">
        <v>1.1271523993331625</v>
      </c>
    </row>
    <row r="348" spans="2:15">
      <c r="B348" s="1545">
        <v>43009</v>
      </c>
      <c r="C348" s="1546">
        <v>648.67200000000003</v>
      </c>
      <c r="D348" s="1546">
        <v>4881.25</v>
      </c>
      <c r="E348" s="1546">
        <v>1.0064393014601032</v>
      </c>
      <c r="F348" s="1546">
        <v>51.650339066279869</v>
      </c>
      <c r="K348" s="1664">
        <v>42405</v>
      </c>
      <c r="L348" s="1665" t="s">
        <v>2296</v>
      </c>
      <c r="M348" s="1666">
        <v>5.2531000000000001E-2</v>
      </c>
      <c r="N348" s="1667">
        <v>1.1277445037600562</v>
      </c>
      <c r="O348" s="1667">
        <v>1.1277445037600562</v>
      </c>
    </row>
    <row r="349" spans="2:15">
      <c r="B349" s="1545">
        <v>43040</v>
      </c>
      <c r="C349" s="1546">
        <v>652.07299999999998</v>
      </c>
      <c r="D349" s="1546">
        <v>4894.92</v>
      </c>
      <c r="E349" s="1546">
        <v>1.0056818783789492</v>
      </c>
      <c r="F349" s="1546">
        <v>51.943810011085958</v>
      </c>
      <c r="K349" s="1664">
        <v>42406</v>
      </c>
      <c r="L349" s="1665"/>
      <c r="M349" s="1666">
        <v>0</v>
      </c>
      <c r="N349" s="1667">
        <v>1.1277445037600562</v>
      </c>
      <c r="O349" s="1667">
        <v>1.1277445037600562</v>
      </c>
    </row>
    <row r="350" spans="2:15">
      <c r="B350" s="1545">
        <v>43070</v>
      </c>
      <c r="C350" s="1546">
        <v>657.85900000000004</v>
      </c>
      <c r="D350" s="1546">
        <v>4916.46</v>
      </c>
      <c r="E350" s="1546">
        <v>1.0053840004998948</v>
      </c>
      <c r="F350" s="1546">
        <v>52.223475510152085</v>
      </c>
      <c r="K350" s="1664">
        <v>42407</v>
      </c>
      <c r="L350" s="1665"/>
      <c r="M350" s="1666">
        <v>0</v>
      </c>
      <c r="N350" s="1667">
        <v>1.1277445037600562</v>
      </c>
      <c r="O350" s="1667">
        <v>1.1277445037600562</v>
      </c>
    </row>
    <row r="351" spans="2:15">
      <c r="B351" s="1545">
        <v>43101</v>
      </c>
      <c r="C351" s="1546">
        <v>662.82600000000002</v>
      </c>
      <c r="D351" s="1546">
        <v>4930.72</v>
      </c>
      <c r="E351" s="1546">
        <v>1.0058420473548675</v>
      </c>
      <c r="F351" s="1546">
        <v>52.528567527118156</v>
      </c>
      <c r="K351" s="1664">
        <v>42408</v>
      </c>
      <c r="L351" s="1665"/>
      <c r="M351" s="1666">
        <v>0</v>
      </c>
      <c r="N351" s="1667">
        <v>1.1277445037600562</v>
      </c>
      <c r="O351" s="1667">
        <v>1.1277445037600562</v>
      </c>
    </row>
    <row r="352" spans="2:15">
      <c r="B352" s="1545">
        <v>43132</v>
      </c>
      <c r="C352" s="1546">
        <v>663.31100000000004</v>
      </c>
      <c r="D352" s="1546">
        <v>4946.5</v>
      </c>
      <c r="E352" s="1546">
        <v>1.0046560161193037</v>
      </c>
      <c r="F352" s="1546">
        <v>52.773141384248348</v>
      </c>
      <c r="K352" s="1664">
        <v>42409</v>
      </c>
      <c r="L352" s="1665"/>
      <c r="M352" s="1666">
        <v>0</v>
      </c>
      <c r="N352" s="1667">
        <v>1.1277445037600562</v>
      </c>
      <c r="O352" s="1667">
        <v>1.1277445037600562</v>
      </c>
    </row>
    <row r="353" spans="2:15">
      <c r="B353" s="1545">
        <v>43160</v>
      </c>
      <c r="C353" s="1546">
        <v>667.524</v>
      </c>
      <c r="D353" s="1546">
        <v>4950.95</v>
      </c>
      <c r="E353" s="1546">
        <v>1.0053234480536677</v>
      </c>
      <c r="F353" s="1546">
        <v>53.054076461036253</v>
      </c>
      <c r="K353" s="1664">
        <v>42410</v>
      </c>
      <c r="L353" s="1665" t="s">
        <v>2296</v>
      </c>
      <c r="M353" s="1666">
        <v>5.2531000000000001E-2</v>
      </c>
      <c r="N353" s="1667">
        <v>1.1283369192253263</v>
      </c>
      <c r="O353" s="1667">
        <v>1.1283369192253263</v>
      </c>
    </row>
    <row r="354" spans="2:15">
      <c r="B354" s="1545">
        <v>43191</v>
      </c>
      <c r="C354" s="1546">
        <v>671.327</v>
      </c>
      <c r="D354" s="1546">
        <v>4961.84</v>
      </c>
      <c r="E354" s="1546">
        <v>1.0051829489023658</v>
      </c>
      <c r="F354" s="1546">
        <v>53.329053028396011</v>
      </c>
      <c r="K354" s="1664">
        <v>42411</v>
      </c>
      <c r="L354" s="1665" t="s">
        <v>2296</v>
      </c>
      <c r="M354" s="1666">
        <v>5.2531000000000001E-2</v>
      </c>
      <c r="N354" s="1667">
        <v>1.1289296458923646</v>
      </c>
      <c r="O354" s="1667">
        <v>1.1289296458923646</v>
      </c>
    </row>
    <row r="355" spans="2:15">
      <c r="B355" s="1545">
        <v>43221</v>
      </c>
      <c r="C355" s="1546">
        <v>680.57899999999995</v>
      </c>
      <c r="D355" s="1546">
        <v>4981.6899999999996</v>
      </c>
      <c r="E355" s="1546">
        <v>1.0051829489023656</v>
      </c>
      <c r="F355" s="1546">
        <v>53.605454785253734</v>
      </c>
      <c r="G355" s="504"/>
      <c r="K355" s="1664">
        <v>42412</v>
      </c>
      <c r="L355" s="1665" t="s">
        <v>2296</v>
      </c>
      <c r="M355" s="1666">
        <v>5.2531000000000001E-2</v>
      </c>
      <c r="N355" s="1667">
        <v>1.1295226839246482</v>
      </c>
      <c r="O355" s="1667">
        <v>1.1295226839246482</v>
      </c>
    </row>
    <row r="356" spans="2:15">
      <c r="B356" s="1545">
        <v>43252</v>
      </c>
      <c r="C356" s="1546">
        <v>693.28700000000003</v>
      </c>
      <c r="D356" s="1546">
        <v>5044.46</v>
      </c>
      <c r="E356" s="1546">
        <v>1.0051829489023654</v>
      </c>
      <c r="F356" s="1546">
        <v>53.88328911829376</v>
      </c>
      <c r="G356" s="10"/>
      <c r="I356" s="10"/>
      <c r="K356" s="1664">
        <v>42413</v>
      </c>
      <c r="L356" s="1665"/>
      <c r="M356" s="1666">
        <v>0</v>
      </c>
      <c r="N356" s="1667">
        <v>1.1295226839246482</v>
      </c>
      <c r="O356" s="1667">
        <v>1.1295226839246482</v>
      </c>
    </row>
    <row r="357" spans="2:15">
      <c r="B357" s="1545">
        <v>43282</v>
      </c>
      <c r="C357" s="1546">
        <v>696.8</v>
      </c>
      <c r="D357" s="1546">
        <v>5061.1099999999997</v>
      </c>
      <c r="E357" s="1546">
        <v>1.0054304249443857</v>
      </c>
      <c r="F357" s="1546">
        <v>54.175898275607288</v>
      </c>
      <c r="G357" s="10"/>
      <c r="K357" s="1664">
        <v>42414</v>
      </c>
      <c r="L357" s="1665"/>
      <c r="M357" s="1666">
        <v>0</v>
      </c>
      <c r="N357" s="1667">
        <v>1.1295226839246482</v>
      </c>
      <c r="O357" s="1667">
        <v>1.1295226839246482</v>
      </c>
    </row>
    <row r="358" spans="2:15">
      <c r="B358" s="1545">
        <v>43313</v>
      </c>
      <c r="C358" s="1546">
        <v>701.67700000000002</v>
      </c>
      <c r="D358" s="1546">
        <v>5056.5600000000004</v>
      </c>
      <c r="E358" s="1546">
        <v>1.0056779619150069</v>
      </c>
      <c r="F358" s="1546">
        <v>54.483506962727475</v>
      </c>
      <c r="K358" s="1664">
        <v>42415</v>
      </c>
      <c r="L358" s="1665" t="s">
        <v>2296</v>
      </c>
      <c r="M358" s="1666">
        <v>5.2531000000000001E-2</v>
      </c>
      <c r="N358" s="1667">
        <v>1.1301160334857405</v>
      </c>
      <c r="O358" s="1667">
        <v>1.1301160334857405</v>
      </c>
    </row>
    <row r="359" spans="2:15">
      <c r="B359" s="1545">
        <v>43344</v>
      </c>
      <c r="C359" s="1546">
        <v>712.37300000000005</v>
      </c>
      <c r="D359" s="1546">
        <v>5080.83</v>
      </c>
      <c r="E359" s="1546">
        <v>1.0046881795441467</v>
      </c>
      <c r="F359" s="1546">
        <v>54.738935425563504</v>
      </c>
      <c r="K359" s="1664">
        <v>42416</v>
      </c>
      <c r="L359" s="1665" t="s">
        <v>2296</v>
      </c>
      <c r="M359" s="1666">
        <v>5.2531000000000001E-2</v>
      </c>
      <c r="N359" s="1667">
        <v>1.1307096947392909</v>
      </c>
      <c r="O359" s="1667">
        <v>1.1307096947392909</v>
      </c>
    </row>
    <row r="360" spans="2:15">
      <c r="B360" s="1545">
        <v>43374</v>
      </c>
      <c r="C360" s="1546">
        <v>718.68399999999997</v>
      </c>
      <c r="D360" s="1546">
        <v>5103.6899999999996</v>
      </c>
      <c r="E360" s="1546">
        <v>1.0054304249443855</v>
      </c>
      <c r="F360" s="1546">
        <v>55.036191105927593</v>
      </c>
      <c r="K360" s="1664">
        <v>42417</v>
      </c>
      <c r="L360" s="1665" t="s">
        <v>2296</v>
      </c>
      <c r="M360" s="1666">
        <v>5.2531000000000001E-2</v>
      </c>
      <c r="N360" s="1667">
        <v>1.1313036678490345</v>
      </c>
      <c r="O360" s="1667">
        <v>1.1313036678490345</v>
      </c>
    </row>
    <row r="361" spans="2:15">
      <c r="B361" s="1545">
        <v>43405</v>
      </c>
      <c r="C361" s="1546">
        <v>715.16600000000005</v>
      </c>
      <c r="D361" s="1546">
        <v>5092.97</v>
      </c>
      <c r="E361" s="1546">
        <v>1.0049355337739507</v>
      </c>
      <c r="F361" s="1546">
        <v>55.307824085920508</v>
      </c>
      <c r="K361" s="1664">
        <v>42418</v>
      </c>
      <c r="L361" s="1665" t="s">
        <v>2296</v>
      </c>
      <c r="M361" s="1666">
        <v>5.2531000000000001E-2</v>
      </c>
      <c r="N361" s="1667">
        <v>1.1318979529787923</v>
      </c>
      <c r="O361" s="1667">
        <v>1.1318979529787923</v>
      </c>
    </row>
    <row r="362" spans="2:15">
      <c r="B362" s="1545">
        <v>43435</v>
      </c>
      <c r="C362" s="1546">
        <v>707.44100000000003</v>
      </c>
      <c r="D362" s="1546">
        <v>5100.6099999999997</v>
      </c>
      <c r="E362" s="1546">
        <v>1.0049355337739507</v>
      </c>
      <c r="F362" s="1546">
        <v>55.580797719660296</v>
      </c>
      <c r="K362" s="1664">
        <v>42419</v>
      </c>
      <c r="L362" s="1665" t="s">
        <v>2296</v>
      </c>
      <c r="M362" s="1666">
        <v>5.2531000000000001E-2</v>
      </c>
      <c r="N362" s="1667">
        <v>1.1324925502924716</v>
      </c>
      <c r="O362" s="1667">
        <v>1.1324925502924716</v>
      </c>
    </row>
    <row r="363" spans="2:15">
      <c r="B363" s="1545">
        <v>43466</v>
      </c>
      <c r="C363" s="1546">
        <v>707.48800000000006</v>
      </c>
      <c r="D363" s="1546">
        <v>5116.93</v>
      </c>
      <c r="E363" s="1546">
        <v>1.0054304249443855</v>
      </c>
      <c r="F363" s="1546">
        <v>55.882625070025988</v>
      </c>
      <c r="K363" s="1664">
        <v>42420</v>
      </c>
      <c r="L363" s="1665"/>
      <c r="M363" s="1666">
        <v>0</v>
      </c>
      <c r="N363" s="1667">
        <v>1.1324925502924716</v>
      </c>
      <c r="O363" s="1667">
        <v>1.1324925502924716</v>
      </c>
    </row>
    <row r="364" spans="2:15">
      <c r="B364" s="1545">
        <v>43497</v>
      </c>
      <c r="C364" s="1546">
        <v>713.74699999999996</v>
      </c>
      <c r="D364" s="1546">
        <v>5138.93</v>
      </c>
      <c r="E364" s="1546">
        <v>1.0049355337739507</v>
      </c>
      <c r="F364" s="1546">
        <v>56.158435653436129</v>
      </c>
      <c r="K364" s="1664">
        <v>42421</v>
      </c>
      <c r="L364" s="1665"/>
      <c r="M364" s="1666">
        <v>0</v>
      </c>
      <c r="N364" s="1667">
        <v>1.1324925502924716</v>
      </c>
      <c r="O364" s="1667">
        <v>1.1324925502924716</v>
      </c>
    </row>
    <row r="365" spans="2:15">
      <c r="B365" s="1545">
        <v>43525</v>
      </c>
      <c r="C365" s="1546">
        <v>722.70699999999999</v>
      </c>
      <c r="D365" s="1546">
        <v>5177.47</v>
      </c>
      <c r="E365" s="1546">
        <v>1.0046881795441467</v>
      </c>
      <c r="F365" s="1546">
        <v>56.421716482697846</v>
      </c>
      <c r="K365" s="1664">
        <v>42422</v>
      </c>
      <c r="L365" s="1665" t="s">
        <v>2296</v>
      </c>
      <c r="M365" s="1666">
        <v>5.2531000000000001E-2</v>
      </c>
      <c r="N365" s="1667">
        <v>1.1330874599540657</v>
      </c>
      <c r="O365" s="1667">
        <v>1.1330874599540657</v>
      </c>
    </row>
    <row r="366" spans="2:15">
      <c r="B366" s="1545">
        <v>43556</v>
      </c>
      <c r="C366" s="1546">
        <v>729.346</v>
      </c>
      <c r="D366" s="1546">
        <v>5206.9799999999996</v>
      </c>
      <c r="E366" s="1546">
        <v>1.0051829489023654</v>
      </c>
      <c r="F366" s="1546">
        <v>56.714147356211413</v>
      </c>
      <c r="K366" s="1664">
        <v>42423</v>
      </c>
      <c r="L366" s="1665" t="s">
        <v>2296</v>
      </c>
      <c r="M366" s="1666">
        <v>5.2531000000000001E-2</v>
      </c>
      <c r="N366" s="1667">
        <v>1.1336826821276542</v>
      </c>
      <c r="O366" s="1667">
        <v>1.1336826821276542</v>
      </c>
    </row>
    <row r="367" spans="2:15">
      <c r="B367" s="1545">
        <v>43586</v>
      </c>
      <c r="C367" s="1546">
        <v>732.59500000000003</v>
      </c>
      <c r="D367" s="1546">
        <v>5213.75</v>
      </c>
      <c r="E367" s="1546">
        <v>1.0054304249443855</v>
      </c>
      <c r="F367" s="1546">
        <v>57.022129276714139</v>
      </c>
      <c r="K367" s="1664">
        <v>42424</v>
      </c>
      <c r="L367" s="1665" t="s">
        <v>2296</v>
      </c>
      <c r="M367" s="1666">
        <v>5.2531000000000001E-2</v>
      </c>
      <c r="N367" s="1667">
        <v>1.1342782169774026</v>
      </c>
      <c r="O367" s="1667">
        <v>1.1342782169774026</v>
      </c>
    </row>
    <row r="368" spans="2:15">
      <c r="B368" s="1545">
        <v>43617</v>
      </c>
      <c r="C368" s="1546">
        <v>738.42100000000005</v>
      </c>
      <c r="D368" s="1546">
        <v>5214.2700000000004</v>
      </c>
      <c r="E368" s="1546">
        <v>1.0046881795441465</v>
      </c>
      <c r="F368" s="1546">
        <v>57.289459256752906</v>
      </c>
      <c r="K368" s="1664">
        <v>42425</v>
      </c>
      <c r="L368" s="1665" t="s">
        <v>2296</v>
      </c>
      <c r="M368" s="1666">
        <v>5.2531000000000001E-2</v>
      </c>
      <c r="N368" s="1667">
        <v>1.134874064667563</v>
      </c>
      <c r="O368" s="1667">
        <v>1.134874064667563</v>
      </c>
    </row>
    <row r="369" spans="2:15">
      <c r="B369" s="1545">
        <v>43647</v>
      </c>
      <c r="C369" s="1546">
        <v>741.346</v>
      </c>
      <c r="D369" s="1546">
        <v>5224.18</v>
      </c>
      <c r="E369" s="1546">
        <v>1.0056779619150069</v>
      </c>
      <c r="F369" s="1546">
        <v>57.61474662454409</v>
      </c>
      <c r="K369" s="1664">
        <v>42426</v>
      </c>
      <c r="L369" s="1665" t="s">
        <v>2296</v>
      </c>
      <c r="M369" s="1666">
        <v>5.2531000000000001E-2</v>
      </c>
      <c r="N369" s="1667">
        <v>1.1354702253624736</v>
      </c>
      <c r="O369" s="1667">
        <v>1.1354702253624736</v>
      </c>
    </row>
    <row r="370" spans="2:15">
      <c r="B370" s="1545">
        <v>43678</v>
      </c>
      <c r="C370" s="1546">
        <v>736.40200000000004</v>
      </c>
      <c r="D370" s="1546">
        <v>5229.93</v>
      </c>
      <c r="E370" s="1546">
        <v>1.0050171948996307</v>
      </c>
      <c r="F370" s="1546">
        <v>57.903811037452265</v>
      </c>
      <c r="K370" s="1664">
        <v>42427</v>
      </c>
      <c r="L370" s="1665"/>
      <c r="M370" s="1666">
        <v>0</v>
      </c>
      <c r="N370" s="1667">
        <v>1.1354702253624736</v>
      </c>
      <c r="O370" s="1667">
        <v>1.1354702253624736</v>
      </c>
    </row>
    <row r="371" spans="2:15">
      <c r="B371" s="1545">
        <v>43709</v>
      </c>
      <c r="C371" s="1546">
        <v>736.36199999999997</v>
      </c>
      <c r="D371" s="1546">
        <v>5227.84</v>
      </c>
      <c r="E371" s="1546">
        <v>1.0046375999081099</v>
      </c>
      <c r="F371" s="1546">
        <v>58.172345746198765</v>
      </c>
      <c r="K371" s="1664">
        <v>42428</v>
      </c>
      <c r="L371" s="1665"/>
      <c r="M371" s="1666">
        <v>0</v>
      </c>
      <c r="N371" s="1667">
        <v>1.1354702253624736</v>
      </c>
      <c r="O371" s="1667">
        <v>1.1354702253624736</v>
      </c>
    </row>
    <row r="372" spans="2:15">
      <c r="B372" s="1545">
        <v>43739</v>
      </c>
      <c r="C372" s="1546">
        <v>741.33299999999997</v>
      </c>
      <c r="D372" s="1546">
        <v>5233.07</v>
      </c>
      <c r="E372" s="1546">
        <v>1.0047926409835022</v>
      </c>
      <c r="F372" s="1546">
        <v>58.451144914528456</v>
      </c>
      <c r="K372" s="1664">
        <v>42429</v>
      </c>
      <c r="L372" s="1665" t="s">
        <v>2296</v>
      </c>
      <c r="M372" s="1666">
        <v>5.2531000000000001E-2</v>
      </c>
      <c r="N372" s="1667">
        <v>1.1360666992265587</v>
      </c>
      <c r="O372" s="1667">
        <v>1.1360666992265587</v>
      </c>
    </row>
    <row r="373" spans="2:15">
      <c r="B373" s="1545">
        <v>43770</v>
      </c>
      <c r="C373" s="1546">
        <v>743.55799999999999</v>
      </c>
      <c r="D373" s="1546">
        <v>5259.76</v>
      </c>
      <c r="E373" s="1546">
        <v>1.0038038559813272</v>
      </c>
      <c r="F373" s="1546">
        <v>58.673484651727009</v>
      </c>
      <c r="K373" s="1664">
        <v>42430</v>
      </c>
      <c r="L373" s="1665" t="s">
        <v>2296</v>
      </c>
      <c r="M373" s="1666">
        <v>5.2531000000000001E-2</v>
      </c>
      <c r="N373" s="1667">
        <v>1.1366634864243295</v>
      </c>
      <c r="O373" s="1667">
        <v>1.1366634864243295</v>
      </c>
    </row>
    <row r="374" spans="2:15">
      <c r="B374" s="1545">
        <v>43800</v>
      </c>
      <c r="C374" s="1546">
        <v>759.11199999999997</v>
      </c>
      <c r="D374" s="1546">
        <v>5320.25</v>
      </c>
      <c r="E374" s="1546">
        <v>1.0037470387078873</v>
      </c>
      <c r="F374" s="1546">
        <v>58.893336469843661</v>
      </c>
      <c r="K374" s="1664">
        <v>42431</v>
      </c>
      <c r="L374" s="1665" t="s">
        <v>2296</v>
      </c>
      <c r="M374" s="1666">
        <v>5.2531000000000001E-2</v>
      </c>
      <c r="N374" s="1667">
        <v>1.1372605871203831</v>
      </c>
      <c r="O374" s="1667">
        <v>1.1372605871203831</v>
      </c>
    </row>
    <row r="375" spans="2:15">
      <c r="B375" s="1545">
        <v>43831</v>
      </c>
      <c r="C375" s="1546">
        <v>762.73299999999995</v>
      </c>
      <c r="D375" s="1546">
        <v>5331.42</v>
      </c>
      <c r="E375" s="1546">
        <v>1.00376633367529</v>
      </c>
      <c r="F375" s="1546">
        <v>59.115148426240218</v>
      </c>
      <c r="K375" s="1664">
        <v>42432</v>
      </c>
      <c r="L375" s="1665" t="s">
        <v>2296</v>
      </c>
      <c r="M375" s="1666">
        <v>5.2531000000000001E-2</v>
      </c>
      <c r="N375" s="1667">
        <v>1.1378580014794033</v>
      </c>
      <c r="O375" s="1667">
        <v>1.1378580014794033</v>
      </c>
    </row>
    <row r="376" spans="2:15">
      <c r="B376" s="1545">
        <v>43862</v>
      </c>
      <c r="C376" s="1546">
        <v>762.423</v>
      </c>
      <c r="D376" s="1546">
        <v>5344.75</v>
      </c>
      <c r="E376" s="1546">
        <v>1.0029372863155552</v>
      </c>
      <c r="F376" s="1546">
        <v>59.288786542754629</v>
      </c>
      <c r="K376" s="1664">
        <v>42433</v>
      </c>
      <c r="L376" s="1665" t="s">
        <v>2296</v>
      </c>
      <c r="M376" s="1666">
        <v>5.2531000000000001E-2</v>
      </c>
      <c r="N376" s="1667">
        <v>1.1384557296661604</v>
      </c>
      <c r="O376" s="1667">
        <v>1.1384557296661604</v>
      </c>
    </row>
    <row r="377" spans="2:15">
      <c r="B377" s="1545">
        <v>43891</v>
      </c>
      <c r="C377" s="1546">
        <v>771.90800000000002</v>
      </c>
      <c r="D377" s="1546">
        <v>5348.49</v>
      </c>
      <c r="E377" s="1546">
        <v>1.0033836914846632</v>
      </c>
      <c r="F377" s="1546">
        <v>59.489401504915364</v>
      </c>
      <c r="K377" s="1664">
        <v>42434</v>
      </c>
      <c r="L377" s="1665"/>
      <c r="M377" s="1666">
        <v>0</v>
      </c>
      <c r="N377" s="1667">
        <v>1.1384557296661604</v>
      </c>
      <c r="O377" s="1667">
        <v>1.1384557296661604</v>
      </c>
    </row>
    <row r="378" spans="2:15">
      <c r="B378" s="1545">
        <v>43922</v>
      </c>
      <c r="C378" s="1546">
        <v>778.101</v>
      </c>
      <c r="D378" s="1546">
        <v>5331.91</v>
      </c>
      <c r="E378" s="1546">
        <v>1.0028492490278405</v>
      </c>
      <c r="F378" s="1546">
        <v>59.658901624320052</v>
      </c>
      <c r="K378" s="1664">
        <v>42435</v>
      </c>
      <c r="L378" s="1665"/>
      <c r="M378" s="1666">
        <v>0</v>
      </c>
      <c r="N378" s="1667">
        <v>1.1384557296661604</v>
      </c>
      <c r="O378" s="1667">
        <v>1.1384557296661604</v>
      </c>
    </row>
    <row r="379" spans="2:15">
      <c r="B379" s="1545">
        <v>43952</v>
      </c>
      <c r="C379" s="1546">
        <v>780.28</v>
      </c>
      <c r="D379" s="1546">
        <v>5311.65</v>
      </c>
      <c r="E379" s="1546">
        <v>1.0023580961930716</v>
      </c>
      <c r="F379" s="1546">
        <v>59.799583053123193</v>
      </c>
      <c r="K379" s="1664">
        <v>42436</v>
      </c>
      <c r="L379" s="1665" t="s">
        <v>2296</v>
      </c>
      <c r="M379" s="1666">
        <v>5.2531000000000001E-2</v>
      </c>
      <c r="N379" s="1667">
        <v>1.1390537718455114</v>
      </c>
      <c r="O379" s="1667">
        <v>1.1390537718455114</v>
      </c>
    </row>
    <row r="380" spans="2:15">
      <c r="B380" s="1545">
        <v>43983</v>
      </c>
      <c r="C380" s="1546">
        <v>792.42899999999997</v>
      </c>
      <c r="D380" s="1546">
        <v>5325.46</v>
      </c>
      <c r="E380" s="1546">
        <v>1.0021233217736718</v>
      </c>
      <c r="F380" s="1546">
        <v>59.926556809876388</v>
      </c>
      <c r="K380" s="1664">
        <v>42437</v>
      </c>
      <c r="L380" s="1665" t="s">
        <v>2296</v>
      </c>
      <c r="M380" s="1666">
        <v>5.2531000000000001E-2</v>
      </c>
      <c r="N380" s="1667">
        <v>1.1396521281823995</v>
      </c>
      <c r="O380" s="1667">
        <v>1.1396521281823995</v>
      </c>
    </row>
    <row r="381" spans="2:15">
      <c r="B381" s="1545">
        <v>44013</v>
      </c>
      <c r="C381" s="1546">
        <v>810.08299999999997</v>
      </c>
      <c r="D381" s="1546">
        <v>5344.63</v>
      </c>
      <c r="E381" s="1546">
        <v>1.0019434641302636</v>
      </c>
      <c r="F381" s="1546">
        <v>60.043021923486585</v>
      </c>
      <c r="K381" s="1664">
        <v>42438</v>
      </c>
      <c r="L381" s="1665" t="s">
        <v>2296</v>
      </c>
      <c r="M381" s="1666">
        <v>5.2531000000000001E-2</v>
      </c>
      <c r="N381" s="1667">
        <v>1.1402507988418549</v>
      </c>
      <c r="O381" s="1667">
        <v>1.1402507988418549</v>
      </c>
    </row>
    <row r="382" spans="2:15">
      <c r="B382" s="1545">
        <v>44044</v>
      </c>
      <c r="C382" s="1546">
        <v>832.31299999999999</v>
      </c>
      <c r="D382" s="1546">
        <v>5357.46</v>
      </c>
      <c r="E382" s="1546">
        <v>1.0015988959789295</v>
      </c>
      <c r="F382" s="1546">
        <v>60.13902446980282</v>
      </c>
      <c r="K382" s="1664">
        <v>42439</v>
      </c>
      <c r="L382" s="1665" t="s">
        <v>2296</v>
      </c>
      <c r="M382" s="1666">
        <v>5.2531000000000001E-2</v>
      </c>
      <c r="N382" s="1667">
        <v>1.1408497839889944</v>
      </c>
      <c r="O382" s="1667">
        <v>1.1408497839889944</v>
      </c>
    </row>
    <row r="383" spans="2:15">
      <c r="B383" s="1545">
        <v>44075</v>
      </c>
      <c r="C383" s="1546">
        <v>868.44200000000001</v>
      </c>
      <c r="D383" s="1546">
        <v>5391.75</v>
      </c>
      <c r="E383" s="1546">
        <v>1.0015696620595307</v>
      </c>
      <c r="F383" s="1546">
        <v>60.233422414810256</v>
      </c>
      <c r="K383" s="1664">
        <v>42440</v>
      </c>
      <c r="L383" s="1665" t="s">
        <v>2296</v>
      </c>
      <c r="M383" s="1666">
        <v>5.2531000000000001E-2</v>
      </c>
      <c r="N383" s="1667">
        <v>1.1414490837890217</v>
      </c>
      <c r="O383" s="1667">
        <v>1.1414490837890217</v>
      </c>
    </row>
    <row r="384" spans="2:15">
      <c r="B384" s="1545">
        <v>44105</v>
      </c>
      <c r="C384" s="1546">
        <v>896.505</v>
      </c>
      <c r="D384" s="1546">
        <v>5438.12</v>
      </c>
      <c r="E384" s="1546">
        <v>1.00156966205953</v>
      </c>
      <c r="F384" s="1546">
        <v>60.327968532690427</v>
      </c>
      <c r="K384" s="1664">
        <v>42441</v>
      </c>
      <c r="L384" s="1665"/>
      <c r="M384" s="1666">
        <v>0</v>
      </c>
      <c r="N384" s="1667">
        <v>1.1414490837890217</v>
      </c>
      <c r="O384" s="1667">
        <v>1.1414490837890217</v>
      </c>
    </row>
    <row r="385" spans="2:15">
      <c r="B385" s="1545">
        <v>44136</v>
      </c>
      <c r="C385" s="1546">
        <v>925.88699999999994</v>
      </c>
      <c r="D385" s="1546">
        <v>5486.52</v>
      </c>
      <c r="E385" s="1546">
        <v>1.0014948604084073</v>
      </c>
      <c r="F385" s="1546">
        <v>60.418150424369585</v>
      </c>
      <c r="K385" s="1664">
        <v>42442</v>
      </c>
      <c r="L385" s="1665"/>
      <c r="M385" s="1666">
        <v>0</v>
      </c>
      <c r="N385" s="1667">
        <v>1.1414490837890217</v>
      </c>
      <c r="O385" s="1667">
        <v>1.1414490837890217</v>
      </c>
    </row>
    <row r="386" spans="2:15">
      <c r="B386" s="1545">
        <v>44166</v>
      </c>
      <c r="C386" s="1546">
        <v>934.75800000000004</v>
      </c>
      <c r="D386" s="1546">
        <v>5560.59</v>
      </c>
      <c r="E386" s="1546">
        <v>1.0016444692975899</v>
      </c>
      <c r="F386" s="1546">
        <v>60.517506217759632</v>
      </c>
      <c r="K386" s="1664">
        <v>42443</v>
      </c>
      <c r="L386" s="1665" t="s">
        <v>2296</v>
      </c>
      <c r="M386" s="1666">
        <v>5.2531000000000001E-2</v>
      </c>
      <c r="N386" s="1667">
        <v>1.1420486984072269</v>
      </c>
      <c r="O386" s="1667">
        <v>1.1420486984072269</v>
      </c>
    </row>
    <row r="387" spans="2:15">
      <c r="B387" s="1545">
        <v>44197</v>
      </c>
      <c r="C387" s="1546">
        <v>958.84400000000005</v>
      </c>
      <c r="D387" s="1546">
        <v>5574.49</v>
      </c>
      <c r="E387" s="1546">
        <v>1.0014948604084077</v>
      </c>
      <c r="F387" s="1546">
        <v>60.607971441820126</v>
      </c>
      <c r="K387" s="1664">
        <v>42444</v>
      </c>
      <c r="L387" s="1665" t="s">
        <v>2296</v>
      </c>
      <c r="M387" s="1666">
        <v>5.2531000000000001E-2</v>
      </c>
      <c r="N387" s="1667">
        <v>1.1426486280089871</v>
      </c>
      <c r="O387" s="1667">
        <v>1.1426486280089871</v>
      </c>
    </row>
    <row r="388" spans="2:15">
      <c r="B388" s="1545">
        <v>44228</v>
      </c>
      <c r="C388" s="1546">
        <v>983.06299999999999</v>
      </c>
      <c r="D388" s="1546">
        <v>5622.43</v>
      </c>
      <c r="E388" s="1546">
        <v>1.0013452738652961</v>
      </c>
      <c r="F388" s="1546">
        <v>60.689505761829423</v>
      </c>
      <c r="K388" s="1664">
        <v>42445</v>
      </c>
      <c r="L388" s="1665" t="s">
        <v>2296</v>
      </c>
      <c r="M388" s="1666">
        <v>5.2531000000000001E-2</v>
      </c>
      <c r="N388" s="1667">
        <v>1.1432488727597665</v>
      </c>
      <c r="O388" s="1667">
        <v>1.1432488727597665</v>
      </c>
    </row>
    <row r="389" spans="2:15">
      <c r="B389" s="1545">
        <v>44256</v>
      </c>
      <c r="C389" s="1546">
        <v>1011.948</v>
      </c>
      <c r="D389" s="1546">
        <v>5674.72</v>
      </c>
      <c r="E389" s="1546">
        <v>1.0020107988327946</v>
      </c>
      <c r="F389" s="1546">
        <v>60.811540149178192</v>
      </c>
      <c r="K389" s="1664">
        <v>42446</v>
      </c>
      <c r="L389" s="1665" t="s">
        <v>2296</v>
      </c>
      <c r="M389" s="1666">
        <v>5.2531000000000001E-2</v>
      </c>
      <c r="N389" s="1667">
        <v>1.1438494328251159</v>
      </c>
      <c r="O389" s="1667">
        <v>1.1438494328251159</v>
      </c>
    </row>
    <row r="390" spans="2:15">
      <c r="B390" s="1545">
        <v>44287</v>
      </c>
      <c r="C390" s="1546">
        <v>1027.211</v>
      </c>
      <c r="D390" s="1546">
        <v>5692.31</v>
      </c>
      <c r="E390" s="1546">
        <v>1.0020778480243349</v>
      </c>
      <c r="F390" s="1546">
        <v>60.937897287733925</v>
      </c>
      <c r="K390" s="1664">
        <v>42447</v>
      </c>
      <c r="L390" s="1665" t="s">
        <v>2296</v>
      </c>
      <c r="M390" s="1666">
        <v>5.2531000000000001E-2</v>
      </c>
      <c r="N390" s="1667">
        <v>1.1444503083706732</v>
      </c>
      <c r="O390" s="1667">
        <v>1.1444503083706732</v>
      </c>
    </row>
    <row r="391" spans="2:15">
      <c r="B391" s="1545">
        <v>44317</v>
      </c>
      <c r="C391" s="1546">
        <v>1069.289</v>
      </c>
      <c r="D391" s="1546">
        <v>5739.56</v>
      </c>
      <c r="E391" s="1546">
        <v>1.0027032626398216</v>
      </c>
      <c r="F391" s="1546">
        <v>61.102628428821141</v>
      </c>
      <c r="K391" s="1664">
        <v>42448</v>
      </c>
      <c r="L391" s="1665"/>
      <c r="M391" s="1666">
        <v>0</v>
      </c>
      <c r="N391" s="1667">
        <v>1.1444503083706732</v>
      </c>
      <c r="O391" s="1667">
        <v>1.1444503083706732</v>
      </c>
    </row>
    <row r="392" spans="2:15">
      <c r="B392" s="1545">
        <v>44348</v>
      </c>
      <c r="C392" s="1546">
        <v>1075.7329999999999</v>
      </c>
      <c r="D392" s="1546">
        <v>5769.98</v>
      </c>
      <c r="E392" s="1546">
        <v>1.0030777896833167</v>
      </c>
      <c r="F392" s="1546">
        <v>61.290689468222901</v>
      </c>
      <c r="K392" s="1664">
        <v>42449</v>
      </c>
      <c r="L392" s="1665"/>
      <c r="M392" s="1666">
        <v>0</v>
      </c>
      <c r="N392" s="1667">
        <v>1.1444503083706732</v>
      </c>
      <c r="O392" s="1667">
        <v>1.1444503083706732</v>
      </c>
    </row>
    <row r="393" spans="2:15">
      <c r="B393" s="1545">
        <v>44378</v>
      </c>
      <c r="C393" s="1546">
        <v>1084.095</v>
      </c>
      <c r="D393" s="1546">
        <v>5825.37</v>
      </c>
      <c r="E393" s="1546">
        <v>1.003556161780192</v>
      </c>
      <c r="F393" s="1546">
        <v>61.508649075591414</v>
      </c>
      <c r="K393" s="1664">
        <v>42450</v>
      </c>
      <c r="L393" s="1665" t="s">
        <v>2296</v>
      </c>
      <c r="M393" s="1666">
        <v>5.2531000000000001E-2</v>
      </c>
      <c r="N393" s="1667">
        <v>1.1450514995621635</v>
      </c>
      <c r="O393" s="1667">
        <v>1.1450514995621635</v>
      </c>
    </row>
    <row r="394" spans="2:15">
      <c r="B394" s="1545">
        <v>44409</v>
      </c>
      <c r="C394" s="1546">
        <v>1091.29</v>
      </c>
      <c r="D394" s="1546">
        <v>5876.05</v>
      </c>
      <c r="E394" s="1546">
        <v>1.0042795247734253</v>
      </c>
      <c r="F394" s="1546">
        <v>61.771876863090334</v>
      </c>
      <c r="K394" s="1664">
        <v>42451</v>
      </c>
      <c r="L394" s="1665" t="s">
        <v>2296</v>
      </c>
      <c r="M394" s="1666">
        <v>5.2531000000000001E-2</v>
      </c>
      <c r="N394" s="1667">
        <v>1.1456530065653985</v>
      </c>
      <c r="O394" s="1667">
        <v>1.1456530065653985</v>
      </c>
    </row>
    <row r="395" spans="2:15">
      <c r="B395" s="1545">
        <v>44440</v>
      </c>
      <c r="C395" s="1546">
        <v>1084.3119999999999</v>
      </c>
      <c r="D395" s="1546">
        <v>5944.21</v>
      </c>
      <c r="E395" s="1546">
        <v>1.0044199933223523</v>
      </c>
      <c r="F395" s="1546">
        <v>62.044908146334365</v>
      </c>
      <c r="K395" s="1664">
        <v>42452</v>
      </c>
      <c r="L395" s="1665" t="s">
        <v>2296</v>
      </c>
      <c r="M395" s="1666">
        <v>5.2531000000000001E-2</v>
      </c>
      <c r="N395" s="1667">
        <v>1.1462548295462773</v>
      </c>
      <c r="O395" s="1667">
        <v>1.1462548295462773</v>
      </c>
    </row>
    <row r="396" spans="2:15">
      <c r="B396" s="1545">
        <v>44470</v>
      </c>
      <c r="C396" s="1546">
        <v>1091.2829999999999</v>
      </c>
      <c r="D396" s="1546">
        <v>6018.51</v>
      </c>
      <c r="E396" s="1546">
        <v>1.0048599610251685</v>
      </c>
      <c r="F396" s="1546">
        <v>62.34644398173571</v>
      </c>
      <c r="K396" s="1664">
        <v>42453</v>
      </c>
      <c r="L396" s="1665" t="s">
        <v>2296</v>
      </c>
      <c r="M396" s="1666">
        <v>5.2531000000000001E-2</v>
      </c>
      <c r="N396" s="1667">
        <v>1.1468569686707863</v>
      </c>
      <c r="O396" s="1667">
        <v>1.1468569686707863</v>
      </c>
    </row>
    <row r="397" spans="2:15">
      <c r="B397" s="1545">
        <v>44501</v>
      </c>
      <c r="C397" s="1546">
        <v>1091.4829999999999</v>
      </c>
      <c r="D397" s="1546">
        <v>6075.69</v>
      </c>
      <c r="E397" s="1546">
        <v>1.0058674909390046</v>
      </c>
      <c r="F397" s="1546">
        <v>62.712261176877703</v>
      </c>
      <c r="K397" s="1664">
        <v>42454</v>
      </c>
      <c r="L397" s="1665"/>
      <c r="M397" s="1666">
        <v>0</v>
      </c>
      <c r="N397" s="1667">
        <v>1.1468569686707863</v>
      </c>
      <c r="O397" s="1667">
        <v>1.1468569686707863</v>
      </c>
    </row>
    <row r="398" spans="2:15">
      <c r="B398" s="1545">
        <v>44531</v>
      </c>
      <c r="C398" s="1546">
        <v>1100.9880000000001</v>
      </c>
      <c r="D398" s="1546">
        <v>6120.04</v>
      </c>
      <c r="E398" s="1546">
        <v>1.0076908308186336</v>
      </c>
      <c r="F398" s="1546">
        <v>63.194570567843037</v>
      </c>
      <c r="K398" s="1664">
        <v>42455</v>
      </c>
      <c r="L398" s="1665"/>
      <c r="M398" s="1666">
        <v>0</v>
      </c>
      <c r="N398" s="1667">
        <v>1.1468569686707863</v>
      </c>
      <c r="O398" s="1667">
        <v>1.1468569686707863</v>
      </c>
    </row>
    <row r="399" spans="2:15">
      <c r="B399" s="1545">
        <v>44562</v>
      </c>
      <c r="C399" s="1546">
        <v>1120.999</v>
      </c>
      <c r="D399" s="1546">
        <v>6153.09</v>
      </c>
      <c r="E399" s="1546">
        <v>1.0073227032460901</v>
      </c>
      <c r="F399" s="1546">
        <v>63.65732565487545</v>
      </c>
      <c r="K399" s="1664">
        <v>42456</v>
      </c>
      <c r="L399" s="1665"/>
      <c r="M399" s="1666">
        <v>0</v>
      </c>
      <c r="N399" s="1667">
        <v>1.1468569686707863</v>
      </c>
      <c r="O399" s="1667">
        <v>1.1468569686707863</v>
      </c>
    </row>
    <row r="400" spans="2:15">
      <c r="B400" s="1545">
        <v>44593</v>
      </c>
      <c r="C400" s="1546">
        <v>1141.546</v>
      </c>
      <c r="D400" s="1546">
        <v>6215.24</v>
      </c>
      <c r="E400" s="1546">
        <v>1.0075504098703885</v>
      </c>
      <c r="F400" s="1546">
        <v>64.13796455482256</v>
      </c>
      <c r="K400" s="1664">
        <v>42457</v>
      </c>
      <c r="L400" s="1665" t="s">
        <v>2296</v>
      </c>
      <c r="M400" s="1666">
        <v>5.2531000000000001E-2</v>
      </c>
      <c r="N400" s="1667">
        <v>1.1474594241049989</v>
      </c>
      <c r="O400" s="1667">
        <v>1.1474594241049989</v>
      </c>
    </row>
    <row r="401" spans="2:15">
      <c r="B401" s="1545">
        <v>44621</v>
      </c>
      <c r="C401" s="1546">
        <v>1161.4179999999999</v>
      </c>
      <c r="D401" s="1546">
        <v>6315.93</v>
      </c>
      <c r="E401" s="1546">
        <v>1.0092705386289318</v>
      </c>
      <c r="F401" s="1546">
        <v>64.732558032809095</v>
      </c>
      <c r="K401" s="1664">
        <v>42458</v>
      </c>
      <c r="L401" s="1665" t="s">
        <v>2296</v>
      </c>
      <c r="M401" s="1666">
        <v>5.2531000000000001E-2</v>
      </c>
      <c r="N401" s="1667">
        <v>1.1480621960150754</v>
      </c>
      <c r="O401" s="1667">
        <v>1.1480621960150754</v>
      </c>
    </row>
    <row r="402" spans="2:15">
      <c r="B402" s="1545">
        <v>44652</v>
      </c>
      <c r="C402" s="1546">
        <v>1177.809</v>
      </c>
      <c r="D402" s="1546">
        <v>6382.88</v>
      </c>
      <c r="E402" s="1546">
        <v>1.0083432052372134</v>
      </c>
      <c r="F402" s="1546">
        <v>65.272635050006656</v>
      </c>
      <c r="K402" s="1664">
        <v>42459</v>
      </c>
      <c r="L402" s="1665" t="s">
        <v>2296</v>
      </c>
      <c r="M402" s="1666">
        <v>5.2531000000000001E-2</v>
      </c>
      <c r="N402" s="1667">
        <v>1.148665284567264</v>
      </c>
      <c r="O402" s="1667">
        <v>1.148665284567264</v>
      </c>
    </row>
    <row r="403" spans="2:15">
      <c r="B403" s="1545">
        <v>44682</v>
      </c>
      <c r="C403" s="1546">
        <v>1183.953</v>
      </c>
      <c r="D403" s="1546">
        <v>6412.88</v>
      </c>
      <c r="E403" s="1546">
        <v>1.0103459230153136</v>
      </c>
      <c r="F403" s="1546">
        <v>65.947940707240676</v>
      </c>
      <c r="K403" s="1664">
        <v>42460</v>
      </c>
      <c r="L403" s="1665" t="s">
        <v>2296</v>
      </c>
      <c r="M403" s="1666">
        <v>5.2531000000000001E-2</v>
      </c>
      <c r="N403" s="1667">
        <v>1.1492686899279001</v>
      </c>
      <c r="O403" s="1667">
        <v>1.1492686899279001</v>
      </c>
    </row>
    <row r="404" spans="2:15">
      <c r="B404" s="1545">
        <v>44713</v>
      </c>
      <c r="C404" s="1546">
        <v>1190.8820000000001</v>
      </c>
      <c r="D404" s="1546">
        <v>6455.85</v>
      </c>
      <c r="E404" s="1546">
        <v>1.0101531560893695</v>
      </c>
      <c r="F404" s="1546">
        <v>66.617520443013774</v>
      </c>
      <c r="K404" s="1664">
        <v>42461</v>
      </c>
      <c r="L404" s="1665" t="s">
        <v>2296</v>
      </c>
      <c r="M404" s="1666">
        <v>5.2531000000000001E-2</v>
      </c>
      <c r="N404" s="1667">
        <v>1.1498724122634061</v>
      </c>
      <c r="O404" s="1667">
        <v>1.1498724122634061</v>
      </c>
    </row>
    <row r="405" spans="2:15">
      <c r="B405" s="1545">
        <v>44743</v>
      </c>
      <c r="C405" s="1546">
        <v>1197.0638684620001</v>
      </c>
      <c r="D405" s="1546">
        <v>6491.3184399000011</v>
      </c>
      <c r="E405" s="1546">
        <v>1.0103484243492924</v>
      </c>
      <c r="F405" s="1546">
        <v>67.306906813655743</v>
      </c>
      <c r="K405" s="1664">
        <v>42462</v>
      </c>
      <c r="L405" s="1665"/>
      <c r="M405" s="1666">
        <v>0</v>
      </c>
      <c r="N405" s="1667">
        <v>1.1498724122634061</v>
      </c>
      <c r="O405" s="1667">
        <v>1.1498724122634061</v>
      </c>
    </row>
    <row r="406" spans="2:15">
      <c r="B406" s="1545">
        <v>44774</v>
      </c>
      <c r="C406" s="1546">
        <v>1203.249097470343</v>
      </c>
      <c r="D406" s="1546">
        <v>6514.7391168311606</v>
      </c>
      <c r="E406" s="1546">
        <v>1.0113395564141356</v>
      </c>
      <c r="F406" s="1546">
        <v>68.070137280530162</v>
      </c>
      <c r="K406" s="1664">
        <v>42463</v>
      </c>
      <c r="L406" s="1665"/>
      <c r="M406" s="1666">
        <v>0</v>
      </c>
      <c r="N406" s="1667">
        <v>1.1498724122634061</v>
      </c>
      <c r="O406" s="1667">
        <v>1.1498724122634061</v>
      </c>
    </row>
    <row r="407" spans="2:15">
      <c r="B407" s="1545">
        <v>44805</v>
      </c>
      <c r="C407" s="1546">
        <v>1210.3554866400029</v>
      </c>
      <c r="D407" s="1546">
        <v>6541.5407535578033</v>
      </c>
      <c r="E407" s="1546">
        <v>1.0103484243492922</v>
      </c>
      <c r="F407" s="1546">
        <v>68.774555946623664</v>
      </c>
      <c r="K407" s="1664">
        <v>42464</v>
      </c>
      <c r="L407" s="1665" t="s">
        <v>2296</v>
      </c>
      <c r="M407" s="1666">
        <v>5.2531000000000001E-2</v>
      </c>
      <c r="N407" s="1667">
        <v>1.1504764517402921</v>
      </c>
      <c r="O407" s="1667">
        <v>1.1504764517402921</v>
      </c>
    </row>
    <row r="408" spans="2:15">
      <c r="B408" s="1545">
        <v>44835</v>
      </c>
      <c r="C408" s="1546">
        <v>1217.5885710281636</v>
      </c>
      <c r="D408" s="1546">
        <v>6571.7430472169799</v>
      </c>
      <c r="E408" s="1546">
        <v>1.0098532226245143</v>
      </c>
      <c r="F408" s="1546">
        <v>69.452206957267862</v>
      </c>
      <c r="K408" s="1664">
        <v>42465</v>
      </c>
      <c r="L408" s="1665" t="s">
        <v>2296</v>
      </c>
      <c r="M408" s="1666">
        <v>5.2531000000000001E-2</v>
      </c>
      <c r="N408" s="1667">
        <v>1.1510808085251558</v>
      </c>
      <c r="O408" s="1667">
        <v>1.1510808085251558</v>
      </c>
    </row>
    <row r="409" spans="2:15">
      <c r="B409" s="1545">
        <v>44866</v>
      </c>
      <c r="C409" s="1546">
        <v>1224.992727128586</v>
      </c>
      <c r="D409" s="1546">
        <v>6602.2359349560666</v>
      </c>
      <c r="E409" s="1546">
        <v>1.0098532226245134</v>
      </c>
      <c r="F409" s="1546">
        <v>70.136535014181604</v>
      </c>
      <c r="K409" s="1664">
        <v>42466</v>
      </c>
      <c r="L409" s="1665" t="s">
        <v>2296</v>
      </c>
      <c r="M409" s="1666">
        <v>5.2531000000000001E-2</v>
      </c>
      <c r="N409" s="1667">
        <v>1.1516854827846821</v>
      </c>
      <c r="O409" s="1667">
        <v>1.1516854827846821</v>
      </c>
    </row>
    <row r="410" spans="2:15">
      <c r="B410" s="1545">
        <v>44896</v>
      </c>
      <c r="C410" s="1546">
        <v>1232.3194086295421</v>
      </c>
      <c r="D410" s="1546">
        <v>6643.9422593571835</v>
      </c>
      <c r="E410" s="1546">
        <v>1.0108438689061403</v>
      </c>
      <c r="F410" s="1546">
        <v>70.897086405406313</v>
      </c>
      <c r="K410" s="1664">
        <v>42467</v>
      </c>
      <c r="L410" s="1665" t="s">
        <v>2296</v>
      </c>
      <c r="M410" s="1666">
        <v>5.2531000000000001E-2</v>
      </c>
      <c r="N410" s="1667">
        <v>1.1522904746856437</v>
      </c>
      <c r="O410" s="1667">
        <v>1.1522904746856437</v>
      </c>
    </row>
    <row r="411" spans="2:15">
      <c r="B411" s="1545">
        <v>44927</v>
      </c>
      <c r="C411" s="1546">
        <v>1238.1470471129512</v>
      </c>
      <c r="D411" s="1546">
        <v>6675.3880380707214</v>
      </c>
      <c r="E411" s="1546">
        <v>1.0108438689061405</v>
      </c>
      <c r="F411" s="1546">
        <v>71.665885116213857</v>
      </c>
      <c r="K411" s="1664">
        <v>42468</v>
      </c>
      <c r="L411" s="1665" t="s">
        <v>2296</v>
      </c>
      <c r="M411" s="1666">
        <v>5.2531000000000001E-2</v>
      </c>
      <c r="N411" s="1667">
        <v>1.1528957843949008</v>
      </c>
      <c r="O411" s="1667">
        <v>1.1528957843949008</v>
      </c>
    </row>
    <row r="412" spans="2:15">
      <c r="B412" s="1545">
        <v>44958</v>
      </c>
      <c r="C412" s="1546">
        <v>1242.8891503033938</v>
      </c>
      <c r="D412" s="1546">
        <v>6708.8651090816456</v>
      </c>
      <c r="E412" s="1546">
        <v>1.0088635471951473</v>
      </c>
      <c r="F412" s="1546">
        <v>72.301099071223419</v>
      </c>
      <c r="K412" s="1664">
        <v>42469</v>
      </c>
      <c r="L412" s="1665"/>
      <c r="M412" s="1666">
        <v>0</v>
      </c>
      <c r="N412" s="1667">
        <v>1.1528957843949008</v>
      </c>
      <c r="O412" s="1667">
        <v>1.1528957843949008</v>
      </c>
    </row>
    <row r="413" spans="2:15">
      <c r="B413" s="1545">
        <v>44986</v>
      </c>
      <c r="C413" s="1546">
        <v>1247.4530392633078</v>
      </c>
      <c r="D413" s="1546">
        <v>6733.7617075014477</v>
      </c>
      <c r="E413" s="1546">
        <v>1.0113395564141363</v>
      </c>
      <c r="F413" s="1546">
        <v>73.120961462945615</v>
      </c>
      <c r="K413" s="1664">
        <v>42470</v>
      </c>
      <c r="L413" s="1665"/>
      <c r="M413" s="1666">
        <v>0</v>
      </c>
      <c r="N413" s="1667">
        <v>1.1528957843949008</v>
      </c>
      <c r="O413" s="1667">
        <v>1.1528957843949008</v>
      </c>
    </row>
    <row r="414" spans="2:15">
      <c r="B414" s="1545">
        <v>45017</v>
      </c>
      <c r="C414" s="1546">
        <v>1251.4698380497357</v>
      </c>
      <c r="D414" s="1546">
        <v>6758.8113010533525</v>
      </c>
      <c r="E414" s="1546">
        <v>1.0088635471951479</v>
      </c>
      <c r="F414" s="1546">
        <v>73.769072555827023</v>
      </c>
      <c r="K414" s="1664">
        <v>42471</v>
      </c>
      <c r="L414" s="1665" t="s">
        <v>2296</v>
      </c>
      <c r="M414" s="1666">
        <v>5.2531000000000001E-2</v>
      </c>
      <c r="N414" s="1667">
        <v>1.1535014120794014</v>
      </c>
      <c r="O414" s="1667">
        <v>1.1535014120794014</v>
      </c>
    </row>
    <row r="415" spans="2:15">
      <c r="B415" s="1545">
        <v>45047</v>
      </c>
      <c r="C415" s="1546">
        <v>1255.0803285325092</v>
      </c>
      <c r="D415" s="1546">
        <v>6776.8505684158645</v>
      </c>
      <c r="E415" s="1546">
        <v>1.0108438689061405</v>
      </c>
      <c r="F415" s="1546">
        <v>74.569014707949975</v>
      </c>
      <c r="K415" s="1664">
        <v>42472</v>
      </c>
      <c r="L415" s="1665" t="s">
        <v>2296</v>
      </c>
      <c r="M415" s="1666">
        <v>5.2531000000000001E-2</v>
      </c>
      <c r="N415" s="1667">
        <v>1.1541073579061809</v>
      </c>
      <c r="O415" s="1667">
        <v>1.1541073579061809</v>
      </c>
    </row>
    <row r="416" spans="2:15">
      <c r="B416" s="1545">
        <v>45078</v>
      </c>
      <c r="C416" s="1546">
        <v>1259.3250102036061</v>
      </c>
      <c r="D416" s="1546">
        <v>6793.2031088374515</v>
      </c>
      <c r="E416" s="1546">
        <v>1.010348424349292</v>
      </c>
      <c r="F416" s="1546">
        <v>75.34068651545644</v>
      </c>
      <c r="K416" s="1664">
        <v>42473</v>
      </c>
      <c r="L416" s="1665" t="s">
        <v>2296</v>
      </c>
      <c r="M416" s="1666">
        <v>5.2531000000000001E-2</v>
      </c>
      <c r="N416" s="1667">
        <v>1.1547136220423626</v>
      </c>
      <c r="O416" s="1667">
        <v>1.1547136220423626</v>
      </c>
    </row>
    <row r="417" spans="2:15">
      <c r="B417" s="1545">
        <v>45108</v>
      </c>
      <c r="C417" s="1546" t="e">
        <v>#N/A</v>
      </c>
      <c r="D417" s="1546" t="e">
        <v>#N/A</v>
      </c>
      <c r="E417" s="1546" t="e">
        <v>#N/A</v>
      </c>
      <c r="F417" s="1546" t="e">
        <f t="shared" ref="F417:F419" si="0">F416*E417</f>
        <v>#N/A</v>
      </c>
      <c r="K417" s="1664">
        <v>42474</v>
      </c>
      <c r="L417" s="1665" t="s">
        <v>2296</v>
      </c>
      <c r="M417" s="1666">
        <v>5.2531000000000001E-2</v>
      </c>
      <c r="N417" s="1667">
        <v>1.1553202046551576</v>
      </c>
      <c r="O417" s="1667">
        <v>1.1553202046551576</v>
      </c>
    </row>
    <row r="418" spans="2:15">
      <c r="B418" s="1545">
        <v>45139</v>
      </c>
      <c r="C418" s="1546" t="e">
        <v>#N/A</v>
      </c>
      <c r="D418" s="1546" t="e">
        <v>#N/A</v>
      </c>
      <c r="E418" s="1546" t="e">
        <v>#N/A</v>
      </c>
      <c r="F418" s="1546" t="e">
        <f t="shared" si="0"/>
        <v>#N/A</v>
      </c>
      <c r="K418" s="1664">
        <v>42475</v>
      </c>
      <c r="L418" s="1665" t="s">
        <v>2296</v>
      </c>
      <c r="M418" s="1666">
        <v>5.2531000000000001E-2</v>
      </c>
      <c r="N418" s="1667">
        <v>1.155927105911865</v>
      </c>
      <c r="O418" s="1667">
        <v>1.155927105911865</v>
      </c>
    </row>
    <row r="419" spans="2:15">
      <c r="B419" s="1545">
        <v>45170</v>
      </c>
      <c r="C419" s="1546" t="e">
        <v>#N/A</v>
      </c>
      <c r="D419" s="1546" t="e">
        <v>#N/A</v>
      </c>
      <c r="E419" s="1546" t="e">
        <v>#N/A</v>
      </c>
      <c r="F419" s="1546" t="e">
        <f t="shared" si="0"/>
        <v>#N/A</v>
      </c>
      <c r="K419" s="1664">
        <v>42476</v>
      </c>
      <c r="L419" s="1665"/>
      <c r="M419" s="1666">
        <v>0</v>
      </c>
      <c r="N419" s="1667">
        <v>1.155927105911865</v>
      </c>
      <c r="O419" s="1667">
        <v>1.155927105911865</v>
      </c>
    </row>
    <row r="420" spans="2:15">
      <c r="B420" s="1545">
        <v>45200</v>
      </c>
      <c r="C420" s="1546" t="e">
        <v>#N/A</v>
      </c>
      <c r="D420" s="1546" t="e">
        <v>#N/A</v>
      </c>
      <c r="E420" s="1546" t="e">
        <v>#N/A</v>
      </c>
      <c r="F420" s="1546" t="e">
        <f t="shared" ref="F420:F483" si="1">F419*E420</f>
        <v>#N/A</v>
      </c>
      <c r="K420" s="1664">
        <v>42477</v>
      </c>
      <c r="L420" s="1665"/>
      <c r="M420" s="1666">
        <v>0</v>
      </c>
      <c r="N420" s="1667">
        <v>1.155927105911865</v>
      </c>
      <c r="O420" s="1667">
        <v>1.155927105911865</v>
      </c>
    </row>
    <row r="421" spans="2:15">
      <c r="B421" s="1545">
        <v>45231</v>
      </c>
      <c r="C421" s="1546" t="e">
        <v>#N/A</v>
      </c>
      <c r="D421" s="1546" t="e">
        <v>#N/A</v>
      </c>
      <c r="E421" s="1546" t="e">
        <v>#N/A</v>
      </c>
      <c r="F421" s="1546" t="e">
        <f t="shared" si="1"/>
        <v>#N/A</v>
      </c>
      <c r="K421" s="1664">
        <v>42478</v>
      </c>
      <c r="L421" s="1665" t="s">
        <v>2296</v>
      </c>
      <c r="M421" s="1666">
        <v>5.2531000000000001E-2</v>
      </c>
      <c r="N421" s="1667">
        <v>1.1565343259798715</v>
      </c>
      <c r="O421" s="1667">
        <v>1.1565343259798715</v>
      </c>
    </row>
    <row r="422" spans="2:15">
      <c r="B422" s="1545">
        <v>45261</v>
      </c>
      <c r="C422" s="1546" t="e">
        <v>#N/A</v>
      </c>
      <c r="D422" s="1546" t="e">
        <v>#N/A</v>
      </c>
      <c r="E422" s="1546" t="e">
        <v>#N/A</v>
      </c>
      <c r="F422" s="1546" t="e">
        <f t="shared" si="1"/>
        <v>#N/A</v>
      </c>
      <c r="K422" s="1664">
        <v>42479</v>
      </c>
      <c r="L422" s="1665" t="s">
        <v>2296</v>
      </c>
      <c r="M422" s="1666">
        <v>5.2531000000000001E-2</v>
      </c>
      <c r="N422" s="1667">
        <v>1.1571418650266521</v>
      </c>
      <c r="O422" s="1667">
        <v>1.1571418650266521</v>
      </c>
    </row>
    <row r="423" spans="2:15">
      <c r="B423" s="1545">
        <v>45292</v>
      </c>
      <c r="C423" s="1546" t="e">
        <v>#N/A</v>
      </c>
      <c r="D423" s="1546" t="e">
        <v>#N/A</v>
      </c>
      <c r="E423" s="1546" t="e">
        <v>#N/A</v>
      </c>
      <c r="F423" s="1546" t="e">
        <f t="shared" si="1"/>
        <v>#N/A</v>
      </c>
      <c r="K423" s="1664">
        <v>42480</v>
      </c>
      <c r="L423" s="1665" t="s">
        <v>2296</v>
      </c>
      <c r="M423" s="1666">
        <v>5.2531000000000001E-2</v>
      </c>
      <c r="N423" s="1667">
        <v>1.1577497232197693</v>
      </c>
      <c r="O423" s="1667">
        <v>1.1577497232197693</v>
      </c>
    </row>
    <row r="424" spans="2:15">
      <c r="B424" s="1545">
        <v>45323</v>
      </c>
      <c r="C424" s="1546" t="e">
        <v>#N/A</v>
      </c>
      <c r="D424" s="1546" t="e">
        <v>#N/A</v>
      </c>
      <c r="E424" s="1546" t="e">
        <v>#N/A</v>
      </c>
      <c r="F424" s="1546" t="e">
        <f t="shared" si="1"/>
        <v>#N/A</v>
      </c>
      <c r="K424" s="1664">
        <v>42481</v>
      </c>
      <c r="L424" s="1665"/>
      <c r="M424" s="1666">
        <v>0</v>
      </c>
      <c r="N424" s="1667">
        <v>1.1577497232197693</v>
      </c>
      <c r="O424" s="1667">
        <v>1.1577497232197693</v>
      </c>
    </row>
    <row r="425" spans="2:15">
      <c r="B425" s="1545">
        <v>45352</v>
      </c>
      <c r="C425" s="1546" t="e">
        <v>#N/A</v>
      </c>
      <c r="D425" s="1546" t="e">
        <v>#N/A</v>
      </c>
      <c r="E425" s="1546" t="e">
        <v>#N/A</v>
      </c>
      <c r="F425" s="1546" t="e">
        <f t="shared" si="1"/>
        <v>#N/A</v>
      </c>
      <c r="K425" s="1664">
        <v>42482</v>
      </c>
      <c r="L425" s="1665" t="s">
        <v>2296</v>
      </c>
      <c r="M425" s="1666">
        <v>5.2531000000000001E-2</v>
      </c>
      <c r="N425" s="1667">
        <v>1.1583579007268738</v>
      </c>
      <c r="O425" s="1667">
        <v>1.1583579007268738</v>
      </c>
    </row>
    <row r="426" spans="2:15">
      <c r="B426" s="1545">
        <v>45383</v>
      </c>
      <c r="C426" s="1546" t="e">
        <v>#N/A</v>
      </c>
      <c r="D426" s="1546" t="e">
        <v>#N/A</v>
      </c>
      <c r="E426" s="1546" t="e">
        <v>#N/A</v>
      </c>
      <c r="F426" s="1546" t="e">
        <f t="shared" si="1"/>
        <v>#N/A</v>
      </c>
      <c r="K426" s="1664">
        <v>42483</v>
      </c>
      <c r="L426" s="1665"/>
      <c r="M426" s="1666">
        <v>0</v>
      </c>
      <c r="N426" s="1667">
        <v>1.1583579007268738</v>
      </c>
      <c r="O426" s="1667">
        <v>1.1583579007268738</v>
      </c>
    </row>
    <row r="427" spans="2:15">
      <c r="B427" s="1545">
        <v>45413</v>
      </c>
      <c r="C427" s="1546" t="e">
        <v>#N/A</v>
      </c>
      <c r="D427" s="1546" t="e">
        <v>#N/A</v>
      </c>
      <c r="E427" s="1546" t="e">
        <v>#N/A</v>
      </c>
      <c r="F427" s="1546" t="e">
        <f t="shared" si="1"/>
        <v>#N/A</v>
      </c>
      <c r="K427" s="1664">
        <v>42484</v>
      </c>
      <c r="L427" s="1665"/>
      <c r="M427" s="1666">
        <v>0</v>
      </c>
      <c r="N427" s="1667">
        <v>1.1583579007268738</v>
      </c>
      <c r="O427" s="1667">
        <v>1.1583579007268738</v>
      </c>
    </row>
    <row r="428" spans="2:15">
      <c r="B428" s="1545">
        <v>45444</v>
      </c>
      <c r="C428" s="1546" t="e">
        <v>#N/A</v>
      </c>
      <c r="D428" s="1546" t="e">
        <v>#N/A</v>
      </c>
      <c r="E428" s="1546" t="e">
        <v>#N/A</v>
      </c>
      <c r="F428" s="1546" t="e">
        <f t="shared" si="1"/>
        <v>#N/A</v>
      </c>
      <c r="K428" s="1664">
        <v>42485</v>
      </c>
      <c r="L428" s="1665" t="s">
        <v>2296</v>
      </c>
      <c r="M428" s="1666">
        <v>5.2531000000000001E-2</v>
      </c>
      <c r="N428" s="1667">
        <v>1.1589663977157048</v>
      </c>
      <c r="O428" s="1667">
        <v>1.1589663977157048</v>
      </c>
    </row>
    <row r="429" spans="2:15">
      <c r="B429" s="1545">
        <v>45474</v>
      </c>
      <c r="C429" s="1546" t="e">
        <v>#N/A</v>
      </c>
      <c r="D429" s="1546" t="e">
        <v>#N/A</v>
      </c>
      <c r="E429" s="1546" t="e">
        <v>#N/A</v>
      </c>
      <c r="F429" s="1546" t="e">
        <f t="shared" si="1"/>
        <v>#N/A</v>
      </c>
      <c r="K429" s="1664">
        <v>42486</v>
      </c>
      <c r="L429" s="1665" t="s">
        <v>2296</v>
      </c>
      <c r="M429" s="1666">
        <v>5.2531000000000001E-2</v>
      </c>
      <c r="N429" s="1667">
        <v>1.1595752143540887</v>
      </c>
      <c r="O429" s="1667">
        <v>1.1595752143540887</v>
      </c>
    </row>
    <row r="430" spans="2:15">
      <c r="B430" s="1545">
        <v>45505</v>
      </c>
      <c r="C430" s="1546" t="e">
        <v>#N/A</v>
      </c>
      <c r="D430" s="1546" t="e">
        <v>#N/A</v>
      </c>
      <c r="E430" s="1546" t="e">
        <v>#N/A</v>
      </c>
      <c r="F430" s="1546" t="e">
        <f t="shared" si="1"/>
        <v>#N/A</v>
      </c>
      <c r="K430" s="1664">
        <v>42487</v>
      </c>
      <c r="L430" s="1665" t="s">
        <v>2296</v>
      </c>
      <c r="M430" s="1666">
        <v>5.2531000000000001E-2</v>
      </c>
      <c r="N430" s="1667">
        <v>1.160184350809941</v>
      </c>
      <c r="O430" s="1667">
        <v>1.160184350809941</v>
      </c>
    </row>
    <row r="431" spans="2:15">
      <c r="B431" s="1545">
        <v>45536</v>
      </c>
      <c r="C431" s="1546" t="e">
        <v>#N/A</v>
      </c>
      <c r="D431" s="1546" t="e">
        <v>#N/A</v>
      </c>
      <c r="E431" s="1546" t="e">
        <v>#N/A</v>
      </c>
      <c r="F431" s="1546" t="e">
        <f t="shared" si="1"/>
        <v>#N/A</v>
      </c>
      <c r="K431" s="1664">
        <v>42488</v>
      </c>
      <c r="L431" s="1665" t="s">
        <v>2296</v>
      </c>
      <c r="M431" s="1666">
        <v>5.2531000000000001E-2</v>
      </c>
      <c r="N431" s="1667">
        <v>1.1607938072512649</v>
      </c>
      <c r="O431" s="1667">
        <v>1.1607938072512649</v>
      </c>
    </row>
    <row r="432" spans="2:15">
      <c r="B432" s="1545">
        <v>45566</v>
      </c>
      <c r="C432" s="1546" t="e">
        <v>#N/A</v>
      </c>
      <c r="D432" s="1546" t="e">
        <v>#N/A</v>
      </c>
      <c r="E432" s="1546" t="e">
        <v>#N/A</v>
      </c>
      <c r="F432" s="1546" t="e">
        <f t="shared" si="1"/>
        <v>#N/A</v>
      </c>
      <c r="K432" s="1664">
        <v>42489</v>
      </c>
      <c r="L432" s="1665" t="s">
        <v>2296</v>
      </c>
      <c r="M432" s="1666">
        <v>5.2531000000000001E-2</v>
      </c>
      <c r="N432" s="1667">
        <v>1.1614035838461521</v>
      </c>
      <c r="O432" s="1667">
        <v>1.1614035838461521</v>
      </c>
    </row>
    <row r="433" spans="2:15">
      <c r="B433" s="1545">
        <v>45597</v>
      </c>
      <c r="C433" s="1546" t="e">
        <v>#N/A</v>
      </c>
      <c r="D433" s="1546" t="e">
        <v>#N/A</v>
      </c>
      <c r="E433" s="1546" t="e">
        <v>#N/A</v>
      </c>
      <c r="F433" s="1546" t="e">
        <f t="shared" si="1"/>
        <v>#N/A</v>
      </c>
      <c r="K433" s="1664">
        <v>42490</v>
      </c>
      <c r="L433" s="1665"/>
      <c r="M433" s="1666">
        <v>0</v>
      </c>
      <c r="N433" s="1667">
        <v>1.1614035838461521</v>
      </c>
      <c r="O433" s="1667">
        <v>1.1614035838461521</v>
      </c>
    </row>
    <row r="434" spans="2:15">
      <c r="B434" s="1545">
        <v>45627</v>
      </c>
      <c r="C434" s="1546" t="e">
        <v>#N/A</v>
      </c>
      <c r="D434" s="1546" t="e">
        <v>#N/A</v>
      </c>
      <c r="E434" s="1546" t="e">
        <v>#N/A</v>
      </c>
      <c r="F434" s="1546" t="e">
        <f t="shared" si="1"/>
        <v>#N/A</v>
      </c>
      <c r="K434" s="1664">
        <v>42491</v>
      </c>
      <c r="L434" s="1665"/>
      <c r="M434" s="1666">
        <v>0</v>
      </c>
      <c r="N434" s="1667">
        <v>1.1614035838461521</v>
      </c>
      <c r="O434" s="1667">
        <v>1.1614035838461521</v>
      </c>
    </row>
    <row r="435" spans="2:15">
      <c r="B435" s="1545">
        <v>45658</v>
      </c>
      <c r="C435" s="1546" t="e">
        <v>#N/A</v>
      </c>
      <c r="D435" s="1546" t="e">
        <v>#N/A</v>
      </c>
      <c r="E435" s="1546" t="e">
        <v>#N/A</v>
      </c>
      <c r="F435" s="1546" t="e">
        <f t="shared" si="1"/>
        <v>#N/A</v>
      </c>
      <c r="K435" s="1664">
        <v>42492</v>
      </c>
      <c r="L435" s="1665" t="s">
        <v>2296</v>
      </c>
      <c r="M435" s="1666">
        <v>5.2531000000000001E-2</v>
      </c>
      <c r="N435" s="1667">
        <v>1.1620136807627823</v>
      </c>
      <c r="O435" s="1667">
        <v>1.1620136807627823</v>
      </c>
    </row>
    <row r="436" spans="2:15">
      <c r="B436" s="1545">
        <v>45689</v>
      </c>
      <c r="C436" s="1546" t="e">
        <v>#N/A</v>
      </c>
      <c r="D436" s="1546" t="e">
        <v>#N/A</v>
      </c>
      <c r="E436" s="1546" t="e">
        <v>#N/A</v>
      </c>
      <c r="F436" s="1546" t="e">
        <f t="shared" si="1"/>
        <v>#N/A</v>
      </c>
      <c r="K436" s="1664">
        <v>42493</v>
      </c>
      <c r="L436" s="1665" t="s">
        <v>2296</v>
      </c>
      <c r="M436" s="1666">
        <v>5.2531000000000001E-2</v>
      </c>
      <c r="N436" s="1667">
        <v>1.1626240981694238</v>
      </c>
      <c r="O436" s="1667">
        <v>1.1626240981694238</v>
      </c>
    </row>
    <row r="437" spans="2:15">
      <c r="B437" s="1545">
        <v>45717</v>
      </c>
      <c r="C437" s="1546" t="e">
        <v>#N/A</v>
      </c>
      <c r="D437" s="1546" t="e">
        <v>#N/A</v>
      </c>
      <c r="E437" s="1546" t="e">
        <v>#N/A</v>
      </c>
      <c r="F437" s="1546" t="e">
        <f t="shared" si="1"/>
        <v>#N/A</v>
      </c>
      <c r="K437" s="1664">
        <v>42494</v>
      </c>
      <c r="L437" s="1665" t="s">
        <v>2296</v>
      </c>
      <c r="M437" s="1666">
        <v>5.2531000000000001E-2</v>
      </c>
      <c r="N437" s="1667">
        <v>1.1632348362344331</v>
      </c>
      <c r="O437" s="1667">
        <v>1.1632348362344331</v>
      </c>
    </row>
    <row r="438" spans="2:15">
      <c r="B438" s="1545">
        <v>45748</v>
      </c>
      <c r="C438" s="1546" t="e">
        <v>#N/A</v>
      </c>
      <c r="D438" s="1546" t="e">
        <v>#N/A</v>
      </c>
      <c r="E438" s="1546" t="e">
        <v>#N/A</v>
      </c>
      <c r="F438" s="1546" t="e">
        <f t="shared" si="1"/>
        <v>#N/A</v>
      </c>
      <c r="K438" s="1664">
        <v>42495</v>
      </c>
      <c r="L438" s="1665" t="s">
        <v>2296</v>
      </c>
      <c r="M438" s="1666">
        <v>5.2531000000000001E-2</v>
      </c>
      <c r="N438" s="1667">
        <v>1.1638458951262554</v>
      </c>
      <c r="O438" s="1667">
        <v>1.1638458951262554</v>
      </c>
    </row>
    <row r="439" spans="2:15">
      <c r="B439" s="1545">
        <v>45778</v>
      </c>
      <c r="C439" s="1546" t="e">
        <v>#N/A</v>
      </c>
      <c r="D439" s="1546" t="e">
        <v>#N/A</v>
      </c>
      <c r="E439" s="1546" t="e">
        <v>#N/A</v>
      </c>
      <c r="F439" s="1546" t="e">
        <f t="shared" si="1"/>
        <v>#N/A</v>
      </c>
      <c r="K439" s="1664">
        <v>42496</v>
      </c>
      <c r="L439" s="1665" t="s">
        <v>2296</v>
      </c>
      <c r="M439" s="1666">
        <v>5.2531000000000001E-2</v>
      </c>
      <c r="N439" s="1667">
        <v>1.1644572750134241</v>
      </c>
      <c r="O439" s="1667">
        <v>1.1644572750134241</v>
      </c>
    </row>
    <row r="440" spans="2:15">
      <c r="B440" s="1545">
        <v>45809</v>
      </c>
      <c r="C440" s="1546" t="e">
        <v>#N/A</v>
      </c>
      <c r="D440" s="1546" t="e">
        <v>#N/A</v>
      </c>
      <c r="E440" s="1546" t="e">
        <v>#N/A</v>
      </c>
      <c r="F440" s="1546" t="e">
        <f t="shared" si="1"/>
        <v>#N/A</v>
      </c>
      <c r="K440" s="1664">
        <v>42497</v>
      </c>
      <c r="L440" s="1665"/>
      <c r="M440" s="1666">
        <v>0</v>
      </c>
      <c r="N440" s="1667">
        <v>1.1644572750134241</v>
      </c>
      <c r="O440" s="1667">
        <v>1.1644572750134241</v>
      </c>
    </row>
    <row r="441" spans="2:15">
      <c r="B441" s="1545">
        <v>45839</v>
      </c>
      <c r="C441" s="1546" t="e">
        <v>#N/A</v>
      </c>
      <c r="D441" s="1546" t="e">
        <v>#N/A</v>
      </c>
      <c r="E441" s="1546" t="e">
        <v>#N/A</v>
      </c>
      <c r="F441" s="1546" t="e">
        <f t="shared" si="1"/>
        <v>#N/A</v>
      </c>
      <c r="K441" s="1664">
        <v>42498</v>
      </c>
      <c r="L441" s="1665"/>
      <c r="M441" s="1666">
        <v>0</v>
      </c>
      <c r="N441" s="1667">
        <v>1.1644572750134241</v>
      </c>
      <c r="O441" s="1667">
        <v>1.1644572750134241</v>
      </c>
    </row>
    <row r="442" spans="2:15">
      <c r="B442" s="1545">
        <v>45870</v>
      </c>
      <c r="C442" s="1546" t="e">
        <v>#N/A</v>
      </c>
      <c r="D442" s="1546" t="e">
        <v>#N/A</v>
      </c>
      <c r="E442" s="1546" t="e">
        <v>#N/A</v>
      </c>
      <c r="F442" s="1546" t="e">
        <f t="shared" si="1"/>
        <v>#N/A</v>
      </c>
      <c r="K442" s="1664">
        <v>42499</v>
      </c>
      <c r="L442" s="1665" t="s">
        <v>2296</v>
      </c>
      <c r="M442" s="1666">
        <v>5.2531000000000001E-2</v>
      </c>
      <c r="N442" s="1667">
        <v>1.1650689760645614</v>
      </c>
      <c r="O442" s="1667">
        <v>1.1650689760645614</v>
      </c>
    </row>
    <row r="443" spans="2:15">
      <c r="B443" s="1545">
        <v>45901</v>
      </c>
      <c r="C443" s="1546" t="e">
        <v>#N/A</v>
      </c>
      <c r="D443" s="1546" t="e">
        <v>#N/A</v>
      </c>
      <c r="E443" s="1546" t="e">
        <v>#N/A</v>
      </c>
      <c r="F443" s="1546" t="e">
        <f t="shared" si="1"/>
        <v>#N/A</v>
      </c>
      <c r="K443" s="1664">
        <v>42500</v>
      </c>
      <c r="L443" s="1665" t="s">
        <v>2296</v>
      </c>
      <c r="M443" s="1666">
        <v>5.2531000000000001E-2</v>
      </c>
      <c r="N443" s="1667">
        <v>1.1656809984483778</v>
      </c>
      <c r="O443" s="1667">
        <v>1.1656809984483778</v>
      </c>
    </row>
    <row r="444" spans="2:15">
      <c r="B444" s="1545">
        <v>45931</v>
      </c>
      <c r="C444" s="1546" t="e">
        <v>#N/A</v>
      </c>
      <c r="D444" s="1546" t="e">
        <v>#N/A</v>
      </c>
      <c r="E444" s="1546" t="e">
        <v>#N/A</v>
      </c>
      <c r="F444" s="1546" t="e">
        <f t="shared" si="1"/>
        <v>#N/A</v>
      </c>
      <c r="K444" s="1664">
        <v>42501</v>
      </c>
      <c r="L444" s="1665" t="s">
        <v>2296</v>
      </c>
      <c r="M444" s="1666">
        <v>5.2531000000000001E-2</v>
      </c>
      <c r="N444" s="1667">
        <v>1.1662933423336728</v>
      </c>
      <c r="O444" s="1667">
        <v>1.1662933423336728</v>
      </c>
    </row>
    <row r="445" spans="2:15">
      <c r="B445" s="1545">
        <v>45962</v>
      </c>
      <c r="C445" s="1546" t="e">
        <v>#N/A</v>
      </c>
      <c r="D445" s="1546" t="e">
        <v>#N/A</v>
      </c>
      <c r="E445" s="1546" t="e">
        <v>#N/A</v>
      </c>
      <c r="F445" s="1546" t="e">
        <f t="shared" si="1"/>
        <v>#N/A</v>
      </c>
      <c r="K445" s="1664">
        <v>42502</v>
      </c>
      <c r="L445" s="1665" t="s">
        <v>2296</v>
      </c>
      <c r="M445" s="1666">
        <v>5.2531000000000001E-2</v>
      </c>
      <c r="N445" s="1667">
        <v>1.1669060078893341</v>
      </c>
      <c r="O445" s="1667">
        <v>1.1669060078893341</v>
      </c>
    </row>
    <row r="446" spans="2:15">
      <c r="B446" s="1545">
        <v>45992</v>
      </c>
      <c r="C446" s="1546" t="e">
        <v>#N/A</v>
      </c>
      <c r="D446" s="1546" t="e">
        <v>#N/A</v>
      </c>
      <c r="E446" s="1546" t="e">
        <v>#N/A</v>
      </c>
      <c r="F446" s="1546" t="e">
        <f t="shared" si="1"/>
        <v>#N/A</v>
      </c>
      <c r="K446" s="1664">
        <v>42503</v>
      </c>
      <c r="L446" s="1665" t="s">
        <v>2296</v>
      </c>
      <c r="M446" s="1666">
        <v>5.2531000000000001E-2</v>
      </c>
      <c r="N446" s="1667">
        <v>1.1675189952843383</v>
      </c>
      <c r="O446" s="1667">
        <v>1.1675189952843383</v>
      </c>
    </row>
    <row r="447" spans="2:15">
      <c r="B447" s="1545">
        <v>46023</v>
      </c>
      <c r="C447" s="1546" t="e">
        <v>#N/A</v>
      </c>
      <c r="D447" s="1546" t="e">
        <v>#N/A</v>
      </c>
      <c r="E447" s="1546" t="e">
        <v>#N/A</v>
      </c>
      <c r="F447" s="1546" t="e">
        <f t="shared" si="1"/>
        <v>#N/A</v>
      </c>
      <c r="K447" s="1664">
        <v>42504</v>
      </c>
      <c r="L447" s="1665"/>
      <c r="M447" s="1666">
        <v>0</v>
      </c>
      <c r="N447" s="1667">
        <v>1.1675189952843383</v>
      </c>
      <c r="O447" s="1667">
        <v>1.1675189952843383</v>
      </c>
    </row>
    <row r="448" spans="2:15">
      <c r="B448" s="1545">
        <v>46054</v>
      </c>
      <c r="C448" s="1546" t="e">
        <v>#N/A</v>
      </c>
      <c r="D448" s="1546" t="e">
        <v>#N/A</v>
      </c>
      <c r="E448" s="1546" t="e">
        <v>#N/A</v>
      </c>
      <c r="F448" s="1546" t="e">
        <f t="shared" si="1"/>
        <v>#N/A</v>
      </c>
      <c r="K448" s="1664">
        <v>42505</v>
      </c>
      <c r="L448" s="1665"/>
      <c r="M448" s="1666">
        <v>0</v>
      </c>
      <c r="N448" s="1667">
        <v>1.1675189952843383</v>
      </c>
      <c r="O448" s="1667">
        <v>1.1675189952843383</v>
      </c>
    </row>
    <row r="449" spans="2:15">
      <c r="B449" s="1545">
        <v>46082</v>
      </c>
      <c r="C449" s="1546" t="e">
        <v>#N/A</v>
      </c>
      <c r="D449" s="1546" t="e">
        <v>#N/A</v>
      </c>
      <c r="E449" s="1546" t="e">
        <v>#N/A</v>
      </c>
      <c r="F449" s="1546" t="e">
        <f t="shared" si="1"/>
        <v>#N/A</v>
      </c>
      <c r="K449" s="1664">
        <v>42506</v>
      </c>
      <c r="L449" s="1665" t="s">
        <v>2296</v>
      </c>
      <c r="M449" s="1666">
        <v>5.2531000000000001E-2</v>
      </c>
      <c r="N449" s="1667">
        <v>1.1681323046877512</v>
      </c>
      <c r="O449" s="1667">
        <v>1.1681323046877512</v>
      </c>
    </row>
    <row r="450" spans="2:15">
      <c r="B450" s="1545">
        <v>46113</v>
      </c>
      <c r="C450" s="1546" t="e">
        <v>#N/A</v>
      </c>
      <c r="D450" s="1546" t="e">
        <v>#N/A</v>
      </c>
      <c r="E450" s="1546" t="e">
        <v>#N/A</v>
      </c>
      <c r="F450" s="1546" t="e">
        <f t="shared" si="1"/>
        <v>#N/A</v>
      </c>
      <c r="K450" s="1664">
        <v>42507</v>
      </c>
      <c r="L450" s="1665" t="s">
        <v>2296</v>
      </c>
      <c r="M450" s="1666">
        <v>5.2531000000000001E-2</v>
      </c>
      <c r="N450" s="1667">
        <v>1.1687459362687267</v>
      </c>
      <c r="O450" s="1667">
        <v>1.1687459362687267</v>
      </c>
    </row>
    <row r="451" spans="2:15">
      <c r="B451" s="1545">
        <v>46143</v>
      </c>
      <c r="C451" s="1546" t="e">
        <v>#N/A</v>
      </c>
      <c r="D451" s="1546" t="e">
        <v>#N/A</v>
      </c>
      <c r="E451" s="1546" t="e">
        <v>#N/A</v>
      </c>
      <c r="F451" s="1546" t="e">
        <f t="shared" si="1"/>
        <v>#N/A</v>
      </c>
      <c r="K451" s="1664">
        <v>42508</v>
      </c>
      <c r="L451" s="1665" t="s">
        <v>2296</v>
      </c>
      <c r="M451" s="1666">
        <v>5.2531000000000001E-2</v>
      </c>
      <c r="N451" s="1667">
        <v>1.1693598901965081</v>
      </c>
      <c r="O451" s="1667">
        <v>1.1693598901965081</v>
      </c>
    </row>
    <row r="452" spans="2:15">
      <c r="B452" s="1545">
        <v>46174</v>
      </c>
      <c r="C452" s="1546" t="e">
        <v>#N/A</v>
      </c>
      <c r="D452" s="1546" t="e">
        <v>#N/A</v>
      </c>
      <c r="E452" s="1546" t="e">
        <v>#N/A</v>
      </c>
      <c r="F452" s="1546" t="e">
        <f t="shared" si="1"/>
        <v>#N/A</v>
      </c>
      <c r="K452" s="1664">
        <v>42509</v>
      </c>
      <c r="L452" s="1665" t="s">
        <v>2296</v>
      </c>
      <c r="M452" s="1666">
        <v>5.2531000000000001E-2</v>
      </c>
      <c r="N452" s="1667">
        <v>1.1699741666404273</v>
      </c>
      <c r="O452" s="1667">
        <v>1.1699741666404273</v>
      </c>
    </row>
    <row r="453" spans="2:15">
      <c r="B453" s="1545">
        <v>46204</v>
      </c>
      <c r="C453" s="1546" t="e">
        <v>#N/A</v>
      </c>
      <c r="D453" s="1546" t="e">
        <v>#N/A</v>
      </c>
      <c r="E453" s="1546" t="e">
        <v>#N/A</v>
      </c>
      <c r="F453" s="1546" t="e">
        <f t="shared" si="1"/>
        <v>#N/A</v>
      </c>
      <c r="K453" s="1664">
        <v>42510</v>
      </c>
      <c r="L453" s="1665" t="s">
        <v>2296</v>
      </c>
      <c r="M453" s="1666">
        <v>5.2531000000000001E-2</v>
      </c>
      <c r="N453" s="1667">
        <v>1.1705887657699052</v>
      </c>
      <c r="O453" s="1667">
        <v>1.1705887657699052</v>
      </c>
    </row>
    <row r="454" spans="2:15">
      <c r="B454" s="1545">
        <v>46235</v>
      </c>
      <c r="C454" s="1546" t="e">
        <v>#N/A</v>
      </c>
      <c r="D454" s="1546" t="e">
        <v>#N/A</v>
      </c>
      <c r="E454" s="1546" t="e">
        <v>#N/A</v>
      </c>
      <c r="F454" s="1546" t="e">
        <f t="shared" si="1"/>
        <v>#N/A</v>
      </c>
      <c r="K454" s="1664">
        <v>42511</v>
      </c>
      <c r="L454" s="1665"/>
      <c r="M454" s="1666">
        <v>0</v>
      </c>
      <c r="N454" s="1667">
        <v>1.1705887657699052</v>
      </c>
      <c r="O454" s="1667">
        <v>1.1705887657699052</v>
      </c>
    </row>
    <row r="455" spans="2:15">
      <c r="B455" s="1545">
        <v>46266</v>
      </c>
      <c r="C455" s="1546" t="e">
        <v>#N/A</v>
      </c>
      <c r="D455" s="1546" t="e">
        <v>#N/A</v>
      </c>
      <c r="E455" s="1546" t="e">
        <v>#N/A</v>
      </c>
      <c r="F455" s="1546" t="e">
        <f t="shared" si="1"/>
        <v>#N/A</v>
      </c>
      <c r="K455" s="1664">
        <v>42512</v>
      </c>
      <c r="L455" s="1665"/>
      <c r="M455" s="1666">
        <v>0</v>
      </c>
      <c r="N455" s="1667">
        <v>1.1705887657699052</v>
      </c>
      <c r="O455" s="1667">
        <v>1.1705887657699052</v>
      </c>
    </row>
    <row r="456" spans="2:15">
      <c r="B456" s="1545">
        <v>46296</v>
      </c>
      <c r="C456" s="1546" t="e">
        <v>#N/A</v>
      </c>
      <c r="D456" s="1546" t="e">
        <v>#N/A</v>
      </c>
      <c r="E456" s="1546" t="e">
        <v>#N/A</v>
      </c>
      <c r="F456" s="1546" t="e">
        <f t="shared" si="1"/>
        <v>#N/A</v>
      </c>
      <c r="K456" s="1664">
        <v>42513</v>
      </c>
      <c r="L456" s="1665" t="s">
        <v>2296</v>
      </c>
      <c r="M456" s="1666">
        <v>5.2531000000000001E-2</v>
      </c>
      <c r="N456" s="1667">
        <v>1.1712036877544518</v>
      </c>
      <c r="O456" s="1667">
        <v>1.1712036877544518</v>
      </c>
    </row>
    <row r="457" spans="2:15">
      <c r="B457" s="1545">
        <v>46327</v>
      </c>
      <c r="C457" s="1546" t="e">
        <v>#N/A</v>
      </c>
      <c r="D457" s="1546" t="e">
        <v>#N/A</v>
      </c>
      <c r="E457" s="1546" t="e">
        <v>#N/A</v>
      </c>
      <c r="F457" s="1546" t="e">
        <f t="shared" si="1"/>
        <v>#N/A</v>
      </c>
      <c r="K457" s="1664">
        <v>42514</v>
      </c>
      <c r="L457" s="1665" t="s">
        <v>2296</v>
      </c>
      <c r="M457" s="1666">
        <v>5.2531000000000001E-2</v>
      </c>
      <c r="N457" s="1667">
        <v>1.1718189327636661</v>
      </c>
      <c r="O457" s="1667">
        <v>1.1718189327636661</v>
      </c>
    </row>
    <row r="458" spans="2:15">
      <c r="B458" s="1545">
        <v>46357</v>
      </c>
      <c r="C458" s="1546" t="e">
        <v>#N/A</v>
      </c>
      <c r="D458" s="1546" t="e">
        <v>#N/A</v>
      </c>
      <c r="E458" s="1546" t="e">
        <v>#N/A</v>
      </c>
      <c r="F458" s="1546" t="e">
        <f t="shared" si="1"/>
        <v>#N/A</v>
      </c>
      <c r="K458" s="1664">
        <v>42515</v>
      </c>
      <c r="L458" s="1665" t="s">
        <v>2296</v>
      </c>
      <c r="M458" s="1666">
        <v>5.2531000000000001E-2</v>
      </c>
      <c r="N458" s="1667">
        <v>1.1724345009672361</v>
      </c>
      <c r="O458" s="1667">
        <v>1.1724345009672361</v>
      </c>
    </row>
    <row r="459" spans="2:15">
      <c r="B459" s="1545">
        <v>46388</v>
      </c>
      <c r="C459" s="1546" t="e">
        <v>#N/A</v>
      </c>
      <c r="D459" s="1546" t="e">
        <v>#N/A</v>
      </c>
      <c r="E459" s="1546" t="e">
        <v>#N/A</v>
      </c>
      <c r="F459" s="1546" t="e">
        <f t="shared" si="1"/>
        <v>#N/A</v>
      </c>
      <c r="K459" s="1664">
        <v>42516</v>
      </c>
      <c r="L459" s="1665"/>
      <c r="M459" s="1666">
        <v>0</v>
      </c>
      <c r="N459" s="1667">
        <v>1.1724345009672361</v>
      </c>
      <c r="O459" s="1667">
        <v>1.1724345009672361</v>
      </c>
    </row>
    <row r="460" spans="2:15">
      <c r="B460" s="1545">
        <v>46419</v>
      </c>
      <c r="C460" s="1546" t="e">
        <v>#N/A</v>
      </c>
      <c r="D460" s="1546" t="e">
        <v>#N/A</v>
      </c>
      <c r="E460" s="1546" t="e">
        <v>#N/A</v>
      </c>
      <c r="F460" s="1546" t="e">
        <f t="shared" si="1"/>
        <v>#N/A</v>
      </c>
      <c r="K460" s="1664">
        <v>42517</v>
      </c>
      <c r="L460" s="1665" t="s">
        <v>2296</v>
      </c>
      <c r="M460" s="1666">
        <v>5.2531000000000001E-2</v>
      </c>
      <c r="N460" s="1667">
        <v>1.1730503925349391</v>
      </c>
      <c r="O460" s="1667">
        <v>1.1730503925349391</v>
      </c>
    </row>
    <row r="461" spans="2:15">
      <c r="B461" s="1545">
        <v>46447</v>
      </c>
      <c r="C461" s="1546" t="e">
        <v>#N/A</v>
      </c>
      <c r="D461" s="1546" t="e">
        <v>#N/A</v>
      </c>
      <c r="E461" s="1546" t="e">
        <v>#N/A</v>
      </c>
      <c r="F461" s="1546" t="e">
        <f t="shared" si="1"/>
        <v>#N/A</v>
      </c>
      <c r="K461" s="1664">
        <v>42518</v>
      </c>
      <c r="L461" s="1665"/>
      <c r="M461" s="1666">
        <v>0</v>
      </c>
      <c r="N461" s="1667">
        <v>1.1730503925349391</v>
      </c>
      <c r="O461" s="1667">
        <v>1.1730503925349391</v>
      </c>
    </row>
    <row r="462" spans="2:15">
      <c r="B462" s="1545">
        <v>46478</v>
      </c>
      <c r="C462" s="1546" t="e">
        <v>#N/A</v>
      </c>
      <c r="D462" s="1546" t="e">
        <v>#N/A</v>
      </c>
      <c r="E462" s="1546" t="e">
        <v>#N/A</v>
      </c>
      <c r="F462" s="1546" t="e">
        <f t="shared" si="1"/>
        <v>#N/A</v>
      </c>
      <c r="K462" s="1664">
        <v>42519</v>
      </c>
      <c r="L462" s="1665"/>
      <c r="M462" s="1666">
        <v>0</v>
      </c>
      <c r="N462" s="1667">
        <v>1.1730503925349391</v>
      </c>
      <c r="O462" s="1667">
        <v>1.1730503925349391</v>
      </c>
    </row>
    <row r="463" spans="2:15">
      <c r="B463" s="1545">
        <v>46508</v>
      </c>
      <c r="C463" s="1546" t="e">
        <v>#N/A</v>
      </c>
      <c r="D463" s="1546" t="e">
        <v>#N/A</v>
      </c>
      <c r="E463" s="1546" t="e">
        <v>#N/A</v>
      </c>
      <c r="F463" s="1546" t="e">
        <f t="shared" si="1"/>
        <v>#N/A</v>
      </c>
      <c r="K463" s="1664">
        <v>42520</v>
      </c>
      <c r="L463" s="1665" t="s">
        <v>2296</v>
      </c>
      <c r="M463" s="1666">
        <v>5.2531000000000001E-2</v>
      </c>
      <c r="N463" s="1667">
        <v>1.1736666076366418</v>
      </c>
      <c r="O463" s="1667">
        <v>1.1736666076366418</v>
      </c>
    </row>
    <row r="464" spans="2:15">
      <c r="B464" s="1545">
        <v>46539</v>
      </c>
      <c r="C464" s="1546" t="e">
        <v>#N/A</v>
      </c>
      <c r="D464" s="1546" t="e">
        <v>#N/A</v>
      </c>
      <c r="E464" s="1546" t="e">
        <v>#N/A</v>
      </c>
      <c r="F464" s="1546" t="e">
        <f t="shared" si="1"/>
        <v>#N/A</v>
      </c>
      <c r="K464" s="1664">
        <v>42521</v>
      </c>
      <c r="L464" s="1665" t="s">
        <v>2296</v>
      </c>
      <c r="M464" s="1666">
        <v>5.2531000000000001E-2</v>
      </c>
      <c r="N464" s="1667">
        <v>1.1742831464422994</v>
      </c>
      <c r="O464" s="1667">
        <v>1.1742831464422994</v>
      </c>
    </row>
    <row r="465" spans="2:15">
      <c r="B465" s="1545">
        <v>46569</v>
      </c>
      <c r="C465" s="1546" t="e">
        <v>#N/A</v>
      </c>
      <c r="D465" s="1546" t="e">
        <v>#N/A</v>
      </c>
      <c r="E465" s="1546" t="e">
        <v>#N/A</v>
      </c>
      <c r="F465" s="1546" t="e">
        <f t="shared" si="1"/>
        <v>#N/A</v>
      </c>
      <c r="K465" s="1664">
        <v>42522</v>
      </c>
      <c r="L465" s="1665" t="s">
        <v>2296</v>
      </c>
      <c r="M465" s="1666">
        <v>5.2531000000000001E-2</v>
      </c>
      <c r="N465" s="1667">
        <v>1.174900009121957</v>
      </c>
      <c r="O465" s="1667">
        <v>1.174900009121957</v>
      </c>
    </row>
    <row r="466" spans="2:15">
      <c r="B466" s="1545">
        <v>46600</v>
      </c>
      <c r="C466" s="1546" t="e">
        <v>#N/A</v>
      </c>
      <c r="D466" s="1546" t="e">
        <v>#N/A</v>
      </c>
      <c r="E466" s="1546" t="e">
        <v>#N/A</v>
      </c>
      <c r="F466" s="1546" t="e">
        <f t="shared" si="1"/>
        <v>#N/A</v>
      </c>
      <c r="K466" s="1664">
        <v>42523</v>
      </c>
      <c r="L466" s="1665" t="s">
        <v>2296</v>
      </c>
      <c r="M466" s="1666">
        <v>5.2531000000000001E-2</v>
      </c>
      <c r="N466" s="1667">
        <v>1.1755171958457489</v>
      </c>
      <c r="O466" s="1667">
        <v>1.1755171958457489</v>
      </c>
    </row>
    <row r="467" spans="2:15">
      <c r="B467" s="1545">
        <v>46631</v>
      </c>
      <c r="C467" s="1546" t="e">
        <v>#N/A</v>
      </c>
      <c r="D467" s="1546" t="e">
        <v>#N/A</v>
      </c>
      <c r="E467" s="1546" t="e">
        <v>#N/A</v>
      </c>
      <c r="F467" s="1546" t="e">
        <f t="shared" si="1"/>
        <v>#N/A</v>
      </c>
      <c r="K467" s="1664">
        <v>42524</v>
      </c>
      <c r="L467" s="1665" t="s">
        <v>2296</v>
      </c>
      <c r="M467" s="1666">
        <v>5.2531000000000001E-2</v>
      </c>
      <c r="N467" s="1667">
        <v>1.1761347067838985</v>
      </c>
      <c r="O467" s="1667">
        <v>1.1761347067838985</v>
      </c>
    </row>
    <row r="468" spans="2:15">
      <c r="B468" s="1545">
        <v>46661</v>
      </c>
      <c r="C468" s="1546" t="e">
        <v>#N/A</v>
      </c>
      <c r="D468" s="1546" t="e">
        <v>#N/A</v>
      </c>
      <c r="E468" s="1546" t="e">
        <v>#N/A</v>
      </c>
      <c r="F468" s="1546" t="e">
        <f t="shared" si="1"/>
        <v>#N/A</v>
      </c>
      <c r="K468" s="1664">
        <v>42525</v>
      </c>
      <c r="L468" s="1665"/>
      <c r="M468" s="1666">
        <v>0</v>
      </c>
      <c r="N468" s="1667">
        <v>1.1761347067838985</v>
      </c>
      <c r="O468" s="1667">
        <v>1.1761347067838985</v>
      </c>
    </row>
    <row r="469" spans="2:15">
      <c r="B469" s="1545">
        <v>46692</v>
      </c>
      <c r="C469" s="1546" t="e">
        <v>#N/A</v>
      </c>
      <c r="D469" s="1546" t="e">
        <v>#N/A</v>
      </c>
      <c r="E469" s="1546" t="e">
        <v>#N/A</v>
      </c>
      <c r="F469" s="1546" t="e">
        <f t="shared" si="1"/>
        <v>#N/A</v>
      </c>
      <c r="K469" s="1664">
        <v>42526</v>
      </c>
      <c r="L469" s="1665"/>
      <c r="M469" s="1666">
        <v>0</v>
      </c>
      <c r="N469" s="1667">
        <v>1.1761347067838985</v>
      </c>
      <c r="O469" s="1667">
        <v>1.1761347067838985</v>
      </c>
    </row>
    <row r="470" spans="2:15">
      <c r="B470" s="1545">
        <v>46722</v>
      </c>
      <c r="C470" s="1546" t="e">
        <v>#N/A</v>
      </c>
      <c r="D470" s="1546" t="e">
        <v>#N/A</v>
      </c>
      <c r="E470" s="1546" t="e">
        <v>#N/A</v>
      </c>
      <c r="F470" s="1546" t="e">
        <f t="shared" si="1"/>
        <v>#N/A</v>
      </c>
      <c r="K470" s="1664">
        <v>42527</v>
      </c>
      <c r="L470" s="1665" t="s">
        <v>2296</v>
      </c>
      <c r="M470" s="1666">
        <v>5.2531000000000001E-2</v>
      </c>
      <c r="N470" s="1667">
        <v>1.1767525421067191</v>
      </c>
      <c r="O470" s="1667">
        <v>1.1767525421067191</v>
      </c>
    </row>
    <row r="471" spans="2:15">
      <c r="B471" s="1545">
        <v>46753</v>
      </c>
      <c r="C471" s="1546" t="e">
        <v>#N/A</v>
      </c>
      <c r="D471" s="1546" t="e">
        <v>#N/A</v>
      </c>
      <c r="E471" s="1546" t="e">
        <v>#N/A</v>
      </c>
      <c r="F471" s="1546" t="e">
        <f t="shared" si="1"/>
        <v>#N/A</v>
      </c>
      <c r="K471" s="1664">
        <v>42528</v>
      </c>
      <c r="L471" s="1665" t="s">
        <v>2296</v>
      </c>
      <c r="M471" s="1666">
        <v>5.2531000000000001E-2</v>
      </c>
      <c r="N471" s="1667">
        <v>1.1773707019846131</v>
      </c>
      <c r="O471" s="1667">
        <v>1.1773707019846131</v>
      </c>
    </row>
    <row r="472" spans="2:15">
      <c r="B472" s="1545">
        <v>46784</v>
      </c>
      <c r="C472" s="1546" t="e">
        <v>#N/A</v>
      </c>
      <c r="D472" s="1546" t="e">
        <v>#N/A</v>
      </c>
      <c r="E472" s="1546" t="e">
        <v>#N/A</v>
      </c>
      <c r="F472" s="1546" t="e">
        <f t="shared" si="1"/>
        <v>#N/A</v>
      </c>
      <c r="K472" s="1664">
        <v>42529</v>
      </c>
      <c r="L472" s="1665" t="s">
        <v>2296</v>
      </c>
      <c r="M472" s="1666">
        <v>5.2531000000000001E-2</v>
      </c>
      <c r="N472" s="1667">
        <v>1.1779891865880727</v>
      </c>
      <c r="O472" s="1667">
        <v>1.1779891865880727</v>
      </c>
    </row>
    <row r="473" spans="2:15">
      <c r="B473" s="1545">
        <v>46813</v>
      </c>
      <c r="C473" s="1546" t="e">
        <v>#N/A</v>
      </c>
      <c r="D473" s="1546" t="e">
        <v>#N/A</v>
      </c>
      <c r="E473" s="1546" t="e">
        <v>#N/A</v>
      </c>
      <c r="F473" s="1546" t="e">
        <f t="shared" si="1"/>
        <v>#N/A</v>
      </c>
      <c r="K473" s="1664">
        <v>42530</v>
      </c>
      <c r="L473" s="1665" t="s">
        <v>2296</v>
      </c>
      <c r="M473" s="1666">
        <v>5.2531000000000001E-2</v>
      </c>
      <c r="N473" s="1667">
        <v>1.1786079960876794</v>
      </c>
      <c r="O473" s="1667">
        <v>1.1786079960876794</v>
      </c>
    </row>
    <row r="474" spans="2:15">
      <c r="B474" s="1545">
        <v>46844</v>
      </c>
      <c r="C474" s="1546" t="e">
        <v>#N/A</v>
      </c>
      <c r="D474" s="1546" t="e">
        <v>#N/A</v>
      </c>
      <c r="E474" s="1546" t="e">
        <v>#N/A</v>
      </c>
      <c r="F474" s="1546" t="e">
        <f t="shared" si="1"/>
        <v>#N/A</v>
      </c>
      <c r="K474" s="1664">
        <v>42531</v>
      </c>
      <c r="L474" s="1665" t="s">
        <v>2296</v>
      </c>
      <c r="M474" s="1666">
        <v>5.2531000000000001E-2</v>
      </c>
      <c r="N474" s="1667">
        <v>1.1792271306541042</v>
      </c>
      <c r="O474" s="1667">
        <v>1.1792271306541042</v>
      </c>
    </row>
    <row r="475" spans="2:15">
      <c r="B475" s="1545">
        <v>46874</v>
      </c>
      <c r="C475" s="1546" t="e">
        <v>#N/A</v>
      </c>
      <c r="D475" s="1546" t="e">
        <v>#N/A</v>
      </c>
      <c r="E475" s="1546" t="e">
        <v>#N/A</v>
      </c>
      <c r="F475" s="1546" t="e">
        <f t="shared" si="1"/>
        <v>#N/A</v>
      </c>
      <c r="K475" s="1664">
        <v>42532</v>
      </c>
      <c r="L475" s="1665"/>
      <c r="M475" s="1666">
        <v>0</v>
      </c>
      <c r="N475" s="1667">
        <v>1.1792271306541042</v>
      </c>
      <c r="O475" s="1667">
        <v>1.1792271306541042</v>
      </c>
    </row>
    <row r="476" spans="2:15">
      <c r="B476" s="1545">
        <v>46905</v>
      </c>
      <c r="C476" s="1546" t="e">
        <v>#N/A</v>
      </c>
      <c r="D476" s="1546" t="e">
        <v>#N/A</v>
      </c>
      <c r="E476" s="1546" t="e">
        <v>#N/A</v>
      </c>
      <c r="F476" s="1546" t="e">
        <f t="shared" si="1"/>
        <v>#N/A</v>
      </c>
      <c r="K476" s="1664">
        <v>42533</v>
      </c>
      <c r="L476" s="1665"/>
      <c r="M476" s="1666">
        <v>0</v>
      </c>
      <c r="N476" s="1667">
        <v>1.1792271306541042</v>
      </c>
      <c r="O476" s="1667">
        <v>1.1792271306541042</v>
      </c>
    </row>
    <row r="477" spans="2:15">
      <c r="B477" s="1545">
        <v>46935</v>
      </c>
      <c r="C477" s="1546" t="e">
        <v>#N/A</v>
      </c>
      <c r="D477" s="1546" t="e">
        <v>#N/A</v>
      </c>
      <c r="E477" s="1546" t="e">
        <v>#N/A</v>
      </c>
      <c r="F477" s="1546" t="e">
        <f t="shared" si="1"/>
        <v>#N/A</v>
      </c>
      <c r="K477" s="1664">
        <v>42534</v>
      </c>
      <c r="L477" s="1665" t="s">
        <v>2296</v>
      </c>
      <c r="M477" s="1666">
        <v>5.2531000000000001E-2</v>
      </c>
      <c r="N477" s="1667">
        <v>1.1798465904581081</v>
      </c>
      <c r="O477" s="1667">
        <v>1.1798465904581081</v>
      </c>
    </row>
    <row r="478" spans="2:15">
      <c r="B478" s="1545">
        <v>46966</v>
      </c>
      <c r="C478" s="1546" t="e">
        <v>#N/A</v>
      </c>
      <c r="D478" s="1546" t="e">
        <v>#N/A</v>
      </c>
      <c r="E478" s="1546" t="e">
        <v>#N/A</v>
      </c>
      <c r="F478" s="1546" t="e">
        <f t="shared" si="1"/>
        <v>#N/A</v>
      </c>
      <c r="K478" s="1664">
        <v>42535</v>
      </c>
      <c r="L478" s="1665" t="s">
        <v>2296</v>
      </c>
      <c r="M478" s="1666">
        <v>5.2531000000000001E-2</v>
      </c>
      <c r="N478" s="1667">
        <v>1.1804663756705416</v>
      </c>
      <c r="O478" s="1667">
        <v>1.1804663756705416</v>
      </c>
    </row>
    <row r="479" spans="2:15">
      <c r="B479" s="1545">
        <v>46997</v>
      </c>
      <c r="C479" s="1546" t="e">
        <v>#N/A</v>
      </c>
      <c r="D479" s="1546" t="e">
        <v>#N/A</v>
      </c>
      <c r="E479" s="1546" t="e">
        <v>#N/A</v>
      </c>
      <c r="F479" s="1546" t="e">
        <f t="shared" si="1"/>
        <v>#N/A</v>
      </c>
      <c r="K479" s="1664">
        <v>42536</v>
      </c>
      <c r="L479" s="1665" t="s">
        <v>2296</v>
      </c>
      <c r="M479" s="1666">
        <v>5.2531000000000001E-2</v>
      </c>
      <c r="N479" s="1667">
        <v>1.1810864864623452</v>
      </c>
      <c r="O479" s="1667">
        <v>1.1810864864623452</v>
      </c>
    </row>
    <row r="480" spans="2:15">
      <c r="B480" s="1545">
        <v>47027</v>
      </c>
      <c r="C480" s="1546" t="e">
        <v>#N/A</v>
      </c>
      <c r="D480" s="1546" t="e">
        <v>#N/A</v>
      </c>
      <c r="E480" s="1546" t="e">
        <v>#N/A</v>
      </c>
      <c r="F480" s="1546" t="e">
        <f t="shared" si="1"/>
        <v>#N/A</v>
      </c>
      <c r="K480" s="1664">
        <v>42537</v>
      </c>
      <c r="L480" s="1665" t="s">
        <v>2296</v>
      </c>
      <c r="M480" s="1666">
        <v>5.2531000000000001E-2</v>
      </c>
      <c r="N480" s="1667">
        <v>1.1817069230045487</v>
      </c>
      <c r="O480" s="1667">
        <v>1.1817069230045487</v>
      </c>
    </row>
    <row r="481" spans="2:15">
      <c r="B481" s="1545">
        <v>47058</v>
      </c>
      <c r="C481" s="1546" t="e">
        <v>#N/A</v>
      </c>
      <c r="D481" s="1546" t="e">
        <v>#N/A</v>
      </c>
      <c r="E481" s="1546" t="e">
        <v>#N/A</v>
      </c>
      <c r="F481" s="1546" t="e">
        <f t="shared" si="1"/>
        <v>#N/A</v>
      </c>
      <c r="K481" s="1664">
        <v>42538</v>
      </c>
      <c r="L481" s="1665" t="s">
        <v>2296</v>
      </c>
      <c r="M481" s="1666">
        <v>5.2531000000000001E-2</v>
      </c>
      <c r="N481" s="1667">
        <v>1.1823276854682723</v>
      </c>
      <c r="O481" s="1667">
        <v>1.1823276854682723</v>
      </c>
    </row>
    <row r="482" spans="2:15">
      <c r="B482" s="1545">
        <v>47088</v>
      </c>
      <c r="C482" s="1546" t="e">
        <v>#N/A</v>
      </c>
      <c r="D482" s="1546" t="e">
        <v>#N/A</v>
      </c>
      <c r="E482" s="1546" t="e">
        <v>#N/A</v>
      </c>
      <c r="F482" s="1546" t="e">
        <f t="shared" si="1"/>
        <v>#N/A</v>
      </c>
      <c r="K482" s="1664">
        <v>42539</v>
      </c>
      <c r="L482" s="1665"/>
      <c r="M482" s="1666">
        <v>0</v>
      </c>
      <c r="N482" s="1667">
        <v>1.1823276854682723</v>
      </c>
      <c r="O482" s="1667">
        <v>1.1823276854682723</v>
      </c>
    </row>
    <row r="483" spans="2:15">
      <c r="B483" s="1545">
        <v>47119</v>
      </c>
      <c r="C483" s="1546" t="e">
        <v>#N/A</v>
      </c>
      <c r="D483" s="1546" t="e">
        <v>#N/A</v>
      </c>
      <c r="E483" s="1546" t="e">
        <v>#N/A</v>
      </c>
      <c r="F483" s="1546" t="e">
        <f t="shared" si="1"/>
        <v>#N/A</v>
      </c>
      <c r="K483" s="1664">
        <v>42540</v>
      </c>
      <c r="L483" s="1665"/>
      <c r="M483" s="1666">
        <v>0</v>
      </c>
      <c r="N483" s="1667">
        <v>1.1823276854682723</v>
      </c>
      <c r="O483" s="1667">
        <v>1.1823276854682723</v>
      </c>
    </row>
    <row r="484" spans="2:15">
      <c r="B484" s="1545">
        <v>47150</v>
      </c>
      <c r="C484" s="1546" t="e">
        <v>#N/A</v>
      </c>
      <c r="D484" s="1546" t="e">
        <v>#N/A</v>
      </c>
      <c r="E484" s="1546" t="e">
        <v>#N/A</v>
      </c>
      <c r="F484" s="1546" t="e">
        <f t="shared" ref="F484:F500" si="2">F483*E484</f>
        <v>#N/A</v>
      </c>
      <c r="K484" s="1664">
        <v>42541</v>
      </c>
      <c r="L484" s="1665" t="s">
        <v>2296</v>
      </c>
      <c r="M484" s="1666">
        <v>5.2531000000000001E-2</v>
      </c>
      <c r="N484" s="1667">
        <v>1.1829487740247255</v>
      </c>
      <c r="O484" s="1667">
        <v>1.1829487740247255</v>
      </c>
    </row>
    <row r="485" spans="2:15">
      <c r="B485" s="1545">
        <v>47178</v>
      </c>
      <c r="C485" s="1546" t="e">
        <v>#N/A</v>
      </c>
      <c r="D485" s="1546" t="e">
        <v>#N/A</v>
      </c>
      <c r="E485" s="1546" t="e">
        <v>#N/A</v>
      </c>
      <c r="F485" s="1546" t="e">
        <f t="shared" si="2"/>
        <v>#N/A</v>
      </c>
      <c r="K485" s="1664">
        <v>42542</v>
      </c>
      <c r="L485" s="1665" t="s">
        <v>2296</v>
      </c>
      <c r="M485" s="1666">
        <v>5.2531000000000001E-2</v>
      </c>
      <c r="N485" s="1667">
        <v>1.1835701888452084</v>
      </c>
      <c r="O485" s="1667">
        <v>1.1835701888452084</v>
      </c>
    </row>
    <row r="486" spans="2:15">
      <c r="B486" s="1545">
        <v>47209</v>
      </c>
      <c r="C486" s="1546" t="e">
        <v>#N/A</v>
      </c>
      <c r="D486" s="1546" t="e">
        <v>#N/A</v>
      </c>
      <c r="E486" s="1546" t="e">
        <v>#N/A</v>
      </c>
      <c r="F486" s="1546" t="e">
        <f t="shared" si="2"/>
        <v>#N/A</v>
      </c>
      <c r="K486" s="1664">
        <v>42543</v>
      </c>
      <c r="L486" s="1665" t="s">
        <v>2296</v>
      </c>
      <c r="M486" s="1666">
        <v>5.2531000000000001E-2</v>
      </c>
      <c r="N486" s="1667">
        <v>1.1841919301011106</v>
      </c>
      <c r="O486" s="1667">
        <v>1.1841919301011106</v>
      </c>
    </row>
    <row r="487" spans="2:15">
      <c r="B487" s="1545">
        <v>47239</v>
      </c>
      <c r="C487" s="1546" t="e">
        <v>#N/A</v>
      </c>
      <c r="D487" s="1546" t="e">
        <v>#N/A</v>
      </c>
      <c r="E487" s="1546" t="e">
        <v>#N/A</v>
      </c>
      <c r="F487" s="1546" t="e">
        <f t="shared" si="2"/>
        <v>#N/A</v>
      </c>
      <c r="K487" s="1664">
        <v>42544</v>
      </c>
      <c r="L487" s="1665" t="s">
        <v>2296</v>
      </c>
      <c r="M487" s="1666">
        <v>5.2531000000000001E-2</v>
      </c>
      <c r="N487" s="1667">
        <v>1.1848139979639121</v>
      </c>
      <c r="O487" s="1667">
        <v>1.1848139979639121</v>
      </c>
    </row>
    <row r="488" spans="2:15">
      <c r="B488" s="1545">
        <v>47270</v>
      </c>
      <c r="C488" s="1546" t="e">
        <v>#N/A</v>
      </c>
      <c r="D488" s="1546" t="e">
        <v>#N/A</v>
      </c>
      <c r="E488" s="1546" t="e">
        <v>#N/A</v>
      </c>
      <c r="F488" s="1546" t="e">
        <f t="shared" si="2"/>
        <v>#N/A</v>
      </c>
      <c r="K488" s="1664">
        <v>42545</v>
      </c>
      <c r="L488" s="1665" t="s">
        <v>2296</v>
      </c>
      <c r="M488" s="1666">
        <v>5.2531000000000001E-2</v>
      </c>
      <c r="N488" s="1667">
        <v>1.1854363926051825</v>
      </c>
      <c r="O488" s="1667">
        <v>1.1854363926051825</v>
      </c>
    </row>
    <row r="489" spans="2:15">
      <c r="B489" s="1545">
        <v>47300</v>
      </c>
      <c r="C489" s="1546" t="e">
        <v>#N/A</v>
      </c>
      <c r="D489" s="1546" t="e">
        <v>#N/A</v>
      </c>
      <c r="E489" s="1546" t="e">
        <v>#N/A</v>
      </c>
      <c r="F489" s="1546" t="e">
        <f t="shared" si="2"/>
        <v>#N/A</v>
      </c>
      <c r="K489" s="1664">
        <v>42546</v>
      </c>
      <c r="L489" s="1665"/>
      <c r="M489" s="1666">
        <v>0</v>
      </c>
      <c r="N489" s="1667">
        <v>1.1854363926051825</v>
      </c>
      <c r="O489" s="1667">
        <v>1.1854363926051825</v>
      </c>
    </row>
    <row r="490" spans="2:15">
      <c r="B490" s="1545">
        <v>47331</v>
      </c>
      <c r="C490" s="1546" t="e">
        <v>#N/A</v>
      </c>
      <c r="D490" s="1546" t="e">
        <v>#N/A</v>
      </c>
      <c r="E490" s="1546" t="e">
        <v>#N/A</v>
      </c>
      <c r="F490" s="1546" t="e">
        <f t="shared" si="2"/>
        <v>#N/A</v>
      </c>
      <c r="K490" s="1664">
        <v>42547</v>
      </c>
      <c r="L490" s="1665"/>
      <c r="M490" s="1666">
        <v>0</v>
      </c>
      <c r="N490" s="1667">
        <v>1.1854363926051825</v>
      </c>
      <c r="O490" s="1667">
        <v>1.1854363926051825</v>
      </c>
    </row>
    <row r="491" spans="2:15">
      <c r="B491" s="1545">
        <v>47362</v>
      </c>
      <c r="C491" s="1546" t="e">
        <v>#N/A</v>
      </c>
      <c r="D491" s="1546" t="e">
        <v>#N/A</v>
      </c>
      <c r="E491" s="1546" t="e">
        <v>#N/A</v>
      </c>
      <c r="F491" s="1546" t="e">
        <f t="shared" si="2"/>
        <v>#N/A</v>
      </c>
      <c r="K491" s="1664">
        <v>42548</v>
      </c>
      <c r="L491" s="1665" t="s">
        <v>2296</v>
      </c>
      <c r="M491" s="1666">
        <v>5.2531000000000001E-2</v>
      </c>
      <c r="N491" s="1667">
        <v>1.1860591141965819</v>
      </c>
      <c r="O491" s="1667">
        <v>1.1860591141965819</v>
      </c>
    </row>
    <row r="492" spans="2:15">
      <c r="B492" s="1545">
        <v>47392</v>
      </c>
      <c r="C492" s="1546" t="e">
        <v>#N/A</v>
      </c>
      <c r="D492" s="1546" t="e">
        <v>#N/A</v>
      </c>
      <c r="E492" s="1546" t="e">
        <v>#N/A</v>
      </c>
      <c r="F492" s="1546" t="e">
        <f t="shared" si="2"/>
        <v>#N/A</v>
      </c>
      <c r="K492" s="1664">
        <v>42549</v>
      </c>
      <c r="L492" s="1665" t="s">
        <v>2296</v>
      </c>
      <c r="M492" s="1666">
        <v>5.2531000000000001E-2</v>
      </c>
      <c r="N492" s="1667">
        <v>1.1866821629098605</v>
      </c>
      <c r="O492" s="1667">
        <v>1.1866821629098605</v>
      </c>
    </row>
    <row r="493" spans="2:15">
      <c r="B493" s="1545">
        <v>47423</v>
      </c>
      <c r="C493" s="1546" t="e">
        <v>#N/A</v>
      </c>
      <c r="D493" s="1546" t="e">
        <v>#N/A</v>
      </c>
      <c r="E493" s="1546" t="e">
        <v>#N/A</v>
      </c>
      <c r="F493" s="1546" t="e">
        <f t="shared" si="2"/>
        <v>#N/A</v>
      </c>
      <c r="K493" s="1664">
        <v>42550</v>
      </c>
      <c r="L493" s="1665" t="s">
        <v>2296</v>
      </c>
      <c r="M493" s="1666">
        <v>5.2531000000000001E-2</v>
      </c>
      <c r="N493" s="1667">
        <v>1.1873055389168587</v>
      </c>
      <c r="O493" s="1667">
        <v>1.1873055389168587</v>
      </c>
    </row>
    <row r="494" spans="2:15">
      <c r="B494" s="1545">
        <v>47453</v>
      </c>
      <c r="C494" s="1546" t="e">
        <v>#N/A</v>
      </c>
      <c r="D494" s="1546" t="e">
        <v>#N/A</v>
      </c>
      <c r="E494" s="1546" t="e">
        <v>#N/A</v>
      </c>
      <c r="F494" s="1546" t="e">
        <f t="shared" si="2"/>
        <v>#N/A</v>
      </c>
      <c r="K494" s="1664">
        <v>42551</v>
      </c>
      <c r="L494" s="1665" t="s">
        <v>2296</v>
      </c>
      <c r="M494" s="1666">
        <v>5.2531000000000001E-2</v>
      </c>
      <c r="N494" s="1667">
        <v>1.1879292423895071</v>
      </c>
      <c r="O494" s="1667">
        <v>1.1879292423895071</v>
      </c>
    </row>
    <row r="495" spans="2:15">
      <c r="B495" s="1545">
        <v>47484</v>
      </c>
      <c r="C495" s="1546" t="e">
        <v>#N/A</v>
      </c>
      <c r="D495" s="1546" t="e">
        <v>#N/A</v>
      </c>
      <c r="E495" s="1546" t="e">
        <v>#N/A</v>
      </c>
      <c r="F495" s="1546" t="e">
        <f t="shared" si="2"/>
        <v>#N/A</v>
      </c>
      <c r="K495" s="1664">
        <v>42552</v>
      </c>
      <c r="L495" s="1665" t="s">
        <v>2296</v>
      </c>
      <c r="M495" s="1666">
        <v>5.2531000000000001E-2</v>
      </c>
      <c r="N495" s="1667">
        <v>1.1885532734998268</v>
      </c>
      <c r="O495" s="1667">
        <v>1.1885532734998268</v>
      </c>
    </row>
    <row r="496" spans="2:15">
      <c r="B496" s="1545">
        <v>47515</v>
      </c>
      <c r="C496" s="1546" t="e">
        <v>#N/A</v>
      </c>
      <c r="D496" s="1546" t="e">
        <v>#N/A</v>
      </c>
      <c r="E496" s="1546" t="e">
        <v>#N/A</v>
      </c>
      <c r="F496" s="1546" t="e">
        <f t="shared" si="2"/>
        <v>#N/A</v>
      </c>
      <c r="K496" s="1664">
        <v>42553</v>
      </c>
      <c r="L496" s="1665"/>
      <c r="M496" s="1666">
        <v>0</v>
      </c>
      <c r="N496" s="1667">
        <v>1.1885532734998268</v>
      </c>
      <c r="O496" s="1667">
        <v>1.1885532734998268</v>
      </c>
    </row>
    <row r="497" spans="2:15">
      <c r="B497" s="1545">
        <v>47543</v>
      </c>
      <c r="C497" s="1546" t="e">
        <v>#N/A</v>
      </c>
      <c r="D497" s="1546" t="e">
        <v>#N/A</v>
      </c>
      <c r="E497" s="1546" t="e">
        <v>#N/A</v>
      </c>
      <c r="F497" s="1546" t="e">
        <f t="shared" si="2"/>
        <v>#N/A</v>
      </c>
      <c r="K497" s="1664">
        <v>42554</v>
      </c>
      <c r="L497" s="1665"/>
      <c r="M497" s="1666">
        <v>0</v>
      </c>
      <c r="N497" s="1667">
        <v>1.1885532734998268</v>
      </c>
      <c r="O497" s="1667">
        <v>1.1885532734998268</v>
      </c>
    </row>
    <row r="498" spans="2:15">
      <c r="B498" s="1545">
        <v>47574</v>
      </c>
      <c r="C498" s="1546" t="e">
        <v>#N/A</v>
      </c>
      <c r="D498" s="1546" t="e">
        <v>#N/A</v>
      </c>
      <c r="E498" s="1546" t="e">
        <v>#N/A</v>
      </c>
      <c r="F498" s="1546" t="e">
        <f t="shared" si="2"/>
        <v>#N/A</v>
      </c>
      <c r="K498" s="1664">
        <v>42555</v>
      </c>
      <c r="L498" s="1665" t="s">
        <v>2296</v>
      </c>
      <c r="M498" s="1666">
        <v>5.2531000000000001E-2</v>
      </c>
      <c r="N498" s="1667">
        <v>1.189177632419929</v>
      </c>
      <c r="O498" s="1667">
        <v>1.189177632419929</v>
      </c>
    </row>
    <row r="499" spans="2:15">
      <c r="B499" s="1545">
        <v>47604</v>
      </c>
      <c r="C499" s="1546" t="e">
        <v>#N/A</v>
      </c>
      <c r="D499" s="1546" t="e">
        <v>#N/A</v>
      </c>
      <c r="E499" s="1546" t="e">
        <v>#N/A</v>
      </c>
      <c r="F499" s="1546" t="e">
        <f t="shared" si="2"/>
        <v>#N/A</v>
      </c>
      <c r="K499" s="1664">
        <v>42556</v>
      </c>
      <c r="L499" s="1665" t="s">
        <v>2296</v>
      </c>
      <c r="M499" s="1666">
        <v>5.2531000000000001E-2</v>
      </c>
      <c r="N499" s="1667">
        <v>1.1898023193220155</v>
      </c>
      <c r="O499" s="1667">
        <v>1.1898023193220155</v>
      </c>
    </row>
    <row r="500" spans="2:15">
      <c r="B500" s="1545">
        <v>47635</v>
      </c>
      <c r="C500" s="1546" t="e">
        <v>#N/A</v>
      </c>
      <c r="D500" s="1546" t="e">
        <v>#N/A</v>
      </c>
      <c r="E500" s="1546" t="e">
        <v>#N/A</v>
      </c>
      <c r="F500" s="1546" t="e">
        <f t="shared" si="2"/>
        <v>#N/A</v>
      </c>
      <c r="K500" s="1664">
        <v>42557</v>
      </c>
      <c r="L500" s="1665" t="s">
        <v>2296</v>
      </c>
      <c r="M500" s="1666">
        <v>5.2531000000000001E-2</v>
      </c>
      <c r="N500" s="1667">
        <v>1.1904273343783787</v>
      </c>
      <c r="O500" s="1667">
        <v>1.1904273343783787</v>
      </c>
    </row>
    <row r="501" spans="2:15">
      <c r="K501" s="1664">
        <v>42558</v>
      </c>
      <c r="L501" s="1665" t="s">
        <v>2296</v>
      </c>
      <c r="M501" s="1666">
        <v>5.2531000000000001E-2</v>
      </c>
      <c r="N501" s="1667">
        <v>1.191052677761401</v>
      </c>
      <c r="O501" s="1667">
        <v>1.191052677761401</v>
      </c>
    </row>
    <row r="502" spans="2:15">
      <c r="K502" s="1664">
        <v>42559</v>
      </c>
      <c r="L502" s="1665" t="s">
        <v>2296</v>
      </c>
      <c r="M502" s="1666">
        <v>5.2531000000000001E-2</v>
      </c>
      <c r="N502" s="1667">
        <v>1.1916783496435559</v>
      </c>
      <c r="O502" s="1667">
        <v>1.1916783496435559</v>
      </c>
    </row>
    <row r="503" spans="2:15">
      <c r="K503" s="1664">
        <v>42560</v>
      </c>
      <c r="L503" s="1665"/>
      <c r="M503" s="1666">
        <v>0</v>
      </c>
      <c r="N503" s="1667">
        <v>1.1916783496435559</v>
      </c>
      <c r="O503" s="1667">
        <v>1.1916783496435559</v>
      </c>
    </row>
    <row r="504" spans="2:15">
      <c r="K504" s="1664">
        <v>42561</v>
      </c>
      <c r="L504" s="1665"/>
      <c r="M504" s="1666">
        <v>0</v>
      </c>
      <c r="N504" s="1667">
        <v>1.1916783496435559</v>
      </c>
      <c r="O504" s="1667">
        <v>1.1916783496435559</v>
      </c>
    </row>
    <row r="505" spans="2:15">
      <c r="K505" s="1664">
        <v>42562</v>
      </c>
      <c r="L505" s="1665" t="s">
        <v>2296</v>
      </c>
      <c r="M505" s="1666">
        <v>5.2531000000000001E-2</v>
      </c>
      <c r="N505" s="1667">
        <v>1.1923043501974071</v>
      </c>
      <c r="O505" s="1667">
        <v>1.1923043501974071</v>
      </c>
    </row>
    <row r="506" spans="2:15">
      <c r="K506" s="1664">
        <v>42563</v>
      </c>
      <c r="L506" s="1665" t="s">
        <v>2296</v>
      </c>
      <c r="M506" s="1666">
        <v>5.2531000000000001E-2</v>
      </c>
      <c r="N506" s="1667">
        <v>1.1929306795956094</v>
      </c>
      <c r="O506" s="1667">
        <v>1.1929306795956094</v>
      </c>
    </row>
    <row r="507" spans="2:15">
      <c r="K507" s="1664">
        <v>42564</v>
      </c>
      <c r="L507" s="1665" t="s">
        <v>2296</v>
      </c>
      <c r="M507" s="1666">
        <v>5.2531000000000001E-2</v>
      </c>
      <c r="N507" s="1667">
        <v>1.1935573380109077</v>
      </c>
      <c r="O507" s="1667">
        <v>1.1935573380109077</v>
      </c>
    </row>
    <row r="508" spans="2:15">
      <c r="K508" s="1664">
        <v>42565</v>
      </c>
      <c r="L508" s="1665" t="s">
        <v>2296</v>
      </c>
      <c r="M508" s="1666">
        <v>5.2531000000000001E-2</v>
      </c>
      <c r="N508" s="1667">
        <v>1.1941843256161382</v>
      </c>
      <c r="O508" s="1667">
        <v>1.1941843256161382</v>
      </c>
    </row>
    <row r="509" spans="2:15">
      <c r="K509" s="1664">
        <v>42566</v>
      </c>
      <c r="L509" s="1665" t="s">
        <v>2296</v>
      </c>
      <c r="M509" s="1666">
        <v>5.2531000000000001E-2</v>
      </c>
      <c r="N509" s="1667">
        <v>1.1948116425842277</v>
      </c>
      <c r="O509" s="1667">
        <v>1.1948116425842277</v>
      </c>
    </row>
    <row r="510" spans="2:15">
      <c r="K510" s="1664">
        <v>42567</v>
      </c>
      <c r="L510" s="1665"/>
      <c r="M510" s="1666">
        <v>0</v>
      </c>
      <c r="N510" s="1667">
        <v>1.1948116425842277</v>
      </c>
      <c r="O510" s="1667">
        <v>1.1948116425842277</v>
      </c>
    </row>
    <row r="511" spans="2:15">
      <c r="K511" s="1664">
        <v>42568</v>
      </c>
      <c r="L511" s="1665"/>
      <c r="M511" s="1666">
        <v>0</v>
      </c>
      <c r="N511" s="1667">
        <v>1.1948116425842277</v>
      </c>
      <c r="O511" s="1667">
        <v>1.1948116425842277</v>
      </c>
    </row>
    <row r="512" spans="2:15">
      <c r="K512" s="1664">
        <v>42569</v>
      </c>
      <c r="L512" s="1665" t="s">
        <v>2296</v>
      </c>
      <c r="M512" s="1666">
        <v>5.2531000000000001E-2</v>
      </c>
      <c r="N512" s="1667">
        <v>1.1954392890881935</v>
      </c>
      <c r="O512" s="1667">
        <v>1.1954392890881935</v>
      </c>
    </row>
    <row r="513" spans="11:15">
      <c r="K513" s="1664">
        <v>42570</v>
      </c>
      <c r="L513" s="1665" t="s">
        <v>2296</v>
      </c>
      <c r="M513" s="1666">
        <v>5.2531000000000001E-2</v>
      </c>
      <c r="N513" s="1667">
        <v>1.1960672653011444</v>
      </c>
      <c r="O513" s="1667">
        <v>1.1960672653011444</v>
      </c>
    </row>
    <row r="514" spans="11:15">
      <c r="K514" s="1664">
        <v>42571</v>
      </c>
      <c r="L514" s="1665" t="s">
        <v>2296</v>
      </c>
      <c r="M514" s="1666">
        <v>5.2531000000000001E-2</v>
      </c>
      <c r="N514" s="1667">
        <v>1.1966955713962797</v>
      </c>
      <c r="O514" s="1667">
        <v>1.1966955713962797</v>
      </c>
    </row>
    <row r="515" spans="11:15">
      <c r="K515" s="1664">
        <v>42572</v>
      </c>
      <c r="L515" s="1665" t="s">
        <v>2296</v>
      </c>
      <c r="M515" s="1666">
        <v>5.2531000000000001E-2</v>
      </c>
      <c r="N515" s="1667">
        <v>1.19732420754689</v>
      </c>
      <c r="O515" s="1667">
        <v>1.19732420754689</v>
      </c>
    </row>
    <row r="516" spans="11:15">
      <c r="K516" s="1664">
        <v>42573</v>
      </c>
      <c r="L516" s="1665" t="s">
        <v>2296</v>
      </c>
      <c r="M516" s="1666">
        <v>5.2531000000000001E-2</v>
      </c>
      <c r="N516" s="1667">
        <v>1.1979531739263565</v>
      </c>
      <c r="O516" s="1667">
        <v>1.1979531739263565</v>
      </c>
    </row>
    <row r="517" spans="11:15">
      <c r="K517" s="1664">
        <v>42574</v>
      </c>
      <c r="L517" s="1665"/>
      <c r="M517" s="1666">
        <v>0</v>
      </c>
      <c r="N517" s="1667">
        <v>1.1979531739263565</v>
      </c>
      <c r="O517" s="1667">
        <v>1.1979531739263565</v>
      </c>
    </row>
    <row r="518" spans="11:15">
      <c r="K518" s="1664">
        <v>42575</v>
      </c>
      <c r="L518" s="1665"/>
      <c r="M518" s="1666">
        <v>0</v>
      </c>
      <c r="N518" s="1667">
        <v>1.1979531739263565</v>
      </c>
      <c r="O518" s="1667">
        <v>1.1979531739263565</v>
      </c>
    </row>
    <row r="519" spans="11:15">
      <c r="K519" s="1664">
        <v>42576</v>
      </c>
      <c r="L519" s="1665" t="s">
        <v>2296</v>
      </c>
      <c r="M519" s="1666">
        <v>5.2531000000000001E-2</v>
      </c>
      <c r="N519" s="1667">
        <v>1.1985824707081518</v>
      </c>
      <c r="O519" s="1667">
        <v>1.1985824707081518</v>
      </c>
    </row>
    <row r="520" spans="11:15">
      <c r="K520" s="1664">
        <v>42577</v>
      </c>
      <c r="L520" s="1665" t="s">
        <v>2296</v>
      </c>
      <c r="M520" s="1666">
        <v>5.2531000000000001E-2</v>
      </c>
      <c r="N520" s="1667">
        <v>1.1992120980658396</v>
      </c>
      <c r="O520" s="1667">
        <v>1.1992120980658396</v>
      </c>
    </row>
    <row r="521" spans="11:15">
      <c r="K521" s="1664">
        <v>42578</v>
      </c>
      <c r="L521" s="1665" t="s">
        <v>2296</v>
      </c>
      <c r="M521" s="1666">
        <v>5.2531000000000001E-2</v>
      </c>
      <c r="N521" s="1667">
        <v>1.1998420561730745</v>
      </c>
      <c r="O521" s="1667">
        <v>1.1998420561730745</v>
      </c>
    </row>
    <row r="522" spans="11:15">
      <c r="K522" s="1664">
        <v>42579</v>
      </c>
      <c r="L522" s="1665" t="s">
        <v>2296</v>
      </c>
      <c r="M522" s="1666">
        <v>5.2531000000000001E-2</v>
      </c>
      <c r="N522" s="1667">
        <v>1.2004723452036028</v>
      </c>
      <c r="O522" s="1667">
        <v>1.2004723452036028</v>
      </c>
    </row>
    <row r="523" spans="11:15">
      <c r="K523" s="1664">
        <v>42580</v>
      </c>
      <c r="L523" s="1665" t="s">
        <v>2296</v>
      </c>
      <c r="M523" s="1666">
        <v>5.2531000000000001E-2</v>
      </c>
      <c r="N523" s="1667">
        <v>1.2011029653312617</v>
      </c>
      <c r="O523" s="1667">
        <v>1.2011029653312617</v>
      </c>
    </row>
    <row r="524" spans="11:15">
      <c r="K524" s="1664">
        <v>42581</v>
      </c>
      <c r="L524" s="1665"/>
      <c r="M524" s="1666">
        <v>0</v>
      </c>
      <c r="N524" s="1667">
        <v>1.2011029653312617</v>
      </c>
      <c r="O524" s="1667">
        <v>1.2011029653312617</v>
      </c>
    </row>
    <row r="525" spans="11:15">
      <c r="K525" s="1664">
        <v>42582</v>
      </c>
      <c r="L525" s="1665"/>
      <c r="M525" s="1666">
        <v>0</v>
      </c>
      <c r="N525" s="1667">
        <v>1.2011029653312617</v>
      </c>
      <c r="O525" s="1667">
        <v>1.2011029653312617</v>
      </c>
    </row>
    <row r="526" spans="11:15">
      <c r="K526" s="1664">
        <v>42583</v>
      </c>
      <c r="L526" s="1665" t="s">
        <v>2296</v>
      </c>
      <c r="M526" s="1666">
        <v>5.2531000000000001E-2</v>
      </c>
      <c r="N526" s="1667">
        <v>1.2017339167299799</v>
      </c>
      <c r="O526" s="1667">
        <v>1.2017339167299799</v>
      </c>
    </row>
    <row r="527" spans="11:15">
      <c r="K527" s="1664">
        <v>42584</v>
      </c>
      <c r="L527" s="1665" t="s">
        <v>2296</v>
      </c>
      <c r="M527" s="1666">
        <v>5.2531000000000001E-2</v>
      </c>
      <c r="N527" s="1667">
        <v>1.2023651995737772</v>
      </c>
      <c r="O527" s="1667">
        <v>1.2023651995737772</v>
      </c>
    </row>
    <row r="528" spans="11:15">
      <c r="K528" s="1664">
        <v>42585</v>
      </c>
      <c r="L528" s="1665" t="s">
        <v>2296</v>
      </c>
      <c r="M528" s="1666">
        <v>5.2531000000000001E-2</v>
      </c>
      <c r="N528" s="1667">
        <v>1.2029968140367653</v>
      </c>
      <c r="O528" s="1667">
        <v>1.2029968140367653</v>
      </c>
    </row>
    <row r="529" spans="11:15">
      <c r="K529" s="1664">
        <v>42586</v>
      </c>
      <c r="L529" s="1665" t="s">
        <v>2296</v>
      </c>
      <c r="M529" s="1666">
        <v>5.2531000000000001E-2</v>
      </c>
      <c r="N529" s="1667">
        <v>1.203628760293147</v>
      </c>
      <c r="O529" s="1667">
        <v>1.203628760293147</v>
      </c>
    </row>
    <row r="530" spans="11:15">
      <c r="K530" s="1664">
        <v>42587</v>
      </c>
      <c r="L530" s="1665" t="s">
        <v>2296</v>
      </c>
      <c r="M530" s="1666">
        <v>5.2531000000000001E-2</v>
      </c>
      <c r="N530" s="1667">
        <v>1.2042610385172166</v>
      </c>
      <c r="O530" s="1667">
        <v>1.2042610385172166</v>
      </c>
    </row>
    <row r="531" spans="11:15">
      <c r="K531" s="1664">
        <v>42588</v>
      </c>
      <c r="L531" s="1665"/>
      <c r="M531" s="1666">
        <v>0</v>
      </c>
      <c r="N531" s="1667">
        <v>1.2042610385172166</v>
      </c>
      <c r="O531" s="1667">
        <v>1.2042610385172166</v>
      </c>
    </row>
    <row r="532" spans="11:15">
      <c r="K532" s="1664">
        <v>42589</v>
      </c>
      <c r="L532" s="1665"/>
      <c r="M532" s="1666">
        <v>0</v>
      </c>
      <c r="N532" s="1667">
        <v>1.2042610385172166</v>
      </c>
      <c r="O532" s="1667">
        <v>1.2042610385172166</v>
      </c>
    </row>
    <row r="533" spans="11:15">
      <c r="K533" s="1664">
        <v>42590</v>
      </c>
      <c r="L533" s="1665" t="s">
        <v>2296</v>
      </c>
      <c r="M533" s="1666">
        <v>5.2531000000000001E-2</v>
      </c>
      <c r="N533" s="1667">
        <v>1.2048936488833599</v>
      </c>
      <c r="O533" s="1667">
        <v>1.2048936488833599</v>
      </c>
    </row>
    <row r="534" spans="11:15">
      <c r="K534" s="1664">
        <v>42591</v>
      </c>
      <c r="L534" s="1665" t="s">
        <v>2296</v>
      </c>
      <c r="M534" s="1666">
        <v>5.2531000000000001E-2</v>
      </c>
      <c r="N534" s="1667">
        <v>1.2055265915660549</v>
      </c>
      <c r="O534" s="1667">
        <v>1.2055265915660549</v>
      </c>
    </row>
    <row r="535" spans="11:15">
      <c r="K535" s="1664">
        <v>42592</v>
      </c>
      <c r="L535" s="1665" t="s">
        <v>2296</v>
      </c>
      <c r="M535" s="1666">
        <v>5.2531000000000001E-2</v>
      </c>
      <c r="N535" s="1667">
        <v>1.2061598667398705</v>
      </c>
      <c r="O535" s="1667">
        <v>1.2061598667398705</v>
      </c>
    </row>
    <row r="536" spans="11:15">
      <c r="K536" s="1664">
        <v>42593</v>
      </c>
      <c r="L536" s="1665" t="s">
        <v>2296</v>
      </c>
      <c r="M536" s="1666">
        <v>5.2531000000000001E-2</v>
      </c>
      <c r="N536" s="1667">
        <v>1.2067934745794677</v>
      </c>
      <c r="O536" s="1667">
        <v>1.2067934745794677</v>
      </c>
    </row>
    <row r="537" spans="11:15">
      <c r="K537" s="1664">
        <v>42594</v>
      </c>
      <c r="L537" s="1665" t="s">
        <v>2296</v>
      </c>
      <c r="M537" s="1666">
        <v>5.2531000000000001E-2</v>
      </c>
      <c r="N537" s="1667">
        <v>1.2074274152595992</v>
      </c>
      <c r="O537" s="1667">
        <v>1.2074274152595992</v>
      </c>
    </row>
    <row r="538" spans="11:15">
      <c r="K538" s="1664">
        <v>42595</v>
      </c>
      <c r="L538" s="1665"/>
      <c r="M538" s="1666">
        <v>0</v>
      </c>
      <c r="N538" s="1667">
        <v>1.2074274152595992</v>
      </c>
      <c r="O538" s="1667">
        <v>1.2074274152595992</v>
      </c>
    </row>
    <row r="539" spans="11:15">
      <c r="K539" s="1664">
        <v>42596</v>
      </c>
      <c r="L539" s="1665"/>
      <c r="M539" s="1666">
        <v>0</v>
      </c>
      <c r="N539" s="1667">
        <v>1.2074274152595992</v>
      </c>
      <c r="O539" s="1667">
        <v>1.2074274152595992</v>
      </c>
    </row>
    <row r="540" spans="11:15">
      <c r="K540" s="1664">
        <v>42597</v>
      </c>
      <c r="L540" s="1665" t="s">
        <v>2296</v>
      </c>
      <c r="M540" s="1666">
        <v>5.2531000000000001E-2</v>
      </c>
      <c r="N540" s="1667">
        <v>1.2080616889551092</v>
      </c>
      <c r="O540" s="1667">
        <v>1.2080616889551092</v>
      </c>
    </row>
    <row r="541" spans="11:15">
      <c r="K541" s="1664">
        <v>42598</v>
      </c>
      <c r="L541" s="1665" t="s">
        <v>2296</v>
      </c>
      <c r="M541" s="1666">
        <v>5.2531000000000001E-2</v>
      </c>
      <c r="N541" s="1667">
        <v>1.2086962958409342</v>
      </c>
      <c r="O541" s="1667">
        <v>1.2086962958409342</v>
      </c>
    </row>
    <row r="542" spans="11:15">
      <c r="K542" s="1664">
        <v>42599</v>
      </c>
      <c r="L542" s="1665" t="s">
        <v>2296</v>
      </c>
      <c r="M542" s="1666">
        <v>5.2531000000000001E-2</v>
      </c>
      <c r="N542" s="1667">
        <v>1.2093312360921025</v>
      </c>
      <c r="O542" s="1667">
        <v>1.2093312360921025</v>
      </c>
    </row>
    <row r="543" spans="11:15">
      <c r="K543" s="1664">
        <v>42600</v>
      </c>
      <c r="L543" s="1665" t="s">
        <v>2296</v>
      </c>
      <c r="M543" s="1666">
        <v>5.2531000000000001E-2</v>
      </c>
      <c r="N543" s="1667">
        <v>1.209966509883734</v>
      </c>
      <c r="O543" s="1667">
        <v>1.209966509883734</v>
      </c>
    </row>
    <row r="544" spans="11:15">
      <c r="K544" s="1664">
        <v>42601</v>
      </c>
      <c r="L544" s="1665" t="s">
        <v>2296</v>
      </c>
      <c r="M544" s="1666">
        <v>5.2531000000000001E-2</v>
      </c>
      <c r="N544" s="1667">
        <v>1.2106021173910411</v>
      </c>
      <c r="O544" s="1667">
        <v>1.2106021173910411</v>
      </c>
    </row>
    <row r="545" spans="11:15">
      <c r="K545" s="1664">
        <v>42602</v>
      </c>
      <c r="L545" s="1665"/>
      <c r="M545" s="1666">
        <v>0</v>
      </c>
      <c r="N545" s="1667">
        <v>1.2106021173910411</v>
      </c>
      <c r="O545" s="1667">
        <v>1.2106021173910411</v>
      </c>
    </row>
    <row r="546" spans="11:15">
      <c r="K546" s="1664">
        <v>42603</v>
      </c>
      <c r="L546" s="1665"/>
      <c r="M546" s="1666">
        <v>0</v>
      </c>
      <c r="N546" s="1667">
        <v>1.2106021173910411</v>
      </c>
      <c r="O546" s="1667">
        <v>1.2106021173910411</v>
      </c>
    </row>
    <row r="547" spans="11:15">
      <c r="K547" s="1664">
        <v>42604</v>
      </c>
      <c r="L547" s="1665" t="s">
        <v>2296</v>
      </c>
      <c r="M547" s="1666">
        <v>5.2531000000000001E-2</v>
      </c>
      <c r="N547" s="1667">
        <v>1.2112380587893277</v>
      </c>
      <c r="O547" s="1667">
        <v>1.2112380587893277</v>
      </c>
    </row>
    <row r="548" spans="11:15">
      <c r="K548" s="1664">
        <v>42605</v>
      </c>
      <c r="L548" s="1665" t="s">
        <v>2296</v>
      </c>
      <c r="M548" s="1666">
        <v>5.2531000000000001E-2</v>
      </c>
      <c r="N548" s="1667">
        <v>1.2118743342539904</v>
      </c>
      <c r="O548" s="1667">
        <v>1.2118743342539904</v>
      </c>
    </row>
    <row r="549" spans="11:15">
      <c r="K549" s="1664">
        <v>42606</v>
      </c>
      <c r="L549" s="1665" t="s">
        <v>2296</v>
      </c>
      <c r="M549" s="1666">
        <v>5.2531000000000001E-2</v>
      </c>
      <c r="N549" s="1667">
        <v>1.2125109439605173</v>
      </c>
      <c r="O549" s="1667">
        <v>1.2125109439605173</v>
      </c>
    </row>
    <row r="550" spans="11:15">
      <c r="K550" s="1664">
        <v>42607</v>
      </c>
      <c r="L550" s="1665" t="s">
        <v>2296</v>
      </c>
      <c r="M550" s="1666">
        <v>5.2531000000000001E-2</v>
      </c>
      <c r="N550" s="1667">
        <v>1.2131478880844893</v>
      </c>
      <c r="O550" s="1667">
        <v>1.2131478880844893</v>
      </c>
    </row>
    <row r="551" spans="11:15">
      <c r="K551" s="1664">
        <v>42608</v>
      </c>
      <c r="L551" s="1665" t="s">
        <v>2296</v>
      </c>
      <c r="M551" s="1666">
        <v>5.2531000000000001E-2</v>
      </c>
      <c r="N551" s="1667">
        <v>1.2137851668015789</v>
      </c>
      <c r="O551" s="1667">
        <v>1.2137851668015789</v>
      </c>
    </row>
    <row r="552" spans="11:15">
      <c r="K552" s="1664">
        <v>42609</v>
      </c>
      <c r="L552" s="1665"/>
      <c r="M552" s="1666">
        <v>0</v>
      </c>
      <c r="N552" s="1667">
        <v>1.2137851668015789</v>
      </c>
      <c r="O552" s="1667">
        <v>1.2137851668015789</v>
      </c>
    </row>
    <row r="553" spans="11:15">
      <c r="K553" s="1664">
        <v>42610</v>
      </c>
      <c r="L553" s="1665"/>
      <c r="M553" s="1666">
        <v>0</v>
      </c>
      <c r="N553" s="1667">
        <v>1.2137851668015789</v>
      </c>
      <c r="O553" s="1667">
        <v>1.2137851668015789</v>
      </c>
    </row>
    <row r="554" spans="11:15">
      <c r="K554" s="1664">
        <v>42611</v>
      </c>
      <c r="L554" s="1665" t="s">
        <v>2296</v>
      </c>
      <c r="M554" s="1666">
        <v>5.2531000000000001E-2</v>
      </c>
      <c r="N554" s="1667">
        <v>1.2144227802875514</v>
      </c>
      <c r="O554" s="1667">
        <v>1.2144227802875514</v>
      </c>
    </row>
    <row r="555" spans="11:15">
      <c r="K555" s="1664">
        <v>42612</v>
      </c>
      <c r="L555" s="1665" t="s">
        <v>2296</v>
      </c>
      <c r="M555" s="1666">
        <v>5.2531000000000001E-2</v>
      </c>
      <c r="N555" s="1667">
        <v>1.2150607287182642</v>
      </c>
      <c r="O555" s="1667">
        <v>1.2150607287182642</v>
      </c>
    </row>
    <row r="556" spans="11:15">
      <c r="K556" s="1664">
        <v>42613</v>
      </c>
      <c r="L556" s="1665" t="s">
        <v>2296</v>
      </c>
      <c r="M556" s="1666">
        <v>5.2531000000000001E-2</v>
      </c>
      <c r="N556" s="1667">
        <v>1.2156990122696671</v>
      </c>
      <c r="O556" s="1667">
        <v>1.2156990122696671</v>
      </c>
    </row>
    <row r="557" spans="11:15">
      <c r="K557" s="1664">
        <v>42614</v>
      </c>
      <c r="L557" s="1665" t="s">
        <v>2296</v>
      </c>
      <c r="M557" s="1666">
        <v>5.2531000000000001E-2</v>
      </c>
      <c r="N557" s="1667">
        <v>1.2163376311178025</v>
      </c>
      <c r="O557" s="1667">
        <v>1.2163376311178025</v>
      </c>
    </row>
    <row r="558" spans="11:15">
      <c r="K558" s="1664">
        <v>42615</v>
      </c>
      <c r="L558" s="1665" t="s">
        <v>2296</v>
      </c>
      <c r="M558" s="1666">
        <v>5.2531000000000001E-2</v>
      </c>
      <c r="N558" s="1667">
        <v>1.216976585438805</v>
      </c>
      <c r="O558" s="1667">
        <v>1.216976585438805</v>
      </c>
    </row>
    <row r="559" spans="11:15">
      <c r="K559" s="1664">
        <v>42616</v>
      </c>
      <c r="L559" s="1665"/>
      <c r="M559" s="1666">
        <v>0</v>
      </c>
      <c r="N559" s="1667">
        <v>1.216976585438805</v>
      </c>
      <c r="O559" s="1667">
        <v>1.216976585438805</v>
      </c>
    </row>
    <row r="560" spans="11:15">
      <c r="K560" s="1664">
        <v>42617</v>
      </c>
      <c r="L560" s="1665"/>
      <c r="M560" s="1666">
        <v>0</v>
      </c>
      <c r="N560" s="1667">
        <v>1.216976585438805</v>
      </c>
      <c r="O560" s="1667">
        <v>1.216976585438805</v>
      </c>
    </row>
    <row r="561" spans="11:15">
      <c r="K561" s="1664">
        <v>42618</v>
      </c>
      <c r="L561" s="1665" t="s">
        <v>2296</v>
      </c>
      <c r="M561" s="1666">
        <v>5.2531000000000001E-2</v>
      </c>
      <c r="N561" s="1667">
        <v>1.2176158754089019</v>
      </c>
      <c r="O561" s="1667">
        <v>1.2176158754089019</v>
      </c>
    </row>
    <row r="562" spans="11:15">
      <c r="K562" s="1664">
        <v>42619</v>
      </c>
      <c r="L562" s="1665" t="s">
        <v>2296</v>
      </c>
      <c r="M562" s="1666">
        <v>5.2531000000000001E-2</v>
      </c>
      <c r="N562" s="1667">
        <v>1.2182555012044129</v>
      </c>
      <c r="O562" s="1667">
        <v>1.2182555012044129</v>
      </c>
    </row>
    <row r="563" spans="11:15">
      <c r="K563" s="1664">
        <v>42620</v>
      </c>
      <c r="L563" s="1665"/>
      <c r="M563" s="1666">
        <v>0</v>
      </c>
      <c r="N563" s="1667">
        <v>1.2182555012044129</v>
      </c>
      <c r="O563" s="1667">
        <v>1.2182555012044129</v>
      </c>
    </row>
    <row r="564" spans="11:15">
      <c r="K564" s="1664">
        <v>42621</v>
      </c>
      <c r="L564" s="1665" t="s">
        <v>2296</v>
      </c>
      <c r="M564" s="1666">
        <v>5.2531000000000001E-2</v>
      </c>
      <c r="N564" s="1667">
        <v>1.2188954630017506</v>
      </c>
      <c r="O564" s="1667">
        <v>1.2188954630017506</v>
      </c>
    </row>
    <row r="565" spans="11:15">
      <c r="K565" s="1664">
        <v>42622</v>
      </c>
      <c r="L565" s="1665" t="s">
        <v>2296</v>
      </c>
      <c r="M565" s="1666">
        <v>5.2531000000000001E-2</v>
      </c>
      <c r="N565" s="1667">
        <v>1.21953576097742</v>
      </c>
      <c r="O565" s="1667">
        <v>1.21953576097742</v>
      </c>
    </row>
    <row r="566" spans="11:15">
      <c r="K566" s="1664">
        <v>42623</v>
      </c>
      <c r="L566" s="1665"/>
      <c r="M566" s="1666">
        <v>0</v>
      </c>
      <c r="N566" s="1667">
        <v>1.21953576097742</v>
      </c>
      <c r="O566" s="1667">
        <v>1.21953576097742</v>
      </c>
    </row>
    <row r="567" spans="11:15">
      <c r="K567" s="1664">
        <v>42624</v>
      </c>
      <c r="L567" s="1665"/>
      <c r="M567" s="1666">
        <v>0</v>
      </c>
      <c r="N567" s="1667">
        <v>1.21953576097742</v>
      </c>
      <c r="O567" s="1667">
        <v>1.21953576097742</v>
      </c>
    </row>
    <row r="568" spans="11:15">
      <c r="K568" s="1664">
        <v>42625</v>
      </c>
      <c r="L568" s="1665" t="s">
        <v>2296</v>
      </c>
      <c r="M568" s="1666">
        <v>5.2531000000000001E-2</v>
      </c>
      <c r="N568" s="1667">
        <v>1.2201763953080191</v>
      </c>
      <c r="O568" s="1667">
        <v>1.2201763953080191</v>
      </c>
    </row>
    <row r="569" spans="11:15">
      <c r="K569" s="1664">
        <v>42626</v>
      </c>
      <c r="L569" s="1665" t="s">
        <v>2296</v>
      </c>
      <c r="M569" s="1666">
        <v>5.2531000000000001E-2</v>
      </c>
      <c r="N569" s="1667">
        <v>1.2208173661702384</v>
      </c>
      <c r="O569" s="1667">
        <v>1.2208173661702384</v>
      </c>
    </row>
    <row r="570" spans="11:15">
      <c r="K570" s="1664">
        <v>42627</v>
      </c>
      <c r="L570" s="1665" t="s">
        <v>2296</v>
      </c>
      <c r="M570" s="1666">
        <v>5.2531000000000001E-2</v>
      </c>
      <c r="N570" s="1667">
        <v>1.2214586737408613</v>
      </c>
      <c r="O570" s="1667">
        <v>1.2214586737408613</v>
      </c>
    </row>
    <row r="571" spans="11:15">
      <c r="K571" s="1664">
        <v>42628</v>
      </c>
      <c r="L571" s="1665" t="s">
        <v>2296</v>
      </c>
      <c r="M571" s="1666">
        <v>5.2531000000000001E-2</v>
      </c>
      <c r="N571" s="1667">
        <v>1.222100318196764</v>
      </c>
      <c r="O571" s="1667">
        <v>1.222100318196764</v>
      </c>
    </row>
    <row r="572" spans="11:15">
      <c r="K572" s="1664">
        <v>42629</v>
      </c>
      <c r="L572" s="1665" t="s">
        <v>2296</v>
      </c>
      <c r="M572" s="1666">
        <v>5.2531000000000001E-2</v>
      </c>
      <c r="N572" s="1667">
        <v>1.222742299714916</v>
      </c>
      <c r="O572" s="1667">
        <v>1.222742299714916</v>
      </c>
    </row>
    <row r="573" spans="11:15">
      <c r="K573" s="1664">
        <v>42630</v>
      </c>
      <c r="L573" s="1665"/>
      <c r="M573" s="1666">
        <v>0</v>
      </c>
      <c r="N573" s="1667">
        <v>1.222742299714916</v>
      </c>
      <c r="O573" s="1667">
        <v>1.222742299714916</v>
      </c>
    </row>
    <row r="574" spans="11:15">
      <c r="K574" s="1664">
        <v>42631</v>
      </c>
      <c r="L574" s="1665"/>
      <c r="M574" s="1666">
        <v>0</v>
      </c>
      <c r="N574" s="1667">
        <v>1.222742299714916</v>
      </c>
      <c r="O574" s="1667">
        <v>1.222742299714916</v>
      </c>
    </row>
    <row r="575" spans="11:15">
      <c r="K575" s="1664">
        <v>42632</v>
      </c>
      <c r="L575" s="1665" t="s">
        <v>2296</v>
      </c>
      <c r="M575" s="1666">
        <v>5.2531000000000001E-2</v>
      </c>
      <c r="N575" s="1667">
        <v>1.2233846184723793</v>
      </c>
      <c r="O575" s="1667">
        <v>1.2233846184723793</v>
      </c>
    </row>
    <row r="576" spans="11:15">
      <c r="K576" s="1664">
        <v>42633</v>
      </c>
      <c r="L576" s="1665" t="s">
        <v>2296</v>
      </c>
      <c r="M576" s="1666">
        <v>5.2531000000000001E-2</v>
      </c>
      <c r="N576" s="1667">
        <v>1.224027274646309</v>
      </c>
      <c r="O576" s="1667">
        <v>1.224027274646309</v>
      </c>
    </row>
    <row r="577" spans="11:15">
      <c r="K577" s="1664">
        <v>42634</v>
      </c>
      <c r="L577" s="1665" t="s">
        <v>2296</v>
      </c>
      <c r="M577" s="1666">
        <v>5.2531000000000001E-2</v>
      </c>
      <c r="N577" s="1667">
        <v>1.2246702684139534</v>
      </c>
      <c r="O577" s="1667">
        <v>1.2246702684139534</v>
      </c>
    </row>
    <row r="578" spans="11:15">
      <c r="K578" s="1664">
        <v>42635</v>
      </c>
      <c r="L578" s="1665" t="s">
        <v>2296</v>
      </c>
      <c r="M578" s="1666">
        <v>5.2531000000000001E-2</v>
      </c>
      <c r="N578" s="1667">
        <v>1.2253135999526539</v>
      </c>
      <c r="O578" s="1667">
        <v>1.2253135999526539</v>
      </c>
    </row>
    <row r="579" spans="11:15">
      <c r="K579" s="1664">
        <v>42636</v>
      </c>
      <c r="L579" s="1665" t="s">
        <v>2296</v>
      </c>
      <c r="M579" s="1666">
        <v>5.2531000000000001E-2</v>
      </c>
      <c r="N579" s="1667">
        <v>1.2259572694398451</v>
      </c>
      <c r="O579" s="1667">
        <v>1.2259572694398451</v>
      </c>
    </row>
    <row r="580" spans="11:15">
      <c r="K580" s="1664">
        <v>42637</v>
      </c>
      <c r="L580" s="1665"/>
      <c r="M580" s="1666">
        <v>0</v>
      </c>
      <c r="N580" s="1667">
        <v>1.2259572694398451</v>
      </c>
      <c r="O580" s="1667">
        <v>1.2259572694398451</v>
      </c>
    </row>
    <row r="581" spans="11:15">
      <c r="K581" s="1664">
        <v>42638</v>
      </c>
      <c r="L581" s="1665"/>
      <c r="M581" s="1666">
        <v>0</v>
      </c>
      <c r="N581" s="1667">
        <v>1.2259572694398451</v>
      </c>
      <c r="O581" s="1667">
        <v>1.2259572694398451</v>
      </c>
    </row>
    <row r="582" spans="11:15">
      <c r="K582" s="1664">
        <v>42639</v>
      </c>
      <c r="L582" s="1665" t="s">
        <v>2296</v>
      </c>
      <c r="M582" s="1666">
        <v>5.2531000000000001E-2</v>
      </c>
      <c r="N582" s="1667">
        <v>1.2266012770530546</v>
      </c>
      <c r="O582" s="1667">
        <v>1.2266012770530546</v>
      </c>
    </row>
    <row r="583" spans="11:15">
      <c r="K583" s="1664">
        <v>42640</v>
      </c>
      <c r="L583" s="1665" t="s">
        <v>2296</v>
      </c>
      <c r="M583" s="1666">
        <v>5.2531000000000001E-2</v>
      </c>
      <c r="N583" s="1667">
        <v>1.2272456229699034</v>
      </c>
      <c r="O583" s="1667">
        <v>1.2272456229699034</v>
      </c>
    </row>
    <row r="584" spans="11:15">
      <c r="K584" s="1664">
        <v>42641</v>
      </c>
      <c r="L584" s="1665" t="s">
        <v>2296</v>
      </c>
      <c r="M584" s="1666">
        <v>5.2531000000000001E-2</v>
      </c>
      <c r="N584" s="1667">
        <v>1.2278903073681058</v>
      </c>
      <c r="O584" s="1667">
        <v>1.2278903073681058</v>
      </c>
    </row>
    <row r="585" spans="11:15">
      <c r="K585" s="1664">
        <v>42642</v>
      </c>
      <c r="L585" s="1665" t="s">
        <v>2296</v>
      </c>
      <c r="M585" s="1666">
        <v>5.2531000000000001E-2</v>
      </c>
      <c r="N585" s="1667">
        <v>1.2285353304254694</v>
      </c>
      <c r="O585" s="1667">
        <v>1.2285353304254694</v>
      </c>
    </row>
    <row r="586" spans="11:15">
      <c r="K586" s="1664">
        <v>42643</v>
      </c>
      <c r="L586" s="1665" t="s">
        <v>2296</v>
      </c>
      <c r="M586" s="1666">
        <v>5.2531000000000001E-2</v>
      </c>
      <c r="N586" s="1667">
        <v>1.2291806923198951</v>
      </c>
      <c r="O586" s="1667">
        <v>1.2291806923198951</v>
      </c>
    </row>
    <row r="587" spans="11:15">
      <c r="K587" s="1664">
        <v>42644</v>
      </c>
      <c r="L587" s="1665"/>
      <c r="M587" s="1666">
        <v>0</v>
      </c>
      <c r="N587" s="1667">
        <v>1.2291806923198951</v>
      </c>
      <c r="O587" s="1667">
        <v>1.2291806923198951</v>
      </c>
    </row>
    <row r="588" spans="11:15">
      <c r="K588" s="1664">
        <v>42645</v>
      </c>
      <c r="L588" s="1665"/>
      <c r="M588" s="1666">
        <v>0</v>
      </c>
      <c r="N588" s="1667">
        <v>1.2291806923198951</v>
      </c>
      <c r="O588" s="1667">
        <v>1.2291806923198951</v>
      </c>
    </row>
    <row r="589" spans="11:15">
      <c r="K589" s="1664">
        <v>42646</v>
      </c>
      <c r="L589" s="1665" t="s">
        <v>2296</v>
      </c>
      <c r="M589" s="1666">
        <v>5.2531000000000001E-2</v>
      </c>
      <c r="N589" s="1667">
        <v>1.2298263932293776</v>
      </c>
      <c r="O589" s="1667">
        <v>1.2298263932293776</v>
      </c>
    </row>
    <row r="590" spans="11:15">
      <c r="K590" s="1664">
        <v>42647</v>
      </c>
      <c r="L590" s="1665" t="s">
        <v>2296</v>
      </c>
      <c r="M590" s="1666">
        <v>5.2531000000000001E-2</v>
      </c>
      <c r="N590" s="1667">
        <v>1.230472433332005</v>
      </c>
      <c r="O590" s="1667">
        <v>1.230472433332005</v>
      </c>
    </row>
    <row r="591" spans="11:15">
      <c r="K591" s="1664">
        <v>42648</v>
      </c>
      <c r="L591" s="1665" t="s">
        <v>2296</v>
      </c>
      <c r="M591" s="1666">
        <v>5.2531000000000001E-2</v>
      </c>
      <c r="N591" s="1667">
        <v>1.2311188128059587</v>
      </c>
      <c r="O591" s="1667">
        <v>1.2311188128059587</v>
      </c>
    </row>
    <row r="592" spans="11:15">
      <c r="K592" s="1664">
        <v>42649</v>
      </c>
      <c r="L592" s="1665" t="s">
        <v>2296</v>
      </c>
      <c r="M592" s="1666">
        <v>5.2531000000000001E-2</v>
      </c>
      <c r="N592" s="1667">
        <v>1.2317655318295138</v>
      </c>
      <c r="O592" s="1667">
        <v>1.2317655318295138</v>
      </c>
    </row>
    <row r="593" spans="11:15">
      <c r="K593" s="1664">
        <v>42650</v>
      </c>
      <c r="L593" s="1665" t="s">
        <v>2296</v>
      </c>
      <c r="M593" s="1666">
        <v>5.2531000000000001E-2</v>
      </c>
      <c r="N593" s="1667">
        <v>1.232412590581039</v>
      </c>
      <c r="O593" s="1667">
        <v>1.232412590581039</v>
      </c>
    </row>
    <row r="594" spans="11:15">
      <c r="K594" s="1664">
        <v>42651</v>
      </c>
      <c r="L594" s="1665"/>
      <c r="M594" s="1666">
        <v>0</v>
      </c>
      <c r="N594" s="1667">
        <v>1.232412590581039</v>
      </c>
      <c r="O594" s="1667">
        <v>1.232412590581039</v>
      </c>
    </row>
    <row r="595" spans="11:15">
      <c r="K595" s="1664">
        <v>42652</v>
      </c>
      <c r="L595" s="1665"/>
      <c r="M595" s="1666">
        <v>0</v>
      </c>
      <c r="N595" s="1667">
        <v>1.232412590581039</v>
      </c>
      <c r="O595" s="1667">
        <v>1.232412590581039</v>
      </c>
    </row>
    <row r="596" spans="11:15">
      <c r="K596" s="1664">
        <v>42653</v>
      </c>
      <c r="L596" s="1665" t="s">
        <v>2296</v>
      </c>
      <c r="M596" s="1666">
        <v>5.2531000000000001E-2</v>
      </c>
      <c r="N596" s="1667">
        <v>1.2330599892389971</v>
      </c>
      <c r="O596" s="1667">
        <v>1.2330599892389971</v>
      </c>
    </row>
    <row r="597" spans="11:15">
      <c r="K597" s="1664">
        <v>42654</v>
      </c>
      <c r="L597" s="1665" t="s">
        <v>2296</v>
      </c>
      <c r="M597" s="1666">
        <v>5.2531000000000001E-2</v>
      </c>
      <c r="N597" s="1667">
        <v>1.2337077279819442</v>
      </c>
      <c r="O597" s="1667">
        <v>1.2337077279819442</v>
      </c>
    </row>
    <row r="598" spans="11:15">
      <c r="K598" s="1664">
        <v>42655</v>
      </c>
      <c r="L598" s="1665"/>
      <c r="M598" s="1666">
        <v>0</v>
      </c>
      <c r="N598" s="1667">
        <v>1.2337077279819442</v>
      </c>
      <c r="O598" s="1667">
        <v>1.2337077279819442</v>
      </c>
    </row>
    <row r="599" spans="11:15">
      <c r="K599" s="1664">
        <v>42656</v>
      </c>
      <c r="L599" s="1665" t="s">
        <v>2296</v>
      </c>
      <c r="M599" s="1666">
        <v>5.2531000000000001E-2</v>
      </c>
      <c r="N599" s="1667">
        <v>1.2343558069885303</v>
      </c>
      <c r="O599" s="1667">
        <v>1.2343558069885303</v>
      </c>
    </row>
    <row r="600" spans="11:15">
      <c r="K600" s="1664">
        <v>42657</v>
      </c>
      <c r="L600" s="1665" t="s">
        <v>2296</v>
      </c>
      <c r="M600" s="1666">
        <v>5.2531000000000001E-2</v>
      </c>
      <c r="N600" s="1667">
        <v>1.2350042264374994</v>
      </c>
      <c r="O600" s="1667">
        <v>1.2350042264374994</v>
      </c>
    </row>
    <row r="601" spans="11:15">
      <c r="K601" s="1664">
        <v>42658</v>
      </c>
      <c r="L601" s="1665"/>
      <c r="M601" s="1666">
        <v>0</v>
      </c>
      <c r="N601" s="1667">
        <v>1.2350042264374994</v>
      </c>
      <c r="O601" s="1667">
        <v>1.2350042264374994</v>
      </c>
    </row>
    <row r="602" spans="11:15">
      <c r="K602" s="1664">
        <v>42659</v>
      </c>
      <c r="L602" s="1665"/>
      <c r="M602" s="1666">
        <v>0</v>
      </c>
      <c r="N602" s="1667">
        <v>1.2350042264374994</v>
      </c>
      <c r="O602" s="1667">
        <v>1.2350042264374994</v>
      </c>
    </row>
    <row r="603" spans="11:15">
      <c r="K603" s="1664">
        <v>42660</v>
      </c>
      <c r="L603" s="1665" t="s">
        <v>2296</v>
      </c>
      <c r="M603" s="1666">
        <v>5.2531000000000001E-2</v>
      </c>
      <c r="N603" s="1667">
        <v>1.2356529865076893</v>
      </c>
      <c r="O603" s="1667">
        <v>1.2356529865076893</v>
      </c>
    </row>
    <row r="604" spans="11:15">
      <c r="K604" s="1664">
        <v>42661</v>
      </c>
      <c r="L604" s="1665" t="s">
        <v>2296</v>
      </c>
      <c r="M604" s="1666">
        <v>5.2531000000000001E-2</v>
      </c>
      <c r="N604" s="1667">
        <v>1.2363020873780317</v>
      </c>
      <c r="O604" s="1667">
        <v>1.2363020873780317</v>
      </c>
    </row>
    <row r="605" spans="11:15">
      <c r="K605" s="1664">
        <v>42662</v>
      </c>
      <c r="L605" s="1665" t="s">
        <v>2296</v>
      </c>
      <c r="M605" s="1666">
        <v>5.2531000000000001E-2</v>
      </c>
      <c r="N605" s="1667">
        <v>1.2369515292275524</v>
      </c>
      <c r="O605" s="1667">
        <v>1.2369515292275524</v>
      </c>
    </row>
    <row r="606" spans="11:15">
      <c r="K606" s="1664">
        <v>42663</v>
      </c>
      <c r="L606" s="1665" t="s">
        <v>2296</v>
      </c>
      <c r="M606" s="1666">
        <v>5.1659999999999998E-2</v>
      </c>
      <c r="N606" s="1667">
        <v>1.2375905383875514</v>
      </c>
      <c r="O606" s="1667">
        <v>1.2376013122353708</v>
      </c>
    </row>
    <row r="607" spans="11:15">
      <c r="K607" s="1664">
        <v>42664</v>
      </c>
      <c r="L607" s="1665" t="s">
        <v>2296</v>
      </c>
      <c r="M607" s="1666">
        <v>5.1659999999999998E-2</v>
      </c>
      <c r="N607" s="1667">
        <v>1.2382298776596825</v>
      </c>
      <c r="O607" s="1667">
        <v>1.2382514365807011</v>
      </c>
    </row>
    <row r="608" spans="11:15">
      <c r="K608" s="1664">
        <v>42665</v>
      </c>
      <c r="L608" s="1665"/>
      <c r="M608" s="1666">
        <v>0</v>
      </c>
      <c r="N608" s="1667">
        <v>1.2382298776596825</v>
      </c>
      <c r="O608" s="1667">
        <v>1.2382514365807011</v>
      </c>
    </row>
    <row r="609" spans="11:15">
      <c r="K609" s="1664">
        <v>42666</v>
      </c>
      <c r="L609" s="1665"/>
      <c r="M609" s="1666">
        <v>0</v>
      </c>
      <c r="N609" s="1667">
        <v>1.2382298776596825</v>
      </c>
      <c r="O609" s="1667">
        <v>1.2382514365807011</v>
      </c>
    </row>
    <row r="610" spans="11:15">
      <c r="K610" s="1664">
        <v>42667</v>
      </c>
      <c r="L610" s="1665" t="s">
        <v>2296</v>
      </c>
      <c r="M610" s="1666">
        <v>5.1659999999999998E-2</v>
      </c>
      <c r="N610" s="1667">
        <v>1.2388695472144815</v>
      </c>
      <c r="O610" s="1667">
        <v>1.2389019024428514</v>
      </c>
    </row>
    <row r="611" spans="11:15">
      <c r="K611" s="1664">
        <v>42668</v>
      </c>
      <c r="L611" s="1665" t="s">
        <v>2296</v>
      </c>
      <c r="M611" s="1666">
        <v>5.1659999999999998E-2</v>
      </c>
      <c r="N611" s="1667">
        <v>1.2395095472225726</v>
      </c>
      <c r="O611" s="1667">
        <v>1.2395527100012236</v>
      </c>
    </row>
    <row r="612" spans="11:15">
      <c r="K612" s="1664">
        <v>42669</v>
      </c>
      <c r="L612" s="1665" t="s">
        <v>2296</v>
      </c>
      <c r="M612" s="1666">
        <v>5.1659999999999998E-2</v>
      </c>
      <c r="N612" s="1667">
        <v>1.2401498778546678</v>
      </c>
      <c r="O612" s="1667">
        <v>1.2402038594353144</v>
      </c>
    </row>
    <row r="613" spans="11:15">
      <c r="K613" s="1664">
        <v>42670</v>
      </c>
      <c r="L613" s="1665" t="s">
        <v>2296</v>
      </c>
      <c r="M613" s="1666">
        <v>5.1659999999999998E-2</v>
      </c>
      <c r="N613" s="1667">
        <v>1.2407905392815677</v>
      </c>
      <c r="O613" s="1667">
        <v>1.2408553509247144</v>
      </c>
    </row>
    <row r="614" spans="11:15">
      <c r="K614" s="1664">
        <v>42671</v>
      </c>
      <c r="L614" s="1665" t="s">
        <v>2296</v>
      </c>
      <c r="M614" s="1666">
        <v>5.1659999999999998E-2</v>
      </c>
      <c r="N614" s="1667">
        <v>1.2414315316741606</v>
      </c>
      <c r="O614" s="1667">
        <v>1.2415071846491088</v>
      </c>
    </row>
    <row r="615" spans="11:15">
      <c r="K615" s="1664">
        <v>42672</v>
      </c>
      <c r="L615" s="1665"/>
      <c r="M615" s="1666">
        <v>0</v>
      </c>
      <c r="N615" s="1667">
        <v>1.2414315316741606</v>
      </c>
      <c r="O615" s="1667">
        <v>1.2415071846491088</v>
      </c>
    </row>
    <row r="616" spans="11:15">
      <c r="K616" s="1664">
        <v>42673</v>
      </c>
      <c r="L616" s="1665"/>
      <c r="M616" s="1666">
        <v>0</v>
      </c>
      <c r="N616" s="1667">
        <v>1.2414315316741606</v>
      </c>
      <c r="O616" s="1667">
        <v>1.2415071846491088</v>
      </c>
    </row>
    <row r="617" spans="11:15">
      <c r="K617" s="1664">
        <v>42674</v>
      </c>
      <c r="L617" s="1665" t="s">
        <v>2296</v>
      </c>
      <c r="M617" s="1666">
        <v>5.1659999999999998E-2</v>
      </c>
      <c r="N617" s="1667">
        <v>1.2420728552034237</v>
      </c>
      <c r="O617" s="1667">
        <v>1.2421593607882768</v>
      </c>
    </row>
    <row r="618" spans="11:15">
      <c r="K618" s="1664">
        <v>42675</v>
      </c>
      <c r="L618" s="1665" t="s">
        <v>2296</v>
      </c>
      <c r="M618" s="1666">
        <v>5.1659999999999998E-2</v>
      </c>
      <c r="N618" s="1667">
        <v>1.242714510040422</v>
      </c>
      <c r="O618" s="1667">
        <v>1.2428118795220926</v>
      </c>
    </row>
    <row r="619" spans="11:15">
      <c r="K619" s="1664">
        <v>42676</v>
      </c>
      <c r="L619" s="1665"/>
      <c r="M619" s="1666">
        <v>0</v>
      </c>
      <c r="N619" s="1667">
        <v>1.242714510040422</v>
      </c>
      <c r="O619" s="1667">
        <v>1.2428118795220926</v>
      </c>
    </row>
    <row r="620" spans="11:15">
      <c r="K620" s="1664">
        <v>42677</v>
      </c>
      <c r="L620" s="1665" t="s">
        <v>2296</v>
      </c>
      <c r="M620" s="1666">
        <v>5.1659999999999998E-2</v>
      </c>
      <c r="N620" s="1667">
        <v>1.2433564963563091</v>
      </c>
      <c r="O620" s="1667">
        <v>1.2434647410305244</v>
      </c>
    </row>
    <row r="621" spans="11:15">
      <c r="K621" s="1664">
        <v>42678</v>
      </c>
      <c r="L621" s="1665" t="s">
        <v>2296</v>
      </c>
      <c r="M621" s="1666">
        <v>5.1659999999999998E-2</v>
      </c>
      <c r="N621" s="1667">
        <v>1.2439988143223268</v>
      </c>
      <c r="O621" s="1667">
        <v>1.2441179454936351</v>
      </c>
    </row>
    <row r="622" spans="11:15">
      <c r="K622" s="1664">
        <v>42679</v>
      </c>
      <c r="L622" s="1665"/>
      <c r="M622" s="1666">
        <v>0</v>
      </c>
      <c r="N622" s="1667">
        <v>1.2439988143223268</v>
      </c>
      <c r="O622" s="1667">
        <v>1.2441179454936351</v>
      </c>
    </row>
    <row r="623" spans="11:15">
      <c r="K623" s="1664">
        <v>42680</v>
      </c>
      <c r="L623" s="1665"/>
      <c r="M623" s="1666">
        <v>0</v>
      </c>
      <c r="N623" s="1667">
        <v>1.2439988143223268</v>
      </c>
      <c r="O623" s="1667">
        <v>1.2441179454936351</v>
      </c>
    </row>
    <row r="624" spans="11:15">
      <c r="K624" s="1664">
        <v>42681</v>
      </c>
      <c r="L624" s="1665" t="s">
        <v>2296</v>
      </c>
      <c r="M624" s="1666">
        <v>5.1659999999999998E-2</v>
      </c>
      <c r="N624" s="1667">
        <v>1.2446414641098058</v>
      </c>
      <c r="O624" s="1667">
        <v>1.2447714930915823</v>
      </c>
    </row>
    <row r="625" spans="11:15">
      <c r="K625" s="1664">
        <v>42682</v>
      </c>
      <c r="L625" s="1665" t="s">
        <v>2296</v>
      </c>
      <c r="M625" s="1666">
        <v>5.1659999999999998E-2</v>
      </c>
      <c r="N625" s="1667">
        <v>1.2452844458901651</v>
      </c>
      <c r="O625" s="1667">
        <v>1.2454253840046183</v>
      </c>
    </row>
    <row r="626" spans="11:15">
      <c r="K626" s="1664">
        <v>42683</v>
      </c>
      <c r="L626" s="1665" t="s">
        <v>2296</v>
      </c>
      <c r="M626" s="1666">
        <v>5.1659999999999998E-2</v>
      </c>
      <c r="N626" s="1667">
        <v>1.2459277598349121</v>
      </c>
      <c r="O626" s="1667">
        <v>1.2460796184130898</v>
      </c>
    </row>
    <row r="627" spans="11:15">
      <c r="K627" s="1664">
        <v>42684</v>
      </c>
      <c r="L627" s="1665" t="s">
        <v>2296</v>
      </c>
      <c r="M627" s="1666">
        <v>5.1659999999999998E-2</v>
      </c>
      <c r="N627" s="1667">
        <v>1.246571406115643</v>
      </c>
      <c r="O627" s="1667">
        <v>1.2467341964974383</v>
      </c>
    </row>
    <row r="628" spans="11:15">
      <c r="K628" s="1664">
        <v>42685</v>
      </c>
      <c r="L628" s="1665" t="s">
        <v>2296</v>
      </c>
      <c r="M628" s="1666">
        <v>5.1659999999999998E-2</v>
      </c>
      <c r="N628" s="1667">
        <v>1.2472153849040424</v>
      </c>
      <c r="O628" s="1667">
        <v>1.2473891184382004</v>
      </c>
    </row>
    <row r="629" spans="11:15">
      <c r="K629" s="1664">
        <v>42686</v>
      </c>
      <c r="L629" s="1665"/>
      <c r="M629" s="1666">
        <v>0</v>
      </c>
      <c r="N629" s="1667">
        <v>1.2472153849040424</v>
      </c>
      <c r="O629" s="1667">
        <v>1.2473891184382004</v>
      </c>
    </row>
    <row r="630" spans="11:15">
      <c r="K630" s="1664">
        <v>42687</v>
      </c>
      <c r="L630" s="1665"/>
      <c r="M630" s="1666">
        <v>0</v>
      </c>
      <c r="N630" s="1667">
        <v>1.2472153849040424</v>
      </c>
      <c r="O630" s="1667">
        <v>1.2473891184382004</v>
      </c>
    </row>
    <row r="631" spans="11:15">
      <c r="K631" s="1664">
        <v>42688</v>
      </c>
      <c r="L631" s="1665" t="s">
        <v>2296</v>
      </c>
      <c r="M631" s="1666">
        <v>5.1659999999999998E-2</v>
      </c>
      <c r="N631" s="1667">
        <v>1.247859696371884</v>
      </c>
      <c r="O631" s="1667">
        <v>1.2480443844160072</v>
      </c>
    </row>
    <row r="632" spans="11:15">
      <c r="K632" s="1664">
        <v>42689</v>
      </c>
      <c r="L632" s="1665"/>
      <c r="M632" s="1666">
        <v>0</v>
      </c>
      <c r="N632" s="1667">
        <v>1.247859696371884</v>
      </c>
      <c r="O632" s="1667">
        <v>1.2480443844160072</v>
      </c>
    </row>
    <row r="633" spans="11:15">
      <c r="K633" s="1664">
        <v>42690</v>
      </c>
      <c r="L633" s="1665" t="s">
        <v>2296</v>
      </c>
      <c r="M633" s="1666">
        <v>5.1659999999999998E-2</v>
      </c>
      <c r="N633" s="1667">
        <v>1.2485043406910299</v>
      </c>
      <c r="O633" s="1667">
        <v>1.2486999946115847</v>
      </c>
    </row>
    <row r="634" spans="11:15">
      <c r="K634" s="1664">
        <v>42691</v>
      </c>
      <c r="L634" s="1665" t="s">
        <v>2296</v>
      </c>
      <c r="M634" s="1666">
        <v>5.1659999999999998E-2</v>
      </c>
      <c r="N634" s="1667">
        <v>1.249149318033431</v>
      </c>
      <c r="O634" s="1667">
        <v>1.249355949205754</v>
      </c>
    </row>
    <row r="635" spans="11:15">
      <c r="K635" s="1664">
        <v>42692</v>
      </c>
      <c r="L635" s="1665" t="s">
        <v>2296</v>
      </c>
      <c r="M635" s="1666">
        <v>5.1659999999999998E-2</v>
      </c>
      <c r="N635" s="1667">
        <v>1.2497946285711272</v>
      </c>
      <c r="O635" s="1667">
        <v>1.2500122483794314</v>
      </c>
    </row>
    <row r="636" spans="11:15">
      <c r="K636" s="1664">
        <v>42693</v>
      </c>
      <c r="L636" s="1665"/>
      <c r="M636" s="1666">
        <v>0</v>
      </c>
      <c r="N636" s="1667">
        <v>1.2497946285711272</v>
      </c>
      <c r="O636" s="1667">
        <v>1.2500122483794314</v>
      </c>
    </row>
    <row r="637" spans="11:15">
      <c r="K637" s="1664">
        <v>42694</v>
      </c>
      <c r="L637" s="1665"/>
      <c r="M637" s="1666">
        <v>0</v>
      </c>
      <c r="N637" s="1667">
        <v>1.2497946285711272</v>
      </c>
      <c r="O637" s="1667">
        <v>1.2500122483794314</v>
      </c>
    </row>
    <row r="638" spans="11:15">
      <c r="K638" s="1664">
        <v>42695</v>
      </c>
      <c r="L638" s="1665" t="s">
        <v>2296</v>
      </c>
      <c r="M638" s="1666">
        <v>5.1659999999999998E-2</v>
      </c>
      <c r="N638" s="1667">
        <v>1.2504402724762471</v>
      </c>
      <c r="O638" s="1667">
        <v>1.2506688923136275</v>
      </c>
    </row>
    <row r="639" spans="11:15">
      <c r="K639" s="1664">
        <v>42696</v>
      </c>
      <c r="L639" s="1665" t="s">
        <v>2296</v>
      </c>
      <c r="M639" s="1666">
        <v>5.1659999999999998E-2</v>
      </c>
      <c r="N639" s="1667">
        <v>1.2510862499210085</v>
      </c>
      <c r="O639" s="1667">
        <v>1.2513258811894488</v>
      </c>
    </row>
    <row r="640" spans="11:15">
      <c r="K640" s="1664">
        <v>42697</v>
      </c>
      <c r="L640" s="1665" t="s">
        <v>2296</v>
      </c>
      <c r="M640" s="1666">
        <v>5.1659999999999998E-2</v>
      </c>
      <c r="N640" s="1667">
        <v>1.2517325610777177</v>
      </c>
      <c r="O640" s="1667">
        <v>1.2519832151880963</v>
      </c>
    </row>
    <row r="641" spans="11:15">
      <c r="K641" s="1664">
        <v>42698</v>
      </c>
      <c r="L641" s="1665" t="s">
        <v>2296</v>
      </c>
      <c r="M641" s="1666">
        <v>5.1659999999999998E-2</v>
      </c>
      <c r="N641" s="1667">
        <v>1.2523792061187706</v>
      </c>
      <c r="O641" s="1667">
        <v>1.2526408944908667</v>
      </c>
    </row>
    <row r="642" spans="11:15">
      <c r="K642" s="1664">
        <v>42699</v>
      </c>
      <c r="L642" s="1665" t="s">
        <v>2296</v>
      </c>
      <c r="M642" s="1666">
        <v>5.1659999999999998E-2</v>
      </c>
      <c r="N642" s="1667">
        <v>1.2530261852166518</v>
      </c>
      <c r="O642" s="1667">
        <v>1.2532989192791517</v>
      </c>
    </row>
    <row r="643" spans="11:15">
      <c r="K643" s="1664">
        <v>42700</v>
      </c>
      <c r="L643" s="1665"/>
      <c r="M643" s="1666">
        <v>0</v>
      </c>
      <c r="N643" s="1667">
        <v>1.2530261852166518</v>
      </c>
      <c r="O643" s="1667">
        <v>1.2532989192791517</v>
      </c>
    </row>
    <row r="644" spans="11:15">
      <c r="K644" s="1664">
        <v>42701</v>
      </c>
      <c r="L644" s="1665"/>
      <c r="M644" s="1666">
        <v>0</v>
      </c>
      <c r="N644" s="1667">
        <v>1.2530261852166518</v>
      </c>
      <c r="O644" s="1667">
        <v>1.2532989192791517</v>
      </c>
    </row>
    <row r="645" spans="11:15">
      <c r="K645" s="1664">
        <v>42702</v>
      </c>
      <c r="L645" s="1665" t="s">
        <v>2296</v>
      </c>
      <c r="M645" s="1666">
        <v>5.1659999999999998E-2</v>
      </c>
      <c r="N645" s="1667">
        <v>1.2536734985439348</v>
      </c>
      <c r="O645" s="1667">
        <v>1.2539572897344382</v>
      </c>
    </row>
    <row r="646" spans="11:15">
      <c r="K646" s="1664">
        <v>42703</v>
      </c>
      <c r="L646" s="1665" t="s">
        <v>2296</v>
      </c>
      <c r="M646" s="1666">
        <v>5.1659999999999998E-2</v>
      </c>
      <c r="N646" s="1667">
        <v>1.2543211462732828</v>
      </c>
      <c r="O646" s="1667">
        <v>1.2546160060383087</v>
      </c>
    </row>
    <row r="647" spans="11:15">
      <c r="K647" s="1664">
        <v>42704</v>
      </c>
      <c r="L647" s="1665" t="s">
        <v>2296</v>
      </c>
      <c r="M647" s="1666">
        <v>5.1659999999999998E-2</v>
      </c>
      <c r="N647" s="1667">
        <v>1.2549691285774478</v>
      </c>
      <c r="O647" s="1667">
        <v>1.2552750683724407</v>
      </c>
    </row>
    <row r="648" spans="11:15">
      <c r="K648" s="1664">
        <v>42705</v>
      </c>
      <c r="L648" s="1665" t="s">
        <v>2296</v>
      </c>
      <c r="M648" s="1666">
        <v>5.0788E-2</v>
      </c>
      <c r="N648" s="1667">
        <v>1.2556065022984697</v>
      </c>
      <c r="O648" s="1667">
        <v>1.2559344769186074</v>
      </c>
    </row>
    <row r="649" spans="11:15">
      <c r="K649" s="1664">
        <v>42706</v>
      </c>
      <c r="L649" s="1665" t="s">
        <v>2296</v>
      </c>
      <c r="M649" s="1666">
        <v>5.0788E-2</v>
      </c>
      <c r="N649" s="1667">
        <v>1.2562441997288571</v>
      </c>
      <c r="O649" s="1667">
        <v>1.2565942318586776</v>
      </c>
    </row>
    <row r="650" spans="11:15">
      <c r="K650" s="1664">
        <v>42707</v>
      </c>
      <c r="L650" s="1665"/>
      <c r="M650" s="1666">
        <v>0</v>
      </c>
      <c r="N650" s="1667">
        <v>1.2562441997288571</v>
      </c>
      <c r="O650" s="1667">
        <v>1.2565942318586776</v>
      </c>
    </row>
    <row r="651" spans="11:15">
      <c r="K651" s="1664">
        <v>42708</v>
      </c>
      <c r="L651" s="1665"/>
      <c r="M651" s="1666">
        <v>0</v>
      </c>
      <c r="N651" s="1667">
        <v>1.2562441997288571</v>
      </c>
      <c r="O651" s="1667">
        <v>1.2565942318586776</v>
      </c>
    </row>
    <row r="652" spans="11:15">
      <c r="K652" s="1664">
        <v>42709</v>
      </c>
      <c r="L652" s="1665" t="s">
        <v>2296</v>
      </c>
      <c r="M652" s="1666">
        <v>5.0788E-2</v>
      </c>
      <c r="N652" s="1667">
        <v>1.2568822210330155</v>
      </c>
      <c r="O652" s="1667">
        <v>1.2572543333746153</v>
      </c>
    </row>
    <row r="653" spans="11:15">
      <c r="K653" s="1664">
        <v>42710</v>
      </c>
      <c r="L653" s="1665" t="s">
        <v>2296</v>
      </c>
      <c r="M653" s="1666">
        <v>5.0788E-2</v>
      </c>
      <c r="N653" s="1667">
        <v>1.2575205663754339</v>
      </c>
      <c r="O653" s="1667">
        <v>1.2579147816484804</v>
      </c>
    </row>
    <row r="654" spans="11:15">
      <c r="K654" s="1664">
        <v>42711</v>
      </c>
      <c r="L654" s="1665" t="s">
        <v>2296</v>
      </c>
      <c r="M654" s="1666">
        <v>5.0788E-2</v>
      </c>
      <c r="N654" s="1667">
        <v>1.2581592359206846</v>
      </c>
      <c r="O654" s="1667">
        <v>1.258575576862428</v>
      </c>
    </row>
    <row r="655" spans="11:15">
      <c r="K655" s="1664">
        <v>42712</v>
      </c>
      <c r="L655" s="1665" t="s">
        <v>2296</v>
      </c>
      <c r="M655" s="1666">
        <v>5.0788E-2</v>
      </c>
      <c r="N655" s="1667">
        <v>1.2587982298334239</v>
      </c>
      <c r="O655" s="1667">
        <v>1.2592367191987097</v>
      </c>
    </row>
    <row r="656" spans="11:15">
      <c r="K656" s="1664">
        <v>42713</v>
      </c>
      <c r="L656" s="1665" t="s">
        <v>2296</v>
      </c>
      <c r="M656" s="1666">
        <v>5.0788E-2</v>
      </c>
      <c r="N656" s="1667">
        <v>1.2594375482783917</v>
      </c>
      <c r="O656" s="1667">
        <v>1.259898208839672</v>
      </c>
    </row>
    <row r="657" spans="11:15">
      <c r="K657" s="1664">
        <v>42714</v>
      </c>
      <c r="L657" s="1665"/>
      <c r="M657" s="1666">
        <v>0</v>
      </c>
      <c r="N657" s="1667">
        <v>1.2594375482783917</v>
      </c>
      <c r="O657" s="1667">
        <v>1.259898208839672</v>
      </c>
    </row>
    <row r="658" spans="11:15">
      <c r="K658" s="1664">
        <v>42715</v>
      </c>
      <c r="L658" s="1665"/>
      <c r="M658" s="1666">
        <v>0</v>
      </c>
      <c r="N658" s="1667">
        <v>1.2594375482783917</v>
      </c>
      <c r="O658" s="1667">
        <v>1.259898208839672</v>
      </c>
    </row>
    <row r="659" spans="11:15">
      <c r="K659" s="1664">
        <v>42716</v>
      </c>
      <c r="L659" s="1665" t="s">
        <v>2296</v>
      </c>
      <c r="M659" s="1666">
        <v>5.0788E-2</v>
      </c>
      <c r="N659" s="1667">
        <v>1.2600771914204114</v>
      </c>
      <c r="O659" s="1667">
        <v>1.2605600459677575</v>
      </c>
    </row>
    <row r="660" spans="11:15">
      <c r="K660" s="1664">
        <v>42717</v>
      </c>
      <c r="L660" s="1665" t="s">
        <v>2296</v>
      </c>
      <c r="M660" s="1666">
        <v>5.0788E-2</v>
      </c>
      <c r="N660" s="1667">
        <v>1.26071715942439</v>
      </c>
      <c r="O660" s="1667">
        <v>1.2612222307655048</v>
      </c>
    </row>
    <row r="661" spans="11:15">
      <c r="K661" s="1664">
        <v>42718</v>
      </c>
      <c r="L661" s="1665" t="s">
        <v>2296</v>
      </c>
      <c r="M661" s="1666">
        <v>5.0788E-2</v>
      </c>
      <c r="N661" s="1667">
        <v>1.2613574524553184</v>
      </c>
      <c r="O661" s="1667">
        <v>1.2618847634155481</v>
      </c>
    </row>
    <row r="662" spans="11:15">
      <c r="K662" s="1664">
        <v>42719</v>
      </c>
      <c r="L662" s="1665" t="s">
        <v>2296</v>
      </c>
      <c r="M662" s="1666">
        <v>5.0788E-2</v>
      </c>
      <c r="N662" s="1667">
        <v>1.2619980706782714</v>
      </c>
      <c r="O662" s="1667">
        <v>1.262547644100618</v>
      </c>
    </row>
    <row r="663" spans="11:15">
      <c r="K663" s="1664">
        <v>42720</v>
      </c>
      <c r="L663" s="1665" t="s">
        <v>2296</v>
      </c>
      <c r="M663" s="1666">
        <v>5.0788E-2</v>
      </c>
      <c r="N663" s="1667">
        <v>1.2626390142584074</v>
      </c>
      <c r="O663" s="1667">
        <v>1.2632108730035405</v>
      </c>
    </row>
    <row r="664" spans="11:15">
      <c r="K664" s="1664">
        <v>42721</v>
      </c>
      <c r="L664" s="1665"/>
      <c r="M664" s="1666">
        <v>0</v>
      </c>
      <c r="N664" s="1667">
        <v>1.2626390142584074</v>
      </c>
      <c r="O664" s="1667">
        <v>1.2632108730035405</v>
      </c>
    </row>
    <row r="665" spans="11:15">
      <c r="K665" s="1664">
        <v>42722</v>
      </c>
      <c r="L665" s="1665"/>
      <c r="M665" s="1666">
        <v>0</v>
      </c>
      <c r="N665" s="1667">
        <v>1.2626390142584074</v>
      </c>
      <c r="O665" s="1667">
        <v>1.2632108730035405</v>
      </c>
    </row>
    <row r="666" spans="11:15">
      <c r="K666" s="1664">
        <v>42723</v>
      </c>
      <c r="L666" s="1665" t="s">
        <v>2296</v>
      </c>
      <c r="M666" s="1666">
        <v>5.0788E-2</v>
      </c>
      <c r="N666" s="1667">
        <v>1.2632802833609691</v>
      </c>
      <c r="O666" s="1667">
        <v>1.2638744503072381</v>
      </c>
    </row>
    <row r="667" spans="11:15">
      <c r="K667" s="1664">
        <v>42724</v>
      </c>
      <c r="L667" s="1665" t="s">
        <v>2296</v>
      </c>
      <c r="M667" s="1666">
        <v>5.0788E-2</v>
      </c>
      <c r="N667" s="1667">
        <v>1.2639218781512824</v>
      </c>
      <c r="O667" s="1667">
        <v>1.2645383761947291</v>
      </c>
    </row>
    <row r="668" spans="11:15">
      <c r="K668" s="1664">
        <v>42725</v>
      </c>
      <c r="L668" s="1665" t="s">
        <v>2296</v>
      </c>
      <c r="M668" s="1666">
        <v>5.0788E-2</v>
      </c>
      <c r="N668" s="1667">
        <v>1.264563798794758</v>
      </c>
      <c r="O668" s="1667">
        <v>1.2652026508491279</v>
      </c>
    </row>
    <row r="669" spans="11:15">
      <c r="K669" s="1664">
        <v>42726</v>
      </c>
      <c r="L669" s="1665" t="s">
        <v>2296</v>
      </c>
      <c r="M669" s="1666">
        <v>5.0788E-2</v>
      </c>
      <c r="N669" s="1667">
        <v>1.2652060454568899</v>
      </c>
      <c r="O669" s="1667">
        <v>1.2658672744536454</v>
      </c>
    </row>
    <row r="670" spans="11:15">
      <c r="K670" s="1664">
        <v>42727</v>
      </c>
      <c r="L670" s="1665" t="s">
        <v>2296</v>
      </c>
      <c r="M670" s="1666">
        <v>5.0788E-2</v>
      </c>
      <c r="N670" s="1667">
        <v>1.2658486183032565</v>
      </c>
      <c r="O670" s="1667">
        <v>1.2665322471915887</v>
      </c>
    </row>
    <row r="671" spans="11:15">
      <c r="K671" s="1664">
        <v>42728</v>
      </c>
      <c r="L671" s="1665"/>
      <c r="M671" s="1666">
        <v>0</v>
      </c>
      <c r="N671" s="1667">
        <v>1.2658486183032565</v>
      </c>
      <c r="O671" s="1667">
        <v>1.2665322471915887</v>
      </c>
    </row>
    <row r="672" spans="11:15">
      <c r="K672" s="1664">
        <v>42729</v>
      </c>
      <c r="L672" s="1665"/>
      <c r="M672" s="1666">
        <v>0</v>
      </c>
      <c r="N672" s="1667">
        <v>1.2658486183032565</v>
      </c>
      <c r="O672" s="1667">
        <v>1.2665322471915887</v>
      </c>
    </row>
    <row r="673" spans="11:15">
      <c r="K673" s="1664">
        <v>42730</v>
      </c>
      <c r="L673" s="1665" t="s">
        <v>2296</v>
      </c>
      <c r="M673" s="1666">
        <v>5.0788E-2</v>
      </c>
      <c r="N673" s="1667">
        <v>1.2664915174995204</v>
      </c>
      <c r="O673" s="1667">
        <v>1.2671975692463611</v>
      </c>
    </row>
    <row r="674" spans="11:15">
      <c r="K674" s="1664">
        <v>42731</v>
      </c>
      <c r="L674" s="1665" t="s">
        <v>2296</v>
      </c>
      <c r="M674" s="1666">
        <v>5.0788E-2</v>
      </c>
      <c r="N674" s="1667">
        <v>1.2671347432114282</v>
      </c>
      <c r="O674" s="1667">
        <v>1.2678632408014618</v>
      </c>
    </row>
    <row r="675" spans="11:15">
      <c r="K675" s="1664">
        <v>42732</v>
      </c>
      <c r="L675" s="1665" t="s">
        <v>2296</v>
      </c>
      <c r="M675" s="1666">
        <v>5.0788E-2</v>
      </c>
      <c r="N675" s="1667">
        <v>1.2677782956048105</v>
      </c>
      <c r="O675" s="1667">
        <v>1.2685292620404873</v>
      </c>
    </row>
    <row r="676" spans="11:15">
      <c r="K676" s="1664">
        <v>42733</v>
      </c>
      <c r="L676" s="1665" t="s">
        <v>2296</v>
      </c>
      <c r="M676" s="1666">
        <v>5.0788E-2</v>
      </c>
      <c r="N676" s="1667">
        <v>1.2684221748455822</v>
      </c>
      <c r="O676" s="1667">
        <v>1.2691956331471299</v>
      </c>
    </row>
    <row r="677" spans="11:15">
      <c r="K677" s="1664">
        <v>42734</v>
      </c>
      <c r="L677" s="1665" t="s">
        <v>2296</v>
      </c>
      <c r="M677" s="1666">
        <v>5.0788E-2</v>
      </c>
      <c r="N677" s="1667">
        <v>1.2690663810997427</v>
      </c>
      <c r="O677" s="1667">
        <v>1.2698623543051784</v>
      </c>
    </row>
    <row r="678" spans="11:15">
      <c r="K678" s="1664">
        <v>42735</v>
      </c>
      <c r="L678" s="1665"/>
      <c r="M678" s="1666">
        <v>0</v>
      </c>
      <c r="N678" s="1667">
        <v>1.2690663810997427</v>
      </c>
      <c r="O678" s="1667">
        <v>1.2698623543051784</v>
      </c>
    </row>
    <row r="679" spans="11:15">
      <c r="K679" s="1664">
        <v>42736</v>
      </c>
      <c r="L679" s="1665"/>
      <c r="M679" s="1666">
        <v>0</v>
      </c>
      <c r="N679" s="1667">
        <v>1.2690663810997427</v>
      </c>
      <c r="O679" s="1667">
        <v>1.2698623543051784</v>
      </c>
    </row>
    <row r="680" spans="11:15">
      <c r="K680" s="1664">
        <v>42737</v>
      </c>
      <c r="L680" s="1665" t="s">
        <v>2296</v>
      </c>
      <c r="M680" s="1666">
        <v>5.0788E-2</v>
      </c>
      <c r="N680" s="1667">
        <v>1.2697109145333756</v>
      </c>
      <c r="O680" s="1667">
        <v>1.2705294256985185</v>
      </c>
    </row>
    <row r="681" spans="11:15">
      <c r="K681" s="1664">
        <v>42738</v>
      </c>
      <c r="L681" s="1665" t="s">
        <v>2296</v>
      </c>
      <c r="M681" s="1666">
        <v>5.0788E-2</v>
      </c>
      <c r="N681" s="1667">
        <v>1.2703557753126489</v>
      </c>
      <c r="O681" s="1667">
        <v>1.2711968475111322</v>
      </c>
    </row>
    <row r="682" spans="11:15">
      <c r="K682" s="1664">
        <v>42739</v>
      </c>
      <c r="L682" s="1665" t="s">
        <v>2296</v>
      </c>
      <c r="M682" s="1666">
        <v>5.0788E-2</v>
      </c>
      <c r="N682" s="1667">
        <v>1.2710009636038146</v>
      </c>
      <c r="O682" s="1667">
        <v>1.2718646199270982</v>
      </c>
    </row>
    <row r="683" spans="11:15">
      <c r="K683" s="1664">
        <v>42740</v>
      </c>
      <c r="L683" s="1665" t="s">
        <v>2296</v>
      </c>
      <c r="M683" s="1666">
        <v>5.0788E-2</v>
      </c>
      <c r="N683" s="1667">
        <v>1.2716464795732099</v>
      </c>
      <c r="O683" s="1667">
        <v>1.2725327431305922</v>
      </c>
    </row>
    <row r="684" spans="11:15">
      <c r="K684" s="1664">
        <v>42741</v>
      </c>
      <c r="L684" s="1665" t="s">
        <v>2296</v>
      </c>
      <c r="M684" s="1666">
        <v>5.0788E-2</v>
      </c>
      <c r="N684" s="1667">
        <v>1.2722923233872556</v>
      </c>
      <c r="O684" s="1667">
        <v>1.2732012173058862</v>
      </c>
    </row>
    <row r="685" spans="11:15">
      <c r="K685" s="1664">
        <v>42742</v>
      </c>
      <c r="L685" s="1665"/>
      <c r="M685" s="1666">
        <v>0</v>
      </c>
      <c r="N685" s="1667">
        <v>1.2722923233872556</v>
      </c>
      <c r="O685" s="1667">
        <v>1.2732012173058862</v>
      </c>
    </row>
    <row r="686" spans="11:15">
      <c r="K686" s="1664">
        <v>42743</v>
      </c>
      <c r="L686" s="1665"/>
      <c r="M686" s="1666">
        <v>0</v>
      </c>
      <c r="N686" s="1667">
        <v>1.2722923233872556</v>
      </c>
      <c r="O686" s="1667">
        <v>1.2732012173058862</v>
      </c>
    </row>
    <row r="687" spans="11:15">
      <c r="K687" s="1664">
        <v>42744</v>
      </c>
      <c r="L687" s="1665" t="s">
        <v>2296</v>
      </c>
      <c r="M687" s="1666">
        <v>5.0788E-2</v>
      </c>
      <c r="N687" s="1667">
        <v>1.2729384952124576</v>
      </c>
      <c r="O687" s="1667">
        <v>1.2738700426373493</v>
      </c>
    </row>
    <row r="688" spans="11:15">
      <c r="K688" s="1664">
        <v>42745</v>
      </c>
      <c r="L688" s="1665" t="s">
        <v>2296</v>
      </c>
      <c r="M688" s="1666">
        <v>5.0788E-2</v>
      </c>
      <c r="N688" s="1667">
        <v>1.2735849952154061</v>
      </c>
      <c r="O688" s="1667">
        <v>1.2745392193094471</v>
      </c>
    </row>
    <row r="689" spans="11:15">
      <c r="K689" s="1664">
        <v>42746</v>
      </c>
      <c r="L689" s="1665" t="s">
        <v>2296</v>
      </c>
      <c r="M689" s="1666">
        <v>5.0788E-2</v>
      </c>
      <c r="N689" s="1667">
        <v>1.2742318235627761</v>
      </c>
      <c r="O689" s="1667">
        <v>1.2752087475067426</v>
      </c>
    </row>
    <row r="690" spans="11:15">
      <c r="K690" s="1664">
        <v>42747</v>
      </c>
      <c r="L690" s="1665" t="s">
        <v>2296</v>
      </c>
      <c r="M690" s="1666">
        <v>4.8159E-2</v>
      </c>
      <c r="N690" s="1667">
        <v>1.2748454808666856</v>
      </c>
      <c r="O690" s="1667">
        <v>1.2758786274138953</v>
      </c>
    </row>
    <row r="691" spans="11:15">
      <c r="K691" s="1664">
        <v>42748</v>
      </c>
      <c r="L691" s="1665" t="s">
        <v>2296</v>
      </c>
      <c r="M691" s="1666">
        <v>4.8159E-2</v>
      </c>
      <c r="N691" s="1667">
        <v>1.2754594337018161</v>
      </c>
      <c r="O691" s="1667">
        <v>1.2765488592156622</v>
      </c>
    </row>
    <row r="692" spans="11:15">
      <c r="K692" s="1664">
        <v>42749</v>
      </c>
      <c r="L692" s="1665"/>
      <c r="M692" s="1666">
        <v>0</v>
      </c>
      <c r="N692" s="1667">
        <v>1.2754594337018161</v>
      </c>
      <c r="O692" s="1667">
        <v>1.2765488592156622</v>
      </c>
    </row>
    <row r="693" spans="11:15">
      <c r="K693" s="1664">
        <v>42750</v>
      </c>
      <c r="L693" s="1665"/>
      <c r="M693" s="1666">
        <v>0</v>
      </c>
      <c r="N693" s="1667">
        <v>1.2754594337018161</v>
      </c>
      <c r="O693" s="1667">
        <v>1.2765488592156622</v>
      </c>
    </row>
    <row r="694" spans="11:15">
      <c r="K694" s="1664">
        <v>42751</v>
      </c>
      <c r="L694" s="1665" t="s">
        <v>2296</v>
      </c>
      <c r="M694" s="1666">
        <v>4.8159E-2</v>
      </c>
      <c r="N694" s="1667">
        <v>1.2760736822104926</v>
      </c>
      <c r="O694" s="1667">
        <v>1.2772194430968968</v>
      </c>
    </row>
    <row r="695" spans="11:15">
      <c r="K695" s="1664">
        <v>42752</v>
      </c>
      <c r="L695" s="1665" t="s">
        <v>2296</v>
      </c>
      <c r="M695" s="1666">
        <v>4.8159E-2</v>
      </c>
      <c r="N695" s="1667">
        <v>1.2766882265351083</v>
      </c>
      <c r="O695" s="1667">
        <v>1.27789037924255</v>
      </c>
    </row>
    <row r="696" spans="11:15">
      <c r="K696" s="1664">
        <v>42753</v>
      </c>
      <c r="L696" s="1665" t="s">
        <v>2296</v>
      </c>
      <c r="M696" s="1666">
        <v>4.8159E-2</v>
      </c>
      <c r="N696" s="1667">
        <v>1.2773030668181251</v>
      </c>
      <c r="O696" s="1667">
        <v>1.2785616678376699</v>
      </c>
    </row>
    <row r="697" spans="11:15">
      <c r="K697" s="1664">
        <v>42754</v>
      </c>
      <c r="L697" s="1665" t="s">
        <v>2296</v>
      </c>
      <c r="M697" s="1666">
        <v>4.8159E-2</v>
      </c>
      <c r="N697" s="1667">
        <v>1.2779182032020739</v>
      </c>
      <c r="O697" s="1667">
        <v>1.2792333090674017</v>
      </c>
    </row>
    <row r="698" spans="11:15">
      <c r="K698" s="1664">
        <v>42755</v>
      </c>
      <c r="L698" s="1665" t="s">
        <v>2296</v>
      </c>
      <c r="M698" s="1666">
        <v>4.8159E-2</v>
      </c>
      <c r="N698" s="1667">
        <v>1.278533635829554</v>
      </c>
      <c r="O698" s="1667">
        <v>1.279905303116988</v>
      </c>
    </row>
    <row r="699" spans="11:15">
      <c r="K699" s="1664">
        <v>42756</v>
      </c>
      <c r="L699" s="1665"/>
      <c r="M699" s="1666">
        <v>0</v>
      </c>
      <c r="N699" s="1667">
        <v>1.278533635829554</v>
      </c>
      <c r="O699" s="1667">
        <v>1.279905303116988</v>
      </c>
    </row>
    <row r="700" spans="11:15">
      <c r="K700" s="1664">
        <v>42757</v>
      </c>
      <c r="L700" s="1665"/>
      <c r="M700" s="1666">
        <v>0</v>
      </c>
      <c r="N700" s="1667">
        <v>1.278533635829554</v>
      </c>
      <c r="O700" s="1667">
        <v>1.279905303116988</v>
      </c>
    </row>
    <row r="701" spans="11:15">
      <c r="K701" s="1664">
        <v>42758</v>
      </c>
      <c r="L701" s="1665" t="s">
        <v>2296</v>
      </c>
      <c r="M701" s="1666">
        <v>4.8159E-2</v>
      </c>
      <c r="N701" s="1667">
        <v>1.279149364843233</v>
      </c>
      <c r="O701" s="1667">
        <v>1.2805776501717685</v>
      </c>
    </row>
    <row r="702" spans="11:15">
      <c r="K702" s="1664">
        <v>42759</v>
      </c>
      <c r="L702" s="1665" t="s">
        <v>2296</v>
      </c>
      <c r="M702" s="1666">
        <v>4.8159E-2</v>
      </c>
      <c r="N702" s="1667">
        <v>1.2797653903858479</v>
      </c>
      <c r="O702" s="1667">
        <v>1.2812503504171802</v>
      </c>
    </row>
    <row r="703" spans="11:15">
      <c r="K703" s="1664">
        <v>42760</v>
      </c>
      <c r="L703" s="1665" t="s">
        <v>2296</v>
      </c>
      <c r="M703" s="1666">
        <v>4.8159E-2</v>
      </c>
      <c r="N703" s="1667">
        <v>1.2803817126002037</v>
      </c>
      <c r="O703" s="1667">
        <v>1.2819234040387577</v>
      </c>
    </row>
    <row r="704" spans="11:15">
      <c r="K704" s="1664">
        <v>42761</v>
      </c>
      <c r="L704" s="1665" t="s">
        <v>2296</v>
      </c>
      <c r="M704" s="1666">
        <v>4.8159E-2</v>
      </c>
      <c r="N704" s="1667">
        <v>1.2809983316291746</v>
      </c>
      <c r="O704" s="1667">
        <v>1.2825968112221333</v>
      </c>
    </row>
    <row r="705" spans="11:15">
      <c r="K705" s="1664">
        <v>42762</v>
      </c>
      <c r="L705" s="1665" t="s">
        <v>2296</v>
      </c>
      <c r="M705" s="1666">
        <v>4.8159E-2</v>
      </c>
      <c r="N705" s="1667">
        <v>1.2816152476157039</v>
      </c>
      <c r="O705" s="1667">
        <v>1.2832705721530364</v>
      </c>
    </row>
    <row r="706" spans="11:15">
      <c r="K706" s="1664">
        <v>42763</v>
      </c>
      <c r="L706" s="1665"/>
      <c r="M706" s="1666">
        <v>0</v>
      </c>
      <c r="N706" s="1667">
        <v>1.2816152476157039</v>
      </c>
      <c r="O706" s="1667">
        <v>1.2832705721530364</v>
      </c>
    </row>
    <row r="707" spans="11:15">
      <c r="K707" s="1664">
        <v>42764</v>
      </c>
      <c r="L707" s="1665"/>
      <c r="M707" s="1666">
        <v>0</v>
      </c>
      <c r="N707" s="1667">
        <v>1.2816152476157039</v>
      </c>
      <c r="O707" s="1667">
        <v>1.2832705721530364</v>
      </c>
    </row>
    <row r="708" spans="11:15">
      <c r="K708" s="1664">
        <v>42765</v>
      </c>
      <c r="L708" s="1665" t="s">
        <v>2296</v>
      </c>
      <c r="M708" s="1666">
        <v>4.8159E-2</v>
      </c>
      <c r="N708" s="1667">
        <v>1.2822324607028031</v>
      </c>
      <c r="O708" s="1667">
        <v>1.2839446870172941</v>
      </c>
    </row>
    <row r="709" spans="11:15">
      <c r="K709" s="1664">
        <v>42766</v>
      </c>
      <c r="L709" s="1665" t="s">
        <v>2296</v>
      </c>
      <c r="M709" s="1666">
        <v>4.8159E-2</v>
      </c>
      <c r="N709" s="1667">
        <v>1.2828499710335528</v>
      </c>
      <c r="O709" s="1667">
        <v>1.2846191560008311</v>
      </c>
    </row>
    <row r="710" spans="11:15">
      <c r="K710" s="1664">
        <v>42767</v>
      </c>
      <c r="L710" s="1665" t="s">
        <v>2296</v>
      </c>
      <c r="M710" s="1666">
        <v>4.8159E-2</v>
      </c>
      <c r="N710" s="1667">
        <v>1.2834677787511029</v>
      </c>
      <c r="O710" s="1667">
        <v>1.2852939792896698</v>
      </c>
    </row>
    <row r="711" spans="11:15">
      <c r="K711" s="1664">
        <v>42768</v>
      </c>
      <c r="L711" s="1665" t="s">
        <v>2296</v>
      </c>
      <c r="M711" s="1666">
        <v>4.8159E-2</v>
      </c>
      <c r="N711" s="1667">
        <v>1.2840858839986715</v>
      </c>
      <c r="O711" s="1667">
        <v>1.2859691570699305</v>
      </c>
    </row>
    <row r="712" spans="11:15">
      <c r="K712" s="1664">
        <v>42769</v>
      </c>
      <c r="L712" s="1665" t="s">
        <v>2296</v>
      </c>
      <c r="M712" s="1666">
        <v>4.8159E-2</v>
      </c>
      <c r="N712" s="1667">
        <v>1.2847042869195464</v>
      </c>
      <c r="O712" s="1667">
        <v>1.286644689527831</v>
      </c>
    </row>
    <row r="713" spans="11:15">
      <c r="K713" s="1664">
        <v>42770</v>
      </c>
      <c r="L713" s="1665"/>
      <c r="M713" s="1666">
        <v>0</v>
      </c>
      <c r="N713" s="1667">
        <v>1.2847042869195464</v>
      </c>
      <c r="O713" s="1667">
        <v>1.286644689527831</v>
      </c>
    </row>
    <row r="714" spans="11:15">
      <c r="K714" s="1664">
        <v>42771</v>
      </c>
      <c r="L714" s="1665"/>
      <c r="M714" s="1666">
        <v>0</v>
      </c>
      <c r="N714" s="1667">
        <v>1.2847042869195464</v>
      </c>
      <c r="O714" s="1667">
        <v>1.286644689527831</v>
      </c>
    </row>
    <row r="715" spans="11:15">
      <c r="K715" s="1664">
        <v>42772</v>
      </c>
      <c r="L715" s="1665" t="s">
        <v>2296</v>
      </c>
      <c r="M715" s="1666">
        <v>4.8159E-2</v>
      </c>
      <c r="N715" s="1667">
        <v>1.285322987657084</v>
      </c>
      <c r="O715" s="1667">
        <v>1.2873205768496869</v>
      </c>
    </row>
    <row r="716" spans="11:15">
      <c r="K716" s="1664">
        <v>42773</v>
      </c>
      <c r="L716" s="1665" t="s">
        <v>2296</v>
      </c>
      <c r="M716" s="1666">
        <v>4.8159E-2</v>
      </c>
      <c r="N716" s="1667">
        <v>1.2859419863547097</v>
      </c>
      <c r="O716" s="1667">
        <v>1.2879968192219118</v>
      </c>
    </row>
    <row r="717" spans="11:15">
      <c r="K717" s="1664">
        <v>42774</v>
      </c>
      <c r="L717" s="1665" t="s">
        <v>2296</v>
      </c>
      <c r="M717" s="1666">
        <v>4.8159E-2</v>
      </c>
      <c r="N717" s="1667">
        <v>1.2865612831559181</v>
      </c>
      <c r="O717" s="1667">
        <v>1.2886734168310172</v>
      </c>
    </row>
    <row r="718" spans="11:15">
      <c r="K718" s="1664">
        <v>42775</v>
      </c>
      <c r="L718" s="1665" t="s">
        <v>2296</v>
      </c>
      <c r="M718" s="1666">
        <v>4.8159E-2</v>
      </c>
      <c r="N718" s="1667">
        <v>1.2871808782042731</v>
      </c>
      <c r="O718" s="1667">
        <v>1.2893503698636126</v>
      </c>
    </row>
    <row r="719" spans="11:15">
      <c r="K719" s="1664">
        <v>42776</v>
      </c>
      <c r="L719" s="1665" t="s">
        <v>2296</v>
      </c>
      <c r="M719" s="1666">
        <v>4.8159E-2</v>
      </c>
      <c r="N719" s="1667">
        <v>1.2878007716434074</v>
      </c>
      <c r="O719" s="1667">
        <v>1.2900276785064058</v>
      </c>
    </row>
    <row r="720" spans="11:15">
      <c r="K720" s="1664">
        <v>42777</v>
      </c>
      <c r="L720" s="1665"/>
      <c r="M720" s="1666">
        <v>0</v>
      </c>
      <c r="N720" s="1667">
        <v>1.2878007716434074</v>
      </c>
      <c r="O720" s="1667">
        <v>1.2900276785064058</v>
      </c>
    </row>
    <row r="721" spans="11:15">
      <c r="K721" s="1664">
        <v>42778</v>
      </c>
      <c r="L721" s="1665"/>
      <c r="M721" s="1666">
        <v>0</v>
      </c>
      <c r="N721" s="1667">
        <v>1.2878007716434074</v>
      </c>
      <c r="O721" s="1667">
        <v>1.2900276785064058</v>
      </c>
    </row>
    <row r="722" spans="11:15">
      <c r="K722" s="1664">
        <v>42779</v>
      </c>
      <c r="L722" s="1665" t="s">
        <v>2296</v>
      </c>
      <c r="M722" s="1666">
        <v>4.8159E-2</v>
      </c>
      <c r="N722" s="1667">
        <v>1.2884209636170232</v>
      </c>
      <c r="O722" s="1667">
        <v>1.2907053429462019</v>
      </c>
    </row>
    <row r="723" spans="11:15">
      <c r="K723" s="1664">
        <v>42780</v>
      </c>
      <c r="L723" s="1665" t="s">
        <v>2296</v>
      </c>
      <c r="M723" s="1666">
        <v>4.8159E-2</v>
      </c>
      <c r="N723" s="1667">
        <v>1.2890414542688915</v>
      </c>
      <c r="O723" s="1667">
        <v>1.291383363369905</v>
      </c>
    </row>
    <row r="724" spans="11:15">
      <c r="K724" s="1664">
        <v>42781</v>
      </c>
      <c r="L724" s="1665" t="s">
        <v>2296</v>
      </c>
      <c r="M724" s="1666">
        <v>4.8159E-2</v>
      </c>
      <c r="N724" s="1667">
        <v>1.2896622437428527</v>
      </c>
      <c r="O724" s="1667">
        <v>1.2920617399645169</v>
      </c>
    </row>
    <row r="725" spans="11:15">
      <c r="K725" s="1664">
        <v>42782</v>
      </c>
      <c r="L725" s="1665" t="s">
        <v>2296</v>
      </c>
      <c r="M725" s="1666">
        <v>4.8159E-2</v>
      </c>
      <c r="N725" s="1667">
        <v>1.2902833321828167</v>
      </c>
      <c r="O725" s="1667">
        <v>1.2927404729171377</v>
      </c>
    </row>
    <row r="726" spans="11:15">
      <c r="K726" s="1664">
        <v>42783</v>
      </c>
      <c r="L726" s="1665" t="s">
        <v>2296</v>
      </c>
      <c r="M726" s="1666">
        <v>4.8159E-2</v>
      </c>
      <c r="N726" s="1667">
        <v>1.2909047197327626</v>
      </c>
      <c r="O726" s="1667">
        <v>1.2934195624149658</v>
      </c>
    </row>
    <row r="727" spans="11:15">
      <c r="K727" s="1664">
        <v>42784</v>
      </c>
      <c r="L727" s="1665"/>
      <c r="M727" s="1666">
        <v>0</v>
      </c>
      <c r="N727" s="1667">
        <v>1.2909047197327626</v>
      </c>
      <c r="O727" s="1667">
        <v>1.2934195624149658</v>
      </c>
    </row>
    <row r="728" spans="11:15">
      <c r="K728" s="1664">
        <v>42785</v>
      </c>
      <c r="L728" s="1665"/>
      <c r="M728" s="1666">
        <v>0</v>
      </c>
      <c r="N728" s="1667">
        <v>1.2909047197327626</v>
      </c>
      <c r="O728" s="1667">
        <v>1.2934195624149658</v>
      </c>
    </row>
    <row r="729" spans="11:15">
      <c r="K729" s="1664">
        <v>42786</v>
      </c>
      <c r="L729" s="1665" t="s">
        <v>2296</v>
      </c>
      <c r="M729" s="1666">
        <v>4.8159E-2</v>
      </c>
      <c r="N729" s="1667">
        <v>1.2915264065367384</v>
      </c>
      <c r="O729" s="1667">
        <v>1.2940990086452979</v>
      </c>
    </row>
    <row r="730" spans="11:15">
      <c r="K730" s="1664">
        <v>42787</v>
      </c>
      <c r="L730" s="1665" t="s">
        <v>2296</v>
      </c>
      <c r="M730" s="1666">
        <v>4.8159E-2</v>
      </c>
      <c r="N730" s="1667">
        <v>1.2921483927388624</v>
      </c>
      <c r="O730" s="1667">
        <v>1.2947788117955294</v>
      </c>
    </row>
    <row r="731" spans="11:15">
      <c r="K731" s="1664">
        <v>42788</v>
      </c>
      <c r="L731" s="1665" t="s">
        <v>2296</v>
      </c>
      <c r="M731" s="1666">
        <v>4.8159E-2</v>
      </c>
      <c r="N731" s="1667">
        <v>1.2927706784833215</v>
      </c>
      <c r="O731" s="1667">
        <v>1.2954589720531537</v>
      </c>
    </row>
    <row r="732" spans="11:15">
      <c r="K732" s="1664">
        <v>42789</v>
      </c>
      <c r="L732" s="1665" t="s">
        <v>2296</v>
      </c>
      <c r="M732" s="1666">
        <v>4.5512999999999998E-2</v>
      </c>
      <c r="N732" s="1667">
        <v>1.2933590572022196</v>
      </c>
      <c r="O732" s="1667">
        <v>1.296139489605763</v>
      </c>
    </row>
    <row r="733" spans="11:15">
      <c r="K733" s="1664">
        <v>42790</v>
      </c>
      <c r="L733" s="1665" t="s">
        <v>2296</v>
      </c>
      <c r="M733" s="1666">
        <v>4.5512999999999998E-2</v>
      </c>
      <c r="N733" s="1667">
        <v>1.2939477037099241</v>
      </c>
      <c r="O733" s="1667">
        <v>1.2968203646410479</v>
      </c>
    </row>
    <row r="734" spans="11:15">
      <c r="K734" s="1664">
        <v>42791</v>
      </c>
      <c r="L734" s="1665"/>
      <c r="M734" s="1666">
        <v>0</v>
      </c>
      <c r="N734" s="1667">
        <v>1.2939477037099241</v>
      </c>
      <c r="O734" s="1667">
        <v>1.2968203646410479</v>
      </c>
    </row>
    <row r="735" spans="11:15">
      <c r="K735" s="1664">
        <v>42792</v>
      </c>
      <c r="L735" s="1665"/>
      <c r="M735" s="1666">
        <v>0</v>
      </c>
      <c r="N735" s="1667">
        <v>1.2939477037099241</v>
      </c>
      <c r="O735" s="1667">
        <v>1.2968203646410479</v>
      </c>
    </row>
    <row r="736" spans="11:15">
      <c r="K736" s="1664">
        <v>42793</v>
      </c>
      <c r="L736" s="1665"/>
      <c r="M736" s="1666">
        <v>0</v>
      </c>
      <c r="N736" s="1667">
        <v>1.2939477037099241</v>
      </c>
      <c r="O736" s="1667">
        <v>1.2968203646410479</v>
      </c>
    </row>
    <row r="737" spans="11:15">
      <c r="K737" s="1664">
        <v>42794</v>
      </c>
      <c r="L737" s="1665"/>
      <c r="M737" s="1666">
        <v>0</v>
      </c>
      <c r="N737" s="1667">
        <v>1.2939477037099241</v>
      </c>
      <c r="O737" s="1667">
        <v>1.2968203646410479</v>
      </c>
    </row>
    <row r="738" spans="11:15">
      <c r="K738" s="1664">
        <v>42795</v>
      </c>
      <c r="L738" s="1665" t="s">
        <v>2296</v>
      </c>
      <c r="M738" s="1666">
        <v>4.5512999999999998E-2</v>
      </c>
      <c r="N738" s="1667">
        <v>1.2945366181283136</v>
      </c>
      <c r="O738" s="1667">
        <v>1.2975015973467974</v>
      </c>
    </row>
    <row r="739" spans="11:15">
      <c r="K739" s="1664">
        <v>42796</v>
      </c>
      <c r="L739" s="1665" t="s">
        <v>2296</v>
      </c>
      <c r="M739" s="1666">
        <v>4.5512999999999998E-2</v>
      </c>
      <c r="N739" s="1667">
        <v>1.2951258005793223</v>
      </c>
      <c r="O739" s="1667">
        <v>1.2981831879108996</v>
      </c>
    </row>
    <row r="740" spans="11:15">
      <c r="K740" s="1664">
        <v>42797</v>
      </c>
      <c r="L740" s="1665" t="s">
        <v>2296</v>
      </c>
      <c r="M740" s="1666">
        <v>4.5512999999999998E-2</v>
      </c>
      <c r="N740" s="1667">
        <v>1.2957152511849399</v>
      </c>
      <c r="O740" s="1667">
        <v>1.2988651365213411</v>
      </c>
    </row>
    <row r="741" spans="11:15">
      <c r="K741" s="1664">
        <v>42798</v>
      </c>
      <c r="L741" s="1665"/>
      <c r="M741" s="1666">
        <v>0</v>
      </c>
      <c r="N741" s="1667">
        <v>1.2957152511849399</v>
      </c>
      <c r="O741" s="1667">
        <v>1.2988651365213411</v>
      </c>
    </row>
    <row r="742" spans="11:15">
      <c r="K742" s="1664">
        <v>42799</v>
      </c>
      <c r="L742" s="1665"/>
      <c r="M742" s="1666">
        <v>0</v>
      </c>
      <c r="N742" s="1667">
        <v>1.2957152511849399</v>
      </c>
      <c r="O742" s="1667">
        <v>1.2988651365213411</v>
      </c>
    </row>
    <row r="743" spans="11:15">
      <c r="K743" s="1664">
        <v>42800</v>
      </c>
      <c r="L743" s="1665" t="s">
        <v>2296</v>
      </c>
      <c r="M743" s="1666">
        <v>4.5512999999999998E-2</v>
      </c>
      <c r="N743" s="1667">
        <v>1.2963049700672116</v>
      </c>
      <c r="O743" s="1667">
        <v>1.2995474433662071</v>
      </c>
    </row>
    <row r="744" spans="11:15">
      <c r="K744" s="1664">
        <v>42801</v>
      </c>
      <c r="L744" s="1665" t="s">
        <v>2296</v>
      </c>
      <c r="M744" s="1666">
        <v>4.5512999999999998E-2</v>
      </c>
      <c r="N744" s="1667">
        <v>1.2968949573482382</v>
      </c>
      <c r="O744" s="1667">
        <v>1.3002301086336818</v>
      </c>
    </row>
    <row r="745" spans="11:15">
      <c r="K745" s="1664">
        <v>42802</v>
      </c>
      <c r="L745" s="1665" t="s">
        <v>2296</v>
      </c>
      <c r="M745" s="1666">
        <v>4.5512999999999998E-2</v>
      </c>
      <c r="N745" s="1667">
        <v>1.2974852131501762</v>
      </c>
      <c r="O745" s="1667">
        <v>1.3009131325120482</v>
      </c>
    </row>
    <row r="746" spans="11:15">
      <c r="K746" s="1664">
        <v>42803</v>
      </c>
      <c r="L746" s="1665" t="s">
        <v>2296</v>
      </c>
      <c r="M746" s="1666">
        <v>4.5512999999999998E-2</v>
      </c>
      <c r="N746" s="1667">
        <v>1.2980757375952372</v>
      </c>
      <c r="O746" s="1667">
        <v>1.3015965151896882</v>
      </c>
    </row>
    <row r="747" spans="11:15">
      <c r="K747" s="1664">
        <v>42804</v>
      </c>
      <c r="L747" s="1665" t="s">
        <v>2296</v>
      </c>
      <c r="M747" s="1666">
        <v>4.5512999999999998E-2</v>
      </c>
      <c r="N747" s="1667">
        <v>1.2986665308056888</v>
      </c>
      <c r="O747" s="1667">
        <v>1.3022802568550824</v>
      </c>
    </row>
    <row r="748" spans="11:15">
      <c r="K748" s="1664">
        <v>42805</v>
      </c>
      <c r="L748" s="1665"/>
      <c r="M748" s="1666">
        <v>0</v>
      </c>
      <c r="N748" s="1667">
        <v>1.2986665308056888</v>
      </c>
      <c r="O748" s="1667">
        <v>1.3022802568550824</v>
      </c>
    </row>
    <row r="749" spans="11:15">
      <c r="K749" s="1664">
        <v>42806</v>
      </c>
      <c r="L749" s="1665"/>
      <c r="M749" s="1666">
        <v>0</v>
      </c>
      <c r="N749" s="1667">
        <v>1.2986665308056888</v>
      </c>
      <c r="O749" s="1667">
        <v>1.3022802568550824</v>
      </c>
    </row>
    <row r="750" spans="11:15">
      <c r="K750" s="1664">
        <v>42807</v>
      </c>
      <c r="L750" s="1665" t="s">
        <v>2296</v>
      </c>
      <c r="M750" s="1666">
        <v>4.5512999999999998E-2</v>
      </c>
      <c r="N750" s="1667">
        <v>1.2992575929038543</v>
      </c>
      <c r="O750" s="1667">
        <v>1.3029643576968111</v>
      </c>
    </row>
    <row r="751" spans="11:15">
      <c r="K751" s="1664">
        <v>42808</v>
      </c>
      <c r="L751" s="1665" t="s">
        <v>2296</v>
      </c>
      <c r="M751" s="1666">
        <v>4.5512999999999998E-2</v>
      </c>
      <c r="N751" s="1667">
        <v>1.2998489240121127</v>
      </c>
      <c r="O751" s="1667">
        <v>1.3036488179035528</v>
      </c>
    </row>
    <row r="752" spans="11:15">
      <c r="K752" s="1664">
        <v>42809</v>
      </c>
      <c r="L752" s="1665" t="s">
        <v>2296</v>
      </c>
      <c r="M752" s="1666">
        <v>4.5512999999999998E-2</v>
      </c>
      <c r="N752" s="1667">
        <v>1.3004405242528982</v>
      </c>
      <c r="O752" s="1667">
        <v>1.3043336376640857</v>
      </c>
    </row>
    <row r="753" spans="11:15">
      <c r="K753" s="1664">
        <v>42810</v>
      </c>
      <c r="L753" s="1665" t="s">
        <v>2296</v>
      </c>
      <c r="M753" s="1666">
        <v>4.5512999999999998E-2</v>
      </c>
      <c r="N753" s="1667">
        <v>1.3010323937487014</v>
      </c>
      <c r="O753" s="1667">
        <v>1.305018817167287</v>
      </c>
    </row>
    <row r="754" spans="11:15">
      <c r="K754" s="1664">
        <v>42811</v>
      </c>
      <c r="L754" s="1665" t="s">
        <v>2296</v>
      </c>
      <c r="M754" s="1666">
        <v>4.5512999999999998E-2</v>
      </c>
      <c r="N754" s="1667">
        <v>1.3016245326220681</v>
      </c>
      <c r="O754" s="1667">
        <v>1.3057043566021331</v>
      </c>
    </row>
    <row r="755" spans="11:15">
      <c r="K755" s="1664">
        <v>42812</v>
      </c>
      <c r="L755" s="1665"/>
      <c r="M755" s="1666">
        <v>0</v>
      </c>
      <c r="N755" s="1667">
        <v>1.3016245326220681</v>
      </c>
      <c r="O755" s="1667">
        <v>1.3057043566021331</v>
      </c>
    </row>
    <row r="756" spans="11:15">
      <c r="K756" s="1664">
        <v>42813</v>
      </c>
      <c r="L756" s="1665"/>
      <c r="M756" s="1666">
        <v>0</v>
      </c>
      <c r="N756" s="1667">
        <v>1.3016245326220681</v>
      </c>
      <c r="O756" s="1667">
        <v>1.3057043566021331</v>
      </c>
    </row>
    <row r="757" spans="11:15">
      <c r="K757" s="1664">
        <v>42814</v>
      </c>
      <c r="L757" s="1665" t="s">
        <v>2296</v>
      </c>
      <c r="M757" s="1666">
        <v>4.5512999999999998E-2</v>
      </c>
      <c r="N757" s="1667">
        <v>1.3022169409956004</v>
      </c>
      <c r="O757" s="1667">
        <v>1.3063902561576999</v>
      </c>
    </row>
    <row r="758" spans="11:15">
      <c r="K758" s="1664">
        <v>42815</v>
      </c>
      <c r="L758" s="1665" t="s">
        <v>2296</v>
      </c>
      <c r="M758" s="1666">
        <v>4.5512999999999998E-2</v>
      </c>
      <c r="N758" s="1667">
        <v>1.3028096189919556</v>
      </c>
      <c r="O758" s="1667">
        <v>1.3070765160231621</v>
      </c>
    </row>
    <row r="759" spans="11:15">
      <c r="K759" s="1664">
        <v>42816</v>
      </c>
      <c r="L759" s="1665" t="s">
        <v>2296</v>
      </c>
      <c r="M759" s="1666">
        <v>4.5512999999999998E-2</v>
      </c>
      <c r="N759" s="1667">
        <v>1.3034025667338474</v>
      </c>
      <c r="O759" s="1667">
        <v>1.3077631363877942</v>
      </c>
    </row>
    <row r="760" spans="11:15">
      <c r="K760" s="1664">
        <v>42817</v>
      </c>
      <c r="L760" s="1665" t="s">
        <v>2296</v>
      </c>
      <c r="M760" s="1666">
        <v>4.5512999999999998E-2</v>
      </c>
      <c r="N760" s="1667">
        <v>1.3039957843440448</v>
      </c>
      <c r="O760" s="1667">
        <v>1.30845011744097</v>
      </c>
    </row>
    <row r="761" spans="11:15">
      <c r="K761" s="1664">
        <v>42818</v>
      </c>
      <c r="L761" s="1665" t="s">
        <v>2296</v>
      </c>
      <c r="M761" s="1666">
        <v>4.5512999999999998E-2</v>
      </c>
      <c r="N761" s="1667">
        <v>1.3045892719453733</v>
      </c>
      <c r="O761" s="1667">
        <v>1.309137459372163</v>
      </c>
    </row>
    <row r="762" spans="11:15">
      <c r="K762" s="1664">
        <v>42819</v>
      </c>
      <c r="L762" s="1665"/>
      <c r="M762" s="1666">
        <v>0</v>
      </c>
      <c r="N762" s="1667">
        <v>1.3045892719453733</v>
      </c>
      <c r="O762" s="1667">
        <v>1.309137459372163</v>
      </c>
    </row>
    <row r="763" spans="11:15">
      <c r="K763" s="1664">
        <v>42820</v>
      </c>
      <c r="L763" s="1665"/>
      <c r="M763" s="1666">
        <v>0</v>
      </c>
      <c r="N763" s="1667">
        <v>1.3045892719453733</v>
      </c>
      <c r="O763" s="1667">
        <v>1.309137459372163</v>
      </c>
    </row>
    <row r="764" spans="11:15">
      <c r="K764" s="1664">
        <v>42821</v>
      </c>
      <c r="L764" s="1665" t="s">
        <v>2296</v>
      </c>
      <c r="M764" s="1666">
        <v>4.5512999999999998E-2</v>
      </c>
      <c r="N764" s="1667">
        <v>1.3051830296607139</v>
      </c>
      <c r="O764" s="1667">
        <v>1.3098251623709458</v>
      </c>
    </row>
    <row r="765" spans="11:15">
      <c r="K765" s="1664">
        <v>42822</v>
      </c>
      <c r="L765" s="1665" t="s">
        <v>2296</v>
      </c>
      <c r="M765" s="1666">
        <v>4.5512999999999998E-2</v>
      </c>
      <c r="N765" s="1667">
        <v>1.3057770576130032</v>
      </c>
      <c r="O765" s="1667">
        <v>1.310513226626991</v>
      </c>
    </row>
    <row r="766" spans="11:15">
      <c r="K766" s="1664">
        <v>42823</v>
      </c>
      <c r="L766" s="1665" t="s">
        <v>2296</v>
      </c>
      <c r="M766" s="1666">
        <v>4.5512999999999998E-2</v>
      </c>
      <c r="N766" s="1667">
        <v>1.3063713559252346</v>
      </c>
      <c r="O766" s="1667">
        <v>1.3112016523300705</v>
      </c>
    </row>
    <row r="767" spans="11:15">
      <c r="K767" s="1664">
        <v>42824</v>
      </c>
      <c r="L767" s="1665" t="s">
        <v>2296</v>
      </c>
      <c r="M767" s="1666">
        <v>4.5512999999999998E-2</v>
      </c>
      <c r="N767" s="1667">
        <v>1.3069659247204568</v>
      </c>
      <c r="O767" s="1667">
        <v>1.3118904396700559</v>
      </c>
    </row>
    <row r="768" spans="11:15">
      <c r="K768" s="1664">
        <v>42825</v>
      </c>
      <c r="L768" s="1665" t="s">
        <v>2296</v>
      </c>
      <c r="M768" s="1666">
        <v>4.5512999999999998E-2</v>
      </c>
      <c r="N768" s="1667">
        <v>1.3075607641217748</v>
      </c>
      <c r="O768" s="1667">
        <v>1.3125795888369189</v>
      </c>
    </row>
    <row r="769" spans="11:15">
      <c r="K769" s="1664">
        <v>42826</v>
      </c>
      <c r="L769" s="1665"/>
      <c r="M769" s="1666">
        <v>0</v>
      </c>
      <c r="N769" s="1667">
        <v>1.3075607641217748</v>
      </c>
      <c r="O769" s="1667">
        <v>1.3125795888369189</v>
      </c>
    </row>
    <row r="770" spans="11:15">
      <c r="K770" s="1664">
        <v>42827</v>
      </c>
      <c r="L770" s="1665"/>
      <c r="M770" s="1666">
        <v>0</v>
      </c>
      <c r="N770" s="1667">
        <v>1.3075607641217748</v>
      </c>
      <c r="O770" s="1667">
        <v>1.3125795888369189</v>
      </c>
    </row>
    <row r="771" spans="11:15">
      <c r="K771" s="1664">
        <v>42828</v>
      </c>
      <c r="L771" s="1665" t="s">
        <v>2296</v>
      </c>
      <c r="M771" s="1666">
        <v>4.5512999999999998E-2</v>
      </c>
      <c r="N771" s="1667">
        <v>1.3081558742523496</v>
      </c>
      <c r="O771" s="1667">
        <v>1.3132691000207308</v>
      </c>
    </row>
    <row r="772" spans="11:15">
      <c r="K772" s="1664">
        <v>42829</v>
      </c>
      <c r="L772" s="1665" t="s">
        <v>2296</v>
      </c>
      <c r="M772" s="1666">
        <v>4.5512999999999998E-2</v>
      </c>
      <c r="N772" s="1667">
        <v>1.3087512552353979</v>
      </c>
      <c r="O772" s="1667">
        <v>1.3139589734116628</v>
      </c>
    </row>
    <row r="773" spans="11:15">
      <c r="K773" s="1664">
        <v>42830</v>
      </c>
      <c r="L773" s="1665" t="s">
        <v>2296</v>
      </c>
      <c r="M773" s="1666">
        <v>4.5512999999999998E-2</v>
      </c>
      <c r="N773" s="1667">
        <v>1.3093469071941932</v>
      </c>
      <c r="O773" s="1667">
        <v>1.3146492091999857</v>
      </c>
    </row>
    <row r="774" spans="11:15">
      <c r="K774" s="1664">
        <v>42831</v>
      </c>
      <c r="L774" s="1665" t="s">
        <v>2296</v>
      </c>
      <c r="M774" s="1666">
        <v>4.5512999999999998E-2</v>
      </c>
      <c r="N774" s="1667">
        <v>1.3099428302520644</v>
      </c>
      <c r="O774" s="1667">
        <v>1.3153398075760705</v>
      </c>
    </row>
    <row r="775" spans="11:15">
      <c r="K775" s="1664">
        <v>42832</v>
      </c>
      <c r="L775" s="1665" t="s">
        <v>2296</v>
      </c>
      <c r="M775" s="1666">
        <v>4.5512999999999998E-2</v>
      </c>
      <c r="N775" s="1667">
        <v>1.3105390245323969</v>
      </c>
      <c r="O775" s="1667">
        <v>1.3160307687303883</v>
      </c>
    </row>
    <row r="776" spans="11:15">
      <c r="K776" s="1664">
        <v>42833</v>
      </c>
      <c r="L776" s="1665"/>
      <c r="M776" s="1666">
        <v>0</v>
      </c>
      <c r="N776" s="1667">
        <v>1.3105390245323969</v>
      </c>
      <c r="O776" s="1667">
        <v>1.3160307687303883</v>
      </c>
    </row>
    <row r="777" spans="11:15">
      <c r="K777" s="1664">
        <v>42834</v>
      </c>
      <c r="L777" s="1665"/>
      <c r="M777" s="1666">
        <v>0</v>
      </c>
      <c r="N777" s="1667">
        <v>1.3105390245323969</v>
      </c>
      <c r="O777" s="1667">
        <v>1.3160307687303883</v>
      </c>
    </row>
    <row r="778" spans="11:15">
      <c r="K778" s="1664">
        <v>42835</v>
      </c>
      <c r="L778" s="1665" t="s">
        <v>2296</v>
      </c>
      <c r="M778" s="1666">
        <v>4.5512999999999998E-2</v>
      </c>
      <c r="N778" s="1667">
        <v>1.3111354901586323</v>
      </c>
      <c r="O778" s="1667">
        <v>1.3167220928535099</v>
      </c>
    </row>
    <row r="779" spans="11:15">
      <c r="K779" s="1664">
        <v>42836</v>
      </c>
      <c r="L779" s="1665" t="s">
        <v>2296</v>
      </c>
      <c r="M779" s="1666">
        <v>4.5512999999999998E-2</v>
      </c>
      <c r="N779" s="1667">
        <v>1.3117322272542682</v>
      </c>
      <c r="O779" s="1667">
        <v>1.3174137801361068</v>
      </c>
    </row>
    <row r="780" spans="11:15">
      <c r="K780" s="1664">
        <v>42837</v>
      </c>
      <c r="L780" s="1665" t="s">
        <v>2296</v>
      </c>
      <c r="M780" s="1666">
        <v>4.5512999999999998E-2</v>
      </c>
      <c r="N780" s="1667">
        <v>1.3123292359428584</v>
      </c>
      <c r="O780" s="1667">
        <v>1.3181058307689502</v>
      </c>
    </row>
    <row r="781" spans="11:15">
      <c r="K781" s="1664">
        <v>42838</v>
      </c>
      <c r="L781" s="1665" t="s">
        <v>2296</v>
      </c>
      <c r="M781" s="1666">
        <v>4.1957000000000001E-2</v>
      </c>
      <c r="N781" s="1667">
        <v>1.3128798499203831</v>
      </c>
      <c r="O781" s="1667">
        <v>1.3187982449429114</v>
      </c>
    </row>
    <row r="782" spans="11:15">
      <c r="K782" s="1664">
        <v>42839</v>
      </c>
      <c r="L782" s="1665"/>
      <c r="M782" s="1666">
        <v>0</v>
      </c>
      <c r="N782" s="1667">
        <v>1.3128798499203831</v>
      </c>
      <c r="O782" s="1667">
        <v>1.3187982449429114</v>
      </c>
    </row>
    <row r="783" spans="11:15">
      <c r="K783" s="1664">
        <v>42840</v>
      </c>
      <c r="L783" s="1665"/>
      <c r="M783" s="1666">
        <v>0</v>
      </c>
      <c r="N783" s="1667">
        <v>1.3128798499203831</v>
      </c>
      <c r="O783" s="1667">
        <v>1.3187982449429114</v>
      </c>
    </row>
    <row r="784" spans="11:15">
      <c r="K784" s="1664">
        <v>42841</v>
      </c>
      <c r="L784" s="1665"/>
      <c r="M784" s="1666">
        <v>0</v>
      </c>
      <c r="N784" s="1667">
        <v>1.3128798499203831</v>
      </c>
      <c r="O784" s="1667">
        <v>1.3187982449429114</v>
      </c>
    </row>
    <row r="785" spans="11:15">
      <c r="K785" s="1664">
        <v>42842</v>
      </c>
      <c r="L785" s="1665" t="s">
        <v>2296</v>
      </c>
      <c r="M785" s="1666">
        <v>4.1957000000000001E-2</v>
      </c>
      <c r="N785" s="1667">
        <v>1.3134306949190142</v>
      </c>
      <c r="O785" s="1667">
        <v>1.3194910228489625</v>
      </c>
    </row>
    <row r="786" spans="11:15">
      <c r="K786" s="1664">
        <v>42843</v>
      </c>
      <c r="L786" s="1665" t="s">
        <v>2296</v>
      </c>
      <c r="M786" s="1666">
        <v>4.1957000000000001E-2</v>
      </c>
      <c r="N786" s="1667">
        <v>1.3139817710356814</v>
      </c>
      <c r="O786" s="1667">
        <v>1.3201841646781753</v>
      </c>
    </row>
    <row r="787" spans="11:15">
      <c r="K787" s="1664">
        <v>42844</v>
      </c>
      <c r="L787" s="1665" t="s">
        <v>2296</v>
      </c>
      <c r="M787" s="1666">
        <v>4.1957000000000001E-2</v>
      </c>
      <c r="N787" s="1667">
        <v>1.3145330783673548</v>
      </c>
      <c r="O787" s="1667">
        <v>1.3208776706217225</v>
      </c>
    </row>
    <row r="788" spans="11:15">
      <c r="K788" s="1664">
        <v>42845</v>
      </c>
      <c r="L788" s="1665" t="s">
        <v>2296</v>
      </c>
      <c r="M788" s="1666">
        <v>4.1957000000000001E-2</v>
      </c>
      <c r="N788" s="1667">
        <v>1.3150846170110455</v>
      </c>
      <c r="O788" s="1667">
        <v>1.3215715408708768</v>
      </c>
    </row>
    <row r="789" spans="11:15">
      <c r="K789" s="1664">
        <v>42846</v>
      </c>
      <c r="L789" s="1665"/>
      <c r="M789" s="1666">
        <v>0</v>
      </c>
      <c r="N789" s="1667">
        <v>1.3150846170110455</v>
      </c>
      <c r="O789" s="1667">
        <v>1.3215715408708768</v>
      </c>
    </row>
    <row r="790" spans="11:15">
      <c r="K790" s="1664">
        <v>42847</v>
      </c>
      <c r="L790" s="1665"/>
      <c r="M790" s="1666">
        <v>0</v>
      </c>
      <c r="N790" s="1667">
        <v>1.3150846170110455</v>
      </c>
      <c r="O790" s="1667">
        <v>1.3215715408708768</v>
      </c>
    </row>
    <row r="791" spans="11:15">
      <c r="K791" s="1664">
        <v>42848</v>
      </c>
      <c r="L791" s="1665"/>
      <c r="M791" s="1666">
        <v>0</v>
      </c>
      <c r="N791" s="1667">
        <v>1.3150846170110455</v>
      </c>
      <c r="O791" s="1667">
        <v>1.3215715408708768</v>
      </c>
    </row>
    <row r="792" spans="11:15">
      <c r="K792" s="1664">
        <v>42849</v>
      </c>
      <c r="L792" s="1665" t="s">
        <v>2296</v>
      </c>
      <c r="M792" s="1666">
        <v>4.1957000000000001E-2</v>
      </c>
      <c r="N792" s="1667">
        <v>1.3156363870638048</v>
      </c>
      <c r="O792" s="1667">
        <v>1.3222657756170118</v>
      </c>
    </row>
    <row r="793" spans="11:15">
      <c r="K793" s="1664">
        <v>42850</v>
      </c>
      <c r="L793" s="1665" t="s">
        <v>2296</v>
      </c>
      <c r="M793" s="1666">
        <v>4.1957000000000001E-2</v>
      </c>
      <c r="N793" s="1667">
        <v>1.3161883886227252</v>
      </c>
      <c r="O793" s="1667">
        <v>1.322960375051601</v>
      </c>
    </row>
    <row r="794" spans="11:15">
      <c r="K794" s="1664">
        <v>42851</v>
      </c>
      <c r="L794" s="1665" t="s">
        <v>2296</v>
      </c>
      <c r="M794" s="1666">
        <v>4.1957000000000001E-2</v>
      </c>
      <c r="N794" s="1667">
        <v>1.3167406217849398</v>
      </c>
      <c r="O794" s="1667">
        <v>1.3236553393662194</v>
      </c>
    </row>
    <row r="795" spans="11:15">
      <c r="K795" s="1664">
        <v>42852</v>
      </c>
      <c r="L795" s="1665" t="s">
        <v>2296</v>
      </c>
      <c r="M795" s="1666">
        <v>4.1957000000000001E-2</v>
      </c>
      <c r="N795" s="1667">
        <v>1.3172930866476222</v>
      </c>
      <c r="O795" s="1667">
        <v>1.3243506687525419</v>
      </c>
    </row>
    <row r="796" spans="11:15">
      <c r="K796" s="1664">
        <v>42853</v>
      </c>
      <c r="L796" s="1665" t="s">
        <v>2296</v>
      </c>
      <c r="M796" s="1666">
        <v>4.1957000000000001E-2</v>
      </c>
      <c r="N796" s="1667">
        <v>1.3178457833079871</v>
      </c>
      <c r="O796" s="1667">
        <v>1.3250463634023444</v>
      </c>
    </row>
    <row r="797" spans="11:15">
      <c r="K797" s="1664">
        <v>42854</v>
      </c>
      <c r="L797" s="1665"/>
      <c r="M797" s="1666">
        <v>0</v>
      </c>
      <c r="N797" s="1667">
        <v>1.3178457833079871</v>
      </c>
      <c r="O797" s="1667">
        <v>1.3250463634023444</v>
      </c>
    </row>
    <row r="798" spans="11:15">
      <c r="K798" s="1664">
        <v>42855</v>
      </c>
      <c r="L798" s="1665"/>
      <c r="M798" s="1666">
        <v>0</v>
      </c>
      <c r="N798" s="1667">
        <v>1.3178457833079871</v>
      </c>
      <c r="O798" s="1667">
        <v>1.3250463634023444</v>
      </c>
    </row>
    <row r="799" spans="11:15">
      <c r="K799" s="1664">
        <v>42856</v>
      </c>
      <c r="L799" s="1665"/>
      <c r="M799" s="1666">
        <v>0</v>
      </c>
      <c r="N799" s="1667">
        <v>1.3178457833079871</v>
      </c>
      <c r="O799" s="1667">
        <v>1.3250463634023444</v>
      </c>
    </row>
    <row r="800" spans="11:15">
      <c r="K800" s="1664">
        <v>42857</v>
      </c>
      <c r="L800" s="1665" t="s">
        <v>2296</v>
      </c>
      <c r="M800" s="1666">
        <v>4.1957000000000001E-2</v>
      </c>
      <c r="N800" s="1667">
        <v>1.3183987118632896</v>
      </c>
      <c r="O800" s="1667">
        <v>1.3257424235075033</v>
      </c>
    </row>
    <row r="801" spans="11:15">
      <c r="K801" s="1664">
        <v>42858</v>
      </c>
      <c r="L801" s="1665" t="s">
        <v>2296</v>
      </c>
      <c r="M801" s="1666">
        <v>4.1957000000000001E-2</v>
      </c>
      <c r="N801" s="1667">
        <v>1.3189518724108262</v>
      </c>
      <c r="O801" s="1667">
        <v>1.3264388492599959</v>
      </c>
    </row>
    <row r="802" spans="11:15">
      <c r="K802" s="1664">
        <v>42859</v>
      </c>
      <c r="L802" s="1665" t="s">
        <v>2296</v>
      </c>
      <c r="M802" s="1666">
        <v>4.1957000000000001E-2</v>
      </c>
      <c r="N802" s="1667">
        <v>1.3195052650479338</v>
      </c>
      <c r="O802" s="1667">
        <v>1.3271356408519006</v>
      </c>
    </row>
    <row r="803" spans="11:15">
      <c r="K803" s="1664">
        <v>42860</v>
      </c>
      <c r="L803" s="1665" t="s">
        <v>2296</v>
      </c>
      <c r="M803" s="1666">
        <v>4.1957000000000001E-2</v>
      </c>
      <c r="N803" s="1667">
        <v>1.32005888987199</v>
      </c>
      <c r="O803" s="1667">
        <v>1.3278327984753966</v>
      </c>
    </row>
    <row r="804" spans="11:15">
      <c r="K804" s="1664">
        <v>42861</v>
      </c>
      <c r="L804" s="1665"/>
      <c r="M804" s="1666">
        <v>0</v>
      </c>
      <c r="N804" s="1667">
        <v>1.32005888987199</v>
      </c>
      <c r="O804" s="1667">
        <v>1.3278327984753966</v>
      </c>
    </row>
    <row r="805" spans="11:15">
      <c r="K805" s="1664">
        <v>42862</v>
      </c>
      <c r="L805" s="1665"/>
      <c r="M805" s="1666">
        <v>0</v>
      </c>
      <c r="N805" s="1667">
        <v>1.32005888987199</v>
      </c>
      <c r="O805" s="1667">
        <v>1.3278327984753966</v>
      </c>
    </row>
    <row r="806" spans="11:15">
      <c r="K806" s="1664">
        <v>42863</v>
      </c>
      <c r="L806" s="1665" t="s">
        <v>2296</v>
      </c>
      <c r="M806" s="1666">
        <v>4.1957000000000001E-2</v>
      </c>
      <c r="N806" s="1667">
        <v>1.3206127469804136</v>
      </c>
      <c r="O806" s="1667">
        <v>1.3285303223227638</v>
      </c>
    </row>
    <row r="807" spans="11:15">
      <c r="K807" s="1664">
        <v>42864</v>
      </c>
      <c r="L807" s="1665" t="s">
        <v>2296</v>
      </c>
      <c r="M807" s="1666">
        <v>4.1957000000000001E-2</v>
      </c>
      <c r="N807" s="1667">
        <v>1.3211668364706644</v>
      </c>
      <c r="O807" s="1667">
        <v>1.3292282125863832</v>
      </c>
    </row>
    <row r="808" spans="11:15">
      <c r="K808" s="1664">
        <v>42865</v>
      </c>
      <c r="L808" s="1665" t="s">
        <v>2296</v>
      </c>
      <c r="M808" s="1666">
        <v>4.1957000000000001E-2</v>
      </c>
      <c r="N808" s="1667">
        <v>1.3217211584402424</v>
      </c>
      <c r="O808" s="1667">
        <v>1.3299264694587369</v>
      </c>
    </row>
    <row r="809" spans="11:15">
      <c r="K809" s="1664">
        <v>42866</v>
      </c>
      <c r="L809" s="1665" t="s">
        <v>2296</v>
      </c>
      <c r="M809" s="1666">
        <v>4.1957000000000001E-2</v>
      </c>
      <c r="N809" s="1667">
        <v>1.3222757129866893</v>
      </c>
      <c r="O809" s="1667">
        <v>1.3306250931324084</v>
      </c>
    </row>
    <row r="810" spans="11:15">
      <c r="K810" s="1664">
        <v>42867</v>
      </c>
      <c r="L810" s="1665" t="s">
        <v>2296</v>
      </c>
      <c r="M810" s="1666">
        <v>4.1957000000000001E-2</v>
      </c>
      <c r="N810" s="1667">
        <v>1.3228305002075873</v>
      </c>
      <c r="O810" s="1667">
        <v>1.3313240838000817</v>
      </c>
    </row>
    <row r="811" spans="11:15">
      <c r="K811" s="1664">
        <v>42868</v>
      </c>
      <c r="L811" s="1665"/>
      <c r="M811" s="1666">
        <v>0</v>
      </c>
      <c r="N811" s="1667">
        <v>1.3228305002075873</v>
      </c>
      <c r="O811" s="1667">
        <v>1.3313240838000817</v>
      </c>
    </row>
    <row r="812" spans="11:15">
      <c r="K812" s="1664">
        <v>42869</v>
      </c>
      <c r="L812" s="1665"/>
      <c r="M812" s="1666">
        <v>0</v>
      </c>
      <c r="N812" s="1667">
        <v>1.3228305002075873</v>
      </c>
      <c r="O812" s="1667">
        <v>1.3313240838000817</v>
      </c>
    </row>
    <row r="813" spans="11:15">
      <c r="K813" s="1664">
        <v>42870</v>
      </c>
      <c r="L813" s="1665" t="s">
        <v>2296</v>
      </c>
      <c r="M813" s="1666">
        <v>4.1957000000000001E-2</v>
      </c>
      <c r="N813" s="1667">
        <v>1.3233855202005596</v>
      </c>
      <c r="O813" s="1667">
        <v>1.3320234416545427</v>
      </c>
    </row>
    <row r="814" spans="11:15">
      <c r="K814" s="1664">
        <v>42871</v>
      </c>
      <c r="L814" s="1665" t="s">
        <v>2296</v>
      </c>
      <c r="M814" s="1666">
        <v>4.1957000000000001E-2</v>
      </c>
      <c r="N814" s="1667">
        <v>1.3239407730632702</v>
      </c>
      <c r="O814" s="1667">
        <v>1.3327231668886783</v>
      </c>
    </row>
    <row r="815" spans="11:15">
      <c r="K815" s="1664">
        <v>42872</v>
      </c>
      <c r="L815" s="1665" t="s">
        <v>2296</v>
      </c>
      <c r="M815" s="1666">
        <v>4.1957000000000001E-2</v>
      </c>
      <c r="N815" s="1667">
        <v>1.3244962588934244</v>
      </c>
      <c r="O815" s="1667">
        <v>1.3334232596954767</v>
      </c>
    </row>
    <row r="816" spans="11:15">
      <c r="K816" s="1664">
        <v>42873</v>
      </c>
      <c r="L816" s="1665" t="s">
        <v>2296</v>
      </c>
      <c r="M816" s="1666">
        <v>4.1957000000000001E-2</v>
      </c>
      <c r="N816" s="1667">
        <v>1.3250519777887684</v>
      </c>
      <c r="O816" s="1667">
        <v>1.3341237202680274</v>
      </c>
    </row>
    <row r="817" spans="11:15">
      <c r="K817" s="1664">
        <v>42874</v>
      </c>
      <c r="L817" s="1665" t="s">
        <v>2296</v>
      </c>
      <c r="M817" s="1666">
        <v>4.1957000000000001E-2</v>
      </c>
      <c r="N817" s="1667">
        <v>1.3256079298470893</v>
      </c>
      <c r="O817" s="1667">
        <v>1.3348245487995214</v>
      </c>
    </row>
    <row r="818" spans="11:15">
      <c r="K818" s="1664">
        <v>42875</v>
      </c>
      <c r="L818" s="1665"/>
      <c r="M818" s="1666">
        <v>0</v>
      </c>
      <c r="N818" s="1667">
        <v>1.3256079298470893</v>
      </c>
      <c r="O818" s="1667">
        <v>1.3348245487995214</v>
      </c>
    </row>
    <row r="819" spans="11:15">
      <c r="K819" s="1664">
        <v>42876</v>
      </c>
      <c r="L819" s="1665"/>
      <c r="M819" s="1666">
        <v>0</v>
      </c>
      <c r="N819" s="1667">
        <v>1.3256079298470893</v>
      </c>
      <c r="O819" s="1667">
        <v>1.3348245487995214</v>
      </c>
    </row>
    <row r="820" spans="11:15">
      <c r="K820" s="1664">
        <v>42877</v>
      </c>
      <c r="L820" s="1665" t="s">
        <v>2296</v>
      </c>
      <c r="M820" s="1666">
        <v>4.1957000000000001E-2</v>
      </c>
      <c r="N820" s="1667">
        <v>1.3261641151662154</v>
      </c>
      <c r="O820" s="1667">
        <v>1.3355257454832512</v>
      </c>
    </row>
    <row r="821" spans="11:15">
      <c r="K821" s="1664">
        <v>42878</v>
      </c>
      <c r="L821" s="1665" t="s">
        <v>2296</v>
      </c>
      <c r="M821" s="1666">
        <v>4.1957000000000001E-2</v>
      </c>
      <c r="N821" s="1667">
        <v>1.3267205338440158</v>
      </c>
      <c r="O821" s="1667">
        <v>1.336227310512611</v>
      </c>
    </row>
    <row r="822" spans="11:15">
      <c r="K822" s="1664">
        <v>42879</v>
      </c>
      <c r="L822" s="1665" t="s">
        <v>2296</v>
      </c>
      <c r="M822" s="1666">
        <v>4.1957000000000001E-2</v>
      </c>
      <c r="N822" s="1667">
        <v>1.3272771859784007</v>
      </c>
      <c r="O822" s="1667">
        <v>1.3369292440810965</v>
      </c>
    </row>
    <row r="823" spans="11:15">
      <c r="K823" s="1664">
        <v>42880</v>
      </c>
      <c r="L823" s="1665" t="s">
        <v>2296</v>
      </c>
      <c r="M823" s="1666">
        <v>4.1957000000000001E-2</v>
      </c>
      <c r="N823" s="1667">
        <v>1.3278340716673218</v>
      </c>
      <c r="O823" s="1667">
        <v>1.3376315463823047</v>
      </c>
    </row>
    <row r="824" spans="11:15">
      <c r="K824" s="1664">
        <v>42881</v>
      </c>
      <c r="L824" s="1665" t="s">
        <v>2296</v>
      </c>
      <c r="M824" s="1666">
        <v>4.1957000000000001E-2</v>
      </c>
      <c r="N824" s="1667">
        <v>1.3283911910087713</v>
      </c>
      <c r="O824" s="1667">
        <v>1.3383342176099349</v>
      </c>
    </row>
    <row r="825" spans="11:15">
      <c r="K825" s="1664">
        <v>42882</v>
      </c>
      <c r="L825" s="1665"/>
      <c r="M825" s="1666">
        <v>0</v>
      </c>
      <c r="N825" s="1667">
        <v>1.3283911910087713</v>
      </c>
      <c r="O825" s="1667">
        <v>1.3383342176099349</v>
      </c>
    </row>
    <row r="826" spans="11:15">
      <c r="K826" s="1664">
        <v>42883</v>
      </c>
      <c r="L826" s="1665"/>
      <c r="M826" s="1666">
        <v>0</v>
      </c>
      <c r="N826" s="1667">
        <v>1.3283911910087713</v>
      </c>
      <c r="O826" s="1667">
        <v>1.3383342176099349</v>
      </c>
    </row>
    <row r="827" spans="11:15">
      <c r="K827" s="1664">
        <v>42884</v>
      </c>
      <c r="L827" s="1665" t="s">
        <v>2296</v>
      </c>
      <c r="M827" s="1666">
        <v>4.1957000000000001E-2</v>
      </c>
      <c r="N827" s="1667">
        <v>1.3289485441007829</v>
      </c>
      <c r="O827" s="1667">
        <v>1.3390372579577876</v>
      </c>
    </row>
    <row r="828" spans="11:15">
      <c r="K828" s="1664">
        <v>42885</v>
      </c>
      <c r="L828" s="1665" t="s">
        <v>2296</v>
      </c>
      <c r="M828" s="1666">
        <v>4.1957000000000001E-2</v>
      </c>
      <c r="N828" s="1667">
        <v>1.3295061310414313</v>
      </c>
      <c r="O828" s="1667">
        <v>1.3397406676197654</v>
      </c>
    </row>
    <row r="829" spans="11:15">
      <c r="K829" s="1664">
        <v>42886</v>
      </c>
      <c r="L829" s="1665" t="s">
        <v>2296</v>
      </c>
      <c r="M829" s="1666">
        <v>4.1957000000000001E-2</v>
      </c>
      <c r="N829" s="1667">
        <v>1.3300639519288324</v>
      </c>
      <c r="O829" s="1667">
        <v>1.3404444467898728</v>
      </c>
    </row>
    <row r="830" spans="11:15">
      <c r="K830" s="1664">
        <v>42887</v>
      </c>
      <c r="L830" s="1665" t="s">
        <v>2296</v>
      </c>
      <c r="M830" s="1666">
        <v>3.8370000000000001E-2</v>
      </c>
      <c r="N830" s="1667">
        <v>1.3305742974671875</v>
      </c>
      <c r="O830" s="1667">
        <v>1.341148595662216</v>
      </c>
    </row>
    <row r="831" spans="11:15">
      <c r="K831" s="1664">
        <v>42888</v>
      </c>
      <c r="L831" s="1665" t="s">
        <v>2296</v>
      </c>
      <c r="M831" s="1666">
        <v>3.8370000000000001E-2</v>
      </c>
      <c r="N831" s="1667">
        <v>1.3310848388251255</v>
      </c>
      <c r="O831" s="1667">
        <v>1.3418531144310033</v>
      </c>
    </row>
    <row r="832" spans="11:15">
      <c r="K832" s="1664">
        <v>42889</v>
      </c>
      <c r="L832" s="1665"/>
      <c r="M832" s="1666">
        <v>0</v>
      </c>
      <c r="N832" s="1667">
        <v>1.3310848388251255</v>
      </c>
      <c r="O832" s="1667">
        <v>1.3418531144310033</v>
      </c>
    </row>
    <row r="833" spans="11:15">
      <c r="K833" s="1664">
        <v>42890</v>
      </c>
      <c r="L833" s="1665"/>
      <c r="M833" s="1666">
        <v>0</v>
      </c>
      <c r="N833" s="1667">
        <v>1.3310848388251255</v>
      </c>
      <c r="O833" s="1667">
        <v>1.3418531144310033</v>
      </c>
    </row>
    <row r="834" spans="11:15">
      <c r="K834" s="1664">
        <v>42891</v>
      </c>
      <c r="L834" s="1665" t="s">
        <v>2296</v>
      </c>
      <c r="M834" s="1666">
        <v>3.8370000000000001E-2</v>
      </c>
      <c r="N834" s="1667">
        <v>1.3315955760777827</v>
      </c>
      <c r="O834" s="1667">
        <v>1.3425580032905451</v>
      </c>
    </row>
    <row r="835" spans="11:15">
      <c r="K835" s="1664">
        <v>42892</v>
      </c>
      <c r="L835" s="1665" t="s">
        <v>2296</v>
      </c>
      <c r="M835" s="1666">
        <v>3.8370000000000001E-2</v>
      </c>
      <c r="N835" s="1667">
        <v>1.3321065093003237</v>
      </c>
      <c r="O835" s="1667">
        <v>1.3432632624352536</v>
      </c>
    </row>
    <row r="836" spans="11:15">
      <c r="K836" s="1664">
        <v>42893</v>
      </c>
      <c r="L836" s="1665" t="s">
        <v>2296</v>
      </c>
      <c r="M836" s="1666">
        <v>3.8370000000000001E-2</v>
      </c>
      <c r="N836" s="1667">
        <v>1.3326176385679422</v>
      </c>
      <c r="O836" s="1667">
        <v>1.3439688920596435</v>
      </c>
    </row>
    <row r="837" spans="11:15">
      <c r="K837" s="1664">
        <v>42894</v>
      </c>
      <c r="L837" s="1665" t="s">
        <v>2296</v>
      </c>
      <c r="M837" s="1666">
        <v>3.8370000000000001E-2</v>
      </c>
      <c r="N837" s="1667">
        <v>1.3331289639558608</v>
      </c>
      <c r="O837" s="1667">
        <v>1.3446748923583314</v>
      </c>
    </row>
    <row r="838" spans="11:15">
      <c r="K838" s="1664">
        <v>42895</v>
      </c>
      <c r="L838" s="1665" t="s">
        <v>2296</v>
      </c>
      <c r="M838" s="1666">
        <v>3.8370000000000001E-2</v>
      </c>
      <c r="N838" s="1667">
        <v>1.3336404855393307</v>
      </c>
      <c r="O838" s="1667">
        <v>1.345381263526036</v>
      </c>
    </row>
    <row r="839" spans="11:15">
      <c r="K839" s="1664">
        <v>42896</v>
      </c>
      <c r="L839" s="1665"/>
      <c r="M839" s="1666">
        <v>0</v>
      </c>
      <c r="N839" s="1667">
        <v>1.3336404855393307</v>
      </c>
      <c r="O839" s="1667">
        <v>1.345381263526036</v>
      </c>
    </row>
    <row r="840" spans="11:15">
      <c r="K840" s="1664">
        <v>42897</v>
      </c>
      <c r="L840" s="1665"/>
      <c r="M840" s="1666">
        <v>0</v>
      </c>
      <c r="N840" s="1667">
        <v>1.3336404855393307</v>
      </c>
      <c r="O840" s="1667">
        <v>1.345381263526036</v>
      </c>
    </row>
    <row r="841" spans="11:15">
      <c r="K841" s="1664">
        <v>42898</v>
      </c>
      <c r="L841" s="1665" t="s">
        <v>2296</v>
      </c>
      <c r="M841" s="1666">
        <v>3.8370000000000001E-2</v>
      </c>
      <c r="N841" s="1667">
        <v>1.3341522033936322</v>
      </c>
      <c r="O841" s="1667">
        <v>1.3460880057575788</v>
      </c>
    </row>
    <row r="842" spans="11:15">
      <c r="K842" s="1664">
        <v>42899</v>
      </c>
      <c r="L842" s="1665" t="s">
        <v>2296</v>
      </c>
      <c r="M842" s="1666">
        <v>3.8370000000000001E-2</v>
      </c>
      <c r="N842" s="1667">
        <v>1.3346641175940743</v>
      </c>
      <c r="O842" s="1667">
        <v>1.3467951192478833</v>
      </c>
    </row>
    <row r="843" spans="11:15">
      <c r="K843" s="1664">
        <v>42900</v>
      </c>
      <c r="L843" s="1665" t="s">
        <v>2296</v>
      </c>
      <c r="M843" s="1666">
        <v>3.8370000000000001E-2</v>
      </c>
      <c r="N843" s="1667">
        <v>1.3351762282159951</v>
      </c>
      <c r="O843" s="1667">
        <v>1.3475026041919753</v>
      </c>
    </row>
    <row r="844" spans="11:15">
      <c r="K844" s="1664">
        <v>42901</v>
      </c>
      <c r="L844" s="1665"/>
      <c r="M844" s="1666">
        <v>0</v>
      </c>
      <c r="N844" s="1667">
        <v>1.3351762282159951</v>
      </c>
      <c r="O844" s="1667">
        <v>1.3475026041919753</v>
      </c>
    </row>
    <row r="845" spans="11:15">
      <c r="K845" s="1664">
        <v>42902</v>
      </c>
      <c r="L845" s="1665" t="s">
        <v>2296</v>
      </c>
      <c r="M845" s="1666">
        <v>3.8370000000000001E-2</v>
      </c>
      <c r="N845" s="1667">
        <v>1.3356885353347616</v>
      </c>
      <c r="O845" s="1667">
        <v>1.3482104607849834</v>
      </c>
    </row>
    <row r="846" spans="11:15">
      <c r="K846" s="1664">
        <v>42903</v>
      </c>
      <c r="L846" s="1665"/>
      <c r="M846" s="1666">
        <v>0</v>
      </c>
      <c r="N846" s="1667">
        <v>1.3356885353347616</v>
      </c>
      <c r="O846" s="1667">
        <v>1.3482104607849834</v>
      </c>
    </row>
    <row r="847" spans="11:15">
      <c r="K847" s="1664">
        <v>42904</v>
      </c>
      <c r="L847" s="1665"/>
      <c r="M847" s="1666">
        <v>0</v>
      </c>
      <c r="N847" s="1667">
        <v>1.3356885353347616</v>
      </c>
      <c r="O847" s="1667">
        <v>1.3482104607849834</v>
      </c>
    </row>
    <row r="848" spans="11:15">
      <c r="K848" s="1664">
        <v>42905</v>
      </c>
      <c r="L848" s="1665" t="s">
        <v>2296</v>
      </c>
      <c r="M848" s="1666">
        <v>3.8370000000000001E-2</v>
      </c>
      <c r="N848" s="1667">
        <v>1.3362010390257695</v>
      </c>
      <c r="O848" s="1667">
        <v>1.3489186892221383</v>
      </c>
    </row>
    <row r="849" spans="11:15">
      <c r="K849" s="1664">
        <v>42906</v>
      </c>
      <c r="L849" s="1665" t="s">
        <v>2296</v>
      </c>
      <c r="M849" s="1666">
        <v>3.8370000000000001E-2</v>
      </c>
      <c r="N849" s="1667">
        <v>1.3367137393644437</v>
      </c>
      <c r="O849" s="1667">
        <v>1.3496272896987735</v>
      </c>
    </row>
    <row r="850" spans="11:15">
      <c r="K850" s="1664">
        <v>42907</v>
      </c>
      <c r="L850" s="1665" t="s">
        <v>2296</v>
      </c>
      <c r="M850" s="1666">
        <v>3.8370000000000001E-2</v>
      </c>
      <c r="N850" s="1667">
        <v>1.3372266364262377</v>
      </c>
      <c r="O850" s="1667">
        <v>1.3503362624103252</v>
      </c>
    </row>
    <row r="851" spans="11:15">
      <c r="K851" s="1664">
        <v>42908</v>
      </c>
      <c r="L851" s="1665" t="s">
        <v>2296</v>
      </c>
      <c r="M851" s="1666">
        <v>3.8370000000000001E-2</v>
      </c>
      <c r="N851" s="1667">
        <v>1.3377397302866345</v>
      </c>
      <c r="O851" s="1667">
        <v>1.3510456075523321</v>
      </c>
    </row>
    <row r="852" spans="11:15">
      <c r="K852" s="1664">
        <v>42909</v>
      </c>
      <c r="L852" s="1665" t="s">
        <v>2296</v>
      </c>
      <c r="M852" s="1666">
        <v>3.8370000000000001E-2</v>
      </c>
      <c r="N852" s="1667">
        <v>1.3382530210211454</v>
      </c>
      <c r="O852" s="1667">
        <v>1.3517553253204353</v>
      </c>
    </row>
    <row r="853" spans="11:15">
      <c r="K853" s="1664">
        <v>42910</v>
      </c>
      <c r="L853" s="1665"/>
      <c r="M853" s="1666">
        <v>0</v>
      </c>
      <c r="N853" s="1667">
        <v>1.3382530210211454</v>
      </c>
      <c r="O853" s="1667">
        <v>1.3517553253204353</v>
      </c>
    </row>
    <row r="854" spans="11:15">
      <c r="K854" s="1664">
        <v>42911</v>
      </c>
      <c r="L854" s="1665"/>
      <c r="M854" s="1666">
        <v>0</v>
      </c>
      <c r="N854" s="1667">
        <v>1.3382530210211454</v>
      </c>
      <c r="O854" s="1667">
        <v>1.3517553253204353</v>
      </c>
    </row>
    <row r="855" spans="11:15">
      <c r="K855" s="1664">
        <v>42912</v>
      </c>
      <c r="L855" s="1665" t="s">
        <v>2296</v>
      </c>
      <c r="M855" s="1666">
        <v>3.8370000000000001E-2</v>
      </c>
      <c r="N855" s="1667">
        <v>1.3387665087053111</v>
      </c>
      <c r="O855" s="1667">
        <v>1.3524654159103793</v>
      </c>
    </row>
    <row r="856" spans="11:15">
      <c r="K856" s="1664">
        <v>42913</v>
      </c>
      <c r="L856" s="1665" t="s">
        <v>2296</v>
      </c>
      <c r="M856" s="1666">
        <v>3.8370000000000001E-2</v>
      </c>
      <c r="N856" s="1667">
        <v>1.3392801934147014</v>
      </c>
      <c r="O856" s="1667">
        <v>1.3531758795180111</v>
      </c>
    </row>
    <row r="857" spans="11:15">
      <c r="K857" s="1664">
        <v>42914</v>
      </c>
      <c r="L857" s="1665" t="s">
        <v>2296</v>
      </c>
      <c r="M857" s="1666">
        <v>3.8370000000000001E-2</v>
      </c>
      <c r="N857" s="1667">
        <v>1.3397940752249147</v>
      </c>
      <c r="O857" s="1667">
        <v>1.3538867163392807</v>
      </c>
    </row>
    <row r="858" spans="11:15">
      <c r="K858" s="1664">
        <v>42915</v>
      </c>
      <c r="L858" s="1665" t="s">
        <v>2296</v>
      </c>
      <c r="M858" s="1666">
        <v>3.8370000000000001E-2</v>
      </c>
      <c r="N858" s="1667">
        <v>1.3403081542115785</v>
      </c>
      <c r="O858" s="1667">
        <v>1.3545979265702408</v>
      </c>
    </row>
    <row r="859" spans="11:15">
      <c r="K859" s="1664">
        <v>42916</v>
      </c>
      <c r="L859" s="1665" t="s">
        <v>2296</v>
      </c>
      <c r="M859" s="1666">
        <v>3.8370000000000001E-2</v>
      </c>
      <c r="N859" s="1667">
        <v>1.3408224304503493</v>
      </c>
      <c r="O859" s="1667">
        <v>1.3553095104070474</v>
      </c>
    </row>
    <row r="860" spans="11:15">
      <c r="K860" s="1664">
        <v>42917</v>
      </c>
      <c r="L860" s="1665"/>
      <c r="M860" s="1666">
        <v>0</v>
      </c>
      <c r="N860" s="1667">
        <v>1.3408224304503493</v>
      </c>
      <c r="O860" s="1667">
        <v>1.3553095104070474</v>
      </c>
    </row>
    <row r="861" spans="11:15">
      <c r="K861" s="1664">
        <v>42918</v>
      </c>
      <c r="L861" s="1665"/>
      <c r="M861" s="1666">
        <v>0</v>
      </c>
      <c r="N861" s="1667">
        <v>1.3408224304503493</v>
      </c>
      <c r="O861" s="1667">
        <v>1.3553095104070474</v>
      </c>
    </row>
    <row r="862" spans="11:15">
      <c r="K862" s="1664">
        <v>42919</v>
      </c>
      <c r="L862" s="1665" t="s">
        <v>2296</v>
      </c>
      <c r="M862" s="1666">
        <v>3.8370000000000001E-2</v>
      </c>
      <c r="N862" s="1667">
        <v>1.3413369040169132</v>
      </c>
      <c r="O862" s="1667">
        <v>1.3560214680459592</v>
      </c>
    </row>
    <row r="863" spans="11:15">
      <c r="K863" s="1664">
        <v>42920</v>
      </c>
      <c r="L863" s="1665" t="s">
        <v>2296</v>
      </c>
      <c r="M863" s="1666">
        <v>3.8370000000000001E-2</v>
      </c>
      <c r="N863" s="1667">
        <v>1.3418515749869844</v>
      </c>
      <c r="O863" s="1667">
        <v>1.3567337996833384</v>
      </c>
    </row>
    <row r="864" spans="11:15">
      <c r="K864" s="1664">
        <v>42921</v>
      </c>
      <c r="L864" s="1665" t="s">
        <v>2296</v>
      </c>
      <c r="M864" s="1666">
        <v>3.8370000000000001E-2</v>
      </c>
      <c r="N864" s="1667">
        <v>1.342366443436307</v>
      </c>
      <c r="O864" s="1667">
        <v>1.3574465055156502</v>
      </c>
    </row>
    <row r="865" spans="11:15">
      <c r="K865" s="1664">
        <v>42922</v>
      </c>
      <c r="L865" s="1665" t="s">
        <v>2296</v>
      </c>
      <c r="M865" s="1666">
        <v>3.8370000000000001E-2</v>
      </c>
      <c r="N865" s="1667">
        <v>1.3428815094406534</v>
      </c>
      <c r="O865" s="1667">
        <v>1.3581595857394626</v>
      </c>
    </row>
    <row r="866" spans="11:15">
      <c r="K866" s="1664">
        <v>42923</v>
      </c>
      <c r="L866" s="1665" t="s">
        <v>2296</v>
      </c>
      <c r="M866" s="1666">
        <v>3.8370000000000001E-2</v>
      </c>
      <c r="N866" s="1667">
        <v>1.3433967730758258</v>
      </c>
      <c r="O866" s="1667">
        <v>1.3588730405514473</v>
      </c>
    </row>
    <row r="867" spans="11:15">
      <c r="K867" s="1664">
        <v>42924</v>
      </c>
      <c r="L867" s="1665"/>
      <c r="M867" s="1666">
        <v>0</v>
      </c>
      <c r="N867" s="1667">
        <v>1.3433967730758258</v>
      </c>
      <c r="O867" s="1667">
        <v>1.3588730405514473</v>
      </c>
    </row>
    <row r="868" spans="11:15">
      <c r="K868" s="1664">
        <v>42925</v>
      </c>
      <c r="L868" s="1665"/>
      <c r="M868" s="1666">
        <v>0</v>
      </c>
      <c r="N868" s="1667">
        <v>1.3433967730758258</v>
      </c>
      <c r="O868" s="1667">
        <v>1.3588730405514473</v>
      </c>
    </row>
    <row r="869" spans="11:15">
      <c r="K869" s="1664">
        <v>42926</v>
      </c>
      <c r="L869" s="1665" t="s">
        <v>2296</v>
      </c>
      <c r="M869" s="1666">
        <v>3.8370000000000001E-2</v>
      </c>
      <c r="N869" s="1667">
        <v>1.3439122344176551</v>
      </c>
      <c r="O869" s="1667">
        <v>1.3595868701483793</v>
      </c>
    </row>
    <row r="870" spans="11:15">
      <c r="K870" s="1664">
        <v>42927</v>
      </c>
      <c r="L870" s="1665" t="s">
        <v>2296</v>
      </c>
      <c r="M870" s="1666">
        <v>3.8370000000000001E-2</v>
      </c>
      <c r="N870" s="1667">
        <v>1.3444278935420011</v>
      </c>
      <c r="O870" s="1667">
        <v>1.3603010747271369</v>
      </c>
    </row>
    <row r="871" spans="11:15">
      <c r="K871" s="1664">
        <v>42928</v>
      </c>
      <c r="L871" s="1665" t="s">
        <v>2296</v>
      </c>
      <c r="M871" s="1666">
        <v>3.8370000000000001E-2</v>
      </c>
      <c r="N871" s="1667">
        <v>1.3449437505247532</v>
      </c>
      <c r="O871" s="1667">
        <v>1.3610156544847019</v>
      </c>
    </row>
    <row r="872" spans="11:15">
      <c r="K872" s="1664">
        <v>42929</v>
      </c>
      <c r="L872" s="1665" t="s">
        <v>2296</v>
      </c>
      <c r="M872" s="1666">
        <v>3.8370000000000001E-2</v>
      </c>
      <c r="N872" s="1667">
        <v>1.3454598054418296</v>
      </c>
      <c r="O872" s="1667">
        <v>1.3617306096181592</v>
      </c>
    </row>
    <row r="873" spans="11:15">
      <c r="K873" s="1664">
        <v>42930</v>
      </c>
      <c r="L873" s="1665" t="s">
        <v>2296</v>
      </c>
      <c r="M873" s="1666">
        <v>3.8370000000000001E-2</v>
      </c>
      <c r="N873" s="1667">
        <v>1.3459760583691776</v>
      </c>
      <c r="O873" s="1667">
        <v>1.3624459403246978</v>
      </c>
    </row>
    <row r="874" spans="11:15">
      <c r="K874" s="1664">
        <v>42931</v>
      </c>
      <c r="L874" s="1665"/>
      <c r="M874" s="1666">
        <v>0</v>
      </c>
      <c r="N874" s="1667">
        <v>1.3459760583691776</v>
      </c>
      <c r="O874" s="1667">
        <v>1.3624459403246978</v>
      </c>
    </row>
    <row r="875" spans="11:15">
      <c r="K875" s="1664">
        <v>42932</v>
      </c>
      <c r="L875" s="1665"/>
      <c r="M875" s="1666">
        <v>0</v>
      </c>
      <c r="N875" s="1667">
        <v>1.3459760583691776</v>
      </c>
      <c r="O875" s="1667">
        <v>1.3624459403246978</v>
      </c>
    </row>
    <row r="876" spans="11:15">
      <c r="K876" s="1664">
        <v>42933</v>
      </c>
      <c r="L876" s="1665" t="s">
        <v>2296</v>
      </c>
      <c r="M876" s="1666">
        <v>3.8370000000000001E-2</v>
      </c>
      <c r="N876" s="1667">
        <v>1.3464925093827738</v>
      </c>
      <c r="O876" s="1667">
        <v>1.3631616468016097</v>
      </c>
    </row>
    <row r="877" spans="11:15">
      <c r="K877" s="1664">
        <v>42934</v>
      </c>
      <c r="L877" s="1665" t="s">
        <v>2296</v>
      </c>
      <c r="M877" s="1666">
        <v>3.8370000000000001E-2</v>
      </c>
      <c r="N877" s="1667">
        <v>1.3470091585586239</v>
      </c>
      <c r="O877" s="1667">
        <v>1.3638777292462911</v>
      </c>
    </row>
    <row r="878" spans="11:15">
      <c r="K878" s="1664">
        <v>42935</v>
      </c>
      <c r="L878" s="1665" t="s">
        <v>2296</v>
      </c>
      <c r="M878" s="1666">
        <v>3.8370000000000001E-2</v>
      </c>
      <c r="N878" s="1667">
        <v>1.3475260059727627</v>
      </c>
      <c r="O878" s="1667">
        <v>1.3645941878562415</v>
      </c>
    </row>
    <row r="879" spans="11:15">
      <c r="K879" s="1664">
        <v>42936</v>
      </c>
      <c r="L879" s="1665" t="s">
        <v>2296</v>
      </c>
      <c r="M879" s="1666">
        <v>3.8370000000000001E-2</v>
      </c>
      <c r="N879" s="1667">
        <v>1.3480430517012545</v>
      </c>
      <c r="O879" s="1667">
        <v>1.3653110228290644</v>
      </c>
    </row>
    <row r="880" spans="11:15">
      <c r="K880" s="1664">
        <v>42937</v>
      </c>
      <c r="L880" s="1665" t="s">
        <v>2296</v>
      </c>
      <c r="M880" s="1666">
        <v>3.8370000000000001E-2</v>
      </c>
      <c r="N880" s="1667">
        <v>1.3485602958201923</v>
      </c>
      <c r="O880" s="1667">
        <v>1.3660282343624668</v>
      </c>
    </row>
    <row r="881" spans="11:15">
      <c r="K881" s="1664">
        <v>42938</v>
      </c>
      <c r="L881" s="1665"/>
      <c r="M881" s="1666">
        <v>0</v>
      </c>
      <c r="N881" s="1667">
        <v>1.3485602958201923</v>
      </c>
      <c r="O881" s="1667">
        <v>1.3660282343624668</v>
      </c>
    </row>
    <row r="882" spans="11:15">
      <c r="K882" s="1664">
        <v>42939</v>
      </c>
      <c r="L882" s="1665"/>
      <c r="M882" s="1666">
        <v>0</v>
      </c>
      <c r="N882" s="1667">
        <v>1.3485602958201923</v>
      </c>
      <c r="O882" s="1667">
        <v>1.3660282343624668</v>
      </c>
    </row>
    <row r="883" spans="11:15">
      <c r="K883" s="1664">
        <v>42940</v>
      </c>
      <c r="L883" s="1665" t="s">
        <v>2296</v>
      </c>
      <c r="M883" s="1666">
        <v>3.8370000000000001E-2</v>
      </c>
      <c r="N883" s="1667">
        <v>1.3490777384056984</v>
      </c>
      <c r="O883" s="1667">
        <v>1.3667458226542597</v>
      </c>
    </row>
    <row r="884" spans="11:15">
      <c r="K884" s="1664">
        <v>42941</v>
      </c>
      <c r="L884" s="1665" t="s">
        <v>2296</v>
      </c>
      <c r="M884" s="1666">
        <v>3.8370000000000001E-2</v>
      </c>
      <c r="N884" s="1667">
        <v>1.3495953795339246</v>
      </c>
      <c r="O884" s="1667">
        <v>1.3674637879023581</v>
      </c>
    </row>
    <row r="885" spans="11:15">
      <c r="K885" s="1664">
        <v>42942</v>
      </c>
      <c r="L885" s="1665" t="s">
        <v>2296</v>
      </c>
      <c r="M885" s="1666">
        <v>3.8370000000000001E-2</v>
      </c>
      <c r="N885" s="1667">
        <v>1.3501132192810517</v>
      </c>
      <c r="O885" s="1667">
        <v>1.3681821303047812</v>
      </c>
    </row>
    <row r="886" spans="11:15">
      <c r="K886" s="1664">
        <v>42943</v>
      </c>
      <c r="L886" s="1665" t="s">
        <v>2296</v>
      </c>
      <c r="M886" s="1666">
        <v>3.4749000000000002E-2</v>
      </c>
      <c r="N886" s="1667">
        <v>1.3505823701236197</v>
      </c>
      <c r="O886" s="1667">
        <v>1.3689008500596516</v>
      </c>
    </row>
    <row r="887" spans="11:15">
      <c r="K887" s="1664">
        <v>42944</v>
      </c>
      <c r="L887" s="1665" t="s">
        <v>2296</v>
      </c>
      <c r="M887" s="1666">
        <v>3.4749000000000002E-2</v>
      </c>
      <c r="N887" s="1667">
        <v>1.351051683991414</v>
      </c>
      <c r="O887" s="1667">
        <v>1.3696199473651964</v>
      </c>
    </row>
    <row r="888" spans="11:15">
      <c r="K888" s="1664">
        <v>42945</v>
      </c>
      <c r="L888" s="1665"/>
      <c r="M888" s="1666">
        <v>0</v>
      </c>
      <c r="N888" s="1667">
        <v>1.351051683991414</v>
      </c>
      <c r="O888" s="1667">
        <v>1.3696199473651964</v>
      </c>
    </row>
    <row r="889" spans="11:15">
      <c r="K889" s="1664">
        <v>42946</v>
      </c>
      <c r="L889" s="1665"/>
      <c r="M889" s="1666">
        <v>0</v>
      </c>
      <c r="N889" s="1667">
        <v>1.351051683991414</v>
      </c>
      <c r="O889" s="1667">
        <v>1.3696199473651964</v>
      </c>
    </row>
    <row r="890" spans="11:15">
      <c r="K890" s="1664">
        <v>42947</v>
      </c>
      <c r="L890" s="1665" t="s">
        <v>2296</v>
      </c>
      <c r="M890" s="1666">
        <v>3.4749000000000002E-2</v>
      </c>
      <c r="N890" s="1667">
        <v>1.3515211609410842</v>
      </c>
      <c r="O890" s="1667">
        <v>1.3703394224197469</v>
      </c>
    </row>
    <row r="891" spans="11:15">
      <c r="K891" s="1664">
        <v>42948</v>
      </c>
      <c r="L891" s="1665" t="s">
        <v>2296</v>
      </c>
      <c r="M891" s="1666">
        <v>3.4749000000000002E-2</v>
      </c>
      <c r="N891" s="1667">
        <v>1.3519908010292996</v>
      </c>
      <c r="O891" s="1667">
        <v>1.3710592754217383</v>
      </c>
    </row>
    <row r="892" spans="11:15">
      <c r="K892" s="1664">
        <v>42949</v>
      </c>
      <c r="L892" s="1665" t="s">
        <v>2296</v>
      </c>
      <c r="M892" s="1666">
        <v>3.4749000000000002E-2</v>
      </c>
      <c r="N892" s="1667">
        <v>1.3524606043127492</v>
      </c>
      <c r="O892" s="1667">
        <v>1.37177950656971</v>
      </c>
    </row>
    <row r="893" spans="11:15">
      <c r="K893" s="1664">
        <v>42950</v>
      </c>
      <c r="L893" s="1665" t="s">
        <v>2296</v>
      </c>
      <c r="M893" s="1666">
        <v>3.4749000000000002E-2</v>
      </c>
      <c r="N893" s="1667">
        <v>1.3529305708481418</v>
      </c>
      <c r="O893" s="1667">
        <v>1.3725001160623063</v>
      </c>
    </row>
    <row r="894" spans="11:15">
      <c r="K894" s="1664">
        <v>42951</v>
      </c>
      <c r="L894" s="1665" t="s">
        <v>2296</v>
      </c>
      <c r="M894" s="1666">
        <v>3.4749000000000002E-2</v>
      </c>
      <c r="N894" s="1667">
        <v>1.353400700692206</v>
      </c>
      <c r="O894" s="1667">
        <v>1.3732211040982749</v>
      </c>
    </row>
    <row r="895" spans="11:15">
      <c r="K895" s="1664">
        <v>42952</v>
      </c>
      <c r="L895" s="1665"/>
      <c r="M895" s="1666">
        <v>0</v>
      </c>
      <c r="N895" s="1667">
        <v>1.353400700692206</v>
      </c>
      <c r="O895" s="1667">
        <v>1.3732211040982749</v>
      </c>
    </row>
    <row r="896" spans="11:15">
      <c r="K896" s="1664">
        <v>42953</v>
      </c>
      <c r="L896" s="1665"/>
      <c r="M896" s="1666">
        <v>0</v>
      </c>
      <c r="N896" s="1667">
        <v>1.353400700692206</v>
      </c>
      <c r="O896" s="1667">
        <v>1.3732211040982749</v>
      </c>
    </row>
    <row r="897" spans="11:15">
      <c r="K897" s="1664">
        <v>42954</v>
      </c>
      <c r="L897" s="1665" t="s">
        <v>2296</v>
      </c>
      <c r="M897" s="1666">
        <v>3.4749000000000002E-2</v>
      </c>
      <c r="N897" s="1667">
        <v>1.3538709939016895</v>
      </c>
      <c r="O897" s="1667">
        <v>1.3739424708764687</v>
      </c>
    </row>
    <row r="898" spans="11:15">
      <c r="K898" s="1664">
        <v>42955</v>
      </c>
      <c r="L898" s="1665" t="s">
        <v>2296</v>
      </c>
      <c r="M898" s="1666">
        <v>3.4749000000000002E-2</v>
      </c>
      <c r="N898" s="1667">
        <v>1.3543414505333604</v>
      </c>
      <c r="O898" s="1667">
        <v>1.3746642165958449</v>
      </c>
    </row>
    <row r="899" spans="11:15">
      <c r="K899" s="1664">
        <v>42956</v>
      </c>
      <c r="L899" s="1665" t="s">
        <v>2296</v>
      </c>
      <c r="M899" s="1666">
        <v>3.4749000000000002E-2</v>
      </c>
      <c r="N899" s="1667">
        <v>1.3548120706440063</v>
      </c>
      <c r="O899" s="1667">
        <v>1.3753863414554648</v>
      </c>
    </row>
    <row r="900" spans="11:15">
      <c r="K900" s="1664">
        <v>42957</v>
      </c>
      <c r="L900" s="1665" t="s">
        <v>2296</v>
      </c>
      <c r="M900" s="1666">
        <v>3.4749000000000002E-2</v>
      </c>
      <c r="N900" s="1667">
        <v>1.3552828542904345</v>
      </c>
      <c r="O900" s="1667">
        <v>1.3761088456544948</v>
      </c>
    </row>
    <row r="901" spans="11:15">
      <c r="K901" s="1664">
        <v>42958</v>
      </c>
      <c r="L901" s="1665" t="s">
        <v>2296</v>
      </c>
      <c r="M901" s="1666">
        <v>3.4749000000000002E-2</v>
      </c>
      <c r="N901" s="1667">
        <v>1.3557538015294719</v>
      </c>
      <c r="O901" s="1667">
        <v>1.3768317293922054</v>
      </c>
    </row>
    <row r="902" spans="11:15">
      <c r="K902" s="1664">
        <v>42959</v>
      </c>
      <c r="L902" s="1665"/>
      <c r="M902" s="1666">
        <v>0</v>
      </c>
      <c r="N902" s="1667">
        <v>1.3557538015294719</v>
      </c>
      <c r="O902" s="1667">
        <v>1.3768317293922054</v>
      </c>
    </row>
    <row r="903" spans="11:15">
      <c r="K903" s="1664">
        <v>42960</v>
      </c>
      <c r="L903" s="1665"/>
      <c r="M903" s="1666">
        <v>0</v>
      </c>
      <c r="N903" s="1667">
        <v>1.3557538015294719</v>
      </c>
      <c r="O903" s="1667">
        <v>1.3768317293922054</v>
      </c>
    </row>
    <row r="904" spans="11:15">
      <c r="K904" s="1664">
        <v>42961</v>
      </c>
      <c r="L904" s="1665" t="s">
        <v>2296</v>
      </c>
      <c r="M904" s="1666">
        <v>3.4749000000000002E-2</v>
      </c>
      <c r="N904" s="1667">
        <v>1.3562249124179653</v>
      </c>
      <c r="O904" s="1667">
        <v>1.3775549928679724</v>
      </c>
    </row>
    <row r="905" spans="11:15">
      <c r="K905" s="1664">
        <v>42962</v>
      </c>
      <c r="L905" s="1665" t="s">
        <v>2296</v>
      </c>
      <c r="M905" s="1666">
        <v>3.4749000000000002E-2</v>
      </c>
      <c r="N905" s="1667">
        <v>1.3566961870127814</v>
      </c>
      <c r="O905" s="1667">
        <v>1.378278636281276</v>
      </c>
    </row>
    <row r="906" spans="11:15">
      <c r="K906" s="1664">
        <v>42963</v>
      </c>
      <c r="L906" s="1665" t="s">
        <v>2296</v>
      </c>
      <c r="M906" s="1666">
        <v>3.4749000000000002E-2</v>
      </c>
      <c r="N906" s="1667">
        <v>1.3571676253708065</v>
      </c>
      <c r="O906" s="1667">
        <v>1.3790026598317009</v>
      </c>
    </row>
    <row r="907" spans="11:15">
      <c r="K907" s="1664">
        <v>42964</v>
      </c>
      <c r="L907" s="1665" t="s">
        <v>2296</v>
      </c>
      <c r="M907" s="1666">
        <v>3.4749000000000002E-2</v>
      </c>
      <c r="N907" s="1667">
        <v>1.3576392275489466</v>
      </c>
      <c r="O907" s="1667">
        <v>1.3797270637189372</v>
      </c>
    </row>
    <row r="908" spans="11:15">
      <c r="K908" s="1664">
        <v>42965</v>
      </c>
      <c r="L908" s="1665" t="s">
        <v>2296</v>
      </c>
      <c r="M908" s="1666">
        <v>3.4749000000000002E-2</v>
      </c>
      <c r="N908" s="1667">
        <v>1.3581109936041276</v>
      </c>
      <c r="O908" s="1667">
        <v>1.3804518481427794</v>
      </c>
    </row>
    <row r="909" spans="11:15">
      <c r="K909" s="1664">
        <v>42966</v>
      </c>
      <c r="L909" s="1665"/>
      <c r="M909" s="1666">
        <v>0</v>
      </c>
      <c r="N909" s="1667">
        <v>1.3581109936041276</v>
      </c>
      <c r="O909" s="1667">
        <v>1.3804518481427794</v>
      </c>
    </row>
    <row r="910" spans="11:15">
      <c r="K910" s="1664">
        <v>42967</v>
      </c>
      <c r="L910" s="1665"/>
      <c r="M910" s="1666">
        <v>0</v>
      </c>
      <c r="N910" s="1667">
        <v>1.3581109936041276</v>
      </c>
      <c r="O910" s="1667">
        <v>1.3804518481427794</v>
      </c>
    </row>
    <row r="911" spans="11:15">
      <c r="K911" s="1664">
        <v>42968</v>
      </c>
      <c r="L911" s="1665" t="s">
        <v>2296</v>
      </c>
      <c r="M911" s="1666">
        <v>3.4749000000000002E-2</v>
      </c>
      <c r="N911" s="1667">
        <v>1.3585829235932951</v>
      </c>
      <c r="O911" s="1667">
        <v>1.3811770133031274</v>
      </c>
    </row>
    <row r="912" spans="11:15">
      <c r="K912" s="1664">
        <v>42969</v>
      </c>
      <c r="L912" s="1665" t="s">
        <v>2296</v>
      </c>
      <c r="M912" s="1666">
        <v>3.4749000000000002E-2</v>
      </c>
      <c r="N912" s="1667">
        <v>1.3590550175734146</v>
      </c>
      <c r="O912" s="1667">
        <v>1.3819025593999856</v>
      </c>
    </row>
    <row r="913" spans="11:15">
      <c r="K913" s="1664">
        <v>42970</v>
      </c>
      <c r="L913" s="1665" t="s">
        <v>2296</v>
      </c>
      <c r="M913" s="1666">
        <v>3.4749000000000002E-2</v>
      </c>
      <c r="N913" s="1667">
        <v>1.3595272756014711</v>
      </c>
      <c r="O913" s="1667">
        <v>1.3826284866334639</v>
      </c>
    </row>
    <row r="914" spans="11:15">
      <c r="K914" s="1664">
        <v>42971</v>
      </c>
      <c r="L914" s="1665" t="s">
        <v>2296</v>
      </c>
      <c r="M914" s="1666">
        <v>3.4749000000000002E-2</v>
      </c>
      <c r="N914" s="1667">
        <v>1.3599996977344699</v>
      </c>
      <c r="O914" s="1667">
        <v>1.3833547952037775</v>
      </c>
    </row>
    <row r="915" spans="11:15">
      <c r="K915" s="1664">
        <v>42972</v>
      </c>
      <c r="L915" s="1665" t="s">
        <v>2296</v>
      </c>
      <c r="M915" s="1666">
        <v>3.4749000000000002E-2</v>
      </c>
      <c r="N915" s="1667">
        <v>1.3604722840294357</v>
      </c>
      <c r="O915" s="1667">
        <v>1.384081485311246</v>
      </c>
    </row>
    <row r="916" spans="11:15">
      <c r="K916" s="1664">
        <v>42973</v>
      </c>
      <c r="L916" s="1665"/>
      <c r="M916" s="1666">
        <v>0</v>
      </c>
      <c r="N916" s="1667">
        <v>1.3604722840294357</v>
      </c>
      <c r="O916" s="1667">
        <v>1.384081485311246</v>
      </c>
    </row>
    <row r="917" spans="11:15">
      <c r="K917" s="1664">
        <v>42974</v>
      </c>
      <c r="L917" s="1665"/>
      <c r="M917" s="1666">
        <v>0</v>
      </c>
      <c r="N917" s="1667">
        <v>1.3604722840294357</v>
      </c>
      <c r="O917" s="1667">
        <v>1.384081485311246</v>
      </c>
    </row>
    <row r="918" spans="11:15">
      <c r="K918" s="1664">
        <v>42975</v>
      </c>
      <c r="L918" s="1665" t="s">
        <v>2296</v>
      </c>
      <c r="M918" s="1666">
        <v>3.4749000000000002E-2</v>
      </c>
      <c r="N918" s="1667">
        <v>1.3609450345434131</v>
      </c>
      <c r="O918" s="1667">
        <v>1.3848085571562949</v>
      </c>
    </row>
    <row r="919" spans="11:15">
      <c r="K919" s="1664">
        <v>42976</v>
      </c>
      <c r="L919" s="1665" t="s">
        <v>2296</v>
      </c>
      <c r="M919" s="1666">
        <v>3.4749000000000002E-2</v>
      </c>
      <c r="N919" s="1667">
        <v>1.3614179493334666</v>
      </c>
      <c r="O919" s="1667">
        <v>1.3855360109394548</v>
      </c>
    </row>
    <row r="920" spans="11:15">
      <c r="K920" s="1664">
        <v>42977</v>
      </c>
      <c r="L920" s="1665" t="s">
        <v>2296</v>
      </c>
      <c r="M920" s="1666">
        <v>3.4749000000000002E-2</v>
      </c>
      <c r="N920" s="1667">
        <v>1.3618910284566805</v>
      </c>
      <c r="O920" s="1667">
        <v>1.3862638468613613</v>
      </c>
    </row>
    <row r="921" spans="11:15">
      <c r="K921" s="1664">
        <v>42978</v>
      </c>
      <c r="L921" s="1665" t="s">
        <v>2296</v>
      </c>
      <c r="M921" s="1666">
        <v>3.4749000000000002E-2</v>
      </c>
      <c r="N921" s="1667">
        <v>1.362364271970159</v>
      </c>
      <c r="O921" s="1667">
        <v>1.3869920651227561</v>
      </c>
    </row>
    <row r="922" spans="11:15">
      <c r="K922" s="1664">
        <v>42979</v>
      </c>
      <c r="L922" s="1665" t="s">
        <v>2296</v>
      </c>
      <c r="M922" s="1666">
        <v>3.4749000000000002E-2</v>
      </c>
      <c r="N922" s="1667">
        <v>1.3628376799310258</v>
      </c>
      <c r="O922" s="1667">
        <v>1.3877206659244856</v>
      </c>
    </row>
    <row r="923" spans="11:15">
      <c r="K923" s="1664">
        <v>42980</v>
      </c>
      <c r="L923" s="1665"/>
      <c r="M923" s="1666">
        <v>0</v>
      </c>
      <c r="N923" s="1667">
        <v>1.3628376799310258</v>
      </c>
      <c r="O923" s="1667">
        <v>1.3877206659244856</v>
      </c>
    </row>
    <row r="924" spans="11:15">
      <c r="K924" s="1664">
        <v>42981</v>
      </c>
      <c r="L924" s="1665"/>
      <c r="M924" s="1666">
        <v>0</v>
      </c>
      <c r="N924" s="1667">
        <v>1.3628376799310258</v>
      </c>
      <c r="O924" s="1667">
        <v>1.3877206659244856</v>
      </c>
    </row>
    <row r="925" spans="11:15">
      <c r="K925" s="1664">
        <v>42982</v>
      </c>
      <c r="L925" s="1665" t="s">
        <v>2296</v>
      </c>
      <c r="M925" s="1666">
        <v>3.4749000000000002E-2</v>
      </c>
      <c r="N925" s="1667">
        <v>1.363311252396425</v>
      </c>
      <c r="O925" s="1667">
        <v>1.3884496494675025</v>
      </c>
    </row>
    <row r="926" spans="11:15">
      <c r="K926" s="1664">
        <v>42983</v>
      </c>
      <c r="L926" s="1665" t="s">
        <v>2296</v>
      </c>
      <c r="M926" s="1666">
        <v>3.4749000000000002E-2</v>
      </c>
      <c r="N926" s="1667">
        <v>1.3637849894235203</v>
      </c>
      <c r="O926" s="1667">
        <v>1.3891790159528643</v>
      </c>
    </row>
    <row r="927" spans="11:15">
      <c r="K927" s="1664">
        <v>42984</v>
      </c>
      <c r="L927" s="1665" t="s">
        <v>2296</v>
      </c>
      <c r="M927" s="1666">
        <v>3.4749000000000002E-2</v>
      </c>
      <c r="N927" s="1667">
        <v>1.364258891069495</v>
      </c>
      <c r="O927" s="1667">
        <v>1.3899087655817346</v>
      </c>
    </row>
    <row r="928" spans="11:15">
      <c r="K928" s="1664">
        <v>42985</v>
      </c>
      <c r="L928" s="1665"/>
      <c r="M928" s="1666">
        <v>0</v>
      </c>
      <c r="N928" s="1667">
        <v>1.364258891069495</v>
      </c>
      <c r="O928" s="1667">
        <v>1.3899087655817346</v>
      </c>
    </row>
    <row r="929" spans="11:15">
      <c r="K929" s="1664">
        <v>42986</v>
      </c>
      <c r="L929" s="1665" t="s">
        <v>2296</v>
      </c>
      <c r="M929" s="1666">
        <v>3.1095999999999999E-2</v>
      </c>
      <c r="N929" s="1667">
        <v>1.364683121014262</v>
      </c>
      <c r="O929" s="1667">
        <v>1.3906388985553824</v>
      </c>
    </row>
    <row r="930" spans="11:15">
      <c r="K930" s="1664">
        <v>42987</v>
      </c>
      <c r="L930" s="1665"/>
      <c r="M930" s="1666">
        <v>0</v>
      </c>
      <c r="N930" s="1667">
        <v>1.364683121014262</v>
      </c>
      <c r="O930" s="1667">
        <v>1.3906388985553824</v>
      </c>
    </row>
    <row r="931" spans="11:15">
      <c r="K931" s="1664">
        <v>42988</v>
      </c>
      <c r="L931" s="1665"/>
      <c r="M931" s="1666">
        <v>0</v>
      </c>
      <c r="N931" s="1667">
        <v>1.364683121014262</v>
      </c>
      <c r="O931" s="1667">
        <v>1.3906388985553824</v>
      </c>
    </row>
    <row r="932" spans="11:15">
      <c r="K932" s="1664">
        <v>42989</v>
      </c>
      <c r="L932" s="1665" t="s">
        <v>2296</v>
      </c>
      <c r="M932" s="1666">
        <v>3.1095999999999999E-2</v>
      </c>
      <c r="N932" s="1667">
        <v>1.3651074828775727</v>
      </c>
      <c r="O932" s="1667">
        <v>1.3913694150751825</v>
      </c>
    </row>
    <row r="933" spans="11:15">
      <c r="K933" s="1664">
        <v>42990</v>
      </c>
      <c r="L933" s="1665" t="s">
        <v>2296</v>
      </c>
      <c r="M933" s="1666">
        <v>3.1095999999999999E-2</v>
      </c>
      <c r="N933" s="1667">
        <v>1.3655319767004481</v>
      </c>
      <c r="O933" s="1667">
        <v>1.3921003153426157</v>
      </c>
    </row>
    <row r="934" spans="11:15">
      <c r="K934" s="1664">
        <v>42991</v>
      </c>
      <c r="L934" s="1665" t="s">
        <v>2296</v>
      </c>
      <c r="M934" s="1666">
        <v>3.1095999999999999E-2</v>
      </c>
      <c r="N934" s="1667">
        <v>1.3659566025239229</v>
      </c>
      <c r="O934" s="1667">
        <v>1.3928315995592684</v>
      </c>
    </row>
    <row r="935" spans="11:15">
      <c r="K935" s="1664">
        <v>42992</v>
      </c>
      <c r="L935" s="1665" t="s">
        <v>2296</v>
      </c>
      <c r="M935" s="1666">
        <v>3.1095999999999999E-2</v>
      </c>
      <c r="N935" s="1667">
        <v>1.3663813603890438</v>
      </c>
      <c r="O935" s="1667">
        <v>1.3935632679268328</v>
      </c>
    </row>
    <row r="936" spans="11:15">
      <c r="K936" s="1664">
        <v>42993</v>
      </c>
      <c r="L936" s="1665" t="s">
        <v>2296</v>
      </c>
      <c r="M936" s="1666">
        <v>3.1095999999999999E-2</v>
      </c>
      <c r="N936" s="1667">
        <v>1.3668062503368703</v>
      </c>
      <c r="O936" s="1667">
        <v>1.3942953206471074</v>
      </c>
    </row>
    <row r="937" spans="11:15">
      <c r="K937" s="1664">
        <v>42994</v>
      </c>
      <c r="L937" s="1665"/>
      <c r="M937" s="1666">
        <v>0</v>
      </c>
      <c r="N937" s="1667">
        <v>1.3668062503368703</v>
      </c>
      <c r="O937" s="1667">
        <v>1.3942953206471074</v>
      </c>
    </row>
    <row r="938" spans="11:15">
      <c r="K938" s="1664">
        <v>42995</v>
      </c>
      <c r="L938" s="1665"/>
      <c r="M938" s="1666">
        <v>0</v>
      </c>
      <c r="N938" s="1667">
        <v>1.3668062503368703</v>
      </c>
      <c r="O938" s="1667">
        <v>1.3942953206471074</v>
      </c>
    </row>
    <row r="939" spans="11:15">
      <c r="K939" s="1664">
        <v>42996</v>
      </c>
      <c r="L939" s="1665" t="s">
        <v>2296</v>
      </c>
      <c r="M939" s="1666">
        <v>3.1095999999999999E-2</v>
      </c>
      <c r="N939" s="1667">
        <v>1.367231272408475</v>
      </c>
      <c r="O939" s="1667">
        <v>1.3950277579219965</v>
      </c>
    </row>
    <row r="940" spans="11:15">
      <c r="K940" s="1664">
        <v>42997</v>
      </c>
      <c r="L940" s="1665" t="s">
        <v>2296</v>
      </c>
      <c r="M940" s="1666">
        <v>3.1095999999999999E-2</v>
      </c>
      <c r="N940" s="1667">
        <v>1.3676564266449431</v>
      </c>
      <c r="O940" s="1667">
        <v>1.3957605799535104</v>
      </c>
    </row>
    <row r="941" spans="11:15">
      <c r="K941" s="1664">
        <v>42998</v>
      </c>
      <c r="L941" s="1665" t="s">
        <v>2296</v>
      </c>
      <c r="M941" s="1666">
        <v>3.1095999999999999E-2</v>
      </c>
      <c r="N941" s="1667">
        <v>1.3680817130873726</v>
      </c>
      <c r="O941" s="1667">
        <v>1.3964937869437659</v>
      </c>
    </row>
    <row r="942" spans="11:15">
      <c r="K942" s="1664">
        <v>42999</v>
      </c>
      <c r="L942" s="1665" t="s">
        <v>2296</v>
      </c>
      <c r="M942" s="1666">
        <v>3.1095999999999999E-2</v>
      </c>
      <c r="N942" s="1667">
        <v>1.3685071317768742</v>
      </c>
      <c r="O942" s="1667">
        <v>1.3972273790949854</v>
      </c>
    </row>
    <row r="943" spans="11:15">
      <c r="K943" s="1664">
        <v>43000</v>
      </c>
      <c r="L943" s="1665" t="s">
        <v>2296</v>
      </c>
      <c r="M943" s="1666">
        <v>3.1095999999999999E-2</v>
      </c>
      <c r="N943" s="1667">
        <v>1.3689326827545716</v>
      </c>
      <c r="O943" s="1667">
        <v>1.3979613566094977</v>
      </c>
    </row>
    <row r="944" spans="11:15">
      <c r="K944" s="1664">
        <v>43001</v>
      </c>
      <c r="L944" s="1665"/>
      <c r="M944" s="1666">
        <v>0</v>
      </c>
      <c r="N944" s="1667">
        <v>1.3689326827545716</v>
      </c>
      <c r="O944" s="1667">
        <v>1.3979613566094977</v>
      </c>
    </row>
    <row r="945" spans="11:15">
      <c r="K945" s="1664">
        <v>43002</v>
      </c>
      <c r="L945" s="1665"/>
      <c r="M945" s="1666">
        <v>0</v>
      </c>
      <c r="N945" s="1667">
        <v>1.3689326827545716</v>
      </c>
      <c r="O945" s="1667">
        <v>1.3979613566094977</v>
      </c>
    </row>
    <row r="946" spans="11:15">
      <c r="K946" s="1664">
        <v>43003</v>
      </c>
      <c r="L946" s="1665" t="s">
        <v>2296</v>
      </c>
      <c r="M946" s="1666">
        <v>3.1095999999999999E-2</v>
      </c>
      <c r="N946" s="1667">
        <v>1.3693583660616009</v>
      </c>
      <c r="O946" s="1667">
        <v>1.3986957196897383</v>
      </c>
    </row>
    <row r="947" spans="11:15">
      <c r="K947" s="1664">
        <v>43004</v>
      </c>
      <c r="L947" s="1665" t="s">
        <v>2296</v>
      </c>
      <c r="M947" s="1666">
        <v>3.1095999999999999E-2</v>
      </c>
      <c r="N947" s="1667">
        <v>1.3697841817391114</v>
      </c>
      <c r="O947" s="1667">
        <v>1.3994304685382486</v>
      </c>
    </row>
    <row r="948" spans="11:15">
      <c r="K948" s="1664">
        <v>43005</v>
      </c>
      <c r="L948" s="1665" t="s">
        <v>2296</v>
      </c>
      <c r="M948" s="1666">
        <v>3.1095999999999999E-2</v>
      </c>
      <c r="N948" s="1667">
        <v>1.370210129828265</v>
      </c>
      <c r="O948" s="1667">
        <v>1.4001656033576764</v>
      </c>
    </row>
    <row r="949" spans="11:15">
      <c r="K949" s="1664">
        <v>43006</v>
      </c>
      <c r="L949" s="1665" t="s">
        <v>2296</v>
      </c>
      <c r="M949" s="1666">
        <v>3.1095999999999999E-2</v>
      </c>
      <c r="N949" s="1667">
        <v>1.3706362103702363</v>
      </c>
      <c r="O949" s="1667">
        <v>1.4009011243507763</v>
      </c>
    </row>
    <row r="950" spans="11:15">
      <c r="K950" s="1664">
        <v>43007</v>
      </c>
      <c r="L950" s="1665" t="s">
        <v>2296</v>
      </c>
      <c r="M950" s="1666">
        <v>3.1095999999999999E-2</v>
      </c>
      <c r="N950" s="1667">
        <v>1.371062423406213</v>
      </c>
      <c r="O950" s="1667">
        <v>1.401637031720409</v>
      </c>
    </row>
    <row r="951" spans="11:15">
      <c r="K951" s="1664">
        <v>43008</v>
      </c>
      <c r="L951" s="1665"/>
      <c r="M951" s="1666">
        <v>0</v>
      </c>
      <c r="N951" s="1667">
        <v>1.371062423406213</v>
      </c>
      <c r="O951" s="1667">
        <v>1.401637031720409</v>
      </c>
    </row>
    <row r="952" spans="11:15">
      <c r="K952" s="1664">
        <v>43009</v>
      </c>
      <c r="L952" s="1665"/>
      <c r="M952" s="1666">
        <v>0</v>
      </c>
      <c r="N952" s="1667">
        <v>1.371062423406213</v>
      </c>
      <c r="O952" s="1667">
        <v>1.401637031720409</v>
      </c>
    </row>
    <row r="953" spans="11:15">
      <c r="K953" s="1664">
        <v>43010</v>
      </c>
      <c r="L953" s="1665" t="s">
        <v>2296</v>
      </c>
      <c r="M953" s="1666">
        <v>3.1095999999999999E-2</v>
      </c>
      <c r="N953" s="1667">
        <v>1.3714887689773954</v>
      </c>
      <c r="O953" s="1667">
        <v>1.4023733256695421</v>
      </c>
    </row>
    <row r="954" spans="11:15">
      <c r="K954" s="1664">
        <v>43011</v>
      </c>
      <c r="L954" s="1665" t="s">
        <v>2296</v>
      </c>
      <c r="M954" s="1666">
        <v>3.1095999999999999E-2</v>
      </c>
      <c r="N954" s="1667">
        <v>1.3719152471249965</v>
      </c>
      <c r="O954" s="1667">
        <v>1.4031100064012496</v>
      </c>
    </row>
    <row r="955" spans="11:15">
      <c r="K955" s="1664">
        <v>43012</v>
      </c>
      <c r="L955" s="1665" t="s">
        <v>2296</v>
      </c>
      <c r="M955" s="1666">
        <v>3.1095999999999999E-2</v>
      </c>
      <c r="N955" s="1667">
        <v>1.3723418578902424</v>
      </c>
      <c r="O955" s="1667">
        <v>1.4038470741187123</v>
      </c>
    </row>
    <row r="956" spans="11:15">
      <c r="K956" s="1664">
        <v>43013</v>
      </c>
      <c r="L956" s="1665" t="s">
        <v>2296</v>
      </c>
      <c r="M956" s="1666">
        <v>3.1095999999999999E-2</v>
      </c>
      <c r="N956" s="1667">
        <v>1.3727686013143718</v>
      </c>
      <c r="O956" s="1667">
        <v>1.4045845290252177</v>
      </c>
    </row>
    <row r="957" spans="11:15">
      <c r="K957" s="1664">
        <v>43014</v>
      </c>
      <c r="L957" s="1665" t="s">
        <v>2296</v>
      </c>
      <c r="M957" s="1666">
        <v>3.1095999999999999E-2</v>
      </c>
      <c r="N957" s="1667">
        <v>1.3731954774386366</v>
      </c>
      <c r="O957" s="1667">
        <v>1.4053223713241598</v>
      </c>
    </row>
    <row r="958" spans="11:15">
      <c r="K958" s="1664">
        <v>43015</v>
      </c>
      <c r="L958" s="1665"/>
      <c r="M958" s="1666">
        <v>0</v>
      </c>
      <c r="N958" s="1667">
        <v>1.3731954774386366</v>
      </c>
      <c r="O958" s="1667">
        <v>1.4053223713241598</v>
      </c>
    </row>
    <row r="959" spans="11:15">
      <c r="K959" s="1664">
        <v>43016</v>
      </c>
      <c r="L959" s="1665"/>
      <c r="M959" s="1666">
        <v>0</v>
      </c>
      <c r="N959" s="1667">
        <v>1.3731954774386366</v>
      </c>
      <c r="O959" s="1667">
        <v>1.4053223713241598</v>
      </c>
    </row>
    <row r="960" spans="11:15">
      <c r="K960" s="1664">
        <v>43017</v>
      </c>
      <c r="L960" s="1665" t="s">
        <v>2296</v>
      </c>
      <c r="M960" s="1666">
        <v>3.1095999999999999E-2</v>
      </c>
      <c r="N960" s="1667">
        <v>1.3736224863043009</v>
      </c>
      <c r="O960" s="1667">
        <v>1.4060606012190402</v>
      </c>
    </row>
    <row r="961" spans="11:15">
      <c r="K961" s="1664">
        <v>43018</v>
      </c>
      <c r="L961" s="1665" t="s">
        <v>2296</v>
      </c>
      <c r="M961" s="1666">
        <v>3.1095999999999999E-2</v>
      </c>
      <c r="N961" s="1667">
        <v>1.3740496279526422</v>
      </c>
      <c r="O961" s="1667">
        <v>1.4067992189134666</v>
      </c>
    </row>
    <row r="962" spans="11:15">
      <c r="K962" s="1664">
        <v>43019</v>
      </c>
      <c r="L962" s="1665" t="s">
        <v>2296</v>
      </c>
      <c r="M962" s="1666">
        <v>3.1095999999999999E-2</v>
      </c>
      <c r="N962" s="1667">
        <v>1.3744769024249504</v>
      </c>
      <c r="O962" s="1667">
        <v>1.4075382246111541</v>
      </c>
    </row>
    <row r="963" spans="11:15">
      <c r="K963" s="1664">
        <v>43020</v>
      </c>
      <c r="L963" s="1665"/>
      <c r="M963" s="1666">
        <v>0</v>
      </c>
      <c r="N963" s="1667">
        <v>1.3744769024249504</v>
      </c>
      <c r="O963" s="1667">
        <v>1.4075382246111541</v>
      </c>
    </row>
    <row r="964" spans="11:15">
      <c r="K964" s="1664">
        <v>43021</v>
      </c>
      <c r="L964" s="1665" t="s">
        <v>2296</v>
      </c>
      <c r="M964" s="1666">
        <v>3.1095999999999999E-2</v>
      </c>
      <c r="N964" s="1667">
        <v>1.3749043097625284</v>
      </c>
      <c r="O964" s="1667">
        <v>1.4082776185159245</v>
      </c>
    </row>
    <row r="965" spans="11:15">
      <c r="K965" s="1664">
        <v>43022</v>
      </c>
      <c r="L965" s="1665"/>
      <c r="M965" s="1666">
        <v>0</v>
      </c>
      <c r="N965" s="1667">
        <v>1.3749043097625284</v>
      </c>
      <c r="O965" s="1667">
        <v>1.4082776185159245</v>
      </c>
    </row>
    <row r="966" spans="11:15">
      <c r="K966" s="1664">
        <v>43023</v>
      </c>
      <c r="L966" s="1665"/>
      <c r="M966" s="1666">
        <v>0</v>
      </c>
      <c r="N966" s="1667">
        <v>1.3749043097625284</v>
      </c>
      <c r="O966" s="1667">
        <v>1.4082776185159245</v>
      </c>
    </row>
    <row r="967" spans="11:15">
      <c r="K967" s="1664">
        <v>43024</v>
      </c>
      <c r="L967" s="1665" t="s">
        <v>2296</v>
      </c>
      <c r="M967" s="1666">
        <v>3.1095999999999999E-2</v>
      </c>
      <c r="N967" s="1667">
        <v>1.3753318500066922</v>
      </c>
      <c r="O967" s="1667">
        <v>1.4090174008317071</v>
      </c>
    </row>
    <row r="968" spans="11:15">
      <c r="K968" s="1664">
        <v>43025</v>
      </c>
      <c r="L968" s="1665" t="s">
        <v>2296</v>
      </c>
      <c r="M968" s="1666">
        <v>3.1095999999999999E-2</v>
      </c>
      <c r="N968" s="1667">
        <v>1.3757595231987703</v>
      </c>
      <c r="O968" s="1667">
        <v>1.4097575717625381</v>
      </c>
    </row>
    <row r="969" spans="11:15">
      <c r="K969" s="1664">
        <v>43026</v>
      </c>
      <c r="L969" s="1665" t="s">
        <v>2296</v>
      </c>
      <c r="M969" s="1666">
        <v>3.1095999999999999E-2</v>
      </c>
      <c r="N969" s="1667">
        <v>1.3761873293801041</v>
      </c>
      <c r="O969" s="1667">
        <v>1.4104981315125606</v>
      </c>
    </row>
    <row r="970" spans="11:15">
      <c r="K970" s="1664">
        <v>43027</v>
      </c>
      <c r="L970" s="1665" t="s">
        <v>2296</v>
      </c>
      <c r="M970" s="1666">
        <v>3.1095999999999999E-2</v>
      </c>
      <c r="N970" s="1667">
        <v>1.3766152685920481</v>
      </c>
      <c r="O970" s="1667">
        <v>1.4112390802860255</v>
      </c>
    </row>
    <row r="971" spans="11:15">
      <c r="K971" s="1664">
        <v>43028</v>
      </c>
      <c r="L971" s="1665" t="s">
        <v>2296</v>
      </c>
      <c r="M971" s="1666">
        <v>3.1095999999999999E-2</v>
      </c>
      <c r="N971" s="1667">
        <v>1.3770433408759695</v>
      </c>
      <c r="O971" s="1667">
        <v>1.4119804182872906</v>
      </c>
    </row>
    <row r="972" spans="11:15">
      <c r="K972" s="1664">
        <v>43029</v>
      </c>
      <c r="L972" s="1665"/>
      <c r="M972" s="1666">
        <v>0</v>
      </c>
      <c r="N972" s="1667">
        <v>1.3770433408759695</v>
      </c>
      <c r="O972" s="1667">
        <v>1.4119804182872906</v>
      </c>
    </row>
    <row r="973" spans="11:15">
      <c r="K973" s="1664">
        <v>43030</v>
      </c>
      <c r="L973" s="1665"/>
      <c r="M973" s="1666">
        <v>0</v>
      </c>
      <c r="N973" s="1667">
        <v>1.3770433408759695</v>
      </c>
      <c r="O973" s="1667">
        <v>1.4119804182872906</v>
      </c>
    </row>
    <row r="974" spans="11:15">
      <c r="K974" s="1664">
        <v>43031</v>
      </c>
      <c r="L974" s="1665" t="s">
        <v>2296</v>
      </c>
      <c r="M974" s="1666">
        <v>3.1095999999999999E-2</v>
      </c>
      <c r="N974" s="1667">
        <v>1.3774715462732483</v>
      </c>
      <c r="O974" s="1667">
        <v>1.412722145720821</v>
      </c>
    </row>
    <row r="975" spans="11:15">
      <c r="K975" s="1664">
        <v>43032</v>
      </c>
      <c r="L975" s="1665" t="s">
        <v>2296</v>
      </c>
      <c r="M975" s="1666">
        <v>3.1095999999999999E-2</v>
      </c>
      <c r="N975" s="1667">
        <v>1.3778998848252775</v>
      </c>
      <c r="O975" s="1667">
        <v>1.4134642627911895</v>
      </c>
    </row>
    <row r="976" spans="11:15">
      <c r="K976" s="1664">
        <v>43033</v>
      </c>
      <c r="L976" s="1665" t="s">
        <v>2296</v>
      </c>
      <c r="M976" s="1666">
        <v>3.1095999999999999E-2</v>
      </c>
      <c r="N976" s="1667">
        <v>1.3783283565734628</v>
      </c>
      <c r="O976" s="1667">
        <v>1.4142067697030765</v>
      </c>
    </row>
    <row r="977" spans="11:15">
      <c r="K977" s="1664">
        <v>43034</v>
      </c>
      <c r="L977" s="1665" t="s">
        <v>2296</v>
      </c>
      <c r="M977" s="1666">
        <v>2.8333000000000001E-2</v>
      </c>
      <c r="N977" s="1667">
        <v>1.3787188783467308</v>
      </c>
      <c r="O977" s="1667">
        <v>1.4149496666612691</v>
      </c>
    </row>
    <row r="978" spans="11:15">
      <c r="K978" s="1664">
        <v>43035</v>
      </c>
      <c r="L978" s="1665" t="s">
        <v>2296</v>
      </c>
      <c r="M978" s="1666">
        <v>2.8333000000000001E-2</v>
      </c>
      <c r="N978" s="1667">
        <v>1.3791095107665328</v>
      </c>
      <c r="O978" s="1667">
        <v>1.4156929538706629</v>
      </c>
    </row>
    <row r="979" spans="11:15">
      <c r="K979" s="1664">
        <v>43036</v>
      </c>
      <c r="L979" s="1665"/>
      <c r="M979" s="1666">
        <v>0</v>
      </c>
      <c r="N979" s="1667">
        <v>1.3791095107665328</v>
      </c>
      <c r="O979" s="1667">
        <v>1.4156929538706629</v>
      </c>
    </row>
    <row r="980" spans="11:15">
      <c r="K980" s="1664">
        <v>43037</v>
      </c>
      <c r="L980" s="1665"/>
      <c r="M980" s="1666">
        <v>0</v>
      </c>
      <c r="N980" s="1667">
        <v>1.3791095107665328</v>
      </c>
      <c r="O980" s="1667">
        <v>1.4156929538706629</v>
      </c>
    </row>
    <row r="981" spans="11:15">
      <c r="K981" s="1664">
        <v>43038</v>
      </c>
      <c r="L981" s="1665" t="s">
        <v>2296</v>
      </c>
      <c r="M981" s="1666">
        <v>2.8333000000000001E-2</v>
      </c>
      <c r="N981" s="1667">
        <v>1.3795002538642183</v>
      </c>
      <c r="O981" s="1667">
        <v>1.4164366315362606</v>
      </c>
    </row>
    <row r="982" spans="11:15">
      <c r="K982" s="1664">
        <v>43039</v>
      </c>
      <c r="L982" s="1665" t="s">
        <v>2296</v>
      </c>
      <c r="M982" s="1666">
        <v>2.8333000000000001E-2</v>
      </c>
      <c r="N982" s="1667">
        <v>1.3798911076711458</v>
      </c>
      <c r="O982" s="1667">
        <v>1.4171806998631729</v>
      </c>
    </row>
    <row r="983" spans="11:15">
      <c r="K983" s="1664">
        <v>43040</v>
      </c>
      <c r="L983" s="1665" t="s">
        <v>2296</v>
      </c>
      <c r="M983" s="1666">
        <v>2.8333000000000001E-2</v>
      </c>
      <c r="N983" s="1667">
        <v>1.3802820722186822</v>
      </c>
      <c r="O983" s="1667">
        <v>1.417925159056618</v>
      </c>
    </row>
    <row r="984" spans="11:15">
      <c r="K984" s="1664">
        <v>43041</v>
      </c>
      <c r="L984" s="1665"/>
      <c r="M984" s="1666">
        <v>0</v>
      </c>
      <c r="N984" s="1667">
        <v>1.3802820722186822</v>
      </c>
      <c r="O984" s="1667">
        <v>1.417925159056618</v>
      </c>
    </row>
    <row r="985" spans="11:15">
      <c r="K985" s="1664">
        <v>43042</v>
      </c>
      <c r="L985" s="1665" t="s">
        <v>2296</v>
      </c>
      <c r="M985" s="1666">
        <v>2.8333000000000001E-2</v>
      </c>
      <c r="N985" s="1667">
        <v>1.3806731475382039</v>
      </c>
      <c r="O985" s="1667">
        <v>1.418670009321922</v>
      </c>
    </row>
    <row r="986" spans="11:15">
      <c r="K986" s="1664">
        <v>43043</v>
      </c>
      <c r="L986" s="1665"/>
      <c r="M986" s="1666">
        <v>0</v>
      </c>
      <c r="N986" s="1667">
        <v>1.3806731475382039</v>
      </c>
      <c r="O986" s="1667">
        <v>1.418670009321922</v>
      </c>
    </row>
    <row r="987" spans="11:15">
      <c r="K987" s="1664">
        <v>43044</v>
      </c>
      <c r="L987" s="1665"/>
      <c r="M987" s="1666">
        <v>0</v>
      </c>
      <c r="N987" s="1667">
        <v>1.3806731475382039</v>
      </c>
      <c r="O987" s="1667">
        <v>1.418670009321922</v>
      </c>
    </row>
    <row r="988" spans="11:15">
      <c r="K988" s="1664">
        <v>43045</v>
      </c>
      <c r="L988" s="1665" t="s">
        <v>2296</v>
      </c>
      <c r="M988" s="1666">
        <v>2.8333000000000001E-2</v>
      </c>
      <c r="N988" s="1667">
        <v>1.3810643336610959</v>
      </c>
      <c r="O988" s="1667">
        <v>1.4194152508645188</v>
      </c>
    </row>
    <row r="989" spans="11:15">
      <c r="K989" s="1664">
        <v>43046</v>
      </c>
      <c r="L989" s="1665" t="s">
        <v>2296</v>
      </c>
      <c r="M989" s="1666">
        <v>2.8333000000000001E-2</v>
      </c>
      <c r="N989" s="1667">
        <v>1.3814556306187522</v>
      </c>
      <c r="O989" s="1667">
        <v>1.4201608838899504</v>
      </c>
    </row>
    <row r="990" spans="11:15">
      <c r="K990" s="1664">
        <v>43047</v>
      </c>
      <c r="L990" s="1665" t="s">
        <v>2296</v>
      </c>
      <c r="M990" s="1666">
        <v>2.8333000000000001E-2</v>
      </c>
      <c r="N990" s="1667">
        <v>1.3818470384425754</v>
      </c>
      <c r="O990" s="1667">
        <v>1.4209069086038666</v>
      </c>
    </row>
    <row r="991" spans="11:15">
      <c r="K991" s="1664">
        <v>43048</v>
      </c>
      <c r="L991" s="1665" t="s">
        <v>2296</v>
      </c>
      <c r="M991" s="1666">
        <v>2.8333000000000001E-2</v>
      </c>
      <c r="N991" s="1667">
        <v>1.3822385571639773</v>
      </c>
      <c r="O991" s="1667">
        <v>1.4216533252120254</v>
      </c>
    </row>
    <row r="992" spans="11:15">
      <c r="K992" s="1664">
        <v>43049</v>
      </c>
      <c r="L992" s="1665" t="s">
        <v>2296</v>
      </c>
      <c r="M992" s="1666">
        <v>2.8333000000000001E-2</v>
      </c>
      <c r="N992" s="1667">
        <v>1.3826301868143787</v>
      </c>
      <c r="O992" s="1667">
        <v>1.4224001339202925</v>
      </c>
    </row>
    <row r="993" spans="11:15">
      <c r="K993" s="1664">
        <v>43050</v>
      </c>
      <c r="L993" s="1665"/>
      <c r="M993" s="1666">
        <v>0</v>
      </c>
      <c r="N993" s="1667">
        <v>1.3826301868143787</v>
      </c>
      <c r="O993" s="1667">
        <v>1.4224001339202925</v>
      </c>
    </row>
    <row r="994" spans="11:15">
      <c r="K994" s="1664">
        <v>43051</v>
      </c>
      <c r="L994" s="1665"/>
      <c r="M994" s="1666">
        <v>0</v>
      </c>
      <c r="N994" s="1667">
        <v>1.3826301868143787</v>
      </c>
      <c r="O994" s="1667">
        <v>1.4224001339202925</v>
      </c>
    </row>
    <row r="995" spans="11:15">
      <c r="K995" s="1664">
        <v>43052</v>
      </c>
      <c r="L995" s="1665" t="s">
        <v>2296</v>
      </c>
      <c r="M995" s="1666">
        <v>2.8333000000000001E-2</v>
      </c>
      <c r="N995" s="1667">
        <v>1.3830219274252089</v>
      </c>
      <c r="O995" s="1667">
        <v>1.4231473349346422</v>
      </c>
    </row>
    <row r="996" spans="11:15">
      <c r="K996" s="1664">
        <v>43053</v>
      </c>
      <c r="L996" s="1665" t="s">
        <v>2296</v>
      </c>
      <c r="M996" s="1666">
        <v>2.8333000000000001E-2</v>
      </c>
      <c r="N996" s="1667">
        <v>1.3834137790279064</v>
      </c>
      <c r="O996" s="1667">
        <v>1.4238949284611566</v>
      </c>
    </row>
    <row r="997" spans="11:15">
      <c r="K997" s="1664">
        <v>43054</v>
      </c>
      <c r="L997" s="1665"/>
      <c r="M997" s="1666">
        <v>0</v>
      </c>
      <c r="N997" s="1667">
        <v>1.3834137790279064</v>
      </c>
      <c r="O997" s="1667">
        <v>1.4238949284611566</v>
      </c>
    </row>
    <row r="998" spans="11:15">
      <c r="K998" s="1664">
        <v>43055</v>
      </c>
      <c r="L998" s="1665" t="s">
        <v>2296</v>
      </c>
      <c r="M998" s="1666">
        <v>2.8333000000000001E-2</v>
      </c>
      <c r="N998" s="1667">
        <v>1.3838057416539185</v>
      </c>
      <c r="O998" s="1667">
        <v>1.4246429147060264</v>
      </c>
    </row>
    <row r="999" spans="11:15">
      <c r="K999" s="1664">
        <v>43056</v>
      </c>
      <c r="L999" s="1665" t="s">
        <v>2296</v>
      </c>
      <c r="M999" s="1666">
        <v>2.8333000000000001E-2</v>
      </c>
      <c r="N999" s="1667">
        <v>1.3841978153347012</v>
      </c>
      <c r="O999" s="1667">
        <v>1.4253912938755506</v>
      </c>
    </row>
    <row r="1000" spans="11:15">
      <c r="K1000" s="1664">
        <v>43057</v>
      </c>
      <c r="L1000" s="1665"/>
      <c r="M1000" s="1666">
        <v>0</v>
      </c>
      <c r="N1000" s="1667">
        <v>1.3841978153347012</v>
      </c>
      <c r="O1000" s="1667">
        <v>1.4253912938755506</v>
      </c>
    </row>
    <row r="1001" spans="11:15">
      <c r="K1001" s="1664">
        <v>43058</v>
      </c>
      <c r="L1001" s="1665"/>
      <c r="M1001" s="1666">
        <v>0</v>
      </c>
      <c r="N1001" s="1667">
        <v>1.3841978153347012</v>
      </c>
      <c r="O1001" s="1667">
        <v>1.4253912938755506</v>
      </c>
    </row>
    <row r="1002" spans="11:15">
      <c r="K1002" s="1664">
        <v>43059</v>
      </c>
      <c r="L1002" s="1665" t="s">
        <v>2296</v>
      </c>
      <c r="M1002" s="1666">
        <v>2.8333000000000001E-2</v>
      </c>
      <c r="N1002" s="1667">
        <v>1.38459000010172</v>
      </c>
      <c r="O1002" s="1667">
        <v>1.4261400661761363</v>
      </c>
    </row>
    <row r="1003" spans="11:15">
      <c r="K1003" s="1664">
        <v>43060</v>
      </c>
      <c r="L1003" s="1665" t="s">
        <v>2296</v>
      </c>
      <c r="M1003" s="1666">
        <v>2.8333000000000001E-2</v>
      </c>
      <c r="N1003" s="1667">
        <v>1.3849822959864488</v>
      </c>
      <c r="O1003" s="1667">
        <v>1.4268892318142994</v>
      </c>
    </row>
    <row r="1004" spans="11:15">
      <c r="K1004" s="1664">
        <v>43061</v>
      </c>
      <c r="L1004" s="1665" t="s">
        <v>2296</v>
      </c>
      <c r="M1004" s="1666">
        <v>2.8333000000000001E-2</v>
      </c>
      <c r="N1004" s="1667">
        <v>1.3853747030203707</v>
      </c>
      <c r="O1004" s="1667">
        <v>1.4276387909966637</v>
      </c>
    </row>
    <row r="1005" spans="11:15">
      <c r="K1005" s="1664">
        <v>43062</v>
      </c>
      <c r="L1005" s="1665" t="s">
        <v>2296</v>
      </c>
      <c r="M1005" s="1666">
        <v>2.8333000000000001E-2</v>
      </c>
      <c r="N1005" s="1667">
        <v>1.3857672212349774</v>
      </c>
      <c r="O1005" s="1667">
        <v>1.4283887439299621</v>
      </c>
    </row>
    <row r="1006" spans="11:15">
      <c r="K1006" s="1664">
        <v>43063</v>
      </c>
      <c r="L1006" s="1665" t="s">
        <v>2296</v>
      </c>
      <c r="M1006" s="1666">
        <v>2.8333000000000001E-2</v>
      </c>
      <c r="N1006" s="1667">
        <v>1.3861598506617701</v>
      </c>
      <c r="O1006" s="1667">
        <v>1.429139090821036</v>
      </c>
    </row>
    <row r="1007" spans="11:15">
      <c r="K1007" s="1664">
        <v>43064</v>
      </c>
      <c r="L1007" s="1665"/>
      <c r="M1007" s="1666">
        <v>0</v>
      </c>
      <c r="N1007" s="1667">
        <v>1.3861598506617701</v>
      </c>
      <c r="O1007" s="1667">
        <v>1.429139090821036</v>
      </c>
    </row>
    <row r="1008" spans="11:15">
      <c r="K1008" s="1664">
        <v>43065</v>
      </c>
      <c r="L1008" s="1665"/>
      <c r="M1008" s="1666">
        <v>0</v>
      </c>
      <c r="N1008" s="1667">
        <v>1.3861598506617701</v>
      </c>
      <c r="O1008" s="1667">
        <v>1.429139090821036</v>
      </c>
    </row>
    <row r="1009" spans="11:15">
      <c r="K1009" s="1664">
        <v>43066</v>
      </c>
      <c r="L1009" s="1665" t="s">
        <v>2296</v>
      </c>
      <c r="M1009" s="1666">
        <v>2.8333000000000001E-2</v>
      </c>
      <c r="N1009" s="1667">
        <v>1.3865525913322581</v>
      </c>
      <c r="O1009" s="1667">
        <v>1.4298898318768352</v>
      </c>
    </row>
    <row r="1010" spans="11:15">
      <c r="K1010" s="1664">
        <v>43067</v>
      </c>
      <c r="L1010" s="1665" t="s">
        <v>2296</v>
      </c>
      <c r="M1010" s="1666">
        <v>2.8333000000000001E-2</v>
      </c>
      <c r="N1010" s="1667">
        <v>1.3869454432779602</v>
      </c>
      <c r="O1010" s="1667">
        <v>1.4306409673044185</v>
      </c>
    </row>
    <row r="1011" spans="11:15">
      <c r="K1011" s="1664">
        <v>43068</v>
      </c>
      <c r="L1011" s="1665" t="s">
        <v>2296</v>
      </c>
      <c r="M1011" s="1666">
        <v>2.8333000000000001E-2</v>
      </c>
      <c r="N1011" s="1667">
        <v>1.3873384065304042</v>
      </c>
      <c r="O1011" s="1667">
        <v>1.4313924973109531</v>
      </c>
    </row>
    <row r="1012" spans="11:15">
      <c r="K1012" s="1664">
        <v>43069</v>
      </c>
      <c r="L1012" s="1665" t="s">
        <v>2296</v>
      </c>
      <c r="M1012" s="1666">
        <v>2.8333000000000001E-2</v>
      </c>
      <c r="N1012" s="1667">
        <v>1.3877314811211265</v>
      </c>
      <c r="O1012" s="1667">
        <v>1.4321444221037154</v>
      </c>
    </row>
    <row r="1013" spans="11:15">
      <c r="K1013" s="1664">
        <v>43070</v>
      </c>
      <c r="L1013" s="1665" t="s">
        <v>2296</v>
      </c>
      <c r="M1013" s="1666">
        <v>2.8333000000000001E-2</v>
      </c>
      <c r="N1013" s="1667">
        <v>1.3881246670816727</v>
      </c>
      <c r="O1013" s="1667">
        <v>1.4328967418900906</v>
      </c>
    </row>
    <row r="1014" spans="11:15">
      <c r="K1014" s="1664">
        <v>43071</v>
      </c>
      <c r="L1014" s="1665"/>
      <c r="M1014" s="1666">
        <v>0</v>
      </c>
      <c r="N1014" s="1667">
        <v>1.3881246670816727</v>
      </c>
      <c r="O1014" s="1667">
        <v>1.4328967418900906</v>
      </c>
    </row>
    <row r="1015" spans="11:15">
      <c r="K1015" s="1664">
        <v>43072</v>
      </c>
      <c r="L1015" s="1665"/>
      <c r="M1015" s="1666">
        <v>0</v>
      </c>
      <c r="N1015" s="1667">
        <v>1.3881246670816727</v>
      </c>
      <c r="O1015" s="1667">
        <v>1.4328967418900906</v>
      </c>
    </row>
    <row r="1016" spans="11:15">
      <c r="K1016" s="1664">
        <v>43073</v>
      </c>
      <c r="L1016" s="1665" t="s">
        <v>2296</v>
      </c>
      <c r="M1016" s="1666">
        <v>2.8333000000000001E-2</v>
      </c>
      <c r="N1016" s="1667">
        <v>1.388517964443597</v>
      </c>
      <c r="O1016" s="1667">
        <v>1.4336494568775728</v>
      </c>
    </row>
    <row r="1017" spans="11:15">
      <c r="K1017" s="1664">
        <v>43074</v>
      </c>
      <c r="L1017" s="1665" t="s">
        <v>2296</v>
      </c>
      <c r="M1017" s="1666">
        <v>2.8333000000000001E-2</v>
      </c>
      <c r="N1017" s="1667">
        <v>1.3889113732384628</v>
      </c>
      <c r="O1017" s="1667">
        <v>1.4344025672737652</v>
      </c>
    </row>
    <row r="1018" spans="11:15">
      <c r="K1018" s="1664">
        <v>43075</v>
      </c>
      <c r="L1018" s="1665" t="s">
        <v>2296</v>
      </c>
      <c r="M1018" s="1666">
        <v>2.8333000000000001E-2</v>
      </c>
      <c r="N1018" s="1667">
        <v>1.3893048934978425</v>
      </c>
      <c r="O1018" s="1667">
        <v>1.4351560732863797</v>
      </c>
    </row>
    <row r="1019" spans="11:15">
      <c r="K1019" s="1664">
        <v>43076</v>
      </c>
      <c r="L1019" s="1665" t="s">
        <v>2296</v>
      </c>
      <c r="M1019" s="1666">
        <v>2.6481000000000001E-2</v>
      </c>
      <c r="N1019" s="1667">
        <v>1.3896727953266896</v>
      </c>
      <c r="O1019" s="1667">
        <v>1.4359099751232378</v>
      </c>
    </row>
    <row r="1020" spans="11:15">
      <c r="K1020" s="1664">
        <v>43077</v>
      </c>
      <c r="L1020" s="1665" t="s">
        <v>2296</v>
      </c>
      <c r="M1020" s="1666">
        <v>2.6481000000000001E-2</v>
      </c>
      <c r="N1020" s="1667">
        <v>1.39004079457962</v>
      </c>
      <c r="O1020" s="1667">
        <v>1.4366642729922698</v>
      </c>
    </row>
    <row r="1021" spans="11:15">
      <c r="K1021" s="1664">
        <v>43078</v>
      </c>
      <c r="L1021" s="1665"/>
      <c r="M1021" s="1666">
        <v>0</v>
      </c>
      <c r="N1021" s="1667">
        <v>1.39004079457962</v>
      </c>
      <c r="O1021" s="1667">
        <v>1.4366642729922698</v>
      </c>
    </row>
    <row r="1022" spans="11:15">
      <c r="K1022" s="1664">
        <v>43079</v>
      </c>
      <c r="L1022" s="1665"/>
      <c r="M1022" s="1666">
        <v>0</v>
      </c>
      <c r="N1022" s="1667">
        <v>1.39004079457962</v>
      </c>
      <c r="O1022" s="1667">
        <v>1.4366642729922698</v>
      </c>
    </row>
    <row r="1023" spans="11:15">
      <c r="K1023" s="1664">
        <v>43080</v>
      </c>
      <c r="L1023" s="1665" t="s">
        <v>2296</v>
      </c>
      <c r="M1023" s="1666">
        <v>2.6481000000000001E-2</v>
      </c>
      <c r="N1023" s="1667">
        <v>1.3904088912824326</v>
      </c>
      <c r="O1023" s="1667">
        <v>1.4374189671015154</v>
      </c>
    </row>
    <row r="1024" spans="11:15">
      <c r="K1024" s="1664">
        <v>43081</v>
      </c>
      <c r="L1024" s="1665" t="s">
        <v>2296</v>
      </c>
      <c r="M1024" s="1666">
        <v>2.6481000000000001E-2</v>
      </c>
      <c r="N1024" s="1667">
        <v>1.3907770854609331</v>
      </c>
      <c r="O1024" s="1667">
        <v>1.4381740576591235</v>
      </c>
    </row>
    <row r="1025" spans="11:15">
      <c r="K1025" s="1664">
        <v>43082</v>
      </c>
      <c r="L1025" s="1665" t="s">
        <v>2296</v>
      </c>
      <c r="M1025" s="1666">
        <v>2.6481000000000001E-2</v>
      </c>
      <c r="N1025" s="1667">
        <v>1.3911453771409341</v>
      </c>
      <c r="O1025" s="1667">
        <v>1.4389295448733526</v>
      </c>
    </row>
    <row r="1026" spans="11:15">
      <c r="K1026" s="1664">
        <v>43083</v>
      </c>
      <c r="L1026" s="1665" t="s">
        <v>2296</v>
      </c>
      <c r="M1026" s="1666">
        <v>2.6481000000000001E-2</v>
      </c>
      <c r="N1026" s="1667">
        <v>1.3915137663482549</v>
      </c>
      <c r="O1026" s="1667">
        <v>1.43968542895257</v>
      </c>
    </row>
    <row r="1027" spans="11:15">
      <c r="K1027" s="1664">
        <v>43084</v>
      </c>
      <c r="L1027" s="1665" t="s">
        <v>2296</v>
      </c>
      <c r="M1027" s="1666">
        <v>2.6481000000000001E-2</v>
      </c>
      <c r="N1027" s="1667">
        <v>1.3918822531087216</v>
      </c>
      <c r="O1027" s="1667">
        <v>1.4404417101052531</v>
      </c>
    </row>
    <row r="1028" spans="11:15">
      <c r="K1028" s="1664">
        <v>43085</v>
      </c>
      <c r="L1028" s="1665"/>
      <c r="M1028" s="1666">
        <v>0</v>
      </c>
      <c r="N1028" s="1667">
        <v>1.3918822531087216</v>
      </c>
      <c r="O1028" s="1667">
        <v>1.4404417101052531</v>
      </c>
    </row>
    <row r="1029" spans="11:15">
      <c r="K1029" s="1664">
        <v>43086</v>
      </c>
      <c r="L1029" s="1665"/>
      <c r="M1029" s="1666">
        <v>0</v>
      </c>
      <c r="N1029" s="1667">
        <v>1.3918822531087216</v>
      </c>
      <c r="O1029" s="1667">
        <v>1.4404417101052531</v>
      </c>
    </row>
    <row r="1030" spans="11:15">
      <c r="K1030" s="1664">
        <v>43087</v>
      </c>
      <c r="L1030" s="1665" t="s">
        <v>2296</v>
      </c>
      <c r="M1030" s="1666">
        <v>2.6481000000000001E-2</v>
      </c>
      <c r="N1030" s="1667">
        <v>1.3922508374481672</v>
      </c>
      <c r="O1030" s="1667">
        <v>1.4411983885399886</v>
      </c>
    </row>
    <row r="1031" spans="11:15">
      <c r="K1031" s="1664">
        <v>43088</v>
      </c>
      <c r="L1031" s="1665" t="s">
        <v>2296</v>
      </c>
      <c r="M1031" s="1666">
        <v>2.6481000000000001E-2</v>
      </c>
      <c r="N1031" s="1667">
        <v>1.392619519392432</v>
      </c>
      <c r="O1031" s="1667">
        <v>1.4419554644654726</v>
      </c>
    </row>
    <row r="1032" spans="11:15">
      <c r="K1032" s="1664">
        <v>43089</v>
      </c>
      <c r="L1032" s="1665" t="s">
        <v>2296</v>
      </c>
      <c r="M1032" s="1666">
        <v>2.6481000000000001E-2</v>
      </c>
      <c r="N1032" s="1667">
        <v>1.3929882989673623</v>
      </c>
      <c r="O1032" s="1667">
        <v>1.442712938090511</v>
      </c>
    </row>
    <row r="1033" spans="11:15">
      <c r="K1033" s="1664">
        <v>43090</v>
      </c>
      <c r="L1033" s="1665" t="s">
        <v>2296</v>
      </c>
      <c r="M1033" s="1666">
        <v>2.6481000000000001E-2</v>
      </c>
      <c r="N1033" s="1667">
        <v>1.3933571761988119</v>
      </c>
      <c r="O1033" s="1667">
        <v>1.4434708096240194</v>
      </c>
    </row>
    <row r="1034" spans="11:15">
      <c r="K1034" s="1664">
        <v>43091</v>
      </c>
      <c r="L1034" s="1665" t="s">
        <v>2296</v>
      </c>
      <c r="M1034" s="1666">
        <v>2.6481000000000001E-2</v>
      </c>
      <c r="N1034" s="1667">
        <v>1.3937261511126411</v>
      </c>
      <c r="O1034" s="1667">
        <v>1.444229079275023</v>
      </c>
    </row>
    <row r="1035" spans="11:15">
      <c r="K1035" s="1664">
        <v>43092</v>
      </c>
      <c r="L1035" s="1665"/>
      <c r="M1035" s="1666">
        <v>0</v>
      </c>
      <c r="N1035" s="1667">
        <v>1.3937261511126411</v>
      </c>
      <c r="O1035" s="1667">
        <v>1.444229079275023</v>
      </c>
    </row>
    <row r="1036" spans="11:15">
      <c r="K1036" s="1664">
        <v>43093</v>
      </c>
      <c r="L1036" s="1665"/>
      <c r="M1036" s="1666">
        <v>0</v>
      </c>
      <c r="N1036" s="1667">
        <v>1.3937261511126411</v>
      </c>
      <c r="O1036" s="1667">
        <v>1.444229079275023</v>
      </c>
    </row>
    <row r="1037" spans="11:15">
      <c r="K1037" s="1664">
        <v>43094</v>
      </c>
      <c r="L1037" s="1665"/>
      <c r="M1037" s="1666">
        <v>0</v>
      </c>
      <c r="N1037" s="1667">
        <v>1.3937261511126411</v>
      </c>
      <c r="O1037" s="1667">
        <v>1.444229079275023</v>
      </c>
    </row>
    <row r="1038" spans="11:15">
      <c r="K1038" s="1664">
        <v>43095</v>
      </c>
      <c r="L1038" s="1665" t="s">
        <v>2296</v>
      </c>
      <c r="M1038" s="1666">
        <v>2.6481000000000001E-2</v>
      </c>
      <c r="N1038" s="1667">
        <v>1.3940952237347173</v>
      </c>
      <c r="O1038" s="1667">
        <v>1.4449877472526569</v>
      </c>
    </row>
    <row r="1039" spans="11:15">
      <c r="K1039" s="1664">
        <v>43096</v>
      </c>
      <c r="L1039" s="1665" t="s">
        <v>2296</v>
      </c>
      <c r="M1039" s="1666">
        <v>2.6481000000000001E-2</v>
      </c>
      <c r="N1039" s="1667">
        <v>1.3944643940909145</v>
      </c>
      <c r="O1039" s="1667">
        <v>1.4457468137661662</v>
      </c>
    </row>
    <row r="1040" spans="11:15">
      <c r="K1040" s="1664">
        <v>43097</v>
      </c>
      <c r="L1040" s="1665" t="s">
        <v>2296</v>
      </c>
      <c r="M1040" s="1666">
        <v>2.6481000000000001E-2</v>
      </c>
      <c r="N1040" s="1667">
        <v>1.3948336622071138</v>
      </c>
      <c r="O1040" s="1667">
        <v>1.4465062790249057</v>
      </c>
    </row>
    <row r="1041" spans="11:15">
      <c r="K1041" s="1664">
        <v>43098</v>
      </c>
      <c r="L1041" s="1665" t="s">
        <v>2296</v>
      </c>
      <c r="M1041" s="1666">
        <v>2.6481000000000001E-2</v>
      </c>
      <c r="N1041" s="1667">
        <v>1.3952030281092029</v>
      </c>
      <c r="O1041" s="1667">
        <v>1.4472661432383402</v>
      </c>
    </row>
    <row r="1042" spans="11:15">
      <c r="K1042" s="1664">
        <v>43099</v>
      </c>
      <c r="L1042" s="1665"/>
      <c r="M1042" s="1666">
        <v>0</v>
      </c>
      <c r="N1042" s="1667">
        <v>1.3952030281092029</v>
      </c>
      <c r="O1042" s="1667">
        <v>1.4472661432383402</v>
      </c>
    </row>
    <row r="1043" spans="11:15">
      <c r="K1043" s="1664">
        <v>43100</v>
      </c>
      <c r="L1043" s="1665"/>
      <c r="M1043" s="1666">
        <v>0</v>
      </c>
      <c r="N1043" s="1667">
        <v>1.3952030281092029</v>
      </c>
      <c r="O1043" s="1667">
        <v>1.4472661432383402</v>
      </c>
    </row>
    <row r="1044" spans="11:15">
      <c r="K1044" s="1664">
        <v>43101</v>
      </c>
      <c r="L1044" s="1665"/>
      <c r="M1044" s="1666">
        <v>0</v>
      </c>
      <c r="N1044" s="1667">
        <v>1.3952030281092029</v>
      </c>
      <c r="O1044" s="1667">
        <v>1.4472661432383402</v>
      </c>
    </row>
    <row r="1045" spans="11:15">
      <c r="K1045" s="1664">
        <v>43102</v>
      </c>
      <c r="L1045" s="1665" t="s">
        <v>2296</v>
      </c>
      <c r="M1045" s="1666">
        <v>2.6481000000000001E-2</v>
      </c>
      <c r="N1045" s="1667">
        <v>1.3955724918230765</v>
      </c>
      <c r="O1045" s="1667"/>
    </row>
    <row r="1046" spans="11:15">
      <c r="K1046" s="1664">
        <v>43103</v>
      </c>
      <c r="L1046" s="1665" t="s">
        <v>2296</v>
      </c>
      <c r="M1046" s="1666">
        <v>2.6481000000000001E-2</v>
      </c>
      <c r="N1046" s="1667">
        <v>1.3959420533746363</v>
      </c>
      <c r="O1046" s="1667"/>
    </row>
    <row r="1047" spans="11:15">
      <c r="K1047" s="1664">
        <v>43104</v>
      </c>
      <c r="L1047" s="1665" t="s">
        <v>2296</v>
      </c>
      <c r="M1047" s="1666">
        <v>2.6481000000000001E-2</v>
      </c>
      <c r="N1047" s="1667">
        <v>1.3963117127897904</v>
      </c>
      <c r="O1047" s="1667"/>
    </row>
    <row r="1048" spans="11:15">
      <c r="K1048" s="1664">
        <v>43105</v>
      </c>
      <c r="L1048" s="1665" t="s">
        <v>2296</v>
      </c>
      <c r="M1048" s="1666">
        <v>2.6481000000000001E-2</v>
      </c>
      <c r="N1048" s="1667">
        <v>1.3966814700944543</v>
      </c>
      <c r="O1048" s="1667"/>
    </row>
    <row r="1049" spans="11:15">
      <c r="K1049" s="1664">
        <v>43106</v>
      </c>
      <c r="L1049" s="1665"/>
      <c r="M1049" s="1666">
        <v>0</v>
      </c>
      <c r="N1049" s="1667">
        <v>1.3966814700944543</v>
      </c>
      <c r="O1049" s="1667"/>
    </row>
    <row r="1050" spans="11:15">
      <c r="K1050" s="1664">
        <v>43107</v>
      </c>
      <c r="L1050" s="1665"/>
      <c r="M1050" s="1666">
        <v>0</v>
      </c>
      <c r="N1050" s="1667">
        <v>1.3966814700944543</v>
      </c>
      <c r="O1050" s="1667"/>
    </row>
    <row r="1051" spans="11:15">
      <c r="K1051" s="1664">
        <v>43108</v>
      </c>
      <c r="L1051" s="1665" t="s">
        <v>2296</v>
      </c>
      <c r="M1051" s="1666">
        <v>2.6481000000000001E-2</v>
      </c>
      <c r="N1051" s="1667">
        <v>1.39705132531455</v>
      </c>
      <c r="O1051" s="1667"/>
    </row>
    <row r="1052" spans="11:15">
      <c r="K1052" s="1664">
        <v>43109</v>
      </c>
      <c r="L1052" s="1665" t="s">
        <v>2296</v>
      </c>
      <c r="M1052" s="1666">
        <v>2.6481000000000001E-2</v>
      </c>
      <c r="N1052" s="1667">
        <v>1.3974212784760065</v>
      </c>
      <c r="O1052" s="1667"/>
    </row>
    <row r="1053" spans="11:15">
      <c r="K1053" s="1664">
        <v>43110</v>
      </c>
      <c r="L1053" s="1665" t="s">
        <v>2296</v>
      </c>
      <c r="M1053" s="1666">
        <v>2.6481000000000001E-2</v>
      </c>
      <c r="N1053" s="1667">
        <v>1.3977913296047597</v>
      </c>
      <c r="O1053" s="1667"/>
    </row>
    <row r="1054" spans="11:15">
      <c r="K1054" s="1664">
        <v>43111</v>
      </c>
      <c r="L1054" s="1665" t="s">
        <v>2296</v>
      </c>
      <c r="M1054" s="1666">
        <v>2.6481000000000001E-2</v>
      </c>
      <c r="N1054" s="1667">
        <v>1.3981614787267524</v>
      </c>
      <c r="O1054" s="1667"/>
    </row>
    <row r="1055" spans="11:15">
      <c r="K1055" s="1664">
        <v>43112</v>
      </c>
      <c r="L1055" s="1665" t="s">
        <v>2296</v>
      </c>
      <c r="M1055" s="1666">
        <v>2.6481000000000001E-2</v>
      </c>
      <c r="N1055" s="1667">
        <v>1.3985317258679342</v>
      </c>
      <c r="O1055" s="1667"/>
    </row>
    <row r="1056" spans="11:15">
      <c r="K1056" s="1664">
        <v>43113</v>
      </c>
      <c r="L1056" s="1665"/>
      <c r="M1056" s="1666">
        <v>0</v>
      </c>
      <c r="N1056" s="1667">
        <v>1.3985317258679342</v>
      </c>
      <c r="O1056" s="1667"/>
    </row>
    <row r="1057" spans="11:15">
      <c r="K1057" s="1664">
        <v>43114</v>
      </c>
      <c r="L1057" s="1665"/>
      <c r="M1057" s="1666">
        <v>0</v>
      </c>
      <c r="N1057" s="1667">
        <v>1.3985317258679342</v>
      </c>
      <c r="O1057" s="1667"/>
    </row>
    <row r="1058" spans="11:15">
      <c r="K1058" s="1664">
        <v>43115</v>
      </c>
      <c r="L1058" s="1665" t="s">
        <v>2296</v>
      </c>
      <c r="M1058" s="1666">
        <v>2.6481000000000001E-2</v>
      </c>
      <c r="N1058" s="1667">
        <v>1.3989020710542612</v>
      </c>
      <c r="O1058" s="1667"/>
    </row>
    <row r="1059" spans="11:15">
      <c r="K1059" s="1664">
        <v>43116</v>
      </c>
      <c r="L1059" s="1665" t="s">
        <v>2296</v>
      </c>
      <c r="M1059" s="1666">
        <v>2.6481000000000001E-2</v>
      </c>
      <c r="N1059" s="1667">
        <v>1.3992725143116971</v>
      </c>
      <c r="O1059" s="1667"/>
    </row>
    <row r="1060" spans="11:15">
      <c r="K1060" s="1664">
        <v>43117</v>
      </c>
      <c r="L1060" s="1665" t="s">
        <v>2296</v>
      </c>
      <c r="M1060" s="1666">
        <v>2.6481000000000001E-2</v>
      </c>
      <c r="N1060" s="1667">
        <v>1.3996430556662121</v>
      </c>
      <c r="O1060" s="1667"/>
    </row>
    <row r="1061" spans="11:15">
      <c r="K1061" s="1664">
        <v>43118</v>
      </c>
      <c r="L1061" s="1665" t="s">
        <v>2296</v>
      </c>
      <c r="M1061" s="1666">
        <v>2.6481000000000001E-2</v>
      </c>
      <c r="N1061" s="1667">
        <v>1.4000136951437829</v>
      </c>
      <c r="O1061" s="1667"/>
    </row>
    <row r="1062" spans="11:15">
      <c r="K1062" s="1664">
        <v>43119</v>
      </c>
      <c r="L1062" s="1665" t="s">
        <v>2296</v>
      </c>
      <c r="M1062" s="1666">
        <v>2.6481000000000001E-2</v>
      </c>
      <c r="N1062" s="1667">
        <v>1.400384432770394</v>
      </c>
      <c r="O1062" s="1667"/>
    </row>
    <row r="1063" spans="11:15">
      <c r="K1063" s="1664">
        <v>43120</v>
      </c>
      <c r="L1063" s="1665"/>
      <c r="M1063" s="1666">
        <v>0</v>
      </c>
      <c r="N1063" s="1667">
        <v>1.400384432770394</v>
      </c>
      <c r="O1063" s="1667"/>
    </row>
    <row r="1064" spans="11:15">
      <c r="K1064" s="1664">
        <v>43121</v>
      </c>
      <c r="L1064" s="1665"/>
      <c r="M1064" s="1666">
        <v>0</v>
      </c>
      <c r="N1064" s="1667">
        <v>1.400384432770394</v>
      </c>
      <c r="O1064" s="1667"/>
    </row>
    <row r="1065" spans="11:15">
      <c r="K1065" s="1664">
        <v>43122</v>
      </c>
      <c r="L1065" s="1665" t="s">
        <v>2296</v>
      </c>
      <c r="M1065" s="1666">
        <v>2.6481000000000001E-2</v>
      </c>
      <c r="N1065" s="1667">
        <v>1.4007552685720359</v>
      </c>
      <c r="O1065" s="1667"/>
    </row>
    <row r="1066" spans="11:15">
      <c r="K1066" s="1664">
        <v>43123</v>
      </c>
      <c r="L1066" s="1665" t="s">
        <v>2296</v>
      </c>
      <c r="M1066" s="1666">
        <v>2.6481000000000001E-2</v>
      </c>
      <c r="N1066" s="1667">
        <v>1.4011262025747064</v>
      </c>
      <c r="O1066" s="1667"/>
    </row>
    <row r="1067" spans="11:15">
      <c r="K1067" s="1664">
        <v>43124</v>
      </c>
      <c r="L1067" s="1665" t="s">
        <v>2296</v>
      </c>
      <c r="M1067" s="1666">
        <v>2.6481000000000001E-2</v>
      </c>
      <c r="N1067" s="1667">
        <v>1.4014972348044104</v>
      </c>
      <c r="O1067" s="1667"/>
    </row>
    <row r="1068" spans="11:15">
      <c r="K1068" s="1664">
        <v>43125</v>
      </c>
      <c r="L1068" s="1665" t="s">
        <v>2296</v>
      </c>
      <c r="M1068" s="1666">
        <v>2.6481000000000001E-2</v>
      </c>
      <c r="N1068" s="1667">
        <v>1.4018683652871589</v>
      </c>
      <c r="O1068" s="1667"/>
    </row>
    <row r="1069" spans="11:15">
      <c r="K1069" s="1664">
        <v>43126</v>
      </c>
      <c r="L1069" s="1665" t="s">
        <v>2296</v>
      </c>
      <c r="M1069" s="1666">
        <v>2.6481000000000001E-2</v>
      </c>
      <c r="N1069" s="1667">
        <v>1.4022395940489705</v>
      </c>
      <c r="O1069" s="1667"/>
    </row>
    <row r="1070" spans="11:15">
      <c r="K1070" s="1664">
        <v>43127</v>
      </c>
      <c r="L1070" s="1665"/>
      <c r="M1070" s="1666">
        <v>0</v>
      </c>
      <c r="N1070" s="1667">
        <v>1.4022395940489705</v>
      </c>
      <c r="O1070" s="1667"/>
    </row>
    <row r="1071" spans="11:15">
      <c r="K1071" s="1664">
        <v>43128</v>
      </c>
      <c r="L1071" s="1665"/>
      <c r="M1071" s="1666">
        <v>0</v>
      </c>
      <c r="N1071" s="1667">
        <v>1.4022395940489705</v>
      </c>
      <c r="O1071" s="1667"/>
    </row>
    <row r="1072" spans="11:15">
      <c r="K1072" s="1664">
        <v>43129</v>
      </c>
      <c r="L1072" s="1665" t="s">
        <v>2296</v>
      </c>
      <c r="M1072" s="1666">
        <v>2.6481000000000001E-2</v>
      </c>
      <c r="N1072" s="1667">
        <v>1.4026109211158706</v>
      </c>
      <c r="O1072" s="1667"/>
    </row>
    <row r="1073" spans="11:15">
      <c r="K1073" s="1664">
        <v>43130</v>
      </c>
      <c r="L1073" s="1665" t="s">
        <v>2296</v>
      </c>
      <c r="M1073" s="1666">
        <v>2.6481000000000001E-2</v>
      </c>
      <c r="N1073" s="1667">
        <v>1.4029823465138913</v>
      </c>
      <c r="O1073" s="1667"/>
    </row>
    <row r="1074" spans="11:15">
      <c r="K1074" s="1664">
        <v>43131</v>
      </c>
      <c r="L1074" s="1665" t="s">
        <v>2296</v>
      </c>
      <c r="M1074" s="1666">
        <v>2.6481000000000001E-2</v>
      </c>
      <c r="N1074" s="1667">
        <v>1.4033538702690718</v>
      </c>
      <c r="O1074" s="1667"/>
    </row>
    <row r="1075" spans="11:15">
      <c r="K1075" s="1664">
        <v>43132</v>
      </c>
      <c r="L1075" s="1665" t="s">
        <v>2296</v>
      </c>
      <c r="M1075" s="1666">
        <v>2.6481000000000001E-2</v>
      </c>
      <c r="N1075" s="1667">
        <v>1.4037254924074578</v>
      </c>
      <c r="O1075" s="1667"/>
    </row>
    <row r="1076" spans="11:15">
      <c r="K1076" s="1664">
        <v>43133</v>
      </c>
      <c r="L1076" s="1665" t="s">
        <v>2296</v>
      </c>
      <c r="M1076" s="1666">
        <v>2.6481000000000001E-2</v>
      </c>
      <c r="N1076" s="1667">
        <v>1.4040972129551021</v>
      </c>
      <c r="O1076" s="1667"/>
    </row>
    <row r="1077" spans="11:15">
      <c r="K1077" s="1664">
        <v>43134</v>
      </c>
      <c r="L1077" s="1665"/>
      <c r="M1077" s="1666">
        <v>0</v>
      </c>
      <c r="N1077" s="1667">
        <v>1.4040972129551021</v>
      </c>
      <c r="O1077" s="1667"/>
    </row>
    <row r="1078" spans="11:15">
      <c r="K1078" s="1664">
        <v>43135</v>
      </c>
      <c r="L1078" s="1665"/>
      <c r="M1078" s="1666">
        <v>0</v>
      </c>
      <c r="N1078" s="1667">
        <v>1.4040972129551021</v>
      </c>
      <c r="O1078" s="1667"/>
    </row>
    <row r="1079" spans="11:15">
      <c r="K1079" s="1664">
        <v>43136</v>
      </c>
      <c r="L1079" s="1665" t="s">
        <v>2296</v>
      </c>
      <c r="M1079" s="1666">
        <v>2.6481000000000001E-2</v>
      </c>
      <c r="N1079" s="1667">
        <v>1.4044690319380648</v>
      </c>
      <c r="O1079" s="1667"/>
    </row>
    <row r="1080" spans="11:15">
      <c r="K1080" s="1664">
        <v>43137</v>
      </c>
      <c r="L1080" s="1665" t="s">
        <v>2296</v>
      </c>
      <c r="M1080" s="1666">
        <v>2.6481000000000001E-2</v>
      </c>
      <c r="N1080" s="1667">
        <v>1.4048409493824123</v>
      </c>
      <c r="O1080" s="1667"/>
    </row>
    <row r="1081" spans="11:15">
      <c r="K1081" s="1664">
        <v>43138</v>
      </c>
      <c r="L1081" s="1665" t="s">
        <v>2296</v>
      </c>
      <c r="M1081" s="1666">
        <v>2.6481000000000001E-2</v>
      </c>
      <c r="N1081" s="1667">
        <v>1.4052129653142182</v>
      </c>
      <c r="O1081" s="1667"/>
    </row>
    <row r="1082" spans="11:15">
      <c r="K1082" s="1664">
        <v>43139</v>
      </c>
      <c r="L1082" s="1665" t="s">
        <v>2296</v>
      </c>
      <c r="M1082" s="1666">
        <v>2.5551999999999998E-2</v>
      </c>
      <c r="N1082" s="1667">
        <v>1.4055720253311155</v>
      </c>
      <c r="O1082" s="1667"/>
    </row>
    <row r="1083" spans="11:15">
      <c r="K1083" s="1664">
        <v>43140</v>
      </c>
      <c r="L1083" s="1665" t="s">
        <v>2296</v>
      </c>
      <c r="M1083" s="1666">
        <v>2.5551999999999998E-2</v>
      </c>
      <c r="N1083" s="1667">
        <v>1.4059311770950282</v>
      </c>
      <c r="O1083" s="1667"/>
    </row>
    <row r="1084" spans="11:15">
      <c r="K1084" s="1664">
        <v>43141</v>
      </c>
      <c r="L1084" s="1665"/>
      <c r="M1084" s="1666">
        <v>0</v>
      </c>
      <c r="N1084" s="1667">
        <v>1.4059311770950282</v>
      </c>
      <c r="O1084" s="1667"/>
    </row>
    <row r="1085" spans="11:15">
      <c r="K1085" s="1664">
        <v>43142</v>
      </c>
      <c r="L1085" s="1665"/>
      <c r="M1085" s="1666">
        <v>0</v>
      </c>
      <c r="N1085" s="1667">
        <v>1.4059311770950282</v>
      </c>
      <c r="O1085" s="1667"/>
    </row>
    <row r="1086" spans="11:15">
      <c r="K1086" s="1664">
        <v>43143</v>
      </c>
      <c r="L1086" s="1665"/>
      <c r="M1086" s="1666">
        <v>0</v>
      </c>
      <c r="N1086" s="1667">
        <v>1.4059311770950282</v>
      </c>
      <c r="O1086" s="1667"/>
    </row>
    <row r="1087" spans="11:15">
      <c r="K1087" s="1664">
        <v>43144</v>
      </c>
      <c r="L1087" s="1665"/>
      <c r="M1087" s="1666">
        <v>0</v>
      </c>
      <c r="N1087" s="1667">
        <v>1.4059311770950282</v>
      </c>
      <c r="O1087" s="1667"/>
    </row>
    <row r="1088" spans="11:15">
      <c r="K1088" s="1664">
        <v>43145</v>
      </c>
      <c r="L1088" s="1665" t="s">
        <v>2296</v>
      </c>
      <c r="M1088" s="1666">
        <v>2.5551999999999998E-2</v>
      </c>
      <c r="N1088" s="1667">
        <v>1.4062904206293996</v>
      </c>
      <c r="O1088" s="1667"/>
    </row>
    <row r="1089" spans="11:15">
      <c r="K1089" s="1664">
        <v>43146</v>
      </c>
      <c r="L1089" s="1665" t="s">
        <v>2296</v>
      </c>
      <c r="M1089" s="1666">
        <v>2.5551999999999998E-2</v>
      </c>
      <c r="N1089" s="1667">
        <v>1.4066497559576789</v>
      </c>
      <c r="O1089" s="1667"/>
    </row>
    <row r="1090" spans="11:15">
      <c r="K1090" s="1664">
        <v>43147</v>
      </c>
      <c r="L1090" s="1665" t="s">
        <v>2296</v>
      </c>
      <c r="M1090" s="1666">
        <v>2.5551999999999998E-2</v>
      </c>
      <c r="N1090" s="1667">
        <v>1.4070091831033213</v>
      </c>
      <c r="O1090" s="1667"/>
    </row>
    <row r="1091" spans="11:15">
      <c r="K1091" s="1664">
        <v>43148</v>
      </c>
      <c r="L1091" s="1665"/>
      <c r="M1091" s="1666">
        <v>0</v>
      </c>
      <c r="N1091" s="1667">
        <v>1.4070091831033213</v>
      </c>
      <c r="O1091" s="1667"/>
    </row>
    <row r="1092" spans="11:15">
      <c r="K1092" s="1664">
        <v>43149</v>
      </c>
      <c r="L1092" s="1665"/>
      <c r="M1092" s="1666">
        <v>0</v>
      </c>
      <c r="N1092" s="1667">
        <v>1.4070091831033213</v>
      </c>
      <c r="O1092" s="1667"/>
    </row>
    <row r="1093" spans="11:15">
      <c r="K1093" s="1664">
        <v>43150</v>
      </c>
      <c r="L1093" s="1665" t="s">
        <v>2296</v>
      </c>
      <c r="M1093" s="1666">
        <v>2.5551999999999998E-2</v>
      </c>
      <c r="N1093" s="1667">
        <v>1.407368702089788</v>
      </c>
      <c r="O1093" s="1667"/>
    </row>
    <row r="1094" spans="11:15">
      <c r="K1094" s="1664">
        <v>43151</v>
      </c>
      <c r="L1094" s="1665" t="s">
        <v>2296</v>
      </c>
      <c r="M1094" s="1666">
        <v>2.5551999999999998E-2</v>
      </c>
      <c r="N1094" s="1667">
        <v>1.407728312940546</v>
      </c>
      <c r="O1094" s="1667"/>
    </row>
    <row r="1095" spans="11:15">
      <c r="K1095" s="1664">
        <v>43152</v>
      </c>
      <c r="L1095" s="1665" t="s">
        <v>2296</v>
      </c>
      <c r="M1095" s="1666">
        <v>2.5551999999999998E-2</v>
      </c>
      <c r="N1095" s="1667">
        <v>1.4080880156790687</v>
      </c>
      <c r="O1095" s="1667"/>
    </row>
    <row r="1096" spans="11:15">
      <c r="K1096" s="1664">
        <v>43153</v>
      </c>
      <c r="L1096" s="1665" t="s">
        <v>2296</v>
      </c>
      <c r="M1096" s="1666">
        <v>2.5551999999999998E-2</v>
      </c>
      <c r="N1096" s="1667">
        <v>1.4084478103288351</v>
      </c>
      <c r="O1096" s="1667"/>
    </row>
    <row r="1097" spans="11:15">
      <c r="K1097" s="1664">
        <v>43154</v>
      </c>
      <c r="L1097" s="1665" t="s">
        <v>2296</v>
      </c>
      <c r="M1097" s="1666">
        <v>2.5551999999999998E-2</v>
      </c>
      <c r="N1097" s="1667">
        <v>1.4088076969133305</v>
      </c>
      <c r="O1097" s="1667"/>
    </row>
    <row r="1098" spans="11:15">
      <c r="K1098" s="1664">
        <v>43155</v>
      </c>
      <c r="L1098" s="1665"/>
      <c r="M1098" s="1666">
        <v>0</v>
      </c>
      <c r="N1098" s="1667">
        <v>1.4088076969133305</v>
      </c>
      <c r="O1098" s="1667"/>
    </row>
    <row r="1099" spans="11:15">
      <c r="K1099" s="1664">
        <v>43156</v>
      </c>
      <c r="L1099" s="1665"/>
      <c r="M1099" s="1666">
        <v>0</v>
      </c>
      <c r="N1099" s="1667">
        <v>1.4088076969133305</v>
      </c>
      <c r="O1099" s="1667"/>
    </row>
    <row r="1100" spans="11:15">
      <c r="K1100" s="1664">
        <v>43157</v>
      </c>
      <c r="L1100" s="1665" t="s">
        <v>2296</v>
      </c>
      <c r="M1100" s="1666">
        <v>2.5551999999999998E-2</v>
      </c>
      <c r="N1100" s="1667">
        <v>1.4091676754560458</v>
      </c>
      <c r="O1100" s="1667"/>
    </row>
    <row r="1101" spans="11:15">
      <c r="K1101" s="1664">
        <v>43158</v>
      </c>
      <c r="L1101" s="1665" t="s">
        <v>2296</v>
      </c>
      <c r="M1101" s="1666">
        <v>2.5551999999999998E-2</v>
      </c>
      <c r="N1101" s="1667">
        <v>1.4095277459804785</v>
      </c>
      <c r="O1101" s="1667"/>
    </row>
    <row r="1102" spans="11:15">
      <c r="K1102" s="1664">
        <v>43159</v>
      </c>
      <c r="L1102" s="1665" t="s">
        <v>2296</v>
      </c>
      <c r="M1102" s="1666">
        <v>2.5551999999999998E-2</v>
      </c>
      <c r="N1102" s="1667">
        <v>1.4098879085101315</v>
      </c>
      <c r="O1102" s="1667"/>
    </row>
    <row r="1103" spans="11:15">
      <c r="K1103" s="1664">
        <v>43160</v>
      </c>
      <c r="L1103" s="1665" t="s">
        <v>2296</v>
      </c>
      <c r="M1103" s="1666">
        <v>2.5551999999999998E-2</v>
      </c>
      <c r="N1103" s="1667">
        <v>1.410248163068514</v>
      </c>
      <c r="O1103" s="1667"/>
    </row>
    <row r="1104" spans="11:15">
      <c r="K1104" s="1664">
        <v>43161</v>
      </c>
      <c r="L1104" s="1665" t="s">
        <v>2296</v>
      </c>
      <c r="M1104" s="1666">
        <v>2.5551999999999998E-2</v>
      </c>
      <c r="N1104" s="1667">
        <v>1.4106085096791414</v>
      </c>
      <c r="O1104" s="1667"/>
    </row>
    <row r="1105" spans="11:15">
      <c r="K1105" s="1664">
        <v>43162</v>
      </c>
      <c r="L1105" s="1665"/>
      <c r="M1105" s="1666">
        <v>0</v>
      </c>
      <c r="N1105" s="1667">
        <v>1.4106085096791414</v>
      </c>
      <c r="O1105" s="1667"/>
    </row>
    <row r="1106" spans="11:15">
      <c r="K1106" s="1664">
        <v>43163</v>
      </c>
      <c r="L1106" s="1665"/>
      <c r="M1106" s="1666">
        <v>0</v>
      </c>
      <c r="N1106" s="1667">
        <v>1.4106085096791414</v>
      </c>
      <c r="O1106" s="1667"/>
    </row>
    <row r="1107" spans="11:15">
      <c r="K1107" s="1664">
        <v>43164</v>
      </c>
      <c r="L1107" s="1665" t="s">
        <v>2296</v>
      </c>
      <c r="M1107" s="1666">
        <v>2.5551999999999998E-2</v>
      </c>
      <c r="N1107" s="1667">
        <v>1.4109689483655348</v>
      </c>
      <c r="O1107" s="1667"/>
    </row>
    <row r="1108" spans="11:15">
      <c r="K1108" s="1664">
        <v>43165</v>
      </c>
      <c r="L1108" s="1665" t="s">
        <v>2296</v>
      </c>
      <c r="M1108" s="1666">
        <v>2.5551999999999998E-2</v>
      </c>
      <c r="N1108" s="1667">
        <v>1.4113294791512212</v>
      </c>
      <c r="O1108" s="1667"/>
    </row>
    <row r="1109" spans="11:15">
      <c r="K1109" s="1664">
        <v>43166</v>
      </c>
      <c r="L1109" s="1665" t="s">
        <v>2296</v>
      </c>
      <c r="M1109" s="1666">
        <v>2.5551999999999998E-2</v>
      </c>
      <c r="N1109" s="1667">
        <v>1.4116901020597341</v>
      </c>
      <c r="O1109" s="1667"/>
    </row>
    <row r="1110" spans="11:15">
      <c r="K1110" s="1664">
        <v>43167</v>
      </c>
      <c r="L1110" s="1665" t="s">
        <v>2296</v>
      </c>
      <c r="M1110" s="1666">
        <v>2.5551999999999998E-2</v>
      </c>
      <c r="N1110" s="1667">
        <v>1.4120508171146124</v>
      </c>
      <c r="O1110" s="1667"/>
    </row>
    <row r="1111" spans="11:15">
      <c r="K1111" s="1664">
        <v>43168</v>
      </c>
      <c r="L1111" s="1665" t="s">
        <v>2296</v>
      </c>
      <c r="M1111" s="1666">
        <v>2.5551999999999998E-2</v>
      </c>
      <c r="N1111" s="1667">
        <v>1.4124116243394016</v>
      </c>
      <c r="O1111" s="1667"/>
    </row>
    <row r="1112" spans="11:15">
      <c r="K1112" s="1664">
        <v>43169</v>
      </c>
      <c r="L1112" s="1665"/>
      <c r="M1112" s="1666">
        <v>0</v>
      </c>
      <c r="N1112" s="1667">
        <v>1.4124116243394016</v>
      </c>
      <c r="O1112" s="1667"/>
    </row>
    <row r="1113" spans="11:15">
      <c r="K1113" s="1664">
        <v>43170</v>
      </c>
      <c r="L1113" s="1665"/>
      <c r="M1113" s="1666">
        <v>0</v>
      </c>
      <c r="N1113" s="1667">
        <v>1.4124116243394016</v>
      </c>
      <c r="O1113" s="1667"/>
    </row>
    <row r="1114" spans="11:15">
      <c r="K1114" s="1664">
        <v>43171</v>
      </c>
      <c r="L1114" s="1665" t="s">
        <v>2296</v>
      </c>
      <c r="M1114" s="1666">
        <v>2.5551999999999998E-2</v>
      </c>
      <c r="N1114" s="1667">
        <v>1.4127725237576529</v>
      </c>
      <c r="O1114" s="1667"/>
    </row>
    <row r="1115" spans="11:15">
      <c r="K1115" s="1664">
        <v>43172</v>
      </c>
      <c r="L1115" s="1665" t="s">
        <v>2296</v>
      </c>
      <c r="M1115" s="1666">
        <v>2.5551999999999998E-2</v>
      </c>
      <c r="N1115" s="1667">
        <v>1.4131335153929236</v>
      </c>
      <c r="O1115" s="1667"/>
    </row>
    <row r="1116" spans="11:15">
      <c r="K1116" s="1664">
        <v>43173</v>
      </c>
      <c r="L1116" s="1665" t="s">
        <v>2296</v>
      </c>
      <c r="M1116" s="1666">
        <v>2.5551999999999998E-2</v>
      </c>
      <c r="N1116" s="1667">
        <v>1.4134945992687769</v>
      </c>
      <c r="O1116" s="1667"/>
    </row>
    <row r="1117" spans="11:15">
      <c r="K1117" s="1664">
        <v>43174</v>
      </c>
      <c r="L1117" s="1665" t="s">
        <v>2296</v>
      </c>
      <c r="M1117" s="1666">
        <v>2.5551999999999998E-2</v>
      </c>
      <c r="N1117" s="1667">
        <v>1.4138557754087822</v>
      </c>
      <c r="O1117" s="1667"/>
    </row>
    <row r="1118" spans="11:15">
      <c r="K1118" s="1664">
        <v>43175</v>
      </c>
      <c r="L1118" s="1665" t="s">
        <v>2296</v>
      </c>
      <c r="M1118" s="1666">
        <v>2.5551999999999998E-2</v>
      </c>
      <c r="N1118" s="1667">
        <v>1.4142170438365147</v>
      </c>
      <c r="O1118" s="1667"/>
    </row>
    <row r="1119" spans="11:15">
      <c r="K1119" s="1664">
        <v>43176</v>
      </c>
      <c r="L1119" s="1665"/>
      <c r="M1119" s="1666">
        <v>0</v>
      </c>
      <c r="N1119" s="1667">
        <v>1.4142170438365147</v>
      </c>
      <c r="O1119" s="1667"/>
    </row>
    <row r="1120" spans="11:15">
      <c r="K1120" s="1664">
        <v>43177</v>
      </c>
      <c r="L1120" s="1665"/>
      <c r="M1120" s="1666">
        <v>0</v>
      </c>
      <c r="N1120" s="1667">
        <v>1.4142170438365147</v>
      </c>
      <c r="O1120" s="1667"/>
    </row>
    <row r="1121" spans="11:15">
      <c r="K1121" s="1664">
        <v>43178</v>
      </c>
      <c r="L1121" s="1665" t="s">
        <v>2296</v>
      </c>
      <c r="M1121" s="1666">
        <v>2.5551999999999998E-2</v>
      </c>
      <c r="N1121" s="1667">
        <v>1.4145784045755558</v>
      </c>
      <c r="O1121" s="1667"/>
    </row>
    <row r="1122" spans="11:15">
      <c r="K1122" s="1664">
        <v>43179</v>
      </c>
      <c r="L1122" s="1665" t="s">
        <v>2296</v>
      </c>
      <c r="M1122" s="1666">
        <v>2.5551999999999998E-2</v>
      </c>
      <c r="N1122" s="1667">
        <v>1.4149398576494931</v>
      </c>
      <c r="O1122" s="1667"/>
    </row>
    <row r="1123" spans="11:15">
      <c r="K1123" s="1664">
        <v>43180</v>
      </c>
      <c r="L1123" s="1665" t="s">
        <v>2296</v>
      </c>
      <c r="M1123" s="1666">
        <v>2.5551999999999998E-2</v>
      </c>
      <c r="N1123" s="1667">
        <v>1.4153014030819198</v>
      </c>
      <c r="O1123" s="1667"/>
    </row>
    <row r="1124" spans="11:15">
      <c r="K1124" s="1664">
        <v>43181</v>
      </c>
      <c r="L1124" s="1665" t="s">
        <v>2296</v>
      </c>
      <c r="M1124" s="1666">
        <v>2.462E-2</v>
      </c>
      <c r="N1124" s="1667">
        <v>1.4156498502873587</v>
      </c>
      <c r="O1124" s="1667"/>
    </row>
    <row r="1125" spans="11:15">
      <c r="K1125" s="1664">
        <v>43182</v>
      </c>
      <c r="L1125" s="1665" t="s">
        <v>2296</v>
      </c>
      <c r="M1125" s="1666">
        <v>2.462E-2</v>
      </c>
      <c r="N1125" s="1667">
        <v>1.4159983832804997</v>
      </c>
      <c r="O1125" s="1667"/>
    </row>
    <row r="1126" spans="11:15">
      <c r="K1126" s="1664">
        <v>43183</v>
      </c>
      <c r="L1126" s="1665"/>
      <c r="M1126" s="1666">
        <v>0</v>
      </c>
      <c r="N1126" s="1667">
        <v>1.4159983832804997</v>
      </c>
      <c r="O1126" s="1667"/>
    </row>
    <row r="1127" spans="11:15">
      <c r="K1127" s="1664">
        <v>43184</v>
      </c>
      <c r="L1127" s="1665"/>
      <c r="M1127" s="1666">
        <v>0</v>
      </c>
      <c r="N1127" s="1667">
        <v>1.4159983832804997</v>
      </c>
      <c r="O1127" s="1667"/>
    </row>
    <row r="1128" spans="11:15">
      <c r="K1128" s="1664">
        <v>43185</v>
      </c>
      <c r="L1128" s="1665" t="s">
        <v>2296</v>
      </c>
      <c r="M1128" s="1666">
        <v>2.462E-2</v>
      </c>
      <c r="N1128" s="1667">
        <v>1.4163470020824633</v>
      </c>
      <c r="O1128" s="1667"/>
    </row>
    <row r="1129" spans="11:15">
      <c r="K1129" s="1664">
        <v>43186</v>
      </c>
      <c r="L1129" s="1665" t="s">
        <v>2296</v>
      </c>
      <c r="M1129" s="1666">
        <v>2.462E-2</v>
      </c>
      <c r="N1129" s="1667">
        <v>1.4166957067143762</v>
      </c>
      <c r="O1129" s="1667"/>
    </row>
    <row r="1130" spans="11:15">
      <c r="K1130" s="1664">
        <v>43187</v>
      </c>
      <c r="L1130" s="1665" t="s">
        <v>2296</v>
      </c>
      <c r="M1130" s="1666">
        <v>2.462E-2</v>
      </c>
      <c r="N1130" s="1667">
        <v>1.4170444971973695</v>
      </c>
      <c r="O1130" s="1667"/>
    </row>
    <row r="1131" spans="11:15">
      <c r="K1131" s="1664">
        <v>43188</v>
      </c>
      <c r="L1131" s="1665" t="s">
        <v>2296</v>
      </c>
      <c r="M1131" s="1666">
        <v>2.462E-2</v>
      </c>
      <c r="N1131" s="1667">
        <v>1.4173933735525797</v>
      </c>
      <c r="O1131" s="1667"/>
    </row>
    <row r="1132" spans="11:15">
      <c r="K1132" s="1664">
        <v>43189</v>
      </c>
      <c r="L1132" s="1665"/>
      <c r="M1132" s="1666">
        <v>0</v>
      </c>
      <c r="N1132" s="1667">
        <v>1.4173933735525797</v>
      </c>
      <c r="O1132" s="1667"/>
    </row>
    <row r="1133" spans="11:15">
      <c r="K1133" s="1664">
        <v>43190</v>
      </c>
      <c r="L1133" s="1665"/>
      <c r="M1133" s="1666">
        <v>0</v>
      </c>
      <c r="N1133" s="1667">
        <v>1.4173933735525797</v>
      </c>
      <c r="O1133" s="1667"/>
    </row>
    <row r="1134" spans="11:15">
      <c r="K1134" s="1664">
        <v>43191</v>
      </c>
      <c r="L1134" s="1665"/>
      <c r="M1134" s="1666">
        <v>0</v>
      </c>
      <c r="N1134" s="1667">
        <v>1.4173933735525797</v>
      </c>
      <c r="O1134" s="1667"/>
    </row>
    <row r="1135" spans="11:15">
      <c r="K1135" s="1664">
        <v>43192</v>
      </c>
      <c r="L1135" s="1665" t="s">
        <v>2296</v>
      </c>
      <c r="M1135" s="1666">
        <v>2.462E-2</v>
      </c>
      <c r="N1135" s="1667">
        <v>1.4177423358011485</v>
      </c>
      <c r="O1135" s="1667"/>
    </row>
    <row r="1136" spans="11:15">
      <c r="K1136" s="1664">
        <v>43193</v>
      </c>
      <c r="L1136" s="1665" t="s">
        <v>2296</v>
      </c>
      <c r="M1136" s="1666">
        <v>2.462E-2</v>
      </c>
      <c r="N1136" s="1667">
        <v>1.4180913839642229</v>
      </c>
      <c r="O1136" s="1667"/>
    </row>
    <row r="1137" spans="11:15">
      <c r="K1137" s="1664">
        <v>43194</v>
      </c>
      <c r="L1137" s="1665" t="s">
        <v>2296</v>
      </c>
      <c r="M1137" s="1666">
        <v>2.462E-2</v>
      </c>
      <c r="N1137" s="1667">
        <v>1.4184405180629549</v>
      </c>
      <c r="O1137" s="1667"/>
    </row>
    <row r="1138" spans="11:15">
      <c r="K1138" s="1664">
        <v>43195</v>
      </c>
      <c r="L1138" s="1665" t="s">
        <v>2296</v>
      </c>
      <c r="M1138" s="1666">
        <v>2.462E-2</v>
      </c>
      <c r="N1138" s="1667">
        <v>1.4187897381185022</v>
      </c>
      <c r="O1138" s="1667"/>
    </row>
    <row r="1139" spans="11:15">
      <c r="K1139" s="1664">
        <v>43196</v>
      </c>
      <c r="L1139" s="1665" t="s">
        <v>2296</v>
      </c>
      <c r="M1139" s="1666">
        <v>2.462E-2</v>
      </c>
      <c r="N1139" s="1667">
        <v>1.4191390441520271</v>
      </c>
      <c r="O1139" s="1667"/>
    </row>
    <row r="1140" spans="11:15">
      <c r="K1140" s="1664">
        <v>43197</v>
      </c>
      <c r="L1140" s="1665"/>
      <c r="M1140" s="1666">
        <v>0</v>
      </c>
      <c r="N1140" s="1667">
        <v>1.4191390441520271</v>
      </c>
      <c r="O1140" s="1667"/>
    </row>
    <row r="1141" spans="11:15">
      <c r="K1141" s="1664">
        <v>43198</v>
      </c>
      <c r="L1141" s="1665"/>
      <c r="M1141" s="1666">
        <v>0</v>
      </c>
      <c r="N1141" s="1667">
        <v>1.4191390441520271</v>
      </c>
      <c r="O1141" s="1667"/>
    </row>
    <row r="1142" spans="11:15">
      <c r="K1142" s="1664">
        <v>43199</v>
      </c>
      <c r="L1142" s="1665" t="s">
        <v>2296</v>
      </c>
      <c r="M1142" s="1666">
        <v>2.462E-2</v>
      </c>
      <c r="N1142" s="1667">
        <v>1.4194884361846973</v>
      </c>
      <c r="O1142" s="1667"/>
    </row>
    <row r="1143" spans="11:15">
      <c r="K1143" s="1664">
        <v>43200</v>
      </c>
      <c r="L1143" s="1665" t="s">
        <v>2296</v>
      </c>
      <c r="M1143" s="1666">
        <v>2.462E-2</v>
      </c>
      <c r="N1143" s="1667">
        <v>1.419837914237686</v>
      </c>
      <c r="O1143" s="1667"/>
    </row>
    <row r="1144" spans="11:15">
      <c r="K1144" s="1664">
        <v>43201</v>
      </c>
      <c r="L1144" s="1665" t="s">
        <v>2296</v>
      </c>
      <c r="M1144" s="1666">
        <v>2.462E-2</v>
      </c>
      <c r="N1144" s="1667">
        <v>1.4201874783321715</v>
      </c>
      <c r="O1144" s="1667"/>
    </row>
    <row r="1145" spans="11:15">
      <c r="K1145" s="1664">
        <v>43202</v>
      </c>
      <c r="L1145" s="1665" t="s">
        <v>2296</v>
      </c>
      <c r="M1145" s="1666">
        <v>2.462E-2</v>
      </c>
      <c r="N1145" s="1667">
        <v>1.4205371284893371</v>
      </c>
      <c r="O1145" s="1667"/>
    </row>
    <row r="1146" spans="11:15">
      <c r="K1146" s="1664">
        <v>43203</v>
      </c>
      <c r="L1146" s="1665" t="s">
        <v>2296</v>
      </c>
      <c r="M1146" s="1666">
        <v>2.462E-2</v>
      </c>
      <c r="N1146" s="1667">
        <v>1.4208868647303714</v>
      </c>
      <c r="O1146" s="1667"/>
    </row>
    <row r="1147" spans="11:15">
      <c r="K1147" s="1664">
        <v>43204</v>
      </c>
      <c r="L1147" s="1665"/>
      <c r="M1147" s="1666">
        <v>0</v>
      </c>
      <c r="N1147" s="1667">
        <v>1.4208868647303714</v>
      </c>
      <c r="O1147" s="1667"/>
    </row>
    <row r="1148" spans="11:15">
      <c r="K1148" s="1664">
        <v>43205</v>
      </c>
      <c r="L1148" s="1665"/>
      <c r="M1148" s="1666">
        <v>0</v>
      </c>
      <c r="N1148" s="1667">
        <v>1.4208868647303714</v>
      </c>
      <c r="O1148" s="1667"/>
    </row>
    <row r="1149" spans="11:15">
      <c r="K1149" s="1664">
        <v>43206</v>
      </c>
      <c r="L1149" s="1665" t="s">
        <v>2296</v>
      </c>
      <c r="M1149" s="1666">
        <v>2.462E-2</v>
      </c>
      <c r="N1149" s="1667">
        <v>1.4212366870764681</v>
      </c>
      <c r="O1149" s="1667"/>
    </row>
    <row r="1150" spans="11:15">
      <c r="K1150" s="1664">
        <v>43207</v>
      </c>
      <c r="L1150" s="1665" t="s">
        <v>2296</v>
      </c>
      <c r="M1150" s="1666">
        <v>2.462E-2</v>
      </c>
      <c r="N1150" s="1667">
        <v>1.4215865955488265</v>
      </c>
      <c r="O1150" s="1667"/>
    </row>
    <row r="1151" spans="11:15">
      <c r="K1151" s="1664">
        <v>43208</v>
      </c>
      <c r="L1151" s="1665" t="s">
        <v>2296</v>
      </c>
      <c r="M1151" s="1666">
        <v>2.462E-2</v>
      </c>
      <c r="N1151" s="1667">
        <v>1.4219365901686507</v>
      </c>
      <c r="O1151" s="1667"/>
    </row>
    <row r="1152" spans="11:15">
      <c r="K1152" s="1664">
        <v>43209</v>
      </c>
      <c r="L1152" s="1665" t="s">
        <v>2296</v>
      </c>
      <c r="M1152" s="1666">
        <v>2.462E-2</v>
      </c>
      <c r="N1152" s="1667">
        <v>1.4222866709571504</v>
      </c>
      <c r="O1152" s="1667"/>
    </row>
    <row r="1153" spans="11:15">
      <c r="K1153" s="1664">
        <v>43210</v>
      </c>
      <c r="L1153" s="1665" t="s">
        <v>2296</v>
      </c>
      <c r="M1153" s="1666">
        <v>2.462E-2</v>
      </c>
      <c r="N1153" s="1667">
        <v>1.4226368379355403</v>
      </c>
      <c r="O1153" s="1667"/>
    </row>
    <row r="1154" spans="11:15">
      <c r="K1154" s="1664">
        <v>43211</v>
      </c>
      <c r="L1154" s="1665"/>
      <c r="M1154" s="1666">
        <v>0</v>
      </c>
      <c r="N1154" s="1667">
        <v>1.4226368379355403</v>
      </c>
      <c r="O1154" s="1667"/>
    </row>
    <row r="1155" spans="11:15">
      <c r="K1155" s="1664">
        <v>43212</v>
      </c>
      <c r="L1155" s="1665"/>
      <c r="M1155" s="1666">
        <v>0</v>
      </c>
      <c r="N1155" s="1667">
        <v>1.4226368379355403</v>
      </c>
      <c r="O1155" s="1667"/>
    </row>
    <row r="1156" spans="11:15">
      <c r="K1156" s="1664">
        <v>43213</v>
      </c>
      <c r="L1156" s="1665" t="s">
        <v>2296</v>
      </c>
      <c r="M1156" s="1666">
        <v>2.462E-2</v>
      </c>
      <c r="N1156" s="1667">
        <v>1.4229870911250402</v>
      </c>
      <c r="O1156" s="1667"/>
    </row>
    <row r="1157" spans="11:15">
      <c r="K1157" s="1664">
        <v>43214</v>
      </c>
      <c r="L1157" s="1665" t="s">
        <v>2296</v>
      </c>
      <c r="M1157" s="1666">
        <v>2.462E-2</v>
      </c>
      <c r="N1157" s="1667">
        <v>1.4233374305468753</v>
      </c>
      <c r="O1157" s="1667"/>
    </row>
    <row r="1158" spans="11:15">
      <c r="K1158" s="1664">
        <v>43215</v>
      </c>
      <c r="L1158" s="1665" t="s">
        <v>2296</v>
      </c>
      <c r="M1158" s="1666">
        <v>2.462E-2</v>
      </c>
      <c r="N1158" s="1667">
        <v>1.4236878562222761</v>
      </c>
      <c r="O1158" s="1667"/>
    </row>
    <row r="1159" spans="11:15">
      <c r="K1159" s="1664">
        <v>43216</v>
      </c>
      <c r="L1159" s="1665" t="s">
        <v>2296</v>
      </c>
      <c r="M1159" s="1666">
        <v>2.462E-2</v>
      </c>
      <c r="N1159" s="1667">
        <v>1.4240383681724782</v>
      </c>
      <c r="O1159" s="1667"/>
    </row>
    <row r="1160" spans="11:15">
      <c r="K1160" s="1664">
        <v>43217</v>
      </c>
      <c r="L1160" s="1665" t="s">
        <v>2296</v>
      </c>
      <c r="M1160" s="1666">
        <v>2.462E-2</v>
      </c>
      <c r="N1160" s="1667">
        <v>1.4243889664187224</v>
      </c>
      <c r="O1160" s="1667"/>
    </row>
    <row r="1161" spans="11:15">
      <c r="K1161" s="1664">
        <v>43218</v>
      </c>
      <c r="L1161" s="1665"/>
      <c r="M1161" s="1666">
        <v>0</v>
      </c>
      <c r="N1161" s="1667">
        <v>1.4243889664187224</v>
      </c>
      <c r="O1161" s="1667"/>
    </row>
    <row r="1162" spans="11:15">
      <c r="K1162" s="1664">
        <v>43219</v>
      </c>
      <c r="L1162" s="1665"/>
      <c r="M1162" s="1666">
        <v>0</v>
      </c>
      <c r="N1162" s="1667">
        <v>1.4243889664187224</v>
      </c>
      <c r="O1162" s="1667"/>
    </row>
    <row r="1163" spans="11:15">
      <c r="K1163" s="1664">
        <v>43220</v>
      </c>
      <c r="L1163" s="1665" t="s">
        <v>2296</v>
      </c>
      <c r="M1163" s="1666">
        <v>2.462E-2</v>
      </c>
      <c r="N1163" s="1667">
        <v>1.4247396509822547</v>
      </c>
      <c r="O1163" s="1667"/>
    </row>
    <row r="1164" spans="11:15">
      <c r="K1164" s="1664">
        <v>43221</v>
      </c>
      <c r="L1164" s="1665"/>
      <c r="M1164" s="1666">
        <v>0</v>
      </c>
      <c r="N1164" s="1667">
        <v>1.4247396509822547</v>
      </c>
      <c r="O1164" s="1667"/>
    </row>
    <row r="1165" spans="11:15">
      <c r="K1165" s="1664">
        <v>43222</v>
      </c>
      <c r="L1165" s="1665" t="s">
        <v>2296</v>
      </c>
      <c r="M1165" s="1666">
        <v>2.462E-2</v>
      </c>
      <c r="N1165" s="1667">
        <v>1.4250904218843268</v>
      </c>
      <c r="O1165" s="1667"/>
    </row>
    <row r="1166" spans="11:15">
      <c r="K1166" s="1664">
        <v>43223</v>
      </c>
      <c r="L1166" s="1665" t="s">
        <v>2296</v>
      </c>
      <c r="M1166" s="1666">
        <v>2.462E-2</v>
      </c>
      <c r="N1166" s="1667">
        <v>1.4254412791461948</v>
      </c>
      <c r="O1166" s="1667"/>
    </row>
    <row r="1167" spans="11:15">
      <c r="K1167" s="1664">
        <v>43224</v>
      </c>
      <c r="L1167" s="1665" t="s">
        <v>2296</v>
      </c>
      <c r="M1167" s="1666">
        <v>2.462E-2</v>
      </c>
      <c r="N1167" s="1667">
        <v>1.4257922227891207</v>
      </c>
      <c r="O1167" s="1667"/>
    </row>
    <row r="1168" spans="11:15">
      <c r="K1168" s="1664">
        <v>43225</v>
      </c>
      <c r="L1168" s="1665"/>
      <c r="M1168" s="1666">
        <v>0</v>
      </c>
      <c r="N1168" s="1667">
        <v>1.4257922227891207</v>
      </c>
      <c r="O1168" s="1667"/>
    </row>
    <row r="1169" spans="11:15">
      <c r="K1169" s="1664">
        <v>43226</v>
      </c>
      <c r="L1169" s="1665"/>
      <c r="M1169" s="1666">
        <v>0</v>
      </c>
      <c r="N1169" s="1667">
        <v>1.4257922227891207</v>
      </c>
      <c r="O1169" s="1667"/>
    </row>
    <row r="1170" spans="11:15">
      <c r="K1170" s="1664">
        <v>43227</v>
      </c>
      <c r="L1170" s="1665" t="s">
        <v>2296</v>
      </c>
      <c r="M1170" s="1666">
        <v>2.462E-2</v>
      </c>
      <c r="N1170" s="1667">
        <v>1.4261432528343714</v>
      </c>
      <c r="O1170" s="1667"/>
    </row>
    <row r="1171" spans="11:15">
      <c r="K1171" s="1664">
        <v>43228</v>
      </c>
      <c r="L1171" s="1665" t="s">
        <v>2296</v>
      </c>
      <c r="M1171" s="1666">
        <v>2.462E-2</v>
      </c>
      <c r="N1171" s="1667">
        <v>1.4264943693032193</v>
      </c>
      <c r="O1171" s="1667"/>
    </row>
    <row r="1172" spans="11:15">
      <c r="K1172" s="1664">
        <v>43229</v>
      </c>
      <c r="L1172" s="1665" t="s">
        <v>2296</v>
      </c>
      <c r="M1172" s="1666">
        <v>2.462E-2</v>
      </c>
      <c r="N1172" s="1667">
        <v>1.4268455722169417</v>
      </c>
      <c r="O1172" s="1667"/>
    </row>
    <row r="1173" spans="11:15">
      <c r="K1173" s="1664">
        <v>43230</v>
      </c>
      <c r="L1173" s="1665" t="s">
        <v>2296</v>
      </c>
      <c r="M1173" s="1666">
        <v>2.462E-2</v>
      </c>
      <c r="N1173" s="1667">
        <v>1.4271968615968216</v>
      </c>
      <c r="O1173" s="1667"/>
    </row>
    <row r="1174" spans="11:15">
      <c r="K1174" s="1664">
        <v>43231</v>
      </c>
      <c r="L1174" s="1665" t="s">
        <v>2296</v>
      </c>
      <c r="M1174" s="1666">
        <v>2.462E-2</v>
      </c>
      <c r="N1174" s="1667">
        <v>1.4275482374641468</v>
      </c>
      <c r="O1174" s="1667"/>
    </row>
    <row r="1175" spans="11:15">
      <c r="K1175" s="1664">
        <v>43232</v>
      </c>
      <c r="L1175" s="1665"/>
      <c r="M1175" s="1666">
        <v>0</v>
      </c>
      <c r="N1175" s="1667">
        <v>1.4275482374641468</v>
      </c>
      <c r="O1175" s="1667"/>
    </row>
    <row r="1176" spans="11:15">
      <c r="K1176" s="1664">
        <v>43233</v>
      </c>
      <c r="L1176" s="1665"/>
      <c r="M1176" s="1666">
        <v>0</v>
      </c>
      <c r="N1176" s="1667">
        <v>1.4275482374641468</v>
      </c>
      <c r="O1176" s="1667"/>
    </row>
    <row r="1177" spans="11:15">
      <c r="K1177" s="1664">
        <v>43234</v>
      </c>
      <c r="L1177" s="1665" t="s">
        <v>2296</v>
      </c>
      <c r="M1177" s="1666">
        <v>2.462E-2</v>
      </c>
      <c r="N1177" s="1667">
        <v>1.4278996998402107</v>
      </c>
      <c r="O1177" s="1667"/>
    </row>
    <row r="1178" spans="11:15">
      <c r="K1178" s="1664">
        <v>43235</v>
      </c>
      <c r="L1178" s="1665" t="s">
        <v>2296</v>
      </c>
      <c r="M1178" s="1666">
        <v>2.462E-2</v>
      </c>
      <c r="N1178" s="1667">
        <v>1.4282512487463115</v>
      </c>
      <c r="O1178" s="1667"/>
    </row>
    <row r="1179" spans="11:15">
      <c r="K1179" s="1664">
        <v>43236</v>
      </c>
      <c r="L1179" s="1665" t="s">
        <v>2296</v>
      </c>
      <c r="M1179" s="1666">
        <v>2.462E-2</v>
      </c>
      <c r="N1179" s="1667">
        <v>1.428602884203753</v>
      </c>
      <c r="O1179" s="1667"/>
    </row>
    <row r="1180" spans="11:15">
      <c r="K1180" s="1664">
        <v>43237</v>
      </c>
      <c r="L1180" s="1665" t="s">
        <v>2296</v>
      </c>
      <c r="M1180" s="1666">
        <v>2.462E-2</v>
      </c>
      <c r="N1180" s="1667">
        <v>1.4289546062338441</v>
      </c>
      <c r="O1180" s="1667"/>
    </row>
    <row r="1181" spans="11:15">
      <c r="K1181" s="1664">
        <v>43238</v>
      </c>
      <c r="L1181" s="1665" t="s">
        <v>2296</v>
      </c>
      <c r="M1181" s="1666">
        <v>2.462E-2</v>
      </c>
      <c r="N1181" s="1667">
        <v>1.4293064148578989</v>
      </c>
      <c r="O1181" s="1667"/>
    </row>
    <row r="1182" spans="11:15">
      <c r="K1182" s="1664">
        <v>43239</v>
      </c>
      <c r="L1182" s="1665"/>
      <c r="M1182" s="1666">
        <v>0</v>
      </c>
      <c r="N1182" s="1667">
        <v>1.4293064148578989</v>
      </c>
      <c r="O1182" s="1667"/>
    </row>
    <row r="1183" spans="11:15">
      <c r="K1183" s="1664">
        <v>43240</v>
      </c>
      <c r="L1183" s="1665"/>
      <c r="M1183" s="1666">
        <v>0</v>
      </c>
      <c r="N1183" s="1667">
        <v>1.4293064148578989</v>
      </c>
      <c r="O1183" s="1667"/>
    </row>
    <row r="1184" spans="11:15">
      <c r="K1184" s="1664">
        <v>43241</v>
      </c>
      <c r="L1184" s="1665" t="s">
        <v>2296</v>
      </c>
      <c r="M1184" s="1666">
        <v>2.462E-2</v>
      </c>
      <c r="N1184" s="1667">
        <v>1.4296583100972371</v>
      </c>
      <c r="O1184" s="1667"/>
    </row>
    <row r="1185" spans="11:15">
      <c r="K1185" s="1664">
        <v>43242</v>
      </c>
      <c r="L1185" s="1665" t="s">
        <v>2296</v>
      </c>
      <c r="M1185" s="1666">
        <v>2.462E-2</v>
      </c>
      <c r="N1185" s="1667">
        <v>1.4300102919731832</v>
      </c>
      <c r="O1185" s="1667"/>
    </row>
    <row r="1186" spans="11:15">
      <c r="K1186" s="1664">
        <v>43243</v>
      </c>
      <c r="L1186" s="1665" t="s">
        <v>2296</v>
      </c>
      <c r="M1186" s="1666">
        <v>2.462E-2</v>
      </c>
      <c r="N1186" s="1667">
        <v>1.430362360507067</v>
      </c>
      <c r="O1186" s="1667"/>
    </row>
    <row r="1187" spans="11:15">
      <c r="K1187" s="1664">
        <v>43244</v>
      </c>
      <c r="L1187" s="1665" t="s">
        <v>2296</v>
      </c>
      <c r="M1187" s="1666">
        <v>2.462E-2</v>
      </c>
      <c r="N1187" s="1667">
        <v>1.4307145157202239</v>
      </c>
      <c r="O1187" s="1667"/>
    </row>
    <row r="1188" spans="11:15">
      <c r="K1188" s="1664">
        <v>43245</v>
      </c>
      <c r="L1188" s="1665" t="s">
        <v>2296</v>
      </c>
      <c r="M1188" s="1666">
        <v>2.462E-2</v>
      </c>
      <c r="N1188" s="1667">
        <v>1.4310667576339944</v>
      </c>
      <c r="O1188" s="1667"/>
    </row>
    <row r="1189" spans="11:15">
      <c r="K1189" s="1664">
        <v>43246</v>
      </c>
      <c r="L1189" s="1665"/>
      <c r="M1189" s="1666">
        <v>0</v>
      </c>
      <c r="N1189" s="1667">
        <v>1.4310667576339944</v>
      </c>
      <c r="O1189" s="1667"/>
    </row>
    <row r="1190" spans="11:15">
      <c r="K1190" s="1664">
        <v>43247</v>
      </c>
      <c r="L1190" s="1665"/>
      <c r="M1190" s="1666">
        <v>0</v>
      </c>
      <c r="N1190" s="1667">
        <v>1.4310667576339944</v>
      </c>
      <c r="O1190" s="1667"/>
    </row>
    <row r="1191" spans="11:15">
      <c r="K1191" s="1664">
        <v>43248</v>
      </c>
      <c r="L1191" s="1665" t="s">
        <v>2296</v>
      </c>
      <c r="M1191" s="1666">
        <v>2.462E-2</v>
      </c>
      <c r="N1191" s="1667">
        <v>1.431419086269724</v>
      </c>
      <c r="O1191" s="1667"/>
    </row>
    <row r="1192" spans="11:15">
      <c r="K1192" s="1664">
        <v>43249</v>
      </c>
      <c r="L1192" s="1665" t="s">
        <v>2296</v>
      </c>
      <c r="M1192" s="1666">
        <v>2.462E-2</v>
      </c>
      <c r="N1192" s="1667">
        <v>1.4317715016487638</v>
      </c>
      <c r="O1192" s="1667"/>
    </row>
    <row r="1193" spans="11:15">
      <c r="K1193" s="1664">
        <v>43250</v>
      </c>
      <c r="L1193" s="1665" t="s">
        <v>2296</v>
      </c>
      <c r="M1193" s="1666">
        <v>2.462E-2</v>
      </c>
      <c r="N1193" s="1667">
        <v>1.4321240037924698</v>
      </c>
      <c r="O1193" s="1667"/>
    </row>
    <row r="1194" spans="11:15">
      <c r="K1194" s="1664">
        <v>43251</v>
      </c>
      <c r="L1194" s="1665"/>
      <c r="M1194" s="1666">
        <v>0</v>
      </c>
      <c r="N1194" s="1667">
        <v>1.4321240037924698</v>
      </c>
      <c r="O1194" s="1667"/>
    </row>
    <row r="1195" spans="11:15">
      <c r="K1195" s="1664">
        <v>43252</v>
      </c>
      <c r="L1195" s="1665" t="s">
        <v>2296</v>
      </c>
      <c r="M1195" s="1666">
        <v>2.462E-2</v>
      </c>
      <c r="N1195" s="1667">
        <v>1.4324765927222036</v>
      </c>
      <c r="O1195" s="1667"/>
    </row>
    <row r="1196" spans="11:15">
      <c r="K1196" s="1664">
        <v>43253</v>
      </c>
      <c r="L1196" s="1665"/>
      <c r="M1196" s="1666">
        <v>0</v>
      </c>
      <c r="N1196" s="1667">
        <v>1.4324765927222036</v>
      </c>
      <c r="O1196" s="1667"/>
    </row>
    <row r="1197" spans="11:15">
      <c r="K1197" s="1664">
        <v>43254</v>
      </c>
      <c r="L1197" s="1665"/>
      <c r="M1197" s="1666">
        <v>0</v>
      </c>
      <c r="N1197" s="1667">
        <v>1.4324765927222036</v>
      </c>
      <c r="O1197" s="1667"/>
    </row>
    <row r="1198" spans="11:15">
      <c r="K1198" s="1664">
        <v>43255</v>
      </c>
      <c r="L1198" s="1665" t="s">
        <v>2296</v>
      </c>
      <c r="M1198" s="1666">
        <v>2.462E-2</v>
      </c>
      <c r="N1198" s="1667">
        <v>1.432829268459332</v>
      </c>
      <c r="O1198" s="1667"/>
    </row>
    <row r="1199" spans="11:15">
      <c r="K1199" s="1664">
        <v>43256</v>
      </c>
      <c r="L1199" s="1665" t="s">
        <v>2296</v>
      </c>
      <c r="M1199" s="1666">
        <v>2.462E-2</v>
      </c>
      <c r="N1199" s="1667">
        <v>1.4331820310252268</v>
      </c>
      <c r="O1199" s="1667"/>
    </row>
    <row r="1200" spans="11:15">
      <c r="K1200" s="1664">
        <v>43257</v>
      </c>
      <c r="L1200" s="1665" t="s">
        <v>2296</v>
      </c>
      <c r="M1200" s="1666">
        <v>2.462E-2</v>
      </c>
      <c r="N1200" s="1667">
        <v>1.4335348804412653</v>
      </c>
      <c r="O1200" s="1667"/>
    </row>
    <row r="1201" spans="11:15">
      <c r="K1201" s="1664">
        <v>43258</v>
      </c>
      <c r="L1201" s="1665" t="s">
        <v>2296</v>
      </c>
      <c r="M1201" s="1666">
        <v>2.462E-2</v>
      </c>
      <c r="N1201" s="1667">
        <v>1.43388781672883</v>
      </c>
      <c r="O1201" s="1667"/>
    </row>
    <row r="1202" spans="11:15">
      <c r="K1202" s="1664">
        <v>43259</v>
      </c>
      <c r="L1202" s="1665" t="s">
        <v>2296</v>
      </c>
      <c r="M1202" s="1666">
        <v>2.462E-2</v>
      </c>
      <c r="N1202" s="1667">
        <v>1.4342408399093087</v>
      </c>
      <c r="O1202" s="1667"/>
    </row>
    <row r="1203" spans="11:15">
      <c r="K1203" s="1664">
        <v>43260</v>
      </c>
      <c r="L1203" s="1665"/>
      <c r="M1203" s="1666">
        <v>0</v>
      </c>
      <c r="N1203" s="1667">
        <v>1.4342408399093087</v>
      </c>
      <c r="O1203" s="1667"/>
    </row>
    <row r="1204" spans="11:15">
      <c r="K1204" s="1664">
        <v>43261</v>
      </c>
      <c r="L1204" s="1665"/>
      <c r="M1204" s="1666">
        <v>0</v>
      </c>
      <c r="N1204" s="1667">
        <v>1.4342408399093087</v>
      </c>
      <c r="O1204" s="1667"/>
    </row>
    <row r="1205" spans="11:15">
      <c r="K1205" s="1664">
        <v>43262</v>
      </c>
      <c r="L1205" s="1665" t="s">
        <v>2296</v>
      </c>
      <c r="M1205" s="1666">
        <v>2.462E-2</v>
      </c>
      <c r="N1205" s="1667">
        <v>1.4345939500040945</v>
      </c>
      <c r="O1205" s="1667"/>
    </row>
    <row r="1206" spans="11:15">
      <c r="K1206" s="1664">
        <v>43263</v>
      </c>
      <c r="L1206" s="1665" t="s">
        <v>2296</v>
      </c>
      <c r="M1206" s="1666">
        <v>2.462E-2</v>
      </c>
      <c r="N1206" s="1667">
        <v>1.4349471470345856</v>
      </c>
      <c r="O1206" s="1667"/>
    </row>
    <row r="1207" spans="11:15">
      <c r="K1207" s="1664">
        <v>43264</v>
      </c>
      <c r="L1207" s="1665" t="s">
        <v>2296</v>
      </c>
      <c r="M1207" s="1666">
        <v>2.462E-2</v>
      </c>
      <c r="N1207" s="1667">
        <v>1.4353004310221855</v>
      </c>
      <c r="O1207" s="1667"/>
    </row>
    <row r="1208" spans="11:15">
      <c r="K1208" s="1664">
        <v>43265</v>
      </c>
      <c r="L1208" s="1665" t="s">
        <v>2296</v>
      </c>
      <c r="M1208" s="1666">
        <v>2.462E-2</v>
      </c>
      <c r="N1208" s="1667">
        <v>1.4356538019883034</v>
      </c>
      <c r="O1208" s="1667"/>
    </row>
    <row r="1209" spans="11:15">
      <c r="K1209" s="1664">
        <v>43266</v>
      </c>
      <c r="L1209" s="1665" t="s">
        <v>2296</v>
      </c>
      <c r="M1209" s="1666">
        <v>2.462E-2</v>
      </c>
      <c r="N1209" s="1667">
        <v>1.436007259954353</v>
      </c>
      <c r="O1209" s="1667"/>
    </row>
    <row r="1210" spans="11:15">
      <c r="K1210" s="1664">
        <v>43267</v>
      </c>
      <c r="L1210" s="1665"/>
      <c r="M1210" s="1666">
        <v>0</v>
      </c>
      <c r="N1210" s="1667">
        <v>1.436007259954353</v>
      </c>
      <c r="O1210" s="1667"/>
    </row>
    <row r="1211" spans="11:15">
      <c r="K1211" s="1664">
        <v>43268</v>
      </c>
      <c r="L1211" s="1665"/>
      <c r="M1211" s="1666">
        <v>0</v>
      </c>
      <c r="N1211" s="1667">
        <v>1.436007259954353</v>
      </c>
      <c r="O1211" s="1667"/>
    </row>
    <row r="1212" spans="11:15">
      <c r="K1212" s="1664">
        <v>43269</v>
      </c>
      <c r="L1212" s="1665" t="s">
        <v>2296</v>
      </c>
      <c r="M1212" s="1666">
        <v>2.462E-2</v>
      </c>
      <c r="N1212" s="1667">
        <v>1.4363608049417538</v>
      </c>
      <c r="O1212" s="1667"/>
    </row>
    <row r="1213" spans="11:15">
      <c r="K1213" s="1664">
        <v>43270</v>
      </c>
      <c r="L1213" s="1665" t="s">
        <v>2296</v>
      </c>
      <c r="M1213" s="1666">
        <v>2.462E-2</v>
      </c>
      <c r="N1213" s="1667">
        <v>1.4367144369719305</v>
      </c>
      <c r="O1213" s="1667"/>
    </row>
    <row r="1214" spans="11:15">
      <c r="K1214" s="1664">
        <v>43271</v>
      </c>
      <c r="L1214" s="1665" t="s">
        <v>2296</v>
      </c>
      <c r="M1214" s="1666">
        <v>2.462E-2</v>
      </c>
      <c r="N1214" s="1667">
        <v>1.437068156066313</v>
      </c>
      <c r="O1214" s="1667"/>
    </row>
    <row r="1215" spans="11:15">
      <c r="K1215" s="1664">
        <v>43272</v>
      </c>
      <c r="L1215" s="1665" t="s">
        <v>2296</v>
      </c>
      <c r="M1215" s="1666">
        <v>2.462E-2</v>
      </c>
      <c r="N1215" s="1667">
        <v>1.4374219622463367</v>
      </c>
      <c r="O1215" s="1667"/>
    </row>
    <row r="1216" spans="11:15">
      <c r="K1216" s="1664">
        <v>43273</v>
      </c>
      <c r="L1216" s="1665" t="s">
        <v>2296</v>
      </c>
      <c r="M1216" s="1666">
        <v>2.462E-2</v>
      </c>
      <c r="N1216" s="1667">
        <v>1.4377758555334419</v>
      </c>
      <c r="O1216" s="1667"/>
    </row>
    <row r="1217" spans="11:15">
      <c r="K1217" s="1664">
        <v>43274</v>
      </c>
      <c r="L1217" s="1665"/>
      <c r="M1217" s="1666">
        <v>0</v>
      </c>
      <c r="N1217" s="1667">
        <v>1.4377758555334419</v>
      </c>
      <c r="O1217" s="1667"/>
    </row>
    <row r="1218" spans="11:15">
      <c r="K1218" s="1664">
        <v>43275</v>
      </c>
      <c r="L1218" s="1665"/>
      <c r="M1218" s="1666">
        <v>0</v>
      </c>
      <c r="N1218" s="1667">
        <v>1.4377758555334419</v>
      </c>
      <c r="O1218" s="1667"/>
    </row>
    <row r="1219" spans="11:15">
      <c r="K1219" s="1664">
        <v>43276</v>
      </c>
      <c r="L1219" s="1665" t="s">
        <v>2296</v>
      </c>
      <c r="M1219" s="1666">
        <v>2.462E-2</v>
      </c>
      <c r="N1219" s="1667">
        <v>1.4381298359490744</v>
      </c>
      <c r="O1219" s="1667"/>
    </row>
    <row r="1220" spans="11:15">
      <c r="K1220" s="1664">
        <v>43277</v>
      </c>
      <c r="L1220" s="1665" t="s">
        <v>2296</v>
      </c>
      <c r="M1220" s="1666">
        <v>2.462E-2</v>
      </c>
      <c r="N1220" s="1667">
        <v>1.4384839035146852</v>
      </c>
      <c r="O1220" s="1667"/>
    </row>
    <row r="1221" spans="11:15">
      <c r="K1221" s="1664">
        <v>43278</v>
      </c>
      <c r="L1221" s="1665" t="s">
        <v>2296</v>
      </c>
      <c r="M1221" s="1666">
        <v>2.462E-2</v>
      </c>
      <c r="N1221" s="1667">
        <v>1.4388380582517306</v>
      </c>
      <c r="O1221" s="1667"/>
    </row>
    <row r="1222" spans="11:15">
      <c r="K1222" s="1664">
        <v>43279</v>
      </c>
      <c r="L1222" s="1665" t="s">
        <v>2296</v>
      </c>
      <c r="M1222" s="1666">
        <v>2.462E-2</v>
      </c>
      <c r="N1222" s="1667">
        <v>1.4391923001816722</v>
      </c>
      <c r="O1222" s="1667"/>
    </row>
    <row r="1223" spans="11:15">
      <c r="K1223" s="1664">
        <v>43280</v>
      </c>
      <c r="L1223" s="1665" t="s">
        <v>2296</v>
      </c>
      <c r="M1223" s="1666">
        <v>2.462E-2</v>
      </c>
      <c r="N1223" s="1667">
        <v>1.4395466293259771</v>
      </c>
      <c r="O1223" s="1667"/>
    </row>
    <row r="1224" spans="11:15">
      <c r="K1224" s="1664">
        <v>43281</v>
      </c>
      <c r="L1224" s="1665"/>
      <c r="M1224" s="1666">
        <v>0</v>
      </c>
      <c r="N1224" s="1667">
        <v>1.4395466293259771</v>
      </c>
      <c r="O1224" s="1667"/>
    </row>
    <row r="1225" spans="11:15">
      <c r="K1225" s="1664">
        <v>43282</v>
      </c>
      <c r="L1225" s="1665"/>
      <c r="M1225" s="1666">
        <v>0</v>
      </c>
      <c r="N1225" s="1667">
        <v>1.4395466293259771</v>
      </c>
      <c r="O1225" s="1667"/>
    </row>
    <row r="1226" spans="11:15">
      <c r="K1226" s="1664">
        <v>43283</v>
      </c>
      <c r="L1226" s="1665" t="s">
        <v>2296</v>
      </c>
      <c r="M1226" s="1666">
        <v>2.462E-2</v>
      </c>
      <c r="N1226" s="1667">
        <v>1.4399010457061172</v>
      </c>
      <c r="O1226" s="1667"/>
    </row>
    <row r="1227" spans="11:15">
      <c r="K1227" s="1664">
        <v>43284</v>
      </c>
      <c r="L1227" s="1665" t="s">
        <v>2296</v>
      </c>
      <c r="M1227" s="1666">
        <v>2.462E-2</v>
      </c>
      <c r="N1227" s="1667">
        <v>1.4402555493435703</v>
      </c>
      <c r="O1227" s="1667"/>
    </row>
    <row r="1228" spans="11:15">
      <c r="K1228" s="1664">
        <v>43285</v>
      </c>
      <c r="L1228" s="1665" t="s">
        <v>2296</v>
      </c>
      <c r="M1228" s="1666">
        <v>2.462E-2</v>
      </c>
      <c r="N1228" s="1667">
        <v>1.4406101402598188</v>
      </c>
      <c r="O1228" s="1667"/>
    </row>
    <row r="1229" spans="11:15">
      <c r="K1229" s="1664">
        <v>43286</v>
      </c>
      <c r="L1229" s="1665" t="s">
        <v>2296</v>
      </c>
      <c r="M1229" s="1666">
        <v>2.462E-2</v>
      </c>
      <c r="N1229" s="1667">
        <v>1.4409648184763508</v>
      </c>
      <c r="O1229" s="1667"/>
    </row>
    <row r="1230" spans="11:15">
      <c r="K1230" s="1664">
        <v>43287</v>
      </c>
      <c r="L1230" s="1665" t="s">
        <v>2296</v>
      </c>
      <c r="M1230" s="1666">
        <v>2.462E-2</v>
      </c>
      <c r="N1230" s="1667">
        <v>1.4413195840146598</v>
      </c>
      <c r="O1230" s="1667"/>
    </row>
    <row r="1231" spans="11:15">
      <c r="K1231" s="1664">
        <v>43288</v>
      </c>
      <c r="L1231" s="1665"/>
      <c r="M1231" s="1666">
        <v>0</v>
      </c>
      <c r="N1231" s="1667">
        <v>1.4413195840146598</v>
      </c>
      <c r="O1231" s="1667"/>
    </row>
    <row r="1232" spans="11:15">
      <c r="K1232" s="1664">
        <v>43289</v>
      </c>
      <c r="L1232" s="1665"/>
      <c r="M1232" s="1666">
        <v>0</v>
      </c>
      <c r="N1232" s="1667">
        <v>1.4413195840146598</v>
      </c>
      <c r="O1232" s="1667"/>
    </row>
    <row r="1233" spans="11:15">
      <c r="K1233" s="1664">
        <v>43290</v>
      </c>
      <c r="L1233" s="1665" t="s">
        <v>2296</v>
      </c>
      <c r="M1233" s="1666">
        <v>2.462E-2</v>
      </c>
      <c r="N1233" s="1667">
        <v>1.4416744368962442</v>
      </c>
      <c r="O1233" s="1667"/>
    </row>
    <row r="1234" spans="11:15">
      <c r="K1234" s="1664">
        <v>43291</v>
      </c>
      <c r="L1234" s="1665" t="s">
        <v>2296</v>
      </c>
      <c r="M1234" s="1666">
        <v>2.462E-2</v>
      </c>
      <c r="N1234" s="1667">
        <v>1.4420293771426083</v>
      </c>
      <c r="O1234" s="1667"/>
    </row>
    <row r="1235" spans="11:15">
      <c r="K1235" s="1664">
        <v>43292</v>
      </c>
      <c r="L1235" s="1665" t="s">
        <v>2296</v>
      </c>
      <c r="M1235" s="1666">
        <v>2.462E-2</v>
      </c>
      <c r="N1235" s="1667">
        <v>1.442384404775261</v>
      </c>
      <c r="O1235" s="1667"/>
    </row>
    <row r="1236" spans="11:15">
      <c r="K1236" s="1664">
        <v>43293</v>
      </c>
      <c r="L1236" s="1665" t="s">
        <v>2296</v>
      </c>
      <c r="M1236" s="1666">
        <v>2.462E-2</v>
      </c>
      <c r="N1236" s="1667">
        <v>1.4427395198157167</v>
      </c>
      <c r="O1236" s="1667"/>
    </row>
    <row r="1237" spans="11:15">
      <c r="K1237" s="1664">
        <v>43294</v>
      </c>
      <c r="L1237" s="1665" t="s">
        <v>2296</v>
      </c>
      <c r="M1237" s="1666">
        <v>2.462E-2</v>
      </c>
      <c r="N1237" s="1667">
        <v>1.4430947222854955</v>
      </c>
      <c r="O1237" s="1667"/>
    </row>
    <row r="1238" spans="11:15">
      <c r="K1238" s="1664">
        <v>43295</v>
      </c>
      <c r="L1238" s="1665"/>
      <c r="M1238" s="1666">
        <v>0</v>
      </c>
      <c r="N1238" s="1667">
        <v>1.4430947222854955</v>
      </c>
      <c r="O1238" s="1667"/>
    </row>
    <row r="1239" spans="11:15">
      <c r="K1239" s="1664">
        <v>43296</v>
      </c>
      <c r="L1239" s="1665"/>
      <c r="M1239" s="1666">
        <v>0</v>
      </c>
      <c r="N1239" s="1667">
        <v>1.4430947222854955</v>
      </c>
      <c r="O1239" s="1667"/>
    </row>
    <row r="1240" spans="11:15">
      <c r="K1240" s="1664">
        <v>43297</v>
      </c>
      <c r="L1240" s="1665" t="s">
        <v>2296</v>
      </c>
      <c r="M1240" s="1666">
        <v>2.462E-2</v>
      </c>
      <c r="N1240" s="1667">
        <v>1.4434500122061222</v>
      </c>
      <c r="O1240" s="1667"/>
    </row>
    <row r="1241" spans="11:15">
      <c r="K1241" s="1664">
        <v>43298</v>
      </c>
      <c r="L1241" s="1665" t="s">
        <v>2296</v>
      </c>
      <c r="M1241" s="1666">
        <v>2.462E-2</v>
      </c>
      <c r="N1241" s="1667">
        <v>1.4438053895991274</v>
      </c>
      <c r="O1241" s="1667"/>
    </row>
    <row r="1242" spans="11:15">
      <c r="K1242" s="1664">
        <v>43299</v>
      </c>
      <c r="L1242" s="1665" t="s">
        <v>2296</v>
      </c>
      <c r="M1242" s="1666">
        <v>2.462E-2</v>
      </c>
      <c r="N1242" s="1667">
        <v>1.4441608544860469</v>
      </c>
      <c r="O1242" s="1667"/>
    </row>
    <row r="1243" spans="11:15">
      <c r="K1243" s="1664">
        <v>43300</v>
      </c>
      <c r="L1243" s="1665" t="s">
        <v>2296</v>
      </c>
      <c r="M1243" s="1666">
        <v>2.462E-2</v>
      </c>
      <c r="N1243" s="1667">
        <v>1.4445164068884215</v>
      </c>
      <c r="O1243" s="1667"/>
    </row>
    <row r="1244" spans="11:15">
      <c r="K1244" s="1664">
        <v>43301</v>
      </c>
      <c r="L1244" s="1665" t="s">
        <v>2296</v>
      </c>
      <c r="M1244" s="1666">
        <v>2.462E-2</v>
      </c>
      <c r="N1244" s="1667">
        <v>1.4448720468277976</v>
      </c>
      <c r="O1244" s="1667"/>
    </row>
    <row r="1245" spans="11:15">
      <c r="K1245" s="1664">
        <v>43302</v>
      </c>
      <c r="L1245" s="1665"/>
      <c r="M1245" s="1666">
        <v>0</v>
      </c>
      <c r="N1245" s="1667">
        <v>1.4448720468277976</v>
      </c>
      <c r="O1245" s="1667"/>
    </row>
    <row r="1246" spans="11:15">
      <c r="K1246" s="1664">
        <v>43303</v>
      </c>
      <c r="L1246" s="1665"/>
      <c r="M1246" s="1666">
        <v>0</v>
      </c>
      <c r="N1246" s="1667">
        <v>1.4448720468277976</v>
      </c>
      <c r="O1246" s="1667"/>
    </row>
    <row r="1247" spans="11:15">
      <c r="K1247" s="1664">
        <v>43304</v>
      </c>
      <c r="L1247" s="1665" t="s">
        <v>2296</v>
      </c>
      <c r="M1247" s="1666">
        <v>2.462E-2</v>
      </c>
      <c r="N1247" s="1667">
        <v>1.4452277743257267</v>
      </c>
      <c r="O1247" s="1667"/>
    </row>
    <row r="1248" spans="11:15">
      <c r="K1248" s="1664">
        <v>43305</v>
      </c>
      <c r="L1248" s="1665" t="s">
        <v>2296</v>
      </c>
      <c r="M1248" s="1666">
        <v>2.462E-2</v>
      </c>
      <c r="N1248" s="1667">
        <v>1.4455835894037659</v>
      </c>
      <c r="O1248" s="1667"/>
    </row>
    <row r="1249" spans="11:15">
      <c r="K1249" s="1664">
        <v>43306</v>
      </c>
      <c r="L1249" s="1665" t="s">
        <v>2296</v>
      </c>
      <c r="M1249" s="1666">
        <v>2.462E-2</v>
      </c>
      <c r="N1249" s="1667">
        <v>1.4459394920834772</v>
      </c>
      <c r="O1249" s="1667"/>
    </row>
    <row r="1250" spans="11:15">
      <c r="K1250" s="1664">
        <v>43307</v>
      </c>
      <c r="L1250" s="1665" t="s">
        <v>2296</v>
      </c>
      <c r="M1250" s="1666">
        <v>2.462E-2</v>
      </c>
      <c r="N1250" s="1667">
        <v>1.4462954823864282</v>
      </c>
      <c r="O1250" s="1667"/>
    </row>
    <row r="1251" spans="11:15">
      <c r="K1251" s="1664">
        <v>43308</v>
      </c>
      <c r="L1251" s="1665" t="s">
        <v>2296</v>
      </c>
      <c r="M1251" s="1666">
        <v>2.462E-2</v>
      </c>
      <c r="N1251" s="1667">
        <v>1.4466515603341918</v>
      </c>
      <c r="O1251" s="1667"/>
    </row>
    <row r="1252" spans="11:15">
      <c r="K1252" s="1664">
        <v>43309</v>
      </c>
      <c r="L1252" s="1665"/>
      <c r="M1252" s="1666">
        <v>0</v>
      </c>
      <c r="N1252" s="1667">
        <v>1.4466515603341918</v>
      </c>
      <c r="O1252" s="1667"/>
    </row>
    <row r="1253" spans="11:15">
      <c r="K1253" s="1664">
        <v>43310</v>
      </c>
      <c r="L1253" s="1665"/>
      <c r="M1253" s="1666">
        <v>0</v>
      </c>
      <c r="N1253" s="1667">
        <v>1.4466515603341918</v>
      </c>
      <c r="O1253" s="1667"/>
    </row>
    <row r="1254" spans="11:15">
      <c r="K1254" s="1664">
        <v>43311</v>
      </c>
      <c r="L1254" s="1665" t="s">
        <v>2296</v>
      </c>
      <c r="M1254" s="1666">
        <v>2.462E-2</v>
      </c>
      <c r="N1254" s="1667">
        <v>1.4470077259483463</v>
      </c>
      <c r="O1254" s="1667"/>
    </row>
    <row r="1255" spans="11:15">
      <c r="K1255" s="1664">
        <v>43312</v>
      </c>
      <c r="L1255" s="1665" t="s">
        <v>2296</v>
      </c>
      <c r="M1255" s="1666">
        <v>2.462E-2</v>
      </c>
      <c r="N1255" s="1667">
        <v>1.4473639792504749</v>
      </c>
      <c r="O1255" s="1667"/>
    </row>
    <row r="1256" spans="11:15">
      <c r="K1256" s="1664">
        <v>43313</v>
      </c>
      <c r="L1256" s="1665" t="s">
        <v>2296</v>
      </c>
      <c r="M1256" s="1666">
        <v>2.462E-2</v>
      </c>
      <c r="N1256" s="1667">
        <v>1.4477203202621665</v>
      </c>
      <c r="O1256" s="1667"/>
    </row>
    <row r="1257" spans="11:15">
      <c r="K1257" s="1664">
        <v>43314</v>
      </c>
      <c r="L1257" s="1665" t="s">
        <v>2296</v>
      </c>
      <c r="M1257" s="1666">
        <v>2.462E-2</v>
      </c>
      <c r="N1257" s="1667">
        <v>1.448076749005015</v>
      </c>
      <c r="O1257" s="1667"/>
    </row>
    <row r="1258" spans="11:15">
      <c r="K1258" s="1664">
        <v>43315</v>
      </c>
      <c r="L1258" s="1665" t="s">
        <v>2296</v>
      </c>
      <c r="M1258" s="1666">
        <v>2.462E-2</v>
      </c>
      <c r="N1258" s="1667">
        <v>1.4484332655006202</v>
      </c>
      <c r="O1258" s="1667"/>
    </row>
    <row r="1259" spans="11:15">
      <c r="K1259" s="1664">
        <v>43316</v>
      </c>
      <c r="L1259" s="1665"/>
      <c r="M1259" s="1666">
        <v>0</v>
      </c>
      <c r="N1259" s="1667">
        <v>1.4484332655006202</v>
      </c>
      <c r="O1259" s="1667"/>
    </row>
    <row r="1260" spans="11:15">
      <c r="K1260" s="1664">
        <v>43317</v>
      </c>
      <c r="L1260" s="1665"/>
      <c r="M1260" s="1666">
        <v>0</v>
      </c>
      <c r="N1260" s="1667">
        <v>1.4484332655006202</v>
      </c>
      <c r="O1260" s="1667"/>
    </row>
    <row r="1261" spans="11:15">
      <c r="K1261" s="1664">
        <v>43318</v>
      </c>
      <c r="L1261" s="1665" t="s">
        <v>2296</v>
      </c>
      <c r="M1261" s="1666">
        <v>2.462E-2</v>
      </c>
      <c r="N1261" s="1667">
        <v>1.4487898697705865</v>
      </c>
      <c r="O1261" s="1667"/>
    </row>
    <row r="1262" spans="11:15">
      <c r="K1262" s="1664">
        <v>43319</v>
      </c>
      <c r="L1262" s="1665" t="s">
        <v>2296</v>
      </c>
      <c r="M1262" s="1666">
        <v>2.462E-2</v>
      </c>
      <c r="N1262" s="1667">
        <v>1.4491465618365242</v>
      </c>
      <c r="O1262" s="1667"/>
    </row>
    <row r="1263" spans="11:15">
      <c r="K1263" s="1664">
        <v>43320</v>
      </c>
      <c r="L1263" s="1665" t="s">
        <v>2296</v>
      </c>
      <c r="M1263" s="1666">
        <v>2.462E-2</v>
      </c>
      <c r="N1263" s="1667">
        <v>1.4495033417200485</v>
      </c>
      <c r="O1263" s="1667"/>
    </row>
    <row r="1264" spans="11:15">
      <c r="K1264" s="1664">
        <v>43321</v>
      </c>
      <c r="L1264" s="1665" t="s">
        <v>2296</v>
      </c>
      <c r="M1264" s="1666">
        <v>2.462E-2</v>
      </c>
      <c r="N1264" s="1667">
        <v>1.4498602094427802</v>
      </c>
      <c r="O1264" s="1667"/>
    </row>
    <row r="1265" spans="11:15">
      <c r="K1265" s="1664">
        <v>43322</v>
      </c>
      <c r="L1265" s="1665" t="s">
        <v>2296</v>
      </c>
      <c r="M1265" s="1666">
        <v>2.462E-2</v>
      </c>
      <c r="N1265" s="1667">
        <v>1.4502171650263451</v>
      </c>
      <c r="O1265" s="1667"/>
    </row>
    <row r="1266" spans="11:15">
      <c r="K1266" s="1664">
        <v>43323</v>
      </c>
      <c r="L1266" s="1665"/>
      <c r="M1266" s="1666">
        <v>0</v>
      </c>
      <c r="N1266" s="1667">
        <v>1.4502171650263451</v>
      </c>
      <c r="O1266" s="1667"/>
    </row>
    <row r="1267" spans="11:15">
      <c r="K1267" s="1664">
        <v>43324</v>
      </c>
      <c r="L1267" s="1665"/>
      <c r="M1267" s="1666">
        <v>0</v>
      </c>
      <c r="N1267" s="1667">
        <v>1.4502171650263451</v>
      </c>
      <c r="O1267" s="1667"/>
    </row>
    <row r="1268" spans="11:15">
      <c r="K1268" s="1664">
        <v>43325</v>
      </c>
      <c r="L1268" s="1665" t="s">
        <v>2296</v>
      </c>
      <c r="M1268" s="1666">
        <v>2.462E-2</v>
      </c>
      <c r="N1268" s="1667">
        <v>1.4505742084923747</v>
      </c>
      <c r="O1268" s="1667"/>
    </row>
    <row r="1269" spans="11:15">
      <c r="K1269" s="1664">
        <v>43326</v>
      </c>
      <c r="L1269" s="1665" t="s">
        <v>2296</v>
      </c>
      <c r="M1269" s="1666">
        <v>2.462E-2</v>
      </c>
      <c r="N1269" s="1667">
        <v>1.4509313398625057</v>
      </c>
      <c r="O1269" s="1667"/>
    </row>
    <row r="1270" spans="11:15">
      <c r="K1270" s="1664">
        <v>43327</v>
      </c>
      <c r="L1270" s="1665" t="s">
        <v>2296</v>
      </c>
      <c r="M1270" s="1666">
        <v>2.462E-2</v>
      </c>
      <c r="N1270" s="1667">
        <v>1.45128855915838</v>
      </c>
      <c r="O1270" s="1667"/>
    </row>
    <row r="1271" spans="11:15">
      <c r="K1271" s="1664">
        <v>43328</v>
      </c>
      <c r="L1271" s="1665" t="s">
        <v>2296</v>
      </c>
      <c r="M1271" s="1666">
        <v>2.462E-2</v>
      </c>
      <c r="N1271" s="1667">
        <v>1.4516458664016449</v>
      </c>
      <c r="O1271" s="1667"/>
    </row>
    <row r="1272" spans="11:15">
      <c r="K1272" s="1664">
        <v>43329</v>
      </c>
      <c r="L1272" s="1665" t="s">
        <v>2296</v>
      </c>
      <c r="M1272" s="1666">
        <v>2.462E-2</v>
      </c>
      <c r="N1272" s="1667">
        <v>1.4520032616139531</v>
      </c>
      <c r="O1272" s="1667"/>
    </row>
    <row r="1273" spans="11:15">
      <c r="K1273" s="1664">
        <v>43330</v>
      </c>
      <c r="L1273" s="1665"/>
      <c r="M1273" s="1666">
        <v>0</v>
      </c>
      <c r="N1273" s="1667">
        <v>1.4520032616139531</v>
      </c>
      <c r="O1273" s="1667"/>
    </row>
    <row r="1274" spans="11:15">
      <c r="K1274" s="1664">
        <v>43331</v>
      </c>
      <c r="L1274" s="1665"/>
      <c r="M1274" s="1666">
        <v>0</v>
      </c>
      <c r="N1274" s="1667">
        <v>1.4520032616139531</v>
      </c>
      <c r="O1274" s="1667"/>
    </row>
    <row r="1275" spans="11:15">
      <c r="K1275" s="1664">
        <v>43332</v>
      </c>
      <c r="L1275" s="1665" t="s">
        <v>2296</v>
      </c>
      <c r="M1275" s="1666">
        <v>2.462E-2</v>
      </c>
      <c r="N1275" s="1667">
        <v>1.4523607448169626</v>
      </c>
      <c r="O1275" s="1667"/>
    </row>
    <row r="1276" spans="11:15">
      <c r="K1276" s="1664">
        <v>43333</v>
      </c>
      <c r="L1276" s="1665" t="s">
        <v>2296</v>
      </c>
      <c r="M1276" s="1666">
        <v>2.462E-2</v>
      </c>
      <c r="N1276" s="1667">
        <v>1.4527183160323367</v>
      </c>
      <c r="O1276" s="1667"/>
    </row>
    <row r="1277" spans="11:15">
      <c r="K1277" s="1664">
        <v>43334</v>
      </c>
      <c r="L1277" s="1665" t="s">
        <v>2296</v>
      </c>
      <c r="M1277" s="1666">
        <v>2.462E-2</v>
      </c>
      <c r="N1277" s="1667">
        <v>1.4530759752817439</v>
      </c>
      <c r="O1277" s="1667"/>
    </row>
    <row r="1278" spans="11:15">
      <c r="K1278" s="1664">
        <v>43335</v>
      </c>
      <c r="L1278" s="1665" t="s">
        <v>2296</v>
      </c>
      <c r="M1278" s="1666">
        <v>2.462E-2</v>
      </c>
      <c r="N1278" s="1667">
        <v>1.4534337225868583</v>
      </c>
      <c r="O1278" s="1667"/>
    </row>
    <row r="1279" spans="11:15">
      <c r="K1279" s="1664">
        <v>43336</v>
      </c>
      <c r="L1279" s="1665" t="s">
        <v>2296</v>
      </c>
      <c r="M1279" s="1666">
        <v>2.462E-2</v>
      </c>
      <c r="N1279" s="1667">
        <v>1.4537915579693594</v>
      </c>
      <c r="O1279" s="1667"/>
    </row>
    <row r="1280" spans="11:15">
      <c r="K1280" s="1664">
        <v>43337</v>
      </c>
      <c r="L1280" s="1665"/>
      <c r="M1280" s="1666">
        <v>0</v>
      </c>
      <c r="N1280" s="1667">
        <v>1.4537915579693594</v>
      </c>
      <c r="O1280" s="1667"/>
    </row>
    <row r="1281" spans="11:15">
      <c r="K1281" s="1664">
        <v>43338</v>
      </c>
      <c r="L1281" s="1665"/>
      <c r="M1281" s="1666">
        <v>0</v>
      </c>
      <c r="N1281" s="1667">
        <v>1.4537915579693594</v>
      </c>
      <c r="O1281" s="1667"/>
    </row>
    <row r="1282" spans="11:15">
      <c r="K1282" s="1664">
        <v>43339</v>
      </c>
      <c r="L1282" s="1665" t="s">
        <v>2296</v>
      </c>
      <c r="M1282" s="1666">
        <v>2.462E-2</v>
      </c>
      <c r="N1282" s="1667">
        <v>1.4541494814509317</v>
      </c>
      <c r="O1282" s="1667"/>
    </row>
    <row r="1283" spans="11:15">
      <c r="K1283" s="1664">
        <v>43340</v>
      </c>
      <c r="L1283" s="1665" t="s">
        <v>2296</v>
      </c>
      <c r="M1283" s="1666">
        <v>2.462E-2</v>
      </c>
      <c r="N1283" s="1667">
        <v>1.4545074930532651</v>
      </c>
      <c r="O1283" s="1667"/>
    </row>
    <row r="1284" spans="11:15">
      <c r="K1284" s="1664">
        <v>43341</v>
      </c>
      <c r="L1284" s="1665" t="s">
        <v>2296</v>
      </c>
      <c r="M1284" s="1666">
        <v>2.462E-2</v>
      </c>
      <c r="N1284" s="1667">
        <v>1.4548655927980549</v>
      </c>
      <c r="O1284" s="1667"/>
    </row>
    <row r="1285" spans="11:15">
      <c r="K1285" s="1664">
        <v>43342</v>
      </c>
      <c r="L1285" s="1665" t="s">
        <v>2296</v>
      </c>
      <c r="M1285" s="1666">
        <v>2.462E-2</v>
      </c>
      <c r="N1285" s="1667">
        <v>1.4552237807070019</v>
      </c>
      <c r="O1285" s="1667"/>
    </row>
    <row r="1286" spans="11:15">
      <c r="K1286" s="1664">
        <v>43343</v>
      </c>
      <c r="L1286" s="1665" t="s">
        <v>2296</v>
      </c>
      <c r="M1286" s="1666">
        <v>2.462E-2</v>
      </c>
      <c r="N1286" s="1667">
        <v>1.4555820568018121</v>
      </c>
      <c r="O1286" s="1667"/>
    </row>
    <row r="1287" spans="11:15">
      <c r="K1287" s="1664">
        <v>43344</v>
      </c>
      <c r="L1287" s="1665"/>
      <c r="M1287" s="1666">
        <v>0</v>
      </c>
      <c r="N1287" s="1667">
        <v>1.4555820568018121</v>
      </c>
      <c r="O1287" s="1667"/>
    </row>
    <row r="1288" spans="11:15">
      <c r="K1288" s="1664">
        <v>43345</v>
      </c>
      <c r="L1288" s="1665"/>
      <c r="M1288" s="1666">
        <v>0</v>
      </c>
      <c r="N1288" s="1667">
        <v>1.4555820568018121</v>
      </c>
      <c r="O1288" s="1667"/>
    </row>
    <row r="1289" spans="11:15">
      <c r="K1289" s="1664">
        <v>43346</v>
      </c>
      <c r="L1289" s="1665" t="s">
        <v>2296</v>
      </c>
      <c r="M1289" s="1666">
        <v>2.462E-2</v>
      </c>
      <c r="N1289" s="1667">
        <v>1.4559404211041969</v>
      </c>
      <c r="O1289" s="1667"/>
    </row>
    <row r="1290" spans="11:15">
      <c r="K1290" s="1664">
        <v>43347</v>
      </c>
      <c r="L1290" s="1665" t="s">
        <v>2296</v>
      </c>
      <c r="M1290" s="1666">
        <v>2.462E-2</v>
      </c>
      <c r="N1290" s="1667">
        <v>1.4562988736358728</v>
      </c>
      <c r="O1290" s="1667"/>
    </row>
    <row r="1291" spans="11:15">
      <c r="K1291" s="1664">
        <v>43348</v>
      </c>
      <c r="L1291" s="1665" t="s">
        <v>2296</v>
      </c>
      <c r="M1291" s="1666">
        <v>2.462E-2</v>
      </c>
      <c r="N1291" s="1667">
        <v>1.4566574144185622</v>
      </c>
      <c r="O1291" s="1667"/>
    </row>
    <row r="1292" spans="11:15">
      <c r="K1292" s="1664">
        <v>43349</v>
      </c>
      <c r="L1292" s="1665" t="s">
        <v>2296</v>
      </c>
      <c r="M1292" s="1666">
        <v>2.462E-2</v>
      </c>
      <c r="N1292" s="1667">
        <v>1.4570160434739923</v>
      </c>
      <c r="O1292" s="1667"/>
    </row>
    <row r="1293" spans="11:15">
      <c r="K1293" s="1664">
        <v>43350</v>
      </c>
      <c r="L1293" s="1665"/>
      <c r="M1293" s="1666">
        <v>0</v>
      </c>
      <c r="N1293" s="1667">
        <v>1.4570160434739923</v>
      </c>
      <c r="O1293" s="1667"/>
    </row>
    <row r="1294" spans="11:15">
      <c r="K1294" s="1664">
        <v>43351</v>
      </c>
      <c r="L1294" s="1665"/>
      <c r="M1294" s="1666">
        <v>0</v>
      </c>
      <c r="N1294" s="1667">
        <v>1.4570160434739923</v>
      </c>
      <c r="O1294" s="1667"/>
    </row>
    <row r="1295" spans="11:15">
      <c r="K1295" s="1664">
        <v>43352</v>
      </c>
      <c r="L1295" s="1665"/>
      <c r="M1295" s="1666">
        <v>0</v>
      </c>
      <c r="N1295" s="1667">
        <v>1.4570160434739923</v>
      </c>
      <c r="O1295" s="1667"/>
    </row>
    <row r="1296" spans="11:15">
      <c r="K1296" s="1664">
        <v>43353</v>
      </c>
      <c r="L1296" s="1665" t="s">
        <v>2296</v>
      </c>
      <c r="M1296" s="1666">
        <v>2.462E-2</v>
      </c>
      <c r="N1296" s="1667">
        <v>1.4573747608238956</v>
      </c>
      <c r="O1296" s="1667"/>
    </row>
    <row r="1297" spans="11:15">
      <c r="K1297" s="1664">
        <v>43354</v>
      </c>
      <c r="L1297" s="1665" t="s">
        <v>2296</v>
      </c>
      <c r="M1297" s="1666">
        <v>2.462E-2</v>
      </c>
      <c r="N1297" s="1667">
        <v>1.4577335664900106</v>
      </c>
      <c r="O1297" s="1667"/>
    </row>
    <row r="1298" spans="11:15">
      <c r="K1298" s="1664">
        <v>43355</v>
      </c>
      <c r="L1298" s="1665" t="s">
        <v>2296</v>
      </c>
      <c r="M1298" s="1666">
        <v>2.462E-2</v>
      </c>
      <c r="N1298" s="1667">
        <v>1.4580924604940806</v>
      </c>
      <c r="O1298" s="1667"/>
    </row>
    <row r="1299" spans="11:15">
      <c r="K1299" s="1664">
        <v>43356</v>
      </c>
      <c r="L1299" s="1665" t="s">
        <v>2296</v>
      </c>
      <c r="M1299" s="1666">
        <v>2.462E-2</v>
      </c>
      <c r="N1299" s="1667">
        <v>1.4584514428578543</v>
      </c>
      <c r="O1299" s="1667"/>
    </row>
    <row r="1300" spans="11:15">
      <c r="K1300" s="1664">
        <v>43357</v>
      </c>
      <c r="L1300" s="1665" t="s">
        <v>2296</v>
      </c>
      <c r="M1300" s="1666">
        <v>2.462E-2</v>
      </c>
      <c r="N1300" s="1667">
        <v>1.458810513603086</v>
      </c>
      <c r="O1300" s="1667"/>
    </row>
    <row r="1301" spans="11:15">
      <c r="K1301" s="1664">
        <v>43358</v>
      </c>
      <c r="L1301" s="1665"/>
      <c r="M1301" s="1666">
        <v>0</v>
      </c>
      <c r="N1301" s="1667">
        <v>1.458810513603086</v>
      </c>
      <c r="O1301" s="1667"/>
    </row>
    <row r="1302" spans="11:15">
      <c r="K1302" s="1664">
        <v>43359</v>
      </c>
      <c r="L1302" s="1665"/>
      <c r="M1302" s="1666">
        <v>0</v>
      </c>
      <c r="N1302" s="1667">
        <v>1.458810513603086</v>
      </c>
      <c r="O1302" s="1667"/>
    </row>
    <row r="1303" spans="11:15">
      <c r="K1303" s="1664">
        <v>43360</v>
      </c>
      <c r="L1303" s="1665" t="s">
        <v>2296</v>
      </c>
      <c r="M1303" s="1666">
        <v>2.462E-2</v>
      </c>
      <c r="N1303" s="1667">
        <v>1.4591696727515353</v>
      </c>
      <c r="O1303" s="1667"/>
    </row>
    <row r="1304" spans="11:15">
      <c r="K1304" s="1664">
        <v>43361</v>
      </c>
      <c r="L1304" s="1665" t="s">
        <v>2296</v>
      </c>
      <c r="M1304" s="1666">
        <v>2.462E-2</v>
      </c>
      <c r="N1304" s="1667">
        <v>1.4595289203249668</v>
      </c>
      <c r="O1304" s="1667"/>
    </row>
    <row r="1305" spans="11:15">
      <c r="K1305" s="1664">
        <v>43362</v>
      </c>
      <c r="L1305" s="1665" t="s">
        <v>2296</v>
      </c>
      <c r="M1305" s="1666">
        <v>2.462E-2</v>
      </c>
      <c r="N1305" s="1667">
        <v>1.459888256345151</v>
      </c>
      <c r="O1305" s="1667"/>
    </row>
    <row r="1306" spans="11:15">
      <c r="K1306" s="1664">
        <v>43363</v>
      </c>
      <c r="L1306" s="1665" t="s">
        <v>2296</v>
      </c>
      <c r="M1306" s="1666">
        <v>2.462E-2</v>
      </c>
      <c r="N1306" s="1667">
        <v>1.4602476808338634</v>
      </c>
      <c r="O1306" s="1667"/>
    </row>
    <row r="1307" spans="11:15">
      <c r="K1307" s="1664">
        <v>43364</v>
      </c>
      <c r="L1307" s="1665" t="s">
        <v>2296</v>
      </c>
      <c r="M1307" s="1666">
        <v>2.462E-2</v>
      </c>
      <c r="N1307" s="1667">
        <v>1.4606071938128848</v>
      </c>
      <c r="O1307" s="1667"/>
    </row>
    <row r="1308" spans="11:15">
      <c r="K1308" s="1664">
        <v>43365</v>
      </c>
      <c r="L1308" s="1665"/>
      <c r="M1308" s="1666">
        <v>0</v>
      </c>
      <c r="N1308" s="1667">
        <v>1.4606071938128848</v>
      </c>
      <c r="O1308" s="1667"/>
    </row>
    <row r="1309" spans="11:15">
      <c r="K1309" s="1664">
        <v>43366</v>
      </c>
      <c r="L1309" s="1665"/>
      <c r="M1309" s="1666">
        <v>0</v>
      </c>
      <c r="N1309" s="1667">
        <v>1.4606071938128848</v>
      </c>
      <c r="O1309" s="1667"/>
    </row>
    <row r="1310" spans="11:15">
      <c r="K1310" s="1664">
        <v>43367</v>
      </c>
      <c r="L1310" s="1665" t="s">
        <v>2296</v>
      </c>
      <c r="M1310" s="1666">
        <v>2.462E-2</v>
      </c>
      <c r="N1310" s="1667">
        <v>1.4609667953040018</v>
      </c>
      <c r="O1310" s="1667"/>
    </row>
    <row r="1311" spans="11:15">
      <c r="K1311" s="1664">
        <v>43368</v>
      </c>
      <c r="L1311" s="1665" t="s">
        <v>2296</v>
      </c>
      <c r="M1311" s="1666">
        <v>2.462E-2</v>
      </c>
      <c r="N1311" s="1667">
        <v>1.4613264853290058</v>
      </c>
      <c r="O1311" s="1667"/>
    </row>
    <row r="1312" spans="11:15">
      <c r="K1312" s="1664">
        <v>43369</v>
      </c>
      <c r="L1312" s="1665" t="s">
        <v>2296</v>
      </c>
      <c r="M1312" s="1666">
        <v>2.462E-2</v>
      </c>
      <c r="N1312" s="1667">
        <v>1.4616862639096939</v>
      </c>
      <c r="O1312" s="1667"/>
    </row>
    <row r="1313" spans="11:15">
      <c r="K1313" s="1664">
        <v>43370</v>
      </c>
      <c r="L1313" s="1665" t="s">
        <v>2296</v>
      </c>
      <c r="M1313" s="1666">
        <v>2.462E-2</v>
      </c>
      <c r="N1313" s="1667">
        <v>1.4620461310678685</v>
      </c>
      <c r="O1313" s="1667"/>
    </row>
    <row r="1314" spans="11:15">
      <c r="K1314" s="1664">
        <v>43371</v>
      </c>
      <c r="L1314" s="1665" t="s">
        <v>2296</v>
      </c>
      <c r="M1314" s="1666">
        <v>2.462E-2</v>
      </c>
      <c r="N1314" s="1667">
        <v>1.4624060868253375</v>
      </c>
      <c r="O1314" s="1667"/>
    </row>
    <row r="1315" spans="11:15">
      <c r="K1315" s="1664">
        <v>43372</v>
      </c>
      <c r="L1315" s="1665"/>
      <c r="M1315" s="1666">
        <v>0</v>
      </c>
      <c r="N1315" s="1667">
        <v>1.4624060868253375</v>
      </c>
      <c r="O1315" s="1667"/>
    </row>
    <row r="1316" spans="11:15">
      <c r="K1316" s="1664">
        <v>43373</v>
      </c>
      <c r="L1316" s="1665"/>
      <c r="M1316" s="1666">
        <v>0</v>
      </c>
      <c r="N1316" s="1667">
        <v>1.4624060868253375</v>
      </c>
      <c r="O1316" s="1667"/>
    </row>
    <row r="1317" spans="11:15">
      <c r="K1317" s="1664">
        <v>43374</v>
      </c>
      <c r="L1317" s="1665" t="s">
        <v>2296</v>
      </c>
      <c r="M1317" s="1666">
        <v>2.462E-2</v>
      </c>
      <c r="N1317" s="1667">
        <v>1.462766131203914</v>
      </c>
      <c r="O1317" s="1667"/>
    </row>
    <row r="1318" spans="11:15">
      <c r="K1318" s="1664">
        <v>43375</v>
      </c>
      <c r="L1318" s="1665" t="s">
        <v>2296</v>
      </c>
      <c r="M1318" s="1666">
        <v>2.462E-2</v>
      </c>
      <c r="N1318" s="1667">
        <v>1.4631262642254166</v>
      </c>
      <c r="O1318" s="1667"/>
    </row>
    <row r="1319" spans="11:15">
      <c r="K1319" s="1664">
        <v>43376</v>
      </c>
      <c r="L1319" s="1665" t="s">
        <v>2296</v>
      </c>
      <c r="M1319" s="1666">
        <v>2.462E-2</v>
      </c>
      <c r="N1319" s="1667">
        <v>1.463486485911669</v>
      </c>
      <c r="O1319" s="1667"/>
    </row>
    <row r="1320" spans="11:15">
      <c r="K1320" s="1664">
        <v>43377</v>
      </c>
      <c r="L1320" s="1665" t="s">
        <v>2296</v>
      </c>
      <c r="M1320" s="1666">
        <v>2.462E-2</v>
      </c>
      <c r="N1320" s="1667">
        <v>1.4638467962845005</v>
      </c>
      <c r="O1320" s="1667"/>
    </row>
    <row r="1321" spans="11:15">
      <c r="K1321" s="1664">
        <v>43378</v>
      </c>
      <c r="L1321" s="1665" t="s">
        <v>2296</v>
      </c>
      <c r="M1321" s="1666">
        <v>2.462E-2</v>
      </c>
      <c r="N1321" s="1667">
        <v>1.4642071953657458</v>
      </c>
      <c r="O1321" s="1667"/>
    </row>
    <row r="1322" spans="11:15">
      <c r="K1322" s="1664">
        <v>43379</v>
      </c>
      <c r="L1322" s="1665"/>
      <c r="M1322" s="1666">
        <v>0</v>
      </c>
      <c r="N1322" s="1667">
        <v>1.4642071953657458</v>
      </c>
      <c r="O1322" s="1667"/>
    </row>
    <row r="1323" spans="11:15">
      <c r="K1323" s="1664">
        <v>43380</v>
      </c>
      <c r="L1323" s="1665"/>
      <c r="M1323" s="1666">
        <v>0</v>
      </c>
      <c r="N1323" s="1667">
        <v>1.4642071953657458</v>
      </c>
      <c r="O1323" s="1667"/>
    </row>
    <row r="1324" spans="11:15">
      <c r="K1324" s="1664">
        <v>43381</v>
      </c>
      <c r="L1324" s="1665" t="s">
        <v>2296</v>
      </c>
      <c r="M1324" s="1666">
        <v>2.462E-2</v>
      </c>
      <c r="N1324" s="1667">
        <v>1.4645676831772449</v>
      </c>
      <c r="O1324" s="1667"/>
    </row>
    <row r="1325" spans="11:15">
      <c r="K1325" s="1664">
        <v>43382</v>
      </c>
      <c r="L1325" s="1665" t="s">
        <v>2296</v>
      </c>
      <c r="M1325" s="1666">
        <v>2.462E-2</v>
      </c>
      <c r="N1325" s="1667">
        <v>1.4649282597408433</v>
      </c>
      <c r="O1325" s="1667"/>
    </row>
    <row r="1326" spans="11:15">
      <c r="K1326" s="1664">
        <v>43383</v>
      </c>
      <c r="L1326" s="1665" t="s">
        <v>2296</v>
      </c>
      <c r="M1326" s="1666">
        <v>2.462E-2</v>
      </c>
      <c r="N1326" s="1667">
        <v>1.4652889250783916</v>
      </c>
      <c r="O1326" s="1667"/>
    </row>
    <row r="1327" spans="11:15">
      <c r="K1327" s="1664">
        <v>43384</v>
      </c>
      <c r="L1327" s="1665" t="s">
        <v>2296</v>
      </c>
      <c r="M1327" s="1666">
        <v>2.462E-2</v>
      </c>
      <c r="N1327" s="1667">
        <v>1.4656496792117459</v>
      </c>
      <c r="O1327" s="1667"/>
    </row>
    <row r="1328" spans="11:15">
      <c r="K1328" s="1664">
        <v>43385</v>
      </c>
      <c r="L1328" s="1665"/>
      <c r="M1328" s="1666">
        <v>0</v>
      </c>
      <c r="N1328" s="1667">
        <v>1.4656496792117459</v>
      </c>
      <c r="O1328" s="1667"/>
    </row>
    <row r="1329" spans="11:15">
      <c r="K1329" s="1664">
        <v>43386</v>
      </c>
      <c r="L1329" s="1665"/>
      <c r="M1329" s="1666">
        <v>0</v>
      </c>
      <c r="N1329" s="1667">
        <v>1.4656496792117459</v>
      </c>
      <c r="O1329" s="1667"/>
    </row>
    <row r="1330" spans="11:15">
      <c r="K1330" s="1664">
        <v>43387</v>
      </c>
      <c r="L1330" s="1665"/>
      <c r="M1330" s="1666">
        <v>0</v>
      </c>
      <c r="N1330" s="1667">
        <v>1.4656496792117459</v>
      </c>
      <c r="O1330" s="1667"/>
    </row>
    <row r="1331" spans="11:15">
      <c r="K1331" s="1664">
        <v>43388</v>
      </c>
      <c r="L1331" s="1665" t="s">
        <v>2296</v>
      </c>
      <c r="M1331" s="1666">
        <v>2.462E-2</v>
      </c>
      <c r="N1331" s="1667">
        <v>1.4660105221627679</v>
      </c>
      <c r="O1331" s="1667"/>
    </row>
    <row r="1332" spans="11:15">
      <c r="K1332" s="1664">
        <v>43389</v>
      </c>
      <c r="L1332" s="1665" t="s">
        <v>2296</v>
      </c>
      <c r="M1332" s="1666">
        <v>2.462E-2</v>
      </c>
      <c r="N1332" s="1667">
        <v>1.4663714539533246</v>
      </c>
      <c r="O1332" s="1667"/>
    </row>
    <row r="1333" spans="11:15">
      <c r="K1333" s="1664">
        <v>43390</v>
      </c>
      <c r="L1333" s="1665" t="s">
        <v>2296</v>
      </c>
      <c r="M1333" s="1666">
        <v>2.462E-2</v>
      </c>
      <c r="N1333" s="1667">
        <v>1.4667324746052881</v>
      </c>
      <c r="O1333" s="1667"/>
    </row>
    <row r="1334" spans="11:15">
      <c r="K1334" s="1664">
        <v>43391</v>
      </c>
      <c r="L1334" s="1665" t="s">
        <v>2296</v>
      </c>
      <c r="M1334" s="1666">
        <v>2.462E-2</v>
      </c>
      <c r="N1334" s="1667">
        <v>1.4670935841405361</v>
      </c>
      <c r="O1334" s="1667"/>
    </row>
    <row r="1335" spans="11:15">
      <c r="K1335" s="1664">
        <v>43392</v>
      </c>
      <c r="L1335" s="1665" t="s">
        <v>2296</v>
      </c>
      <c r="M1335" s="1666">
        <v>2.462E-2</v>
      </c>
      <c r="N1335" s="1667">
        <v>1.4674547825809516</v>
      </c>
      <c r="O1335" s="1667"/>
    </row>
    <row r="1336" spans="11:15">
      <c r="K1336" s="1664">
        <v>43393</v>
      </c>
      <c r="L1336" s="1665"/>
      <c r="M1336" s="1666">
        <v>0</v>
      </c>
      <c r="N1336" s="1667">
        <v>1.4674547825809516</v>
      </c>
      <c r="O1336" s="1667"/>
    </row>
    <row r="1337" spans="11:15">
      <c r="K1337" s="1664">
        <v>43394</v>
      </c>
      <c r="L1337" s="1665"/>
      <c r="M1337" s="1666">
        <v>0</v>
      </c>
      <c r="N1337" s="1667">
        <v>1.4674547825809516</v>
      </c>
      <c r="O1337" s="1667"/>
    </row>
    <row r="1338" spans="11:15">
      <c r="K1338" s="1664">
        <v>43395</v>
      </c>
      <c r="L1338" s="1665" t="s">
        <v>2296</v>
      </c>
      <c r="M1338" s="1666">
        <v>2.462E-2</v>
      </c>
      <c r="N1338" s="1667">
        <v>1.4678160699484233</v>
      </c>
      <c r="O1338" s="1667"/>
    </row>
    <row r="1339" spans="11:15">
      <c r="K1339" s="1664">
        <v>43396</v>
      </c>
      <c r="L1339" s="1665" t="s">
        <v>2296</v>
      </c>
      <c r="M1339" s="1666">
        <v>2.462E-2</v>
      </c>
      <c r="N1339" s="1667">
        <v>1.4681774462648447</v>
      </c>
      <c r="O1339" s="1667"/>
    </row>
    <row r="1340" spans="11:15">
      <c r="K1340" s="1664">
        <v>43397</v>
      </c>
      <c r="L1340" s="1665" t="s">
        <v>2296</v>
      </c>
      <c r="M1340" s="1666">
        <v>2.462E-2</v>
      </c>
      <c r="N1340" s="1667">
        <v>1.4685389115521152</v>
      </c>
      <c r="O1340" s="1667"/>
    </row>
    <row r="1341" spans="11:15">
      <c r="K1341" s="1664">
        <v>43398</v>
      </c>
      <c r="L1341" s="1665" t="s">
        <v>2296</v>
      </c>
      <c r="M1341" s="1666">
        <v>2.462E-2</v>
      </c>
      <c r="N1341" s="1667">
        <v>1.4689004658321394</v>
      </c>
      <c r="O1341" s="1667"/>
    </row>
    <row r="1342" spans="11:15">
      <c r="K1342" s="1664">
        <v>43399</v>
      </c>
      <c r="L1342" s="1665" t="s">
        <v>2296</v>
      </c>
      <c r="M1342" s="1666">
        <v>2.462E-2</v>
      </c>
      <c r="N1342" s="1667">
        <v>1.4692621091268274</v>
      </c>
      <c r="O1342" s="1667"/>
    </row>
    <row r="1343" spans="11:15">
      <c r="K1343" s="1664">
        <v>43400</v>
      </c>
      <c r="L1343" s="1665"/>
      <c r="M1343" s="1666">
        <v>0</v>
      </c>
      <c r="N1343" s="1667">
        <v>1.4692621091268274</v>
      </c>
      <c r="O1343" s="1667"/>
    </row>
    <row r="1344" spans="11:15">
      <c r="K1344" s="1664">
        <v>43401</v>
      </c>
      <c r="L1344" s="1665"/>
      <c r="M1344" s="1666">
        <v>0</v>
      </c>
      <c r="N1344" s="1667">
        <v>1.4692621091268274</v>
      </c>
      <c r="O1344" s="1667"/>
    </row>
    <row r="1345" spans="11:15">
      <c r="K1345" s="1664">
        <v>43402</v>
      </c>
      <c r="L1345" s="1665" t="s">
        <v>2296</v>
      </c>
      <c r="M1345" s="1666">
        <v>2.462E-2</v>
      </c>
      <c r="N1345" s="1667">
        <v>1.4696238414580947</v>
      </c>
      <c r="O1345" s="1667"/>
    </row>
    <row r="1346" spans="11:15">
      <c r="K1346" s="1664">
        <v>43403</v>
      </c>
      <c r="L1346" s="1665" t="s">
        <v>2296</v>
      </c>
      <c r="M1346" s="1666">
        <v>2.462E-2</v>
      </c>
      <c r="N1346" s="1667">
        <v>1.4699856628478618</v>
      </c>
      <c r="O1346" s="1667"/>
    </row>
    <row r="1347" spans="11:15">
      <c r="K1347" s="1664">
        <v>43404</v>
      </c>
      <c r="L1347" s="1665" t="s">
        <v>2296</v>
      </c>
      <c r="M1347" s="1666">
        <v>2.462E-2</v>
      </c>
      <c r="N1347" s="1667">
        <v>1.4703475733180551</v>
      </c>
      <c r="O1347" s="1667"/>
    </row>
    <row r="1348" spans="11:15">
      <c r="K1348" s="1664">
        <v>43405</v>
      </c>
      <c r="L1348" s="1665" t="s">
        <v>2296</v>
      </c>
      <c r="M1348" s="1666">
        <v>2.462E-2</v>
      </c>
      <c r="N1348" s="1667">
        <v>1.4707095728906061</v>
      </c>
      <c r="O1348" s="1667"/>
    </row>
    <row r="1349" spans="11:15">
      <c r="K1349" s="1664">
        <v>43406</v>
      </c>
      <c r="L1349" s="1665"/>
      <c r="M1349" s="1666">
        <v>0</v>
      </c>
      <c r="N1349" s="1667">
        <v>1.4707095728906061</v>
      </c>
      <c r="O1349" s="1667"/>
    </row>
    <row r="1350" spans="11:15">
      <c r="K1350" s="1664">
        <v>43407</v>
      </c>
      <c r="L1350" s="1665"/>
      <c r="M1350" s="1666">
        <v>0</v>
      </c>
      <c r="N1350" s="1667">
        <v>1.4707095728906061</v>
      </c>
      <c r="O1350" s="1667"/>
    </row>
    <row r="1351" spans="11:15">
      <c r="K1351" s="1664">
        <v>43408</v>
      </c>
      <c r="L1351" s="1665"/>
      <c r="M1351" s="1666">
        <v>0</v>
      </c>
      <c r="N1351" s="1667">
        <v>1.4707095728906061</v>
      </c>
      <c r="O1351" s="1667"/>
    </row>
    <row r="1352" spans="11:15">
      <c r="K1352" s="1664">
        <v>43409</v>
      </c>
      <c r="L1352" s="1665" t="s">
        <v>2296</v>
      </c>
      <c r="M1352" s="1666">
        <v>2.462E-2</v>
      </c>
      <c r="N1352" s="1667">
        <v>1.471071661587452</v>
      </c>
      <c r="O1352" s="1667"/>
    </row>
    <row r="1353" spans="11:15">
      <c r="K1353" s="1664">
        <v>43410</v>
      </c>
      <c r="L1353" s="1665" t="s">
        <v>2296</v>
      </c>
      <c r="M1353" s="1666">
        <v>2.462E-2</v>
      </c>
      <c r="N1353" s="1667">
        <v>1.4714338394305349</v>
      </c>
      <c r="O1353" s="1667"/>
    </row>
    <row r="1354" spans="11:15">
      <c r="K1354" s="1664">
        <v>43411</v>
      </c>
      <c r="L1354" s="1665" t="s">
        <v>2296</v>
      </c>
      <c r="M1354" s="1666">
        <v>2.462E-2</v>
      </c>
      <c r="N1354" s="1667">
        <v>1.4717961064418028</v>
      </c>
      <c r="O1354" s="1667"/>
    </row>
    <row r="1355" spans="11:15">
      <c r="K1355" s="1664">
        <v>43412</v>
      </c>
      <c r="L1355" s="1665" t="s">
        <v>2296</v>
      </c>
      <c r="M1355" s="1666">
        <v>2.462E-2</v>
      </c>
      <c r="N1355" s="1667">
        <v>1.4721584626432089</v>
      </c>
      <c r="O1355" s="1667"/>
    </row>
    <row r="1356" spans="11:15">
      <c r="K1356" s="1664">
        <v>43413</v>
      </c>
      <c r="L1356" s="1665" t="s">
        <v>2296</v>
      </c>
      <c r="M1356" s="1666">
        <v>2.462E-2</v>
      </c>
      <c r="N1356" s="1667">
        <v>1.4725209080567119</v>
      </c>
      <c r="O1356" s="1667"/>
    </row>
    <row r="1357" spans="11:15">
      <c r="K1357" s="1664">
        <v>43414</v>
      </c>
      <c r="L1357" s="1665"/>
      <c r="M1357" s="1666">
        <v>0</v>
      </c>
      <c r="N1357" s="1667">
        <v>1.4725209080567119</v>
      </c>
      <c r="O1357" s="1667"/>
    </row>
    <row r="1358" spans="11:15">
      <c r="K1358" s="1664">
        <v>43415</v>
      </c>
      <c r="L1358" s="1665"/>
      <c r="M1358" s="1666">
        <v>0</v>
      </c>
      <c r="N1358" s="1667">
        <v>1.4725209080567119</v>
      </c>
      <c r="O1358" s="1667"/>
    </row>
    <row r="1359" spans="11:15">
      <c r="K1359" s="1664">
        <v>43416</v>
      </c>
      <c r="L1359" s="1665" t="s">
        <v>2296</v>
      </c>
      <c r="M1359" s="1666">
        <v>2.462E-2</v>
      </c>
      <c r="N1359" s="1667">
        <v>1.4728834427042756</v>
      </c>
      <c r="O1359" s="1667"/>
    </row>
    <row r="1360" spans="11:15">
      <c r="K1360" s="1664">
        <v>43417</v>
      </c>
      <c r="L1360" s="1665" t="s">
        <v>2296</v>
      </c>
      <c r="M1360" s="1666">
        <v>2.462E-2</v>
      </c>
      <c r="N1360" s="1667">
        <v>1.4732460666078695</v>
      </c>
      <c r="O1360" s="1667"/>
    </row>
    <row r="1361" spans="11:15">
      <c r="K1361" s="1664">
        <v>43418</v>
      </c>
      <c r="L1361" s="1665" t="s">
        <v>2296</v>
      </c>
      <c r="M1361" s="1666">
        <v>2.462E-2</v>
      </c>
      <c r="N1361" s="1667">
        <v>1.4736087797894686</v>
      </c>
      <c r="O1361" s="1667"/>
    </row>
    <row r="1362" spans="11:15">
      <c r="K1362" s="1664">
        <v>43419</v>
      </c>
      <c r="L1362" s="1665"/>
      <c r="M1362" s="1666">
        <v>0</v>
      </c>
      <c r="N1362" s="1667">
        <v>1.4736087797894686</v>
      </c>
      <c r="O1362" s="1667"/>
    </row>
    <row r="1363" spans="11:15">
      <c r="K1363" s="1664">
        <v>43420</v>
      </c>
      <c r="L1363" s="1665" t="s">
        <v>2296</v>
      </c>
      <c r="M1363" s="1666">
        <v>2.462E-2</v>
      </c>
      <c r="N1363" s="1667">
        <v>1.4739715822710528</v>
      </c>
      <c r="O1363" s="1667"/>
    </row>
    <row r="1364" spans="11:15">
      <c r="K1364" s="1664">
        <v>43421</v>
      </c>
      <c r="L1364" s="1665"/>
      <c r="M1364" s="1666">
        <v>0</v>
      </c>
      <c r="N1364" s="1667">
        <v>1.4739715822710528</v>
      </c>
      <c r="O1364" s="1667"/>
    </row>
    <row r="1365" spans="11:15">
      <c r="K1365" s="1664">
        <v>43422</v>
      </c>
      <c r="L1365" s="1665"/>
      <c r="M1365" s="1666">
        <v>0</v>
      </c>
      <c r="N1365" s="1667">
        <v>1.4739715822710528</v>
      </c>
      <c r="O1365" s="1667"/>
    </row>
    <row r="1366" spans="11:15">
      <c r="K1366" s="1664">
        <v>43423</v>
      </c>
      <c r="L1366" s="1665" t="s">
        <v>2296</v>
      </c>
      <c r="M1366" s="1666">
        <v>2.462E-2</v>
      </c>
      <c r="N1366" s="1667">
        <v>1.474334474074608</v>
      </c>
      <c r="O1366" s="1667"/>
    </row>
    <row r="1367" spans="11:15">
      <c r="K1367" s="1664">
        <v>43424</v>
      </c>
      <c r="L1367" s="1665" t="s">
        <v>2296</v>
      </c>
      <c r="M1367" s="1666">
        <v>2.462E-2</v>
      </c>
      <c r="N1367" s="1667">
        <v>1.4746974552221253</v>
      </c>
      <c r="O1367" s="1667"/>
    </row>
    <row r="1368" spans="11:15">
      <c r="K1368" s="1664">
        <v>43425</v>
      </c>
      <c r="L1368" s="1665" t="s">
        <v>2296</v>
      </c>
      <c r="M1368" s="1666">
        <v>2.462E-2</v>
      </c>
      <c r="N1368" s="1667">
        <v>1.4750605257356011</v>
      </c>
      <c r="O1368" s="1667"/>
    </row>
    <row r="1369" spans="11:15">
      <c r="K1369" s="1664">
        <v>43426</v>
      </c>
      <c r="L1369" s="1665" t="s">
        <v>2296</v>
      </c>
      <c r="M1369" s="1666">
        <v>2.462E-2</v>
      </c>
      <c r="N1369" s="1667">
        <v>1.4754236856370373</v>
      </c>
      <c r="O1369" s="1667"/>
    </row>
    <row r="1370" spans="11:15">
      <c r="K1370" s="1664">
        <v>43427</v>
      </c>
      <c r="L1370" s="1665" t="s">
        <v>2296</v>
      </c>
      <c r="M1370" s="1666">
        <v>2.462E-2</v>
      </c>
      <c r="N1370" s="1667">
        <v>1.4757869349484412</v>
      </c>
      <c r="O1370" s="1667"/>
    </row>
    <row r="1371" spans="11:15">
      <c r="K1371" s="1664">
        <v>43428</v>
      </c>
      <c r="L1371" s="1665"/>
      <c r="M1371" s="1666">
        <v>0</v>
      </c>
      <c r="N1371" s="1667">
        <v>1.4757869349484412</v>
      </c>
      <c r="O1371" s="1667"/>
    </row>
    <row r="1372" spans="11:15">
      <c r="K1372" s="1664">
        <v>43429</v>
      </c>
      <c r="L1372" s="1665"/>
      <c r="M1372" s="1666">
        <v>0</v>
      </c>
      <c r="N1372" s="1667">
        <v>1.4757869349484412</v>
      </c>
      <c r="O1372" s="1667"/>
    </row>
    <row r="1373" spans="11:15">
      <c r="K1373" s="1664">
        <v>43430</v>
      </c>
      <c r="L1373" s="1665" t="s">
        <v>2296</v>
      </c>
      <c r="M1373" s="1666">
        <v>2.462E-2</v>
      </c>
      <c r="N1373" s="1667">
        <v>1.4761502736918255</v>
      </c>
      <c r="O1373" s="1667"/>
    </row>
    <row r="1374" spans="11:15">
      <c r="K1374" s="1664">
        <v>43431</v>
      </c>
      <c r="L1374" s="1665" t="s">
        <v>2296</v>
      </c>
      <c r="M1374" s="1666">
        <v>2.462E-2</v>
      </c>
      <c r="N1374" s="1667">
        <v>1.4765137018892085</v>
      </c>
      <c r="O1374" s="1667"/>
    </row>
    <row r="1375" spans="11:15">
      <c r="K1375" s="1664">
        <v>43432</v>
      </c>
      <c r="L1375" s="1665" t="s">
        <v>2296</v>
      </c>
      <c r="M1375" s="1666">
        <v>2.462E-2</v>
      </c>
      <c r="N1375" s="1667">
        <v>1.4768772195626136</v>
      </c>
      <c r="O1375" s="1667"/>
    </row>
    <row r="1376" spans="11:15">
      <c r="K1376" s="1664">
        <v>43433</v>
      </c>
      <c r="L1376" s="1665" t="s">
        <v>2296</v>
      </c>
      <c r="M1376" s="1666">
        <v>2.462E-2</v>
      </c>
      <c r="N1376" s="1667">
        <v>1.47724082673407</v>
      </c>
      <c r="O1376" s="1667"/>
    </row>
    <row r="1377" spans="11:15">
      <c r="K1377" s="1664">
        <v>43434</v>
      </c>
      <c r="L1377" s="1665" t="s">
        <v>2296</v>
      </c>
      <c r="M1377" s="1666">
        <v>2.462E-2</v>
      </c>
      <c r="N1377" s="1667">
        <v>1.4776045234256121</v>
      </c>
      <c r="O1377" s="1667"/>
    </row>
    <row r="1378" spans="11:15">
      <c r="K1378" s="1664">
        <v>43435</v>
      </c>
      <c r="L1378" s="1665"/>
      <c r="M1378" s="1666">
        <v>0</v>
      </c>
      <c r="N1378" s="1667">
        <v>1.4776045234256121</v>
      </c>
      <c r="O1378" s="1667"/>
    </row>
    <row r="1379" spans="11:15">
      <c r="K1379" s="1664">
        <v>43436</v>
      </c>
      <c r="L1379" s="1665"/>
      <c r="M1379" s="1666">
        <v>0</v>
      </c>
      <c r="N1379" s="1667">
        <v>1.4776045234256121</v>
      </c>
      <c r="O1379" s="1667"/>
    </row>
    <row r="1380" spans="11:15">
      <c r="K1380" s="1664">
        <v>43437</v>
      </c>
      <c r="L1380" s="1665" t="s">
        <v>2296</v>
      </c>
      <c r="M1380" s="1666">
        <v>2.462E-2</v>
      </c>
      <c r="N1380" s="1667">
        <v>1.4779683096592797</v>
      </c>
      <c r="O1380" s="1667"/>
    </row>
    <row r="1381" spans="11:15">
      <c r="K1381" s="1664">
        <v>43438</v>
      </c>
      <c r="L1381" s="1665" t="s">
        <v>2296</v>
      </c>
      <c r="M1381" s="1666">
        <v>2.462E-2</v>
      </c>
      <c r="N1381" s="1667">
        <v>1.4783321854571179</v>
      </c>
      <c r="O1381" s="1667"/>
    </row>
    <row r="1382" spans="11:15">
      <c r="K1382" s="1664">
        <v>43439</v>
      </c>
      <c r="L1382" s="1665" t="s">
        <v>2296</v>
      </c>
      <c r="M1382" s="1666">
        <v>2.462E-2</v>
      </c>
      <c r="N1382" s="1667">
        <v>1.4786961508411776</v>
      </c>
      <c r="O1382" s="1667"/>
    </row>
    <row r="1383" spans="11:15">
      <c r="K1383" s="1664">
        <v>43440</v>
      </c>
      <c r="L1383" s="1665" t="s">
        <v>2296</v>
      </c>
      <c r="M1383" s="1666">
        <v>2.462E-2</v>
      </c>
      <c r="N1383" s="1667">
        <v>1.4790602058335147</v>
      </c>
      <c r="O1383" s="1667"/>
    </row>
    <row r="1384" spans="11:15">
      <c r="K1384" s="1664">
        <v>43441</v>
      </c>
      <c r="L1384" s="1665" t="s">
        <v>2296</v>
      </c>
      <c r="M1384" s="1666">
        <v>2.462E-2</v>
      </c>
      <c r="N1384" s="1667">
        <v>1.479424350456191</v>
      </c>
      <c r="O1384" s="1667"/>
    </row>
    <row r="1385" spans="11:15">
      <c r="K1385" s="1664">
        <v>43442</v>
      </c>
      <c r="L1385" s="1665"/>
      <c r="M1385" s="1666">
        <v>0</v>
      </c>
      <c r="N1385" s="1667">
        <v>1.479424350456191</v>
      </c>
      <c r="O1385" s="1667"/>
    </row>
    <row r="1386" spans="11:15">
      <c r="K1386" s="1664">
        <v>43443</v>
      </c>
      <c r="L1386" s="1665"/>
      <c r="M1386" s="1666">
        <v>0</v>
      </c>
      <c r="N1386" s="1667">
        <v>1.479424350456191</v>
      </c>
      <c r="O1386" s="1667"/>
    </row>
    <row r="1387" spans="11:15">
      <c r="K1387" s="1664">
        <v>43444</v>
      </c>
      <c r="L1387" s="1665" t="s">
        <v>2296</v>
      </c>
      <c r="M1387" s="1666">
        <v>2.462E-2</v>
      </c>
      <c r="N1387" s="1667">
        <v>1.4797885847312735</v>
      </c>
      <c r="O1387" s="1667"/>
    </row>
    <row r="1388" spans="11:15">
      <c r="K1388" s="1664">
        <v>43445</v>
      </c>
      <c r="L1388" s="1665" t="s">
        <v>2296</v>
      </c>
      <c r="M1388" s="1666">
        <v>2.462E-2</v>
      </c>
      <c r="N1388" s="1667">
        <v>1.4801529086808345</v>
      </c>
      <c r="O1388" s="1667"/>
    </row>
    <row r="1389" spans="11:15">
      <c r="K1389" s="1664">
        <v>43446</v>
      </c>
      <c r="L1389" s="1665" t="s">
        <v>2296</v>
      </c>
      <c r="M1389" s="1666">
        <v>2.462E-2</v>
      </c>
      <c r="N1389" s="1667">
        <v>1.4805173223269519</v>
      </c>
      <c r="O1389" s="1667"/>
    </row>
    <row r="1390" spans="11:15">
      <c r="K1390" s="1664">
        <v>43447</v>
      </c>
      <c r="L1390" s="1665" t="s">
        <v>2296</v>
      </c>
      <c r="M1390" s="1666">
        <v>2.462E-2</v>
      </c>
      <c r="N1390" s="1667">
        <v>1.4808818256917089</v>
      </c>
      <c r="O1390" s="1667"/>
    </row>
    <row r="1391" spans="11:15">
      <c r="K1391" s="1664">
        <v>43448</v>
      </c>
      <c r="L1391" s="1665" t="s">
        <v>2296</v>
      </c>
      <c r="M1391" s="1666">
        <v>2.462E-2</v>
      </c>
      <c r="N1391" s="1667">
        <v>1.4812464187971943</v>
      </c>
      <c r="O1391" s="1667"/>
    </row>
    <row r="1392" spans="11:15">
      <c r="K1392" s="1664">
        <v>43449</v>
      </c>
      <c r="L1392" s="1665"/>
      <c r="M1392" s="1666">
        <v>0</v>
      </c>
      <c r="N1392" s="1667">
        <v>1.4812464187971943</v>
      </c>
      <c r="O1392" s="1667"/>
    </row>
    <row r="1393" spans="11:15">
      <c r="K1393" s="1664">
        <v>43450</v>
      </c>
      <c r="L1393" s="1665"/>
      <c r="M1393" s="1666">
        <v>0</v>
      </c>
      <c r="N1393" s="1667">
        <v>1.4812464187971943</v>
      </c>
      <c r="O1393" s="1667"/>
    </row>
    <row r="1394" spans="11:15">
      <c r="K1394" s="1664">
        <v>43451</v>
      </c>
      <c r="L1394" s="1665" t="s">
        <v>2296</v>
      </c>
      <c r="M1394" s="1666">
        <v>2.462E-2</v>
      </c>
      <c r="N1394" s="1667">
        <v>1.4816111016655023</v>
      </c>
      <c r="O1394" s="1667"/>
    </row>
    <row r="1395" spans="11:15">
      <c r="K1395" s="1664">
        <v>43452</v>
      </c>
      <c r="L1395" s="1665" t="s">
        <v>2296</v>
      </c>
      <c r="M1395" s="1666">
        <v>2.462E-2</v>
      </c>
      <c r="N1395" s="1667">
        <v>1.4819758743187323</v>
      </c>
      <c r="O1395" s="1667"/>
    </row>
    <row r="1396" spans="11:15">
      <c r="K1396" s="1664">
        <v>43453</v>
      </c>
      <c r="L1396" s="1665" t="s">
        <v>2296</v>
      </c>
      <c r="M1396" s="1666">
        <v>2.462E-2</v>
      </c>
      <c r="N1396" s="1667">
        <v>1.4823407367789898</v>
      </c>
      <c r="O1396" s="1667"/>
    </row>
    <row r="1397" spans="11:15">
      <c r="K1397" s="1664">
        <v>43454</v>
      </c>
      <c r="L1397" s="1665" t="s">
        <v>2296</v>
      </c>
      <c r="M1397" s="1666">
        <v>2.462E-2</v>
      </c>
      <c r="N1397" s="1667">
        <v>1.482705689068385</v>
      </c>
      <c r="O1397" s="1667"/>
    </row>
    <row r="1398" spans="11:15">
      <c r="K1398" s="1664">
        <v>43455</v>
      </c>
      <c r="L1398" s="1665" t="s">
        <v>2296</v>
      </c>
      <c r="M1398" s="1666">
        <v>2.462E-2</v>
      </c>
      <c r="N1398" s="1667">
        <v>1.4830707312090337</v>
      </c>
      <c r="O1398" s="1667"/>
    </row>
    <row r="1399" spans="11:15">
      <c r="K1399" s="1664">
        <v>43456</v>
      </c>
      <c r="L1399" s="1665"/>
      <c r="M1399" s="1666">
        <v>0</v>
      </c>
      <c r="N1399" s="1667">
        <v>1.4830707312090337</v>
      </c>
      <c r="O1399" s="1667"/>
    </row>
    <row r="1400" spans="11:15">
      <c r="K1400" s="1664">
        <v>43457</v>
      </c>
      <c r="L1400" s="1665"/>
      <c r="M1400" s="1666">
        <v>0</v>
      </c>
      <c r="N1400" s="1667">
        <v>1.4830707312090337</v>
      </c>
      <c r="O1400" s="1667"/>
    </row>
    <row r="1401" spans="11:15">
      <c r="K1401" s="1664">
        <v>43458</v>
      </c>
      <c r="L1401" s="1665" t="s">
        <v>2296</v>
      </c>
      <c r="M1401" s="1666">
        <v>2.462E-2</v>
      </c>
      <c r="N1401" s="1667">
        <v>1.4834358632230575</v>
      </c>
      <c r="O1401" s="1667"/>
    </row>
    <row r="1402" spans="11:15">
      <c r="K1402" s="1664">
        <v>43459</v>
      </c>
      <c r="L1402" s="1665"/>
      <c r="M1402" s="1666">
        <v>0</v>
      </c>
      <c r="N1402" s="1667">
        <v>1.4834358632230575</v>
      </c>
      <c r="O1402" s="1667"/>
    </row>
    <row r="1403" spans="11:15">
      <c r="K1403" s="1664">
        <v>43460</v>
      </c>
      <c r="L1403" s="1665" t="s">
        <v>2296</v>
      </c>
      <c r="M1403" s="1666">
        <v>2.462E-2</v>
      </c>
      <c r="N1403" s="1667">
        <v>1.4838010851325831</v>
      </c>
      <c r="O1403" s="1667"/>
    </row>
    <row r="1404" spans="11:15">
      <c r="K1404" s="1664">
        <v>43461</v>
      </c>
      <c r="L1404" s="1665" t="s">
        <v>2296</v>
      </c>
      <c r="M1404" s="1666">
        <v>2.462E-2</v>
      </c>
      <c r="N1404" s="1667">
        <v>1.484166396959743</v>
      </c>
      <c r="O1404" s="1667"/>
    </row>
    <row r="1405" spans="11:15">
      <c r="K1405" s="1664">
        <v>43462</v>
      </c>
      <c r="L1405" s="1665" t="s">
        <v>2296</v>
      </c>
      <c r="M1405" s="1666">
        <v>2.462E-2</v>
      </c>
      <c r="N1405" s="1667">
        <v>1.4845317987266746</v>
      </c>
      <c r="O1405" s="1667"/>
    </row>
    <row r="1406" spans="11:15">
      <c r="K1406" s="1664">
        <v>43463</v>
      </c>
      <c r="L1406" s="1665"/>
      <c r="M1406" s="1666">
        <v>0</v>
      </c>
      <c r="N1406" s="1667">
        <v>1.4845317987266746</v>
      </c>
      <c r="O1406" s="1667"/>
    </row>
    <row r="1407" spans="11:15">
      <c r="K1407" s="1664">
        <v>43464</v>
      </c>
      <c r="L1407" s="1665"/>
      <c r="M1407" s="1666">
        <v>0</v>
      </c>
      <c r="N1407" s="1667">
        <v>1.4845317987266746</v>
      </c>
      <c r="O1407" s="1667"/>
    </row>
    <row r="1408" spans="11:15">
      <c r="K1408" s="1664">
        <v>43465</v>
      </c>
      <c r="L1408" s="1665" t="s">
        <v>2296</v>
      </c>
      <c r="M1408" s="1666">
        <v>2.462E-2</v>
      </c>
      <c r="N1408" s="1667">
        <v>1.4848972904555213</v>
      </c>
      <c r="O1408" s="1667"/>
    </row>
    <row r="1409" spans="11:15">
      <c r="K1409" s="1664">
        <v>43466</v>
      </c>
      <c r="L1409" s="1665"/>
      <c r="M1409" s="1666">
        <v>0</v>
      </c>
      <c r="N1409" s="1667">
        <v>1.4848972904555213</v>
      </c>
      <c r="O1409" s="1667"/>
    </row>
    <row r="1410" spans="11:15">
      <c r="K1410" s="1664">
        <v>43467</v>
      </c>
      <c r="L1410" s="1665" t="s">
        <v>2296</v>
      </c>
      <c r="M1410" s="1666">
        <v>2.462E-2</v>
      </c>
      <c r="N1410" s="1667">
        <v>1.4852628721684316</v>
      </c>
      <c r="O1410" s="1667"/>
    </row>
    <row r="1411" spans="11:15">
      <c r="K1411" s="1664">
        <v>43468</v>
      </c>
      <c r="L1411" s="1665" t="s">
        <v>2296</v>
      </c>
      <c r="M1411" s="1666">
        <v>2.462E-2</v>
      </c>
      <c r="N1411" s="1667">
        <v>1.4856285438875596</v>
      </c>
      <c r="O1411" s="1667"/>
    </row>
    <row r="1412" spans="11:15">
      <c r="K1412" s="1664">
        <v>43469</v>
      </c>
      <c r="L1412" s="1665" t="s">
        <v>2296</v>
      </c>
      <c r="M1412" s="1666">
        <v>2.462E-2</v>
      </c>
      <c r="N1412" s="1667">
        <v>1.4859943056350648</v>
      </c>
      <c r="O1412" s="1667"/>
    </row>
    <row r="1413" spans="11:15">
      <c r="K1413" s="1664">
        <v>43470</v>
      </c>
      <c r="L1413" s="1665"/>
      <c r="M1413" s="1666">
        <v>0</v>
      </c>
      <c r="N1413" s="1667">
        <v>1.4859943056350648</v>
      </c>
      <c r="O1413" s="1667"/>
    </row>
    <row r="1414" spans="11:15">
      <c r="K1414" s="1664">
        <v>43471</v>
      </c>
      <c r="L1414" s="1665"/>
      <c r="M1414" s="1666">
        <v>0</v>
      </c>
      <c r="N1414" s="1667">
        <v>1.4859943056350648</v>
      </c>
      <c r="O1414" s="1667"/>
    </row>
    <row r="1415" spans="11:15">
      <c r="K1415" s="1664">
        <v>43472</v>
      </c>
      <c r="L1415" s="1665" t="s">
        <v>2296</v>
      </c>
      <c r="M1415" s="1666">
        <v>2.462E-2</v>
      </c>
      <c r="N1415" s="1667">
        <v>1.4863601574331122</v>
      </c>
      <c r="O1415" s="1667"/>
    </row>
    <row r="1416" spans="11:15">
      <c r="K1416" s="1664">
        <v>43473</v>
      </c>
      <c r="L1416" s="1665" t="s">
        <v>2296</v>
      </c>
      <c r="M1416" s="1666">
        <v>2.462E-2</v>
      </c>
      <c r="N1416" s="1667">
        <v>1.4867260993038725</v>
      </c>
      <c r="O1416" s="1667"/>
    </row>
    <row r="1417" spans="11:15">
      <c r="K1417" s="1664">
        <v>43474</v>
      </c>
      <c r="L1417" s="1665" t="s">
        <v>2296</v>
      </c>
      <c r="M1417" s="1666">
        <v>2.462E-2</v>
      </c>
      <c r="N1417" s="1667">
        <v>1.4870921312695211</v>
      </c>
      <c r="O1417" s="1667"/>
    </row>
    <row r="1418" spans="11:15">
      <c r="K1418" s="1664">
        <v>43475</v>
      </c>
      <c r="L1418" s="1665" t="s">
        <v>2296</v>
      </c>
      <c r="M1418" s="1666">
        <v>2.462E-2</v>
      </c>
      <c r="N1418" s="1667">
        <v>1.4874582533522398</v>
      </c>
      <c r="O1418" s="1667"/>
    </row>
    <row r="1419" spans="11:15">
      <c r="K1419" s="1664">
        <v>43476</v>
      </c>
      <c r="L1419" s="1665" t="s">
        <v>2296</v>
      </c>
      <c r="M1419" s="1666">
        <v>2.462E-2</v>
      </c>
      <c r="N1419" s="1667">
        <v>1.4878244655742152</v>
      </c>
      <c r="O1419" s="1667"/>
    </row>
    <row r="1420" spans="11:15">
      <c r="K1420" s="1664">
        <v>43477</v>
      </c>
      <c r="L1420" s="1665"/>
      <c r="M1420" s="1666">
        <v>0</v>
      </c>
      <c r="N1420" s="1667">
        <v>1.4878244655742152</v>
      </c>
      <c r="O1420" s="1667"/>
    </row>
    <row r="1421" spans="11:15">
      <c r="K1421" s="1664">
        <v>43478</v>
      </c>
      <c r="L1421" s="1665"/>
      <c r="M1421" s="1666">
        <v>0</v>
      </c>
      <c r="N1421" s="1667">
        <v>1.4878244655742152</v>
      </c>
      <c r="O1421" s="1667"/>
    </row>
    <row r="1422" spans="11:15">
      <c r="K1422" s="1664">
        <v>43479</v>
      </c>
      <c r="L1422" s="1665" t="s">
        <v>2296</v>
      </c>
      <c r="M1422" s="1666">
        <v>2.462E-2</v>
      </c>
      <c r="N1422" s="1667">
        <v>1.4881907679576396</v>
      </c>
      <c r="O1422" s="1667"/>
    </row>
    <row r="1423" spans="11:15">
      <c r="K1423" s="1664">
        <v>43480</v>
      </c>
      <c r="L1423" s="1665" t="s">
        <v>2296</v>
      </c>
      <c r="M1423" s="1666">
        <v>2.462E-2</v>
      </c>
      <c r="N1423" s="1667">
        <v>1.488557160524711</v>
      </c>
      <c r="O1423" s="1667"/>
    </row>
    <row r="1424" spans="11:15">
      <c r="K1424" s="1664">
        <v>43481</v>
      </c>
      <c r="L1424" s="1665" t="s">
        <v>2296</v>
      </c>
      <c r="M1424" s="1666">
        <v>2.462E-2</v>
      </c>
      <c r="N1424" s="1667">
        <v>1.4889236432976323</v>
      </c>
      <c r="O1424" s="1667"/>
    </row>
    <row r="1425" spans="11:15">
      <c r="K1425" s="1664">
        <v>43482</v>
      </c>
      <c r="L1425" s="1665" t="s">
        <v>2296</v>
      </c>
      <c r="M1425" s="1666">
        <v>2.462E-2</v>
      </c>
      <c r="N1425" s="1667">
        <v>1.4892902162986124</v>
      </c>
      <c r="O1425" s="1667"/>
    </row>
    <row r="1426" spans="11:15">
      <c r="K1426" s="1664">
        <v>43483</v>
      </c>
      <c r="L1426" s="1665" t="s">
        <v>2296</v>
      </c>
      <c r="M1426" s="1666">
        <v>2.462E-2</v>
      </c>
      <c r="N1426" s="1667">
        <v>1.4896568795498653</v>
      </c>
      <c r="O1426" s="1667"/>
    </row>
    <row r="1427" spans="11:15">
      <c r="K1427" s="1664">
        <v>43484</v>
      </c>
      <c r="L1427" s="1665"/>
      <c r="M1427" s="1666">
        <v>0</v>
      </c>
      <c r="N1427" s="1667">
        <v>1.4896568795498653</v>
      </c>
      <c r="O1427" s="1667"/>
    </row>
    <row r="1428" spans="11:15">
      <c r="K1428" s="1664">
        <v>43485</v>
      </c>
      <c r="L1428" s="1665"/>
      <c r="M1428" s="1666">
        <v>0</v>
      </c>
      <c r="N1428" s="1667">
        <v>1.4896568795498653</v>
      </c>
      <c r="O1428" s="1667"/>
    </row>
    <row r="1429" spans="11:15">
      <c r="K1429" s="1664">
        <v>43486</v>
      </c>
      <c r="L1429" s="1665" t="s">
        <v>2296</v>
      </c>
      <c r="M1429" s="1666">
        <v>2.462E-2</v>
      </c>
      <c r="N1429" s="1667">
        <v>1.4900236330736105</v>
      </c>
      <c r="O1429" s="1667"/>
    </row>
    <row r="1430" spans="11:15">
      <c r="K1430" s="1664">
        <v>43487</v>
      </c>
      <c r="L1430" s="1665" t="s">
        <v>2296</v>
      </c>
      <c r="M1430" s="1666">
        <v>2.462E-2</v>
      </c>
      <c r="N1430" s="1667">
        <v>1.4903904768920733</v>
      </c>
      <c r="O1430" s="1667"/>
    </row>
    <row r="1431" spans="11:15">
      <c r="K1431" s="1664">
        <v>43488</v>
      </c>
      <c r="L1431" s="1665" t="s">
        <v>2296</v>
      </c>
      <c r="M1431" s="1666">
        <v>2.462E-2</v>
      </c>
      <c r="N1431" s="1667">
        <v>1.4907574110274842</v>
      </c>
      <c r="O1431" s="1667"/>
    </row>
    <row r="1432" spans="11:15">
      <c r="K1432" s="1664">
        <v>43489</v>
      </c>
      <c r="L1432" s="1665" t="s">
        <v>2296</v>
      </c>
      <c r="M1432" s="1666">
        <v>2.462E-2</v>
      </c>
      <c r="N1432" s="1667">
        <v>1.4911244355020792</v>
      </c>
      <c r="O1432" s="1667"/>
    </row>
    <row r="1433" spans="11:15">
      <c r="K1433" s="1664">
        <v>43490</v>
      </c>
      <c r="L1433" s="1665" t="s">
        <v>2296</v>
      </c>
      <c r="M1433" s="1666">
        <v>2.462E-2</v>
      </c>
      <c r="N1433" s="1667">
        <v>1.4914915503380999</v>
      </c>
      <c r="O1433" s="1667"/>
    </row>
    <row r="1434" spans="11:15">
      <c r="K1434" s="1664">
        <v>43491</v>
      </c>
      <c r="L1434" s="1665"/>
      <c r="M1434" s="1666">
        <v>0</v>
      </c>
      <c r="N1434" s="1667">
        <v>1.4914915503380999</v>
      </c>
      <c r="O1434" s="1667"/>
    </row>
    <row r="1435" spans="11:15">
      <c r="K1435" s="1664">
        <v>43492</v>
      </c>
      <c r="L1435" s="1665"/>
      <c r="M1435" s="1666">
        <v>0</v>
      </c>
      <c r="N1435" s="1667">
        <v>1.4914915503380999</v>
      </c>
      <c r="O1435" s="1667"/>
    </row>
    <row r="1436" spans="11:15">
      <c r="K1436" s="1664">
        <v>43493</v>
      </c>
      <c r="L1436" s="1665" t="s">
        <v>2296</v>
      </c>
      <c r="M1436" s="1666">
        <v>2.462E-2</v>
      </c>
      <c r="N1436" s="1667">
        <v>1.4918587555577933</v>
      </c>
      <c r="O1436" s="1667"/>
    </row>
    <row r="1437" spans="11:15">
      <c r="K1437" s="1664">
        <v>43494</v>
      </c>
      <c r="L1437" s="1665" t="s">
        <v>2296</v>
      </c>
      <c r="M1437" s="1666">
        <v>2.462E-2</v>
      </c>
      <c r="N1437" s="1667">
        <v>1.4922260511834118</v>
      </c>
      <c r="O1437" s="1667"/>
    </row>
    <row r="1438" spans="11:15">
      <c r="K1438" s="1664">
        <v>43495</v>
      </c>
      <c r="L1438" s="1665" t="s">
        <v>2296</v>
      </c>
      <c r="M1438" s="1666">
        <v>2.462E-2</v>
      </c>
      <c r="N1438" s="1667">
        <v>1.4925934372372132</v>
      </c>
      <c r="O1438" s="1667"/>
    </row>
    <row r="1439" spans="11:15">
      <c r="K1439" s="1664">
        <v>43496</v>
      </c>
      <c r="L1439" s="1665" t="s">
        <v>2296</v>
      </c>
      <c r="M1439" s="1666">
        <v>2.462E-2</v>
      </c>
      <c r="N1439" s="1667">
        <v>1.492960913741461</v>
      </c>
      <c r="O1439" s="1667"/>
    </row>
    <row r="1440" spans="11:15">
      <c r="K1440" s="1664">
        <v>43497</v>
      </c>
      <c r="L1440" s="1665" t="s">
        <v>2296</v>
      </c>
      <c r="M1440" s="1666">
        <v>2.462E-2</v>
      </c>
      <c r="N1440" s="1667">
        <v>1.4933284807184244</v>
      </c>
      <c r="O1440" s="1667"/>
    </row>
    <row r="1441" spans="11:15">
      <c r="K1441" s="1664">
        <v>43498</v>
      </c>
      <c r="L1441" s="1665"/>
      <c r="M1441" s="1666">
        <v>0</v>
      </c>
      <c r="N1441" s="1667">
        <v>1.4933284807184244</v>
      </c>
      <c r="O1441" s="1667"/>
    </row>
    <row r="1442" spans="11:15">
      <c r="K1442" s="1664">
        <v>43499</v>
      </c>
      <c r="L1442" s="1665"/>
      <c r="M1442" s="1666">
        <v>0</v>
      </c>
      <c r="N1442" s="1667">
        <v>1.4933284807184244</v>
      </c>
      <c r="O1442" s="1667"/>
    </row>
    <row r="1443" spans="11:15">
      <c r="K1443" s="1664">
        <v>43500</v>
      </c>
      <c r="L1443" s="1665" t="s">
        <v>2296</v>
      </c>
      <c r="M1443" s="1666">
        <v>2.462E-2</v>
      </c>
      <c r="N1443" s="1667">
        <v>1.4936961381903775</v>
      </c>
      <c r="O1443" s="1667"/>
    </row>
    <row r="1444" spans="11:15">
      <c r="K1444" s="1664">
        <v>43501</v>
      </c>
      <c r="L1444" s="1665" t="s">
        <v>2296</v>
      </c>
      <c r="M1444" s="1666">
        <v>2.462E-2</v>
      </c>
      <c r="N1444" s="1667">
        <v>1.4940638861796001</v>
      </c>
      <c r="O1444" s="1667"/>
    </row>
    <row r="1445" spans="11:15">
      <c r="K1445" s="1664">
        <v>43502</v>
      </c>
      <c r="L1445" s="1665" t="s">
        <v>2296</v>
      </c>
      <c r="M1445" s="1666">
        <v>2.462E-2</v>
      </c>
      <c r="N1445" s="1667">
        <v>1.4944317247083776</v>
      </c>
      <c r="O1445" s="1667"/>
    </row>
    <row r="1446" spans="11:15">
      <c r="K1446" s="1664">
        <v>43503</v>
      </c>
      <c r="L1446" s="1665" t="s">
        <v>2296</v>
      </c>
      <c r="M1446" s="1666">
        <v>2.462E-2</v>
      </c>
      <c r="N1446" s="1667">
        <v>1.4947996537990009</v>
      </c>
      <c r="O1446" s="1667"/>
    </row>
    <row r="1447" spans="11:15">
      <c r="K1447" s="1664">
        <v>43504</v>
      </c>
      <c r="L1447" s="1665" t="s">
        <v>2296</v>
      </c>
      <c r="M1447" s="1666">
        <v>2.462E-2</v>
      </c>
      <c r="N1447" s="1667">
        <v>1.4951676734737664</v>
      </c>
      <c r="O1447" s="1667"/>
    </row>
    <row r="1448" spans="11:15">
      <c r="K1448" s="1664">
        <v>43505</v>
      </c>
      <c r="L1448" s="1665"/>
      <c r="M1448" s="1666">
        <v>0</v>
      </c>
      <c r="N1448" s="1667">
        <v>1.4951676734737664</v>
      </c>
      <c r="O1448" s="1667"/>
    </row>
    <row r="1449" spans="11:15">
      <c r="K1449" s="1664">
        <v>43506</v>
      </c>
      <c r="L1449" s="1665"/>
      <c r="M1449" s="1666">
        <v>0</v>
      </c>
      <c r="N1449" s="1667">
        <v>1.4951676734737664</v>
      </c>
      <c r="O1449" s="1667"/>
    </row>
    <row r="1450" spans="11:15">
      <c r="K1450" s="1664">
        <v>43507</v>
      </c>
      <c r="L1450" s="1665" t="s">
        <v>2296</v>
      </c>
      <c r="M1450" s="1666">
        <v>2.462E-2</v>
      </c>
      <c r="N1450" s="1667">
        <v>1.4955357837549759</v>
      </c>
      <c r="O1450" s="1667"/>
    </row>
    <row r="1451" spans="11:15">
      <c r="K1451" s="1664">
        <v>43508</v>
      </c>
      <c r="L1451" s="1665" t="s">
        <v>2296</v>
      </c>
      <c r="M1451" s="1666">
        <v>2.462E-2</v>
      </c>
      <c r="N1451" s="1667">
        <v>1.4959039846649365</v>
      </c>
      <c r="O1451" s="1667"/>
    </row>
    <row r="1452" spans="11:15">
      <c r="K1452" s="1664">
        <v>43509</v>
      </c>
      <c r="L1452" s="1665" t="s">
        <v>2296</v>
      </c>
      <c r="M1452" s="1666">
        <v>2.462E-2</v>
      </c>
      <c r="N1452" s="1667">
        <v>1.496272276225961</v>
      </c>
      <c r="O1452" s="1667"/>
    </row>
    <row r="1453" spans="11:15">
      <c r="K1453" s="1664">
        <v>43510</v>
      </c>
      <c r="L1453" s="1665" t="s">
        <v>2296</v>
      </c>
      <c r="M1453" s="1666">
        <v>2.462E-2</v>
      </c>
      <c r="N1453" s="1667">
        <v>1.496640658460368</v>
      </c>
      <c r="O1453" s="1667"/>
    </row>
    <row r="1454" spans="11:15">
      <c r="K1454" s="1664">
        <v>43511</v>
      </c>
      <c r="L1454" s="1665" t="s">
        <v>2296</v>
      </c>
      <c r="M1454" s="1666">
        <v>2.462E-2</v>
      </c>
      <c r="N1454" s="1667">
        <v>1.497009131390481</v>
      </c>
      <c r="O1454" s="1667"/>
    </row>
    <row r="1455" spans="11:15">
      <c r="K1455" s="1664">
        <v>43512</v>
      </c>
      <c r="L1455" s="1665"/>
      <c r="M1455" s="1666">
        <v>0</v>
      </c>
      <c r="N1455" s="1667">
        <v>1.497009131390481</v>
      </c>
      <c r="O1455" s="1667"/>
    </row>
    <row r="1456" spans="11:15">
      <c r="K1456" s="1664">
        <v>43513</v>
      </c>
      <c r="L1456" s="1665"/>
      <c r="M1456" s="1666">
        <v>0</v>
      </c>
      <c r="N1456" s="1667">
        <v>1.497009131390481</v>
      </c>
      <c r="O1456" s="1667"/>
    </row>
    <row r="1457" spans="11:15">
      <c r="K1457" s="1664">
        <v>43514</v>
      </c>
      <c r="L1457" s="1665" t="s">
        <v>2296</v>
      </c>
      <c r="M1457" s="1666">
        <v>2.462E-2</v>
      </c>
      <c r="N1457" s="1667">
        <v>1.4973776950386295</v>
      </c>
      <c r="O1457" s="1667"/>
    </row>
    <row r="1458" spans="11:15">
      <c r="K1458" s="1664">
        <v>43515</v>
      </c>
      <c r="L1458" s="1665" t="s">
        <v>2296</v>
      </c>
      <c r="M1458" s="1666">
        <v>2.462E-2</v>
      </c>
      <c r="N1458" s="1667">
        <v>1.4977463494271481</v>
      </c>
      <c r="O1458" s="1667"/>
    </row>
    <row r="1459" spans="11:15">
      <c r="K1459" s="1664">
        <v>43516</v>
      </c>
      <c r="L1459" s="1665" t="s">
        <v>2296</v>
      </c>
      <c r="M1459" s="1666">
        <v>2.462E-2</v>
      </c>
      <c r="N1459" s="1667">
        <v>1.4981150945783772</v>
      </c>
      <c r="O1459" s="1667"/>
    </row>
    <row r="1460" spans="11:15">
      <c r="K1460" s="1664">
        <v>43517</v>
      </c>
      <c r="L1460" s="1665" t="s">
        <v>2296</v>
      </c>
      <c r="M1460" s="1666">
        <v>2.462E-2</v>
      </c>
      <c r="N1460" s="1667">
        <v>1.4984839305146624</v>
      </c>
      <c r="O1460" s="1667"/>
    </row>
    <row r="1461" spans="11:15">
      <c r="K1461" s="1664">
        <v>43518</v>
      </c>
      <c r="L1461" s="1665" t="s">
        <v>2296</v>
      </c>
      <c r="M1461" s="1666">
        <v>2.462E-2</v>
      </c>
      <c r="N1461" s="1667">
        <v>1.4988528572583553</v>
      </c>
      <c r="O1461" s="1667"/>
    </row>
    <row r="1462" spans="11:15">
      <c r="K1462" s="1664">
        <v>43519</v>
      </c>
      <c r="L1462" s="1665"/>
      <c r="M1462" s="1666">
        <v>0</v>
      </c>
      <c r="N1462" s="1667">
        <v>1.4988528572583553</v>
      </c>
      <c r="O1462" s="1667"/>
    </row>
    <row r="1463" spans="11:15">
      <c r="K1463" s="1664">
        <v>43520</v>
      </c>
      <c r="L1463" s="1665"/>
      <c r="M1463" s="1666">
        <v>0</v>
      </c>
      <c r="N1463" s="1667">
        <v>1.4988528572583553</v>
      </c>
      <c r="O1463" s="1667"/>
    </row>
    <row r="1464" spans="11:15">
      <c r="K1464" s="1664">
        <v>43521</v>
      </c>
      <c r="L1464" s="1665" t="s">
        <v>2296</v>
      </c>
      <c r="M1464" s="1666">
        <v>2.462E-2</v>
      </c>
      <c r="N1464" s="1667">
        <v>1.4992218748318125</v>
      </c>
      <c r="O1464" s="1667"/>
    </row>
    <row r="1465" spans="11:15">
      <c r="K1465" s="1664">
        <v>43522</v>
      </c>
      <c r="L1465" s="1665" t="s">
        <v>2296</v>
      </c>
      <c r="M1465" s="1666">
        <v>2.462E-2</v>
      </c>
      <c r="N1465" s="1667">
        <v>1.4995909832573961</v>
      </c>
      <c r="O1465" s="1667"/>
    </row>
    <row r="1466" spans="11:15">
      <c r="K1466" s="1664">
        <v>43523</v>
      </c>
      <c r="L1466" s="1665" t="s">
        <v>2296</v>
      </c>
      <c r="M1466" s="1666">
        <v>2.462E-2</v>
      </c>
      <c r="N1466" s="1667">
        <v>1.4999601825574742</v>
      </c>
      <c r="O1466" s="1667"/>
    </row>
    <row r="1467" spans="11:15">
      <c r="K1467" s="1664">
        <v>43524</v>
      </c>
      <c r="L1467" s="1665" t="s">
        <v>2296</v>
      </c>
      <c r="M1467" s="1666">
        <v>2.462E-2</v>
      </c>
      <c r="N1467" s="1667">
        <v>1.5003294727544201</v>
      </c>
      <c r="O1467" s="1667"/>
    </row>
    <row r="1468" spans="11:15">
      <c r="K1468" s="1664">
        <v>43525</v>
      </c>
      <c r="L1468" s="1665" t="s">
        <v>2296</v>
      </c>
      <c r="M1468" s="1666">
        <v>2.462E-2</v>
      </c>
      <c r="N1468" s="1667">
        <v>1.5006988538706123</v>
      </c>
      <c r="O1468" s="1667"/>
    </row>
    <row r="1469" spans="11:15">
      <c r="K1469" s="1664">
        <v>43526</v>
      </c>
      <c r="L1469" s="1665"/>
      <c r="M1469" s="1666">
        <v>0</v>
      </c>
      <c r="N1469" s="1667">
        <v>1.5006988538706123</v>
      </c>
      <c r="O1469" s="1667"/>
    </row>
    <row r="1470" spans="11:15">
      <c r="K1470" s="1664">
        <v>43527</v>
      </c>
      <c r="L1470" s="1665"/>
      <c r="M1470" s="1666">
        <v>0</v>
      </c>
      <c r="N1470" s="1667">
        <v>1.5006988538706123</v>
      </c>
      <c r="O1470" s="1667"/>
    </row>
    <row r="1471" spans="11:15">
      <c r="K1471" s="1664">
        <v>43528</v>
      </c>
      <c r="L1471" s="1665"/>
      <c r="M1471" s="1666">
        <v>0</v>
      </c>
      <c r="N1471" s="1667">
        <v>1.5006988538706123</v>
      </c>
      <c r="O1471" s="1667"/>
    </row>
    <row r="1472" spans="11:15">
      <c r="K1472" s="1664">
        <v>43529</v>
      </c>
      <c r="L1472" s="1665"/>
      <c r="M1472" s="1666">
        <v>0</v>
      </c>
      <c r="N1472" s="1667">
        <v>1.5006988538706123</v>
      </c>
      <c r="O1472" s="1667"/>
    </row>
    <row r="1473" spans="11:15">
      <c r="K1473" s="1664">
        <v>43530</v>
      </c>
      <c r="L1473" s="1665" t="s">
        <v>2296</v>
      </c>
      <c r="M1473" s="1666">
        <v>2.462E-2</v>
      </c>
      <c r="N1473" s="1667">
        <v>1.5010683259284354</v>
      </c>
      <c r="O1473" s="1667"/>
    </row>
    <row r="1474" spans="11:15">
      <c r="K1474" s="1664">
        <v>43531</v>
      </c>
      <c r="L1474" s="1665" t="s">
        <v>2296</v>
      </c>
      <c r="M1474" s="1666">
        <v>2.462E-2</v>
      </c>
      <c r="N1474" s="1667">
        <v>1.5014378889502791</v>
      </c>
      <c r="O1474" s="1667"/>
    </row>
    <row r="1475" spans="11:15">
      <c r="K1475" s="1664">
        <v>43532</v>
      </c>
      <c r="L1475" s="1665" t="s">
        <v>2296</v>
      </c>
      <c r="M1475" s="1666">
        <v>2.462E-2</v>
      </c>
      <c r="N1475" s="1667">
        <v>1.5018075429585387</v>
      </c>
      <c r="O1475" s="1667"/>
    </row>
    <row r="1476" spans="11:15">
      <c r="K1476" s="1664">
        <v>43533</v>
      </c>
      <c r="L1476" s="1665"/>
      <c r="M1476" s="1666">
        <v>0</v>
      </c>
      <c r="N1476" s="1667">
        <v>1.5018075429585387</v>
      </c>
      <c r="O1476" s="1667"/>
    </row>
    <row r="1477" spans="11:15">
      <c r="K1477" s="1664">
        <v>43534</v>
      </c>
      <c r="L1477" s="1665"/>
      <c r="M1477" s="1666">
        <v>0</v>
      </c>
      <c r="N1477" s="1667">
        <v>1.5018075429585387</v>
      </c>
      <c r="O1477" s="1667"/>
    </row>
    <row r="1478" spans="11:15">
      <c r="K1478" s="1664">
        <v>43535</v>
      </c>
      <c r="L1478" s="1665" t="s">
        <v>2296</v>
      </c>
      <c r="M1478" s="1666">
        <v>2.462E-2</v>
      </c>
      <c r="N1478" s="1667">
        <v>1.5021772879756152</v>
      </c>
      <c r="O1478" s="1667"/>
    </row>
    <row r="1479" spans="11:15">
      <c r="K1479" s="1664">
        <v>43536</v>
      </c>
      <c r="L1479" s="1665" t="s">
        <v>2296</v>
      </c>
      <c r="M1479" s="1666">
        <v>2.462E-2</v>
      </c>
      <c r="N1479" s="1667">
        <v>1.502547124023915</v>
      </c>
      <c r="O1479" s="1667"/>
    </row>
    <row r="1480" spans="11:15">
      <c r="K1480" s="1664">
        <v>43537</v>
      </c>
      <c r="L1480" s="1665" t="s">
        <v>2296</v>
      </c>
      <c r="M1480" s="1666">
        <v>2.462E-2</v>
      </c>
      <c r="N1480" s="1667">
        <v>1.5029170511258498</v>
      </c>
      <c r="O1480" s="1667"/>
    </row>
    <row r="1481" spans="11:15">
      <c r="K1481" s="1664">
        <v>43538</v>
      </c>
      <c r="L1481" s="1665" t="s">
        <v>2296</v>
      </c>
      <c r="M1481" s="1666">
        <v>2.462E-2</v>
      </c>
      <c r="N1481" s="1667">
        <v>1.5032870693038372</v>
      </c>
      <c r="O1481" s="1667"/>
    </row>
    <row r="1482" spans="11:15">
      <c r="K1482" s="1664">
        <v>43539</v>
      </c>
      <c r="L1482" s="1665" t="s">
        <v>2296</v>
      </c>
      <c r="M1482" s="1666">
        <v>2.462E-2</v>
      </c>
      <c r="N1482" s="1667">
        <v>1.5036571785802999</v>
      </c>
      <c r="O1482" s="1667"/>
    </row>
    <row r="1483" spans="11:15">
      <c r="K1483" s="1664">
        <v>43540</v>
      </c>
      <c r="L1483" s="1665"/>
      <c r="M1483" s="1666">
        <v>0</v>
      </c>
      <c r="N1483" s="1667">
        <v>1.5036571785802999</v>
      </c>
      <c r="O1483" s="1667"/>
    </row>
    <row r="1484" spans="11:15">
      <c r="K1484" s="1664">
        <v>43541</v>
      </c>
      <c r="L1484" s="1665"/>
      <c r="M1484" s="1666">
        <v>0</v>
      </c>
      <c r="N1484" s="1667">
        <v>1.5036571785802999</v>
      </c>
      <c r="O1484" s="1667"/>
    </row>
    <row r="1485" spans="11:15">
      <c r="K1485" s="1664">
        <v>43542</v>
      </c>
      <c r="L1485" s="1665" t="s">
        <v>2296</v>
      </c>
      <c r="M1485" s="1666">
        <v>2.462E-2</v>
      </c>
      <c r="N1485" s="1667">
        <v>1.5040273789776666</v>
      </c>
      <c r="O1485" s="1667"/>
    </row>
    <row r="1486" spans="11:15">
      <c r="K1486" s="1664">
        <v>43543</v>
      </c>
      <c r="L1486" s="1665" t="s">
        <v>2296</v>
      </c>
      <c r="M1486" s="1666">
        <v>2.462E-2</v>
      </c>
      <c r="N1486" s="1667">
        <v>1.504397670518371</v>
      </c>
      <c r="O1486" s="1667"/>
    </row>
    <row r="1487" spans="11:15">
      <c r="K1487" s="1664">
        <v>43544</v>
      </c>
      <c r="L1487" s="1665" t="s">
        <v>2296</v>
      </c>
      <c r="M1487" s="1666">
        <v>2.462E-2</v>
      </c>
      <c r="N1487" s="1667">
        <v>1.5047680532248529</v>
      </c>
      <c r="O1487" s="1667"/>
    </row>
    <row r="1488" spans="11:15">
      <c r="K1488" s="1664">
        <v>43545</v>
      </c>
      <c r="L1488" s="1665" t="s">
        <v>2296</v>
      </c>
      <c r="M1488" s="1666">
        <v>2.462E-2</v>
      </c>
      <c r="N1488" s="1667">
        <v>1.505138527119557</v>
      </c>
      <c r="O1488" s="1667"/>
    </row>
    <row r="1489" spans="11:15">
      <c r="K1489" s="1664">
        <v>43546</v>
      </c>
      <c r="L1489" s="1665" t="s">
        <v>2296</v>
      </c>
      <c r="M1489" s="1666">
        <v>2.462E-2</v>
      </c>
      <c r="N1489" s="1667">
        <v>1.5055090922249339</v>
      </c>
      <c r="O1489" s="1667"/>
    </row>
    <row r="1490" spans="11:15">
      <c r="K1490" s="1664">
        <v>43547</v>
      </c>
      <c r="L1490" s="1665"/>
      <c r="M1490" s="1666">
        <v>0</v>
      </c>
      <c r="N1490" s="1667">
        <v>1.5055090922249339</v>
      </c>
      <c r="O1490" s="1667"/>
    </row>
    <row r="1491" spans="11:15">
      <c r="K1491" s="1664">
        <v>43548</v>
      </c>
      <c r="L1491" s="1665"/>
      <c r="M1491" s="1666">
        <v>0</v>
      </c>
      <c r="N1491" s="1667">
        <v>1.5055090922249339</v>
      </c>
      <c r="O1491" s="1667"/>
    </row>
    <row r="1492" spans="11:15">
      <c r="K1492" s="1664">
        <v>43549</v>
      </c>
      <c r="L1492" s="1665" t="s">
        <v>2296</v>
      </c>
      <c r="M1492" s="1666">
        <v>2.462E-2</v>
      </c>
      <c r="N1492" s="1667">
        <v>1.5058797485634399</v>
      </c>
      <c r="O1492" s="1667"/>
    </row>
    <row r="1493" spans="11:15">
      <c r="K1493" s="1664">
        <v>43550</v>
      </c>
      <c r="L1493" s="1665" t="s">
        <v>2296</v>
      </c>
      <c r="M1493" s="1666">
        <v>2.462E-2</v>
      </c>
      <c r="N1493" s="1667">
        <v>1.5062504961575363</v>
      </c>
      <c r="O1493" s="1667"/>
    </row>
    <row r="1494" spans="11:15">
      <c r="K1494" s="1664">
        <v>43551</v>
      </c>
      <c r="L1494" s="1665" t="s">
        <v>2296</v>
      </c>
      <c r="M1494" s="1666">
        <v>2.462E-2</v>
      </c>
      <c r="N1494" s="1667">
        <v>1.5066213350296904</v>
      </c>
      <c r="O1494" s="1667"/>
    </row>
    <row r="1495" spans="11:15">
      <c r="K1495" s="1664">
        <v>43552</v>
      </c>
      <c r="L1495" s="1665" t="s">
        <v>2296</v>
      </c>
      <c r="M1495" s="1666">
        <v>2.462E-2</v>
      </c>
      <c r="N1495" s="1667">
        <v>1.5069922652023748</v>
      </c>
      <c r="O1495" s="1667"/>
    </row>
    <row r="1496" spans="11:15">
      <c r="K1496" s="1664">
        <v>43553</v>
      </c>
      <c r="L1496" s="1665" t="s">
        <v>2296</v>
      </c>
      <c r="M1496" s="1666">
        <v>2.462E-2</v>
      </c>
      <c r="N1496" s="1667">
        <v>1.5073632866980677</v>
      </c>
      <c r="O1496" s="1667"/>
    </row>
    <row r="1497" spans="11:15">
      <c r="K1497" s="1664">
        <v>43554</v>
      </c>
      <c r="L1497" s="1665"/>
      <c r="M1497" s="1666">
        <v>0</v>
      </c>
      <c r="N1497" s="1667">
        <v>1.5073632866980677</v>
      </c>
      <c r="O1497" s="1667"/>
    </row>
    <row r="1498" spans="11:15">
      <c r="K1498" s="1664">
        <v>43555</v>
      </c>
      <c r="L1498" s="1665"/>
      <c r="M1498" s="1666">
        <v>0</v>
      </c>
      <c r="N1498" s="1667">
        <v>1.5073632866980677</v>
      </c>
      <c r="O1498" s="1667"/>
    </row>
    <row r="1499" spans="11:15">
      <c r="K1499" s="1664">
        <v>43556</v>
      </c>
      <c r="L1499" s="1665" t="s">
        <v>2296</v>
      </c>
      <c r="M1499" s="1666">
        <v>2.462E-2</v>
      </c>
      <c r="N1499" s="1667">
        <v>1.5077343995392529</v>
      </c>
      <c r="O1499" s="1667"/>
    </row>
    <row r="1500" spans="11:15">
      <c r="K1500" s="1664">
        <v>43557</v>
      </c>
      <c r="L1500" s="1665" t="s">
        <v>2296</v>
      </c>
      <c r="M1500" s="1666">
        <v>2.462E-2</v>
      </c>
      <c r="N1500" s="1667">
        <v>1.5081056037484195</v>
      </c>
      <c r="O1500" s="1667"/>
    </row>
    <row r="1501" spans="11:15">
      <c r="K1501" s="1664">
        <v>43558</v>
      </c>
      <c r="L1501" s="1665" t="s">
        <v>2296</v>
      </c>
      <c r="M1501" s="1666">
        <v>2.462E-2</v>
      </c>
      <c r="N1501" s="1667">
        <v>1.5084768993480624</v>
      </c>
      <c r="O1501" s="1667"/>
    </row>
    <row r="1502" spans="11:15">
      <c r="K1502" s="1664">
        <v>43559</v>
      </c>
      <c r="L1502" s="1665" t="s">
        <v>2296</v>
      </c>
      <c r="M1502" s="1666">
        <v>2.462E-2</v>
      </c>
      <c r="N1502" s="1667">
        <v>1.508848286360682</v>
      </c>
      <c r="O1502" s="1667"/>
    </row>
    <row r="1503" spans="11:15">
      <c r="K1503" s="1664">
        <v>43560</v>
      </c>
      <c r="L1503" s="1665" t="s">
        <v>2296</v>
      </c>
      <c r="M1503" s="1666">
        <v>2.462E-2</v>
      </c>
      <c r="N1503" s="1667">
        <v>1.5092197648087842</v>
      </c>
      <c r="O1503" s="1667"/>
    </row>
    <row r="1504" spans="11:15">
      <c r="K1504" s="1664">
        <v>43561</v>
      </c>
      <c r="L1504" s="1665"/>
      <c r="M1504" s="1666">
        <v>0</v>
      </c>
      <c r="N1504" s="1667">
        <v>1.5092197648087842</v>
      </c>
      <c r="O1504" s="1667"/>
    </row>
    <row r="1505" spans="11:15">
      <c r="K1505" s="1664">
        <v>43562</v>
      </c>
      <c r="L1505" s="1665"/>
      <c r="M1505" s="1666">
        <v>0</v>
      </c>
      <c r="N1505" s="1667">
        <v>1.5092197648087842</v>
      </c>
      <c r="O1505" s="1667"/>
    </row>
    <row r="1506" spans="11:15">
      <c r="K1506" s="1664">
        <v>43563</v>
      </c>
      <c r="L1506" s="1665" t="s">
        <v>2296</v>
      </c>
      <c r="M1506" s="1666">
        <v>2.462E-2</v>
      </c>
      <c r="N1506" s="1667">
        <v>1.5095913347148802</v>
      </c>
      <c r="O1506" s="1667"/>
    </row>
    <row r="1507" spans="11:15">
      <c r="K1507" s="1664">
        <v>43564</v>
      </c>
      <c r="L1507" s="1665" t="s">
        <v>2296</v>
      </c>
      <c r="M1507" s="1666">
        <v>2.462E-2</v>
      </c>
      <c r="N1507" s="1667">
        <v>1.5099629961014871</v>
      </c>
      <c r="O1507" s="1667"/>
    </row>
    <row r="1508" spans="11:15">
      <c r="K1508" s="1664">
        <v>43565</v>
      </c>
      <c r="L1508" s="1665" t="s">
        <v>2296</v>
      </c>
      <c r="M1508" s="1666">
        <v>2.462E-2</v>
      </c>
      <c r="N1508" s="1667">
        <v>1.5103347489911274</v>
      </c>
      <c r="O1508" s="1667"/>
    </row>
    <row r="1509" spans="11:15">
      <c r="K1509" s="1664">
        <v>43566</v>
      </c>
      <c r="L1509" s="1665" t="s">
        <v>2296</v>
      </c>
      <c r="M1509" s="1666">
        <v>2.462E-2</v>
      </c>
      <c r="N1509" s="1667">
        <v>1.5107065934063291</v>
      </c>
      <c r="O1509" s="1667"/>
    </row>
    <row r="1510" spans="11:15">
      <c r="K1510" s="1664">
        <v>43567</v>
      </c>
      <c r="L1510" s="1665" t="s">
        <v>2296</v>
      </c>
      <c r="M1510" s="1666">
        <v>2.462E-2</v>
      </c>
      <c r="N1510" s="1667">
        <v>1.5110785293696258</v>
      </c>
      <c r="O1510" s="1667"/>
    </row>
    <row r="1511" spans="11:15">
      <c r="K1511" s="1664">
        <v>43568</v>
      </c>
      <c r="L1511" s="1665"/>
      <c r="M1511" s="1666">
        <v>0</v>
      </c>
      <c r="N1511" s="1667">
        <v>1.5110785293696258</v>
      </c>
      <c r="O1511" s="1667"/>
    </row>
    <row r="1512" spans="11:15">
      <c r="K1512" s="1664">
        <v>43569</v>
      </c>
      <c r="L1512" s="1665"/>
      <c r="M1512" s="1666">
        <v>0</v>
      </c>
      <c r="N1512" s="1667">
        <v>1.5110785293696258</v>
      </c>
      <c r="O1512" s="1667"/>
    </row>
    <row r="1513" spans="11:15">
      <c r="K1513" s="1664">
        <v>43570</v>
      </c>
      <c r="L1513" s="1665" t="s">
        <v>2296</v>
      </c>
      <c r="M1513" s="1666">
        <v>2.462E-2</v>
      </c>
      <c r="N1513" s="1667">
        <v>1.5114505569035568</v>
      </c>
      <c r="O1513" s="1667"/>
    </row>
    <row r="1514" spans="11:15">
      <c r="K1514" s="1664">
        <v>43571</v>
      </c>
      <c r="L1514" s="1665" t="s">
        <v>2296</v>
      </c>
      <c r="M1514" s="1666">
        <v>2.462E-2</v>
      </c>
      <c r="N1514" s="1667">
        <v>1.5118226760306666</v>
      </c>
      <c r="O1514" s="1667"/>
    </row>
    <row r="1515" spans="11:15">
      <c r="K1515" s="1664">
        <v>43572</v>
      </c>
      <c r="L1515" s="1665" t="s">
        <v>2296</v>
      </c>
      <c r="M1515" s="1666">
        <v>2.462E-2</v>
      </c>
      <c r="N1515" s="1667">
        <v>1.5121948867735053</v>
      </c>
      <c r="O1515" s="1667"/>
    </row>
    <row r="1516" spans="11:15">
      <c r="K1516" s="1664">
        <v>43573</v>
      </c>
      <c r="L1516" s="1665" t="s">
        <v>2296</v>
      </c>
      <c r="M1516" s="1666">
        <v>2.462E-2</v>
      </c>
      <c r="N1516" s="1667">
        <v>1.5125671891546291</v>
      </c>
      <c r="O1516" s="1667"/>
    </row>
    <row r="1517" spans="11:15">
      <c r="K1517" s="1664">
        <v>43574</v>
      </c>
      <c r="L1517" s="1665"/>
      <c r="M1517" s="1666">
        <v>0</v>
      </c>
      <c r="N1517" s="1667">
        <v>1.5125671891546291</v>
      </c>
      <c r="O1517" s="1667"/>
    </row>
    <row r="1518" spans="11:15">
      <c r="K1518" s="1664">
        <v>43575</v>
      </c>
      <c r="L1518" s="1665"/>
      <c r="M1518" s="1666">
        <v>0</v>
      </c>
      <c r="N1518" s="1667">
        <v>1.5125671891546291</v>
      </c>
      <c r="O1518" s="1667"/>
    </row>
    <row r="1519" spans="11:15">
      <c r="K1519" s="1664">
        <v>43576</v>
      </c>
      <c r="L1519" s="1665"/>
      <c r="M1519" s="1666">
        <v>0</v>
      </c>
      <c r="N1519" s="1667">
        <v>1.5125671891546291</v>
      </c>
      <c r="O1519" s="1667"/>
    </row>
    <row r="1520" spans="11:15">
      <c r="K1520" s="1664">
        <v>43577</v>
      </c>
      <c r="L1520" s="1665" t="s">
        <v>2296</v>
      </c>
      <c r="M1520" s="1666">
        <v>2.462E-2</v>
      </c>
      <c r="N1520" s="1667">
        <v>1.512939583196599</v>
      </c>
      <c r="O1520" s="1667"/>
    </row>
    <row r="1521" spans="11:15">
      <c r="K1521" s="1664">
        <v>43578</v>
      </c>
      <c r="L1521" s="1665" t="s">
        <v>2296</v>
      </c>
      <c r="M1521" s="1666">
        <v>2.462E-2</v>
      </c>
      <c r="N1521" s="1667">
        <v>1.5133120689219821</v>
      </c>
      <c r="O1521" s="1667"/>
    </row>
    <row r="1522" spans="11:15">
      <c r="K1522" s="1664">
        <v>43579</v>
      </c>
      <c r="L1522" s="1665" t="s">
        <v>2296</v>
      </c>
      <c r="M1522" s="1666">
        <v>2.462E-2</v>
      </c>
      <c r="N1522" s="1667">
        <v>1.5136846463533509</v>
      </c>
      <c r="O1522" s="1667"/>
    </row>
    <row r="1523" spans="11:15">
      <c r="K1523" s="1664">
        <v>43580</v>
      </c>
      <c r="L1523" s="1665" t="s">
        <v>2296</v>
      </c>
      <c r="M1523" s="1666">
        <v>2.462E-2</v>
      </c>
      <c r="N1523" s="1667">
        <v>1.5140573155132833</v>
      </c>
      <c r="O1523" s="1667"/>
    </row>
    <row r="1524" spans="11:15">
      <c r="K1524" s="1664">
        <v>43581</v>
      </c>
      <c r="L1524" s="1665" t="s">
        <v>2296</v>
      </c>
      <c r="M1524" s="1666">
        <v>2.462E-2</v>
      </c>
      <c r="N1524" s="1667">
        <v>1.5144300764243628</v>
      </c>
      <c r="O1524" s="1667"/>
    </row>
    <row r="1525" spans="11:15">
      <c r="K1525" s="1664">
        <v>43582</v>
      </c>
      <c r="L1525" s="1665"/>
      <c r="M1525" s="1666">
        <v>0</v>
      </c>
      <c r="N1525" s="1667">
        <v>1.5144300764243628</v>
      </c>
      <c r="O1525" s="1667"/>
    </row>
    <row r="1526" spans="11:15">
      <c r="K1526" s="1664">
        <v>43583</v>
      </c>
      <c r="L1526" s="1665"/>
      <c r="M1526" s="1666">
        <v>0</v>
      </c>
      <c r="N1526" s="1667">
        <v>1.5144300764243628</v>
      </c>
      <c r="O1526" s="1667"/>
    </row>
    <row r="1527" spans="11:15">
      <c r="K1527" s="1664">
        <v>43584</v>
      </c>
      <c r="L1527" s="1665" t="s">
        <v>2296</v>
      </c>
      <c r="M1527" s="1666">
        <v>2.462E-2</v>
      </c>
      <c r="N1527" s="1667">
        <v>1.5148029291091787</v>
      </c>
      <c r="O1527" s="1667"/>
    </row>
    <row r="1528" spans="11:15">
      <c r="K1528" s="1664">
        <v>43585</v>
      </c>
      <c r="L1528" s="1665" t="s">
        <v>2296</v>
      </c>
      <c r="M1528" s="1666">
        <v>2.462E-2</v>
      </c>
      <c r="N1528" s="1667">
        <v>1.5151758735903256</v>
      </c>
      <c r="O1528" s="1667"/>
    </row>
    <row r="1529" spans="11:15">
      <c r="K1529" s="1664">
        <v>43586</v>
      </c>
      <c r="L1529" s="1665"/>
      <c r="M1529" s="1666">
        <v>0</v>
      </c>
      <c r="N1529" s="1667">
        <v>1.5151758735903256</v>
      </c>
      <c r="O1529" s="1667"/>
    </row>
    <row r="1530" spans="11:15">
      <c r="K1530" s="1664">
        <v>43587</v>
      </c>
      <c r="L1530" s="1665" t="s">
        <v>2296</v>
      </c>
      <c r="M1530" s="1666">
        <v>2.462E-2</v>
      </c>
      <c r="N1530" s="1667">
        <v>1.5155489098904036</v>
      </c>
      <c r="O1530" s="1667"/>
    </row>
    <row r="1531" spans="11:15">
      <c r="K1531" s="1664">
        <v>43588</v>
      </c>
      <c r="L1531" s="1665" t="s">
        <v>2296</v>
      </c>
      <c r="M1531" s="1666">
        <v>2.462E-2</v>
      </c>
      <c r="N1531" s="1667">
        <v>1.5159220380320186</v>
      </c>
      <c r="O1531" s="1667"/>
    </row>
    <row r="1532" spans="11:15">
      <c r="K1532" s="1664">
        <v>43589</v>
      </c>
      <c r="L1532" s="1665"/>
      <c r="M1532" s="1666">
        <v>0</v>
      </c>
      <c r="N1532" s="1667">
        <v>1.5159220380320186</v>
      </c>
      <c r="O1532" s="1667"/>
    </row>
    <row r="1533" spans="11:15">
      <c r="K1533" s="1664">
        <v>43590</v>
      </c>
      <c r="L1533" s="1665"/>
      <c r="M1533" s="1666">
        <v>0</v>
      </c>
      <c r="N1533" s="1667">
        <v>1.5159220380320186</v>
      </c>
      <c r="O1533" s="1667"/>
    </row>
    <row r="1534" spans="11:15">
      <c r="K1534" s="1664">
        <v>43591</v>
      </c>
      <c r="L1534" s="1665" t="s">
        <v>2296</v>
      </c>
      <c r="M1534" s="1666">
        <v>2.462E-2</v>
      </c>
      <c r="N1534" s="1667">
        <v>1.5162952580377822</v>
      </c>
      <c r="O1534" s="1667"/>
    </row>
    <row r="1535" spans="11:15">
      <c r="K1535" s="1664">
        <v>43592</v>
      </c>
      <c r="L1535" s="1665" t="s">
        <v>2296</v>
      </c>
      <c r="M1535" s="1666">
        <v>2.462E-2</v>
      </c>
      <c r="N1535" s="1667">
        <v>1.5166685699303113</v>
      </c>
      <c r="O1535" s="1667"/>
    </row>
    <row r="1536" spans="11:15">
      <c r="K1536" s="1664">
        <v>43593</v>
      </c>
      <c r="L1536" s="1665" t="s">
        <v>2296</v>
      </c>
      <c r="M1536" s="1666">
        <v>2.462E-2</v>
      </c>
      <c r="N1536" s="1667">
        <v>1.5170419737322283</v>
      </c>
      <c r="O1536" s="1667"/>
    </row>
    <row r="1537" spans="11:15">
      <c r="K1537" s="1664">
        <v>43594</v>
      </c>
      <c r="L1537" s="1665" t="s">
        <v>2296</v>
      </c>
      <c r="M1537" s="1666">
        <v>2.462E-2</v>
      </c>
      <c r="N1537" s="1667">
        <v>1.5174154694661612</v>
      </c>
      <c r="O1537" s="1667"/>
    </row>
    <row r="1538" spans="11:15">
      <c r="K1538" s="1664">
        <v>43595</v>
      </c>
      <c r="L1538" s="1665" t="s">
        <v>2296</v>
      </c>
      <c r="M1538" s="1666">
        <v>2.462E-2</v>
      </c>
      <c r="N1538" s="1667">
        <v>1.5177890571547439</v>
      </c>
      <c r="O1538" s="1667"/>
    </row>
    <row r="1539" spans="11:15">
      <c r="K1539" s="1664">
        <v>43596</v>
      </c>
      <c r="L1539" s="1665"/>
      <c r="M1539" s="1666">
        <v>0</v>
      </c>
      <c r="N1539" s="1667">
        <v>1.5177890571547439</v>
      </c>
      <c r="O1539" s="1667"/>
    </row>
    <row r="1540" spans="11:15">
      <c r="K1540" s="1664">
        <v>43597</v>
      </c>
      <c r="L1540" s="1665"/>
      <c r="M1540" s="1666">
        <v>0</v>
      </c>
      <c r="N1540" s="1667">
        <v>1.5177890571547439</v>
      </c>
      <c r="O1540" s="1667"/>
    </row>
    <row r="1541" spans="11:15">
      <c r="K1541" s="1664">
        <v>43598</v>
      </c>
      <c r="L1541" s="1665" t="s">
        <v>2296</v>
      </c>
      <c r="M1541" s="1666">
        <v>2.462E-2</v>
      </c>
      <c r="N1541" s="1667">
        <v>1.5181627368206154</v>
      </c>
      <c r="O1541" s="1667"/>
    </row>
    <row r="1542" spans="11:15">
      <c r="K1542" s="1664">
        <v>43599</v>
      </c>
      <c r="L1542" s="1665" t="s">
        <v>2296</v>
      </c>
      <c r="M1542" s="1666">
        <v>2.462E-2</v>
      </c>
      <c r="N1542" s="1667">
        <v>1.5185365084864209</v>
      </c>
      <c r="O1542" s="1667"/>
    </row>
    <row r="1543" spans="11:15">
      <c r="K1543" s="1664">
        <v>43600</v>
      </c>
      <c r="L1543" s="1665" t="s">
        <v>2296</v>
      </c>
      <c r="M1543" s="1666">
        <v>2.462E-2</v>
      </c>
      <c r="N1543" s="1667">
        <v>1.5189103721748103</v>
      </c>
      <c r="O1543" s="1667"/>
    </row>
    <row r="1544" spans="11:15">
      <c r="K1544" s="1664">
        <v>43601</v>
      </c>
      <c r="L1544" s="1665" t="s">
        <v>2296</v>
      </c>
      <c r="M1544" s="1666">
        <v>2.462E-2</v>
      </c>
      <c r="N1544" s="1667">
        <v>1.5192843279084398</v>
      </c>
      <c r="O1544" s="1667"/>
    </row>
    <row r="1545" spans="11:15">
      <c r="K1545" s="1664">
        <v>43602</v>
      </c>
      <c r="L1545" s="1665" t="s">
        <v>2296</v>
      </c>
      <c r="M1545" s="1666">
        <v>2.462E-2</v>
      </c>
      <c r="N1545" s="1667">
        <v>1.5196583757099711</v>
      </c>
      <c r="O1545" s="1667"/>
    </row>
    <row r="1546" spans="11:15">
      <c r="K1546" s="1664">
        <v>43603</v>
      </c>
      <c r="L1546" s="1665"/>
      <c r="M1546" s="1666">
        <v>0</v>
      </c>
      <c r="N1546" s="1667">
        <v>1.5196583757099711</v>
      </c>
      <c r="O1546" s="1667"/>
    </row>
    <row r="1547" spans="11:15">
      <c r="K1547" s="1664">
        <v>43604</v>
      </c>
      <c r="L1547" s="1665"/>
      <c r="M1547" s="1666">
        <v>0</v>
      </c>
      <c r="N1547" s="1667">
        <v>1.5196583757099711</v>
      </c>
      <c r="O1547" s="1667"/>
    </row>
    <row r="1548" spans="11:15">
      <c r="K1548" s="1664">
        <v>43605</v>
      </c>
      <c r="L1548" s="1665" t="s">
        <v>2296</v>
      </c>
      <c r="M1548" s="1666">
        <v>2.462E-2</v>
      </c>
      <c r="N1548" s="1667">
        <v>1.5200325156020711</v>
      </c>
      <c r="O1548" s="1667"/>
    </row>
    <row r="1549" spans="11:15">
      <c r="K1549" s="1664">
        <v>43606</v>
      </c>
      <c r="L1549" s="1665" t="s">
        <v>2296</v>
      </c>
      <c r="M1549" s="1666">
        <v>2.462E-2</v>
      </c>
      <c r="N1549" s="1667">
        <v>1.5204067476074123</v>
      </c>
      <c r="O1549" s="1667"/>
    </row>
    <row r="1550" spans="11:15">
      <c r="K1550" s="1664">
        <v>43607</v>
      </c>
      <c r="L1550" s="1665" t="s">
        <v>2296</v>
      </c>
      <c r="M1550" s="1666">
        <v>2.462E-2</v>
      </c>
      <c r="N1550" s="1667">
        <v>1.5207810717486734</v>
      </c>
      <c r="O1550" s="1667"/>
    </row>
    <row r="1551" spans="11:15">
      <c r="K1551" s="1664">
        <v>43608</v>
      </c>
      <c r="L1551" s="1665" t="s">
        <v>2296</v>
      </c>
      <c r="M1551" s="1666">
        <v>2.462E-2</v>
      </c>
      <c r="N1551" s="1667">
        <v>1.5211554880485381</v>
      </c>
      <c r="O1551" s="1667"/>
    </row>
    <row r="1552" spans="11:15">
      <c r="K1552" s="1664">
        <v>43609</v>
      </c>
      <c r="L1552" s="1665" t="s">
        <v>2296</v>
      </c>
      <c r="M1552" s="1666">
        <v>2.462E-2</v>
      </c>
      <c r="N1552" s="1667">
        <v>1.5215299965296958</v>
      </c>
      <c r="O1552" s="1667"/>
    </row>
    <row r="1553" spans="11:15">
      <c r="K1553" s="1664">
        <v>43610</v>
      </c>
      <c r="L1553" s="1665"/>
      <c r="M1553" s="1666">
        <v>0</v>
      </c>
      <c r="N1553" s="1667">
        <v>1.5215299965296958</v>
      </c>
      <c r="O1553" s="1667"/>
    </row>
    <row r="1554" spans="11:15">
      <c r="K1554" s="1664">
        <v>43611</v>
      </c>
      <c r="L1554" s="1665"/>
      <c r="M1554" s="1666">
        <v>0</v>
      </c>
      <c r="N1554" s="1667">
        <v>1.5215299965296958</v>
      </c>
      <c r="O1554" s="1667"/>
    </row>
    <row r="1555" spans="11:15">
      <c r="K1555" s="1664">
        <v>43612</v>
      </c>
      <c r="L1555" s="1665" t="s">
        <v>2296</v>
      </c>
      <c r="M1555" s="1666">
        <v>2.462E-2</v>
      </c>
      <c r="N1555" s="1667">
        <v>1.5219045972148415</v>
      </c>
      <c r="O1555" s="1667"/>
    </row>
    <row r="1556" spans="11:15">
      <c r="K1556" s="1664">
        <v>43613</v>
      </c>
      <c r="L1556" s="1665" t="s">
        <v>2296</v>
      </c>
      <c r="M1556" s="1666">
        <v>2.462E-2</v>
      </c>
      <c r="N1556" s="1667">
        <v>1.522279290126676</v>
      </c>
      <c r="O1556" s="1667"/>
    </row>
    <row r="1557" spans="11:15">
      <c r="K1557" s="1664">
        <v>43614</v>
      </c>
      <c r="L1557" s="1665" t="s">
        <v>2296</v>
      </c>
      <c r="M1557" s="1666">
        <v>2.462E-2</v>
      </c>
      <c r="N1557" s="1667">
        <v>1.5226540752879052</v>
      </c>
      <c r="O1557" s="1667"/>
    </row>
    <row r="1558" spans="11:15">
      <c r="K1558" s="1664">
        <v>43615</v>
      </c>
      <c r="L1558" s="1665" t="s">
        <v>2296</v>
      </c>
      <c r="M1558" s="1666">
        <v>2.462E-2</v>
      </c>
      <c r="N1558" s="1667">
        <v>1.5230289527212413</v>
      </c>
      <c r="O1558" s="1667"/>
    </row>
    <row r="1559" spans="11:15">
      <c r="K1559" s="1664">
        <v>43616</v>
      </c>
      <c r="L1559" s="1665" t="s">
        <v>2296</v>
      </c>
      <c r="M1559" s="1666">
        <v>2.462E-2</v>
      </c>
      <c r="N1559" s="1667">
        <v>1.5234039224494014</v>
      </c>
      <c r="O1559" s="1667"/>
    </row>
    <row r="1560" spans="11:15">
      <c r="K1560" s="1664">
        <v>43617</v>
      </c>
      <c r="L1560" s="1665"/>
      <c r="M1560" s="1666">
        <v>0</v>
      </c>
      <c r="N1560" s="1667">
        <v>1.5234039224494014</v>
      </c>
      <c r="O1560" s="1667"/>
    </row>
    <row r="1561" spans="11:15">
      <c r="K1561" s="1664">
        <v>43618</v>
      </c>
      <c r="L1561" s="1665"/>
      <c r="M1561" s="1666">
        <v>0</v>
      </c>
      <c r="N1561" s="1667">
        <v>1.5234039224494014</v>
      </c>
      <c r="O1561" s="1667"/>
    </row>
    <row r="1562" spans="11:15">
      <c r="K1562" s="1664">
        <v>43619</v>
      </c>
      <c r="L1562" s="1665" t="s">
        <v>2296</v>
      </c>
      <c r="M1562" s="1666">
        <v>2.462E-2</v>
      </c>
      <c r="N1562" s="1667">
        <v>1.5237789844951086</v>
      </c>
      <c r="O1562" s="1667"/>
    </row>
    <row r="1563" spans="11:15">
      <c r="K1563" s="1664">
        <v>43620</v>
      </c>
      <c r="L1563" s="1665" t="s">
        <v>2296</v>
      </c>
      <c r="M1563" s="1666">
        <v>2.462E-2</v>
      </c>
      <c r="N1563" s="1667">
        <v>1.5241541388810915</v>
      </c>
      <c r="O1563" s="1667"/>
    </row>
    <row r="1564" spans="11:15">
      <c r="K1564" s="1664">
        <v>43621</v>
      </c>
      <c r="L1564" s="1665" t="s">
        <v>2296</v>
      </c>
      <c r="M1564" s="1666">
        <v>2.462E-2</v>
      </c>
      <c r="N1564" s="1667">
        <v>1.5245293856300841</v>
      </c>
      <c r="O1564" s="1667"/>
    </row>
    <row r="1565" spans="11:15">
      <c r="K1565" s="1664">
        <v>43622</v>
      </c>
      <c r="L1565" s="1665" t="s">
        <v>2296</v>
      </c>
      <c r="M1565" s="1666">
        <v>2.462E-2</v>
      </c>
      <c r="N1565" s="1667">
        <v>1.5249047247648264</v>
      </c>
      <c r="O1565" s="1667"/>
    </row>
    <row r="1566" spans="11:15">
      <c r="K1566" s="1664">
        <v>43623</v>
      </c>
      <c r="L1566" s="1665" t="s">
        <v>2296</v>
      </c>
      <c r="M1566" s="1666">
        <v>2.462E-2</v>
      </c>
      <c r="N1566" s="1667">
        <v>1.5252801563080636</v>
      </c>
      <c r="O1566" s="1667"/>
    </row>
    <row r="1567" spans="11:15">
      <c r="K1567" s="1664">
        <v>43624</v>
      </c>
      <c r="L1567" s="1665"/>
      <c r="M1567" s="1666">
        <v>0</v>
      </c>
      <c r="N1567" s="1667">
        <v>1.5252801563080636</v>
      </c>
      <c r="O1567" s="1667"/>
    </row>
    <row r="1568" spans="11:15">
      <c r="K1568" s="1664">
        <v>43625</v>
      </c>
      <c r="L1568" s="1665"/>
      <c r="M1568" s="1666">
        <v>0</v>
      </c>
      <c r="N1568" s="1667">
        <v>1.5252801563080636</v>
      </c>
      <c r="O1568" s="1667"/>
    </row>
    <row r="1569" spans="11:15">
      <c r="K1569" s="1664">
        <v>43626</v>
      </c>
      <c r="L1569" s="1665" t="s">
        <v>2296</v>
      </c>
      <c r="M1569" s="1666">
        <v>2.462E-2</v>
      </c>
      <c r="N1569" s="1667">
        <v>1.5256556802825467</v>
      </c>
      <c r="O1569" s="1667"/>
    </row>
    <row r="1570" spans="11:15">
      <c r="K1570" s="1664">
        <v>43627</v>
      </c>
      <c r="L1570" s="1665" t="s">
        <v>2296</v>
      </c>
      <c r="M1570" s="1666">
        <v>2.462E-2</v>
      </c>
      <c r="N1570" s="1667">
        <v>1.5260312967110323</v>
      </c>
      <c r="O1570" s="1667"/>
    </row>
    <row r="1571" spans="11:15">
      <c r="K1571" s="1664">
        <v>43628</v>
      </c>
      <c r="L1571" s="1665" t="s">
        <v>2296</v>
      </c>
      <c r="M1571" s="1666">
        <v>2.462E-2</v>
      </c>
      <c r="N1571" s="1667">
        <v>1.5264070056162826</v>
      </c>
      <c r="O1571" s="1667"/>
    </row>
    <row r="1572" spans="11:15">
      <c r="K1572" s="1664">
        <v>43629</v>
      </c>
      <c r="L1572" s="1665" t="s">
        <v>2296</v>
      </c>
      <c r="M1572" s="1666">
        <v>2.462E-2</v>
      </c>
      <c r="N1572" s="1667">
        <v>1.5267828070210654</v>
      </c>
      <c r="O1572" s="1667"/>
    </row>
    <row r="1573" spans="11:15">
      <c r="K1573" s="1664">
        <v>43630</v>
      </c>
      <c r="L1573" s="1665" t="s">
        <v>2296</v>
      </c>
      <c r="M1573" s="1666">
        <v>2.462E-2</v>
      </c>
      <c r="N1573" s="1667">
        <v>1.5271587009481542</v>
      </c>
      <c r="O1573" s="1667"/>
    </row>
    <row r="1574" spans="11:15">
      <c r="K1574" s="1664">
        <v>43631</v>
      </c>
      <c r="L1574" s="1665"/>
      <c r="M1574" s="1666">
        <v>0</v>
      </c>
      <c r="N1574" s="1667">
        <v>1.5271587009481542</v>
      </c>
      <c r="O1574" s="1667"/>
    </row>
    <row r="1575" spans="11:15">
      <c r="K1575" s="1664">
        <v>43632</v>
      </c>
      <c r="L1575" s="1665"/>
      <c r="M1575" s="1666">
        <v>0</v>
      </c>
      <c r="N1575" s="1667">
        <v>1.5271587009481542</v>
      </c>
      <c r="O1575" s="1667"/>
    </row>
    <row r="1576" spans="11:15">
      <c r="K1576" s="1664">
        <v>43633</v>
      </c>
      <c r="L1576" s="1665" t="s">
        <v>2296</v>
      </c>
      <c r="M1576" s="1666">
        <v>2.462E-2</v>
      </c>
      <c r="N1576" s="1667">
        <v>1.5275346874203277</v>
      </c>
      <c r="O1576" s="1667"/>
    </row>
    <row r="1577" spans="11:15">
      <c r="K1577" s="1664">
        <v>43634</v>
      </c>
      <c r="L1577" s="1665" t="s">
        <v>2296</v>
      </c>
      <c r="M1577" s="1666">
        <v>2.462E-2</v>
      </c>
      <c r="N1577" s="1667">
        <v>1.5279107664603708</v>
      </c>
      <c r="O1577" s="1667"/>
    </row>
    <row r="1578" spans="11:15">
      <c r="K1578" s="1664">
        <v>43635</v>
      </c>
      <c r="L1578" s="1665" t="s">
        <v>2296</v>
      </c>
      <c r="M1578" s="1666">
        <v>2.462E-2</v>
      </c>
      <c r="N1578" s="1667">
        <v>1.5282869380910735</v>
      </c>
      <c r="O1578" s="1667"/>
    </row>
    <row r="1579" spans="11:15">
      <c r="K1579" s="1664">
        <v>43636</v>
      </c>
      <c r="L1579" s="1665"/>
      <c r="M1579" s="1666">
        <v>0</v>
      </c>
      <c r="N1579" s="1667">
        <v>1.5282869380910735</v>
      </c>
      <c r="O1579" s="1667"/>
    </row>
    <row r="1580" spans="11:15">
      <c r="K1580" s="1664">
        <v>43637</v>
      </c>
      <c r="L1580" s="1665" t="s">
        <v>2296</v>
      </c>
      <c r="M1580" s="1666">
        <v>2.462E-2</v>
      </c>
      <c r="N1580" s="1667">
        <v>1.5286632023352316</v>
      </c>
      <c r="O1580" s="1667"/>
    </row>
    <row r="1581" spans="11:15">
      <c r="K1581" s="1664">
        <v>43638</v>
      </c>
      <c r="L1581" s="1665"/>
      <c r="M1581" s="1666">
        <v>0</v>
      </c>
      <c r="N1581" s="1667">
        <v>1.5286632023352316</v>
      </c>
      <c r="O1581" s="1667"/>
    </row>
    <row r="1582" spans="11:15">
      <c r="K1582" s="1664">
        <v>43639</v>
      </c>
      <c r="L1582" s="1665"/>
      <c r="M1582" s="1666">
        <v>0</v>
      </c>
      <c r="N1582" s="1667">
        <v>1.5286632023352316</v>
      </c>
      <c r="O1582" s="1667"/>
    </row>
    <row r="1583" spans="11:15">
      <c r="K1583" s="1664">
        <v>43640</v>
      </c>
      <c r="L1583" s="1665" t="s">
        <v>2296</v>
      </c>
      <c r="M1583" s="1666">
        <v>2.462E-2</v>
      </c>
      <c r="N1583" s="1667">
        <v>1.5290395592156467</v>
      </c>
      <c r="O1583" s="1667"/>
    </row>
    <row r="1584" spans="11:15">
      <c r="K1584" s="1664">
        <v>43641</v>
      </c>
      <c r="L1584" s="1665" t="s">
        <v>2296</v>
      </c>
      <c r="M1584" s="1666">
        <v>2.462E-2</v>
      </c>
      <c r="N1584" s="1667">
        <v>1.5294160087551258</v>
      </c>
      <c r="O1584" s="1667"/>
    </row>
    <row r="1585" spans="11:15">
      <c r="K1585" s="1664">
        <v>43642</v>
      </c>
      <c r="L1585" s="1665" t="s">
        <v>2296</v>
      </c>
      <c r="M1585" s="1666">
        <v>2.462E-2</v>
      </c>
      <c r="N1585" s="1667">
        <v>1.5297925509764816</v>
      </c>
      <c r="O1585" s="1667"/>
    </row>
    <row r="1586" spans="11:15">
      <c r="K1586" s="1664">
        <v>43643</v>
      </c>
      <c r="L1586" s="1665" t="s">
        <v>2296</v>
      </c>
      <c r="M1586" s="1666">
        <v>2.462E-2</v>
      </c>
      <c r="N1586" s="1667">
        <v>1.5301691859025321</v>
      </c>
      <c r="O1586" s="1667"/>
    </row>
    <row r="1587" spans="11:15">
      <c r="K1587" s="1664">
        <v>43644</v>
      </c>
      <c r="L1587" s="1665" t="s">
        <v>2296</v>
      </c>
      <c r="M1587" s="1666">
        <v>2.462E-2</v>
      </c>
      <c r="N1587" s="1667">
        <v>1.5305459135561015</v>
      </c>
      <c r="O1587" s="1667"/>
    </row>
    <row r="1588" spans="11:15">
      <c r="K1588" s="1664">
        <v>43645</v>
      </c>
      <c r="L1588" s="1665"/>
      <c r="M1588" s="1666">
        <v>0</v>
      </c>
      <c r="N1588" s="1667">
        <v>1.5305459135561015</v>
      </c>
      <c r="O1588" s="1667"/>
    </row>
    <row r="1589" spans="11:15">
      <c r="K1589" s="1664">
        <v>43646</v>
      </c>
      <c r="L1589" s="1665"/>
      <c r="M1589" s="1666">
        <v>0</v>
      </c>
      <c r="N1589" s="1667">
        <v>1.5305459135561015</v>
      </c>
      <c r="O1589" s="1667"/>
    </row>
    <row r="1590" spans="11:15">
      <c r="K1590" s="1664">
        <v>43647</v>
      </c>
      <c r="L1590" s="1665" t="s">
        <v>2296</v>
      </c>
      <c r="M1590" s="1666">
        <v>2.462E-2</v>
      </c>
      <c r="N1590" s="1667">
        <v>1.5309227339600191</v>
      </c>
      <c r="O1590" s="1667"/>
    </row>
    <row r="1591" spans="11:15">
      <c r="K1591" s="1664">
        <v>43648</v>
      </c>
      <c r="L1591" s="1665" t="s">
        <v>2296</v>
      </c>
      <c r="M1591" s="1666">
        <v>2.462E-2</v>
      </c>
      <c r="N1591" s="1667">
        <v>1.5312996471371201</v>
      </c>
      <c r="O1591" s="1667"/>
    </row>
    <row r="1592" spans="11:15">
      <c r="K1592" s="1664">
        <v>43649</v>
      </c>
      <c r="L1592" s="1665" t="s">
        <v>2296</v>
      </c>
      <c r="M1592" s="1666">
        <v>2.462E-2</v>
      </c>
      <c r="N1592" s="1667">
        <v>1.5316766531102455</v>
      </c>
      <c r="O1592" s="1667"/>
    </row>
    <row r="1593" spans="11:15">
      <c r="K1593" s="1664">
        <v>43650</v>
      </c>
      <c r="L1593" s="1665" t="s">
        <v>2296</v>
      </c>
      <c r="M1593" s="1666">
        <v>2.462E-2</v>
      </c>
      <c r="N1593" s="1667">
        <v>1.5320537519022412</v>
      </c>
      <c r="O1593" s="1667"/>
    </row>
    <row r="1594" spans="11:15">
      <c r="K1594" s="1664">
        <v>43651</v>
      </c>
      <c r="L1594" s="1665" t="s">
        <v>2296</v>
      </c>
      <c r="M1594" s="1666">
        <v>2.462E-2</v>
      </c>
      <c r="N1594" s="1667">
        <v>1.5324309435359598</v>
      </c>
      <c r="O1594" s="1667"/>
    </row>
    <row r="1595" spans="11:15">
      <c r="K1595" s="1664">
        <v>43652</v>
      </c>
      <c r="L1595" s="1665"/>
      <c r="M1595" s="1666">
        <v>0</v>
      </c>
      <c r="N1595" s="1667">
        <v>1.5324309435359598</v>
      </c>
      <c r="O1595" s="1667"/>
    </row>
    <row r="1596" spans="11:15">
      <c r="K1596" s="1664">
        <v>43653</v>
      </c>
      <c r="L1596" s="1665"/>
      <c r="M1596" s="1666">
        <v>0</v>
      </c>
      <c r="N1596" s="1667">
        <v>1.5324309435359598</v>
      </c>
      <c r="O1596" s="1667"/>
    </row>
    <row r="1597" spans="11:15">
      <c r="K1597" s="1664">
        <v>43654</v>
      </c>
      <c r="L1597" s="1665" t="s">
        <v>2296</v>
      </c>
      <c r="M1597" s="1666">
        <v>2.462E-2</v>
      </c>
      <c r="N1597" s="1667">
        <v>1.5328082280342585</v>
      </c>
      <c r="O1597" s="1667"/>
    </row>
    <row r="1598" spans="11:15">
      <c r="K1598" s="1664">
        <v>43655</v>
      </c>
      <c r="L1598" s="1665" t="s">
        <v>2296</v>
      </c>
      <c r="M1598" s="1666">
        <v>2.462E-2</v>
      </c>
      <c r="N1598" s="1667">
        <v>1.5331856054200006</v>
      </c>
      <c r="O1598" s="1667"/>
    </row>
    <row r="1599" spans="11:15">
      <c r="K1599" s="1664">
        <v>43656</v>
      </c>
      <c r="L1599" s="1665" t="s">
        <v>2296</v>
      </c>
      <c r="M1599" s="1666">
        <v>2.462E-2</v>
      </c>
      <c r="N1599" s="1667">
        <v>1.5335630757160552</v>
      </c>
      <c r="O1599" s="1667"/>
    </row>
    <row r="1600" spans="11:15">
      <c r="K1600" s="1664">
        <v>43657</v>
      </c>
      <c r="L1600" s="1665" t="s">
        <v>2296</v>
      </c>
      <c r="M1600" s="1666">
        <v>2.462E-2</v>
      </c>
      <c r="N1600" s="1667">
        <v>1.5339406389452965</v>
      </c>
      <c r="O1600" s="1667"/>
    </row>
    <row r="1601" spans="11:15">
      <c r="K1601" s="1664">
        <v>43658</v>
      </c>
      <c r="L1601" s="1665" t="s">
        <v>2296</v>
      </c>
      <c r="M1601" s="1666">
        <v>2.462E-2</v>
      </c>
      <c r="N1601" s="1667">
        <v>1.5343182951306049</v>
      </c>
      <c r="O1601" s="1667"/>
    </row>
    <row r="1602" spans="11:15">
      <c r="K1602" s="1664">
        <v>43659</v>
      </c>
      <c r="L1602" s="1665"/>
      <c r="M1602" s="1666">
        <v>0</v>
      </c>
      <c r="N1602" s="1667">
        <v>1.5343182951306049</v>
      </c>
      <c r="O1602" s="1667"/>
    </row>
    <row r="1603" spans="11:15">
      <c r="K1603" s="1664">
        <v>43660</v>
      </c>
      <c r="L1603" s="1665"/>
      <c r="M1603" s="1666">
        <v>0</v>
      </c>
      <c r="N1603" s="1667">
        <v>1.5343182951306049</v>
      </c>
      <c r="O1603" s="1667"/>
    </row>
    <row r="1604" spans="11:15">
      <c r="K1604" s="1664">
        <v>43661</v>
      </c>
      <c r="L1604" s="1665" t="s">
        <v>2296</v>
      </c>
      <c r="M1604" s="1666">
        <v>2.462E-2</v>
      </c>
      <c r="N1604" s="1667">
        <v>1.5346960442948663</v>
      </c>
      <c r="O1604" s="1667"/>
    </row>
    <row r="1605" spans="11:15">
      <c r="K1605" s="1664">
        <v>43662</v>
      </c>
      <c r="L1605" s="1665" t="s">
        <v>2296</v>
      </c>
      <c r="M1605" s="1666">
        <v>2.462E-2</v>
      </c>
      <c r="N1605" s="1667">
        <v>1.5350738864609719</v>
      </c>
      <c r="O1605" s="1667"/>
    </row>
    <row r="1606" spans="11:15">
      <c r="K1606" s="1664">
        <v>43663</v>
      </c>
      <c r="L1606" s="1665" t="s">
        <v>2296</v>
      </c>
      <c r="M1606" s="1666">
        <v>2.462E-2</v>
      </c>
      <c r="N1606" s="1667">
        <v>1.5354518216518187</v>
      </c>
      <c r="O1606" s="1667"/>
    </row>
    <row r="1607" spans="11:15">
      <c r="K1607" s="1664">
        <v>43664</v>
      </c>
      <c r="L1607" s="1665" t="s">
        <v>2296</v>
      </c>
      <c r="M1607" s="1666">
        <v>2.462E-2</v>
      </c>
      <c r="N1607" s="1667">
        <v>1.5358298498903096</v>
      </c>
      <c r="O1607" s="1667"/>
    </row>
    <row r="1608" spans="11:15">
      <c r="K1608" s="1664">
        <v>43665</v>
      </c>
      <c r="L1608" s="1665" t="s">
        <v>2296</v>
      </c>
      <c r="M1608" s="1666">
        <v>2.462E-2</v>
      </c>
      <c r="N1608" s="1667">
        <v>1.5362079711993526</v>
      </c>
      <c r="O1608" s="1667"/>
    </row>
    <row r="1609" spans="11:15">
      <c r="K1609" s="1664">
        <v>43666</v>
      </c>
      <c r="L1609" s="1665"/>
      <c r="M1609" s="1666">
        <v>0</v>
      </c>
      <c r="N1609" s="1667">
        <v>1.5362079711993526</v>
      </c>
      <c r="O1609" s="1667"/>
    </row>
    <row r="1610" spans="11:15">
      <c r="K1610" s="1664">
        <v>43667</v>
      </c>
      <c r="L1610" s="1665"/>
      <c r="M1610" s="1666">
        <v>0</v>
      </c>
      <c r="N1610" s="1667">
        <v>1.5362079711993526</v>
      </c>
      <c r="O1610" s="1667"/>
    </row>
    <row r="1611" spans="11:15">
      <c r="K1611" s="1664">
        <v>43668</v>
      </c>
      <c r="L1611" s="1665" t="s">
        <v>2296</v>
      </c>
      <c r="M1611" s="1666">
        <v>2.462E-2</v>
      </c>
      <c r="N1611" s="1667">
        <v>1.5365861856018621</v>
      </c>
      <c r="O1611" s="1667"/>
    </row>
    <row r="1612" spans="11:15">
      <c r="K1612" s="1664">
        <v>43669</v>
      </c>
      <c r="L1612" s="1665" t="s">
        <v>2296</v>
      </c>
      <c r="M1612" s="1666">
        <v>2.462E-2</v>
      </c>
      <c r="N1612" s="1667">
        <v>1.5369644931207573</v>
      </c>
      <c r="O1612" s="1667"/>
    </row>
    <row r="1613" spans="11:15">
      <c r="K1613" s="1664">
        <v>43670</v>
      </c>
      <c r="L1613" s="1665" t="s">
        <v>2296</v>
      </c>
      <c r="M1613" s="1666">
        <v>2.462E-2</v>
      </c>
      <c r="N1613" s="1667">
        <v>1.5373428937789637</v>
      </c>
      <c r="O1613" s="1667"/>
    </row>
    <row r="1614" spans="11:15">
      <c r="K1614" s="1664">
        <v>43671</v>
      </c>
      <c r="L1614" s="1665" t="s">
        <v>2296</v>
      </c>
      <c r="M1614" s="1666">
        <v>2.462E-2</v>
      </c>
      <c r="N1614" s="1667">
        <v>1.5377213875994122</v>
      </c>
      <c r="O1614" s="1667"/>
    </row>
    <row r="1615" spans="11:15">
      <c r="K1615" s="1664">
        <v>43672</v>
      </c>
      <c r="L1615" s="1665" t="s">
        <v>2296</v>
      </c>
      <c r="M1615" s="1666">
        <v>2.462E-2</v>
      </c>
      <c r="N1615" s="1667">
        <v>1.5380999746050394</v>
      </c>
      <c r="O1615" s="1667"/>
    </row>
    <row r="1616" spans="11:15">
      <c r="K1616" s="1664">
        <v>43673</v>
      </c>
      <c r="L1616" s="1665"/>
      <c r="M1616" s="1666">
        <v>0</v>
      </c>
      <c r="N1616" s="1667">
        <v>1.5380999746050394</v>
      </c>
      <c r="O1616" s="1667"/>
    </row>
    <row r="1617" spans="11:15">
      <c r="K1617" s="1664">
        <v>43674</v>
      </c>
      <c r="L1617" s="1665"/>
      <c r="M1617" s="1666">
        <v>0</v>
      </c>
      <c r="N1617" s="1667">
        <v>1.5380999746050394</v>
      </c>
      <c r="O1617" s="1667"/>
    </row>
    <row r="1618" spans="11:15">
      <c r="K1618" s="1664">
        <v>43675</v>
      </c>
      <c r="L1618" s="1665" t="s">
        <v>2296</v>
      </c>
      <c r="M1618" s="1666">
        <v>2.462E-2</v>
      </c>
      <c r="N1618" s="1667">
        <v>1.5384786548187874</v>
      </c>
      <c r="O1618" s="1667"/>
    </row>
    <row r="1619" spans="11:15">
      <c r="K1619" s="1664">
        <v>43676</v>
      </c>
      <c r="L1619" s="1665" t="s">
        <v>2296</v>
      </c>
      <c r="M1619" s="1666">
        <v>2.462E-2</v>
      </c>
      <c r="N1619" s="1667">
        <v>1.5388574282636041</v>
      </c>
      <c r="O1619" s="1667"/>
    </row>
    <row r="1620" spans="11:15">
      <c r="K1620" s="1664">
        <v>43677</v>
      </c>
      <c r="L1620" s="1665" t="s">
        <v>2296</v>
      </c>
      <c r="M1620" s="1666">
        <v>2.462E-2</v>
      </c>
      <c r="N1620" s="1667">
        <v>1.5392362949624427</v>
      </c>
      <c r="O1620" s="1667"/>
    </row>
    <row r="1621" spans="11:15">
      <c r="K1621" s="1664">
        <v>43678</v>
      </c>
      <c r="L1621" s="1665" t="s">
        <v>2296</v>
      </c>
      <c r="M1621" s="1666">
        <v>2.2751E-2</v>
      </c>
      <c r="N1621" s="1667">
        <v>1.5395864866119096</v>
      </c>
      <c r="O1621" s="1667"/>
    </row>
    <row r="1622" spans="11:15">
      <c r="K1622" s="1664">
        <v>43679</v>
      </c>
      <c r="L1622" s="1665" t="s">
        <v>2296</v>
      </c>
      <c r="M1622" s="1666">
        <v>2.2751E-2</v>
      </c>
      <c r="N1622" s="1667">
        <v>1.5399367579334786</v>
      </c>
      <c r="O1622" s="1667"/>
    </row>
    <row r="1623" spans="11:15">
      <c r="K1623" s="1664">
        <v>43680</v>
      </c>
      <c r="L1623" s="1665"/>
      <c r="M1623" s="1666">
        <v>0</v>
      </c>
      <c r="N1623" s="1667">
        <v>1.5399367579334786</v>
      </c>
      <c r="O1623" s="1667"/>
    </row>
    <row r="1624" spans="11:15">
      <c r="K1624" s="1664">
        <v>43681</v>
      </c>
      <c r="L1624" s="1665"/>
      <c r="M1624" s="1666">
        <v>0</v>
      </c>
      <c r="N1624" s="1667">
        <v>1.5399367579334786</v>
      </c>
      <c r="O1624" s="1667"/>
    </row>
    <row r="1625" spans="11:15">
      <c r="K1625" s="1664">
        <v>43682</v>
      </c>
      <c r="L1625" s="1665" t="s">
        <v>2296</v>
      </c>
      <c r="M1625" s="1666">
        <v>2.2751E-2</v>
      </c>
      <c r="N1625" s="1667">
        <v>1.5402871089452761</v>
      </c>
      <c r="O1625" s="1667"/>
    </row>
    <row r="1626" spans="11:15">
      <c r="K1626" s="1664">
        <v>43683</v>
      </c>
      <c r="L1626" s="1665" t="s">
        <v>2296</v>
      </c>
      <c r="M1626" s="1666">
        <v>2.2751E-2</v>
      </c>
      <c r="N1626" s="1667">
        <v>1.5406375396654322</v>
      </c>
      <c r="O1626" s="1667"/>
    </row>
    <row r="1627" spans="11:15">
      <c r="K1627" s="1664">
        <v>43684</v>
      </c>
      <c r="L1627" s="1665" t="s">
        <v>2296</v>
      </c>
      <c r="M1627" s="1666">
        <v>2.2751E-2</v>
      </c>
      <c r="N1627" s="1667">
        <v>1.5409880501120814</v>
      </c>
      <c r="O1627" s="1667"/>
    </row>
    <row r="1628" spans="11:15">
      <c r="K1628" s="1664">
        <v>43685</v>
      </c>
      <c r="L1628" s="1665" t="s">
        <v>2296</v>
      </c>
      <c r="M1628" s="1666">
        <v>2.2751E-2</v>
      </c>
      <c r="N1628" s="1667">
        <v>1.5413386403033624</v>
      </c>
      <c r="O1628" s="1667"/>
    </row>
    <row r="1629" spans="11:15">
      <c r="K1629" s="1664">
        <v>43686</v>
      </c>
      <c r="L1629" s="1665" t="s">
        <v>2296</v>
      </c>
      <c r="M1629" s="1666">
        <v>2.2751E-2</v>
      </c>
      <c r="N1629" s="1667">
        <v>1.5416893102574178</v>
      </c>
      <c r="O1629" s="1667"/>
    </row>
    <row r="1630" spans="11:15">
      <c r="K1630" s="1664">
        <v>43687</v>
      </c>
      <c r="L1630" s="1665"/>
      <c r="M1630" s="1666">
        <v>0</v>
      </c>
      <c r="N1630" s="1667">
        <v>1.5416893102574178</v>
      </c>
      <c r="O1630" s="1667"/>
    </row>
    <row r="1631" spans="11:15">
      <c r="K1631" s="1664">
        <v>43688</v>
      </c>
      <c r="L1631" s="1665"/>
      <c r="M1631" s="1666">
        <v>0</v>
      </c>
      <c r="N1631" s="1667">
        <v>1.5416893102574178</v>
      </c>
      <c r="O1631" s="1667"/>
    </row>
    <row r="1632" spans="11:15">
      <c r="K1632" s="1664">
        <v>43689</v>
      </c>
      <c r="L1632" s="1665" t="s">
        <v>2296</v>
      </c>
      <c r="M1632" s="1666">
        <v>2.2751E-2</v>
      </c>
      <c r="N1632" s="1667">
        <v>1.5420400599923945</v>
      </c>
      <c r="O1632" s="1667"/>
    </row>
    <row r="1633" spans="11:15">
      <c r="K1633" s="1664">
        <v>43690</v>
      </c>
      <c r="L1633" s="1665" t="s">
        <v>2296</v>
      </c>
      <c r="M1633" s="1666">
        <v>2.2751E-2</v>
      </c>
      <c r="N1633" s="1667">
        <v>1.5423908895264433</v>
      </c>
      <c r="O1633" s="1667"/>
    </row>
    <row r="1634" spans="11:15">
      <c r="K1634" s="1664">
        <v>43691</v>
      </c>
      <c r="L1634" s="1665" t="s">
        <v>2296</v>
      </c>
      <c r="M1634" s="1666">
        <v>2.2751E-2</v>
      </c>
      <c r="N1634" s="1667">
        <v>1.5427417988777195</v>
      </c>
      <c r="O1634" s="1667"/>
    </row>
    <row r="1635" spans="11:15">
      <c r="K1635" s="1664">
        <v>43692</v>
      </c>
      <c r="L1635" s="1665" t="s">
        <v>2296</v>
      </c>
      <c r="M1635" s="1666">
        <v>2.2751E-2</v>
      </c>
      <c r="N1635" s="1667">
        <v>1.5430927880643821</v>
      </c>
      <c r="O1635" s="1667"/>
    </row>
    <row r="1636" spans="11:15">
      <c r="K1636" s="1664">
        <v>43693</v>
      </c>
      <c r="L1636" s="1665" t="s">
        <v>2296</v>
      </c>
      <c r="M1636" s="1666">
        <v>2.2751E-2</v>
      </c>
      <c r="N1636" s="1667">
        <v>1.5434438571045945</v>
      </c>
      <c r="O1636" s="1667"/>
    </row>
    <row r="1637" spans="11:15">
      <c r="K1637" s="1664">
        <v>43694</v>
      </c>
      <c r="L1637" s="1665"/>
      <c r="M1637" s="1666">
        <v>0</v>
      </c>
      <c r="N1637" s="1667">
        <v>1.5434438571045945</v>
      </c>
      <c r="O1637" s="1667"/>
    </row>
    <row r="1638" spans="11:15">
      <c r="K1638" s="1664">
        <v>43695</v>
      </c>
      <c r="L1638" s="1665"/>
      <c r="M1638" s="1666">
        <v>0</v>
      </c>
      <c r="N1638" s="1667">
        <v>1.5434438571045945</v>
      </c>
      <c r="O1638" s="1667"/>
    </row>
    <row r="1639" spans="11:15">
      <c r="K1639" s="1664">
        <v>43696</v>
      </c>
      <c r="L1639" s="1665" t="s">
        <v>2296</v>
      </c>
      <c r="M1639" s="1666">
        <v>2.2751E-2</v>
      </c>
      <c r="N1639" s="1667">
        <v>1.5437950060165244</v>
      </c>
      <c r="O1639" s="1667"/>
    </row>
    <row r="1640" spans="11:15">
      <c r="K1640" s="1664">
        <v>43697</v>
      </c>
      <c r="L1640" s="1665" t="s">
        <v>2296</v>
      </c>
      <c r="M1640" s="1666">
        <v>2.2751E-2</v>
      </c>
      <c r="N1640" s="1667">
        <v>1.5441462348183432</v>
      </c>
      <c r="O1640" s="1667"/>
    </row>
    <row r="1641" spans="11:15">
      <c r="K1641" s="1664">
        <v>43698</v>
      </c>
      <c r="L1641" s="1665" t="s">
        <v>2296</v>
      </c>
      <c r="M1641" s="1666">
        <v>2.2751E-2</v>
      </c>
      <c r="N1641" s="1667">
        <v>1.5444975435282267</v>
      </c>
      <c r="O1641" s="1667"/>
    </row>
    <row r="1642" spans="11:15">
      <c r="K1642" s="1664">
        <v>43699</v>
      </c>
      <c r="L1642" s="1665" t="s">
        <v>2296</v>
      </c>
      <c r="M1642" s="1666">
        <v>2.2751E-2</v>
      </c>
      <c r="N1642" s="1667">
        <v>1.5448489321643548</v>
      </c>
      <c r="O1642" s="1667"/>
    </row>
    <row r="1643" spans="11:15">
      <c r="K1643" s="1664">
        <v>43700</v>
      </c>
      <c r="L1643" s="1665" t="s">
        <v>2296</v>
      </c>
      <c r="M1643" s="1666">
        <v>2.2751E-2</v>
      </c>
      <c r="N1643" s="1667">
        <v>1.5452004007449116</v>
      </c>
      <c r="O1643" s="1667"/>
    </row>
    <row r="1644" spans="11:15">
      <c r="K1644" s="1664">
        <v>43701</v>
      </c>
      <c r="L1644" s="1665"/>
      <c r="M1644" s="1666">
        <v>0</v>
      </c>
      <c r="N1644" s="1667">
        <v>1.5452004007449116</v>
      </c>
      <c r="O1644" s="1667"/>
    </row>
    <row r="1645" spans="11:15">
      <c r="K1645" s="1664">
        <v>43702</v>
      </c>
      <c r="L1645" s="1665"/>
      <c r="M1645" s="1666">
        <v>0</v>
      </c>
      <c r="N1645" s="1667">
        <v>1.5452004007449116</v>
      </c>
      <c r="O1645" s="1667"/>
    </row>
    <row r="1646" spans="11:15">
      <c r="K1646" s="1664">
        <v>43703</v>
      </c>
      <c r="L1646" s="1665" t="s">
        <v>2296</v>
      </c>
      <c r="M1646" s="1666">
        <v>2.2751E-2</v>
      </c>
      <c r="N1646" s="1667">
        <v>1.5455519492880851</v>
      </c>
      <c r="O1646" s="1667"/>
    </row>
    <row r="1647" spans="11:15">
      <c r="K1647" s="1664">
        <v>43704</v>
      </c>
      <c r="L1647" s="1665" t="s">
        <v>2296</v>
      </c>
      <c r="M1647" s="1666">
        <v>2.2751E-2</v>
      </c>
      <c r="N1647" s="1667">
        <v>1.5459035778120676</v>
      </c>
      <c r="O1647" s="1667"/>
    </row>
    <row r="1648" spans="11:15">
      <c r="K1648" s="1664">
        <v>43705</v>
      </c>
      <c r="L1648" s="1665" t="s">
        <v>2296</v>
      </c>
      <c r="M1648" s="1666">
        <v>2.2751E-2</v>
      </c>
      <c r="N1648" s="1667">
        <v>1.5462552863350556</v>
      </c>
      <c r="O1648" s="1667"/>
    </row>
    <row r="1649" spans="11:15">
      <c r="K1649" s="1664">
        <v>43706</v>
      </c>
      <c r="L1649" s="1665" t="s">
        <v>2296</v>
      </c>
      <c r="M1649" s="1666">
        <v>2.2751E-2</v>
      </c>
      <c r="N1649" s="1667">
        <v>1.5466070748752496</v>
      </c>
      <c r="O1649" s="1667"/>
    </row>
    <row r="1650" spans="11:15">
      <c r="K1650" s="1664">
        <v>43707</v>
      </c>
      <c r="L1650" s="1665" t="s">
        <v>2296</v>
      </c>
      <c r="M1650" s="1666">
        <v>2.2751E-2</v>
      </c>
      <c r="N1650" s="1667">
        <v>1.5469589434508544</v>
      </c>
      <c r="O1650" s="1667"/>
    </row>
    <row r="1651" spans="11:15">
      <c r="K1651" s="1664">
        <v>43708</v>
      </c>
      <c r="L1651" s="1665"/>
      <c r="M1651" s="1666">
        <v>0</v>
      </c>
      <c r="N1651" s="1667">
        <v>1.5469589434508544</v>
      </c>
      <c r="O1651" s="1667"/>
    </row>
    <row r="1652" spans="11:15">
      <c r="K1652" s="1664">
        <v>43709</v>
      </c>
      <c r="L1652" s="1665"/>
      <c r="M1652" s="1666">
        <v>0</v>
      </c>
      <c r="N1652" s="1667">
        <v>1.5469589434508544</v>
      </c>
      <c r="O1652" s="1667"/>
    </row>
    <row r="1653" spans="11:15">
      <c r="K1653" s="1664">
        <v>43710</v>
      </c>
      <c r="L1653" s="1665" t="s">
        <v>2296</v>
      </c>
      <c r="M1653" s="1666">
        <v>2.2751E-2</v>
      </c>
      <c r="N1653" s="1667">
        <v>1.5473108920800789</v>
      </c>
      <c r="O1653" s="1667"/>
    </row>
    <row r="1654" spans="11:15">
      <c r="K1654" s="1664">
        <v>43711</v>
      </c>
      <c r="L1654" s="1665" t="s">
        <v>2296</v>
      </c>
      <c r="M1654" s="1666">
        <v>2.2751E-2</v>
      </c>
      <c r="N1654" s="1667">
        <v>1.5476629207811361</v>
      </c>
      <c r="O1654" s="1667"/>
    </row>
    <row r="1655" spans="11:15">
      <c r="K1655" s="1664">
        <v>43712</v>
      </c>
      <c r="L1655" s="1665" t="s">
        <v>2296</v>
      </c>
      <c r="M1655" s="1666">
        <v>2.2751E-2</v>
      </c>
      <c r="N1655" s="1667">
        <v>1.548015029572243</v>
      </c>
      <c r="O1655" s="1667"/>
    </row>
    <row r="1656" spans="11:15">
      <c r="K1656" s="1664">
        <v>43713</v>
      </c>
      <c r="L1656" s="1665" t="s">
        <v>2296</v>
      </c>
      <c r="M1656" s="1666">
        <v>2.2751E-2</v>
      </c>
      <c r="N1656" s="1667">
        <v>1.5483672184716211</v>
      </c>
      <c r="O1656" s="1667"/>
    </row>
    <row r="1657" spans="11:15">
      <c r="K1657" s="1664">
        <v>43714</v>
      </c>
      <c r="L1657" s="1665" t="s">
        <v>2296</v>
      </c>
      <c r="M1657" s="1666">
        <v>2.2751E-2</v>
      </c>
      <c r="N1657" s="1667">
        <v>1.5487194874974954</v>
      </c>
      <c r="O1657" s="1667"/>
    </row>
    <row r="1658" spans="11:15">
      <c r="K1658" s="1664">
        <v>43715</v>
      </c>
      <c r="L1658" s="1665"/>
      <c r="M1658" s="1666">
        <v>0</v>
      </c>
      <c r="N1658" s="1667">
        <v>1.5487194874974954</v>
      </c>
      <c r="O1658" s="1667"/>
    </row>
    <row r="1659" spans="11:15">
      <c r="K1659" s="1664">
        <v>43716</v>
      </c>
      <c r="L1659" s="1665"/>
      <c r="M1659" s="1666">
        <v>0</v>
      </c>
      <c r="N1659" s="1667">
        <v>1.5487194874974954</v>
      </c>
      <c r="O1659" s="1667"/>
    </row>
    <row r="1660" spans="11:15">
      <c r="K1660" s="1664">
        <v>43717</v>
      </c>
      <c r="L1660" s="1665" t="s">
        <v>2296</v>
      </c>
      <c r="M1660" s="1666">
        <v>2.2751E-2</v>
      </c>
      <c r="N1660" s="1667">
        <v>1.549071836668096</v>
      </c>
      <c r="O1660" s="1667"/>
    </row>
    <row r="1661" spans="11:15">
      <c r="K1661" s="1664">
        <v>43718</v>
      </c>
      <c r="L1661" s="1665" t="s">
        <v>2296</v>
      </c>
      <c r="M1661" s="1666">
        <v>2.2751E-2</v>
      </c>
      <c r="N1661" s="1667">
        <v>1.5494242660016564</v>
      </c>
      <c r="O1661" s="1667"/>
    </row>
    <row r="1662" spans="11:15">
      <c r="K1662" s="1664">
        <v>43719</v>
      </c>
      <c r="L1662" s="1665" t="s">
        <v>2296</v>
      </c>
      <c r="M1662" s="1666">
        <v>2.2751E-2</v>
      </c>
      <c r="N1662" s="1667">
        <v>1.5497767755164145</v>
      </c>
      <c r="O1662" s="1667"/>
    </row>
    <row r="1663" spans="11:15">
      <c r="K1663" s="1664">
        <v>43720</v>
      </c>
      <c r="L1663" s="1665" t="s">
        <v>2296</v>
      </c>
      <c r="M1663" s="1666">
        <v>2.2751E-2</v>
      </c>
      <c r="N1663" s="1667">
        <v>1.5501293652306123</v>
      </c>
      <c r="O1663" s="1667"/>
    </row>
    <row r="1664" spans="11:15">
      <c r="K1664" s="1664">
        <v>43721</v>
      </c>
      <c r="L1664" s="1665" t="s">
        <v>2296</v>
      </c>
      <c r="M1664" s="1666">
        <v>2.2751E-2</v>
      </c>
      <c r="N1664" s="1667">
        <v>1.5504820351624959</v>
      </c>
      <c r="O1664" s="1667"/>
    </row>
    <row r="1665" spans="11:15">
      <c r="K1665" s="1664">
        <v>43722</v>
      </c>
      <c r="L1665" s="1665"/>
      <c r="M1665" s="1666">
        <v>0</v>
      </c>
      <c r="N1665" s="1667">
        <v>1.5504820351624959</v>
      </c>
      <c r="O1665" s="1667"/>
    </row>
    <row r="1666" spans="11:15">
      <c r="K1666" s="1664">
        <v>43723</v>
      </c>
      <c r="L1666" s="1665"/>
      <c r="M1666" s="1666">
        <v>0</v>
      </c>
      <c r="N1666" s="1667">
        <v>1.5504820351624959</v>
      </c>
      <c r="O1666" s="1667"/>
    </row>
    <row r="1667" spans="11:15">
      <c r="K1667" s="1664">
        <v>43724</v>
      </c>
      <c r="L1667" s="1665" t="s">
        <v>2296</v>
      </c>
      <c r="M1667" s="1666">
        <v>2.2751E-2</v>
      </c>
      <c r="N1667" s="1667">
        <v>1.5508347853303157</v>
      </c>
      <c r="O1667" s="1667"/>
    </row>
    <row r="1668" spans="11:15">
      <c r="K1668" s="1664">
        <v>43725</v>
      </c>
      <c r="L1668" s="1665" t="s">
        <v>2296</v>
      </c>
      <c r="M1668" s="1666">
        <v>2.2751E-2</v>
      </c>
      <c r="N1668" s="1667">
        <v>1.5511876157523261</v>
      </c>
      <c r="O1668" s="1667"/>
    </row>
    <row r="1669" spans="11:15">
      <c r="K1669" s="1664">
        <v>43726</v>
      </c>
      <c r="L1669" s="1665" t="s">
        <v>2296</v>
      </c>
      <c r="M1669" s="1666">
        <v>2.2751E-2</v>
      </c>
      <c r="N1669" s="1667">
        <v>1.5515405264467859</v>
      </c>
      <c r="O1669" s="1667"/>
    </row>
    <row r="1670" spans="11:15">
      <c r="K1670" s="1664">
        <v>43727</v>
      </c>
      <c r="L1670" s="1665" t="s">
        <v>2296</v>
      </c>
      <c r="M1670" s="1666">
        <v>2.0872000000000002E-2</v>
      </c>
      <c r="N1670" s="1667">
        <v>1.5518643639854659</v>
      </c>
      <c r="O1670" s="1667"/>
    </row>
    <row r="1671" spans="11:15">
      <c r="K1671" s="1664">
        <v>43728</v>
      </c>
      <c r="L1671" s="1665" t="s">
        <v>2296</v>
      </c>
      <c r="M1671" s="1666">
        <v>2.0872000000000002E-2</v>
      </c>
      <c r="N1671" s="1667">
        <v>1.5521882691155171</v>
      </c>
      <c r="O1671" s="1667"/>
    </row>
    <row r="1672" spans="11:15">
      <c r="K1672" s="1664">
        <v>43729</v>
      </c>
      <c r="L1672" s="1665"/>
      <c r="M1672" s="1666">
        <v>0</v>
      </c>
      <c r="N1672" s="1667">
        <v>1.5521882691155171</v>
      </c>
      <c r="O1672" s="1667"/>
    </row>
    <row r="1673" spans="11:15">
      <c r="K1673" s="1664">
        <v>43730</v>
      </c>
      <c r="L1673" s="1665"/>
      <c r="M1673" s="1666">
        <v>0</v>
      </c>
      <c r="N1673" s="1667">
        <v>1.5521882691155171</v>
      </c>
      <c r="O1673" s="1667"/>
    </row>
    <row r="1674" spans="11:15">
      <c r="K1674" s="1664">
        <v>43731</v>
      </c>
      <c r="L1674" s="1665" t="s">
        <v>2296</v>
      </c>
      <c r="M1674" s="1666">
        <v>2.0872000000000002E-2</v>
      </c>
      <c r="N1674" s="1667">
        <v>1.5525122418510471</v>
      </c>
      <c r="O1674" s="1667"/>
    </row>
    <row r="1675" spans="11:15">
      <c r="K1675" s="1664">
        <v>43732</v>
      </c>
      <c r="L1675" s="1665" t="s">
        <v>2296</v>
      </c>
      <c r="M1675" s="1666">
        <v>2.0872000000000002E-2</v>
      </c>
      <c r="N1675" s="1667">
        <v>1.5528362822061663</v>
      </c>
      <c r="O1675" s="1667"/>
    </row>
    <row r="1676" spans="11:15">
      <c r="K1676" s="1664">
        <v>43733</v>
      </c>
      <c r="L1676" s="1665" t="s">
        <v>2296</v>
      </c>
      <c r="M1676" s="1666">
        <v>2.0872000000000002E-2</v>
      </c>
      <c r="N1676" s="1667">
        <v>1.5531603901949884</v>
      </c>
      <c r="O1676" s="1667"/>
    </row>
    <row r="1677" spans="11:15">
      <c r="K1677" s="1664">
        <v>43734</v>
      </c>
      <c r="L1677" s="1665" t="s">
        <v>2296</v>
      </c>
      <c r="M1677" s="1666">
        <v>2.0872000000000002E-2</v>
      </c>
      <c r="N1677" s="1667">
        <v>1.5534845658316301</v>
      </c>
      <c r="O1677" s="1667"/>
    </row>
    <row r="1678" spans="11:15">
      <c r="K1678" s="1664">
        <v>43735</v>
      </c>
      <c r="L1678" s="1665" t="s">
        <v>2296</v>
      </c>
      <c r="M1678" s="1666">
        <v>2.0872000000000002E-2</v>
      </c>
      <c r="N1678" s="1667">
        <v>1.5538088091302105</v>
      </c>
      <c r="O1678" s="1667"/>
    </row>
    <row r="1679" spans="11:15">
      <c r="K1679" s="1664">
        <v>43736</v>
      </c>
      <c r="L1679" s="1665"/>
      <c r="M1679" s="1666">
        <v>0</v>
      </c>
      <c r="N1679" s="1667">
        <v>1.5538088091302105</v>
      </c>
      <c r="O1679" s="1667"/>
    </row>
    <row r="1680" spans="11:15">
      <c r="K1680" s="1664">
        <v>43737</v>
      </c>
      <c r="L1680" s="1665"/>
      <c r="M1680" s="1666">
        <v>0</v>
      </c>
      <c r="N1680" s="1667">
        <v>1.5538088091302105</v>
      </c>
      <c r="O1680" s="1667"/>
    </row>
    <row r="1681" spans="11:15">
      <c r="K1681" s="1664">
        <v>43738</v>
      </c>
      <c r="L1681" s="1665" t="s">
        <v>2296</v>
      </c>
      <c r="M1681" s="1666">
        <v>2.0872000000000002E-2</v>
      </c>
      <c r="N1681" s="1667">
        <v>1.5541331201048523</v>
      </c>
      <c r="O1681" s="1667"/>
    </row>
    <row r="1682" spans="11:15">
      <c r="K1682" s="1664">
        <v>43739</v>
      </c>
      <c r="L1682" s="1665" t="s">
        <v>2296</v>
      </c>
      <c r="M1682" s="1666">
        <v>2.0872000000000002E-2</v>
      </c>
      <c r="N1682" s="1667">
        <v>1.5544574987696806</v>
      </c>
      <c r="O1682" s="1667"/>
    </row>
    <row r="1683" spans="11:15">
      <c r="K1683" s="1664">
        <v>43740</v>
      </c>
      <c r="L1683" s="1665" t="s">
        <v>2296</v>
      </c>
      <c r="M1683" s="1666">
        <v>2.0872000000000002E-2</v>
      </c>
      <c r="N1683" s="1667">
        <v>1.5547819451388238</v>
      </c>
      <c r="O1683" s="1667"/>
    </row>
    <row r="1684" spans="11:15">
      <c r="K1684" s="1664">
        <v>43741</v>
      </c>
      <c r="L1684" s="1665" t="s">
        <v>2296</v>
      </c>
      <c r="M1684" s="1666">
        <v>2.0872000000000002E-2</v>
      </c>
      <c r="N1684" s="1667">
        <v>1.5551064592264132</v>
      </c>
      <c r="O1684" s="1667"/>
    </row>
    <row r="1685" spans="11:15">
      <c r="K1685" s="1664">
        <v>43742</v>
      </c>
      <c r="L1685" s="1665" t="s">
        <v>2296</v>
      </c>
      <c r="M1685" s="1666">
        <v>2.0872000000000002E-2</v>
      </c>
      <c r="N1685" s="1667">
        <v>1.555431041046583</v>
      </c>
      <c r="O1685" s="1667"/>
    </row>
    <row r="1686" spans="11:15">
      <c r="K1686" s="1664">
        <v>43743</v>
      </c>
      <c r="L1686" s="1665"/>
      <c r="M1686" s="1666">
        <v>0</v>
      </c>
      <c r="N1686" s="1667">
        <v>1.555431041046583</v>
      </c>
      <c r="O1686" s="1667"/>
    </row>
    <row r="1687" spans="11:15">
      <c r="K1687" s="1664">
        <v>43744</v>
      </c>
      <c r="L1687" s="1665"/>
      <c r="M1687" s="1666">
        <v>0</v>
      </c>
      <c r="N1687" s="1667">
        <v>1.555431041046583</v>
      </c>
      <c r="O1687" s="1667"/>
    </row>
    <row r="1688" spans="11:15">
      <c r="K1688" s="1664">
        <v>43745</v>
      </c>
      <c r="L1688" s="1665" t="s">
        <v>2296</v>
      </c>
      <c r="M1688" s="1666">
        <v>2.0872000000000002E-2</v>
      </c>
      <c r="N1688" s="1667">
        <v>1.5557556906134704</v>
      </c>
      <c r="O1688" s="1667"/>
    </row>
    <row r="1689" spans="11:15">
      <c r="K1689" s="1664">
        <v>43746</v>
      </c>
      <c r="L1689" s="1665" t="s">
        <v>2296</v>
      </c>
      <c r="M1689" s="1666">
        <v>2.0872000000000002E-2</v>
      </c>
      <c r="N1689" s="1667">
        <v>1.5560804079412154</v>
      </c>
      <c r="O1689" s="1667"/>
    </row>
    <row r="1690" spans="11:15">
      <c r="K1690" s="1664">
        <v>43747</v>
      </c>
      <c r="L1690" s="1665" t="s">
        <v>2296</v>
      </c>
      <c r="M1690" s="1666">
        <v>2.0872000000000002E-2</v>
      </c>
      <c r="N1690" s="1667">
        <v>1.5564051930439609</v>
      </c>
      <c r="O1690" s="1667"/>
    </row>
    <row r="1691" spans="11:15">
      <c r="K1691" s="1664">
        <v>43748</v>
      </c>
      <c r="L1691" s="1665" t="s">
        <v>2296</v>
      </c>
      <c r="M1691" s="1666">
        <v>2.0872000000000002E-2</v>
      </c>
      <c r="N1691" s="1667">
        <v>1.5567300459358531</v>
      </c>
      <c r="O1691" s="1667"/>
    </row>
    <row r="1692" spans="11:15">
      <c r="K1692" s="1664">
        <v>43749</v>
      </c>
      <c r="L1692" s="1665" t="s">
        <v>2296</v>
      </c>
      <c r="M1692" s="1666">
        <v>2.0872000000000002E-2</v>
      </c>
      <c r="N1692" s="1667">
        <v>1.5570549666310409</v>
      </c>
      <c r="O1692" s="1667"/>
    </row>
    <row r="1693" spans="11:15">
      <c r="K1693" s="1664">
        <v>43750</v>
      </c>
      <c r="L1693" s="1665"/>
      <c r="M1693" s="1666">
        <v>0</v>
      </c>
      <c r="N1693" s="1667">
        <v>1.5570549666310409</v>
      </c>
      <c r="O1693" s="1667"/>
    </row>
    <row r="1694" spans="11:15">
      <c r="K1694" s="1664">
        <v>43751</v>
      </c>
      <c r="L1694" s="1665"/>
      <c r="M1694" s="1666">
        <v>0</v>
      </c>
      <c r="N1694" s="1667">
        <v>1.5570549666310409</v>
      </c>
      <c r="O1694" s="1667"/>
    </row>
    <row r="1695" spans="11:15">
      <c r="K1695" s="1664">
        <v>43752</v>
      </c>
      <c r="L1695" s="1665" t="s">
        <v>2296</v>
      </c>
      <c r="M1695" s="1666">
        <v>2.0872000000000002E-2</v>
      </c>
      <c r="N1695" s="1667">
        <v>1.5573799551436762</v>
      </c>
      <c r="O1695" s="1667"/>
    </row>
    <row r="1696" spans="11:15">
      <c r="K1696" s="1664">
        <v>43753</v>
      </c>
      <c r="L1696" s="1665" t="s">
        <v>2296</v>
      </c>
      <c r="M1696" s="1666">
        <v>2.0872000000000002E-2</v>
      </c>
      <c r="N1696" s="1667">
        <v>1.5577050114879138</v>
      </c>
      <c r="O1696" s="1667"/>
    </row>
    <row r="1697" spans="11:15">
      <c r="K1697" s="1664">
        <v>43754</v>
      </c>
      <c r="L1697" s="1665" t="s">
        <v>2296</v>
      </c>
      <c r="M1697" s="1666">
        <v>2.0872000000000002E-2</v>
      </c>
      <c r="N1697" s="1667">
        <v>1.5580301356779116</v>
      </c>
      <c r="O1697" s="1667"/>
    </row>
    <row r="1698" spans="11:15">
      <c r="K1698" s="1664">
        <v>43755</v>
      </c>
      <c r="L1698" s="1665" t="s">
        <v>2296</v>
      </c>
      <c r="M1698" s="1666">
        <v>2.0872000000000002E-2</v>
      </c>
      <c r="N1698" s="1667">
        <v>1.5583553277278304</v>
      </c>
      <c r="O1698" s="1667"/>
    </row>
    <row r="1699" spans="11:15">
      <c r="K1699" s="1664">
        <v>43756</v>
      </c>
      <c r="L1699" s="1665" t="s">
        <v>2296</v>
      </c>
      <c r="M1699" s="1666">
        <v>2.0872000000000002E-2</v>
      </c>
      <c r="N1699" s="1667">
        <v>1.5586805876518337</v>
      </c>
      <c r="O1699" s="1667"/>
    </row>
    <row r="1700" spans="11:15">
      <c r="K1700" s="1664">
        <v>43757</v>
      </c>
      <c r="L1700" s="1665"/>
      <c r="M1700" s="1666">
        <v>0</v>
      </c>
      <c r="N1700" s="1667">
        <v>1.5586805876518337</v>
      </c>
      <c r="O1700" s="1667"/>
    </row>
    <row r="1701" spans="11:15">
      <c r="K1701" s="1664">
        <v>43758</v>
      </c>
      <c r="L1701" s="1665"/>
      <c r="M1701" s="1666">
        <v>0</v>
      </c>
      <c r="N1701" s="1667">
        <v>1.5586805876518337</v>
      </c>
      <c r="O1701" s="1667"/>
    </row>
    <row r="1702" spans="11:15">
      <c r="K1702" s="1664">
        <v>43759</v>
      </c>
      <c r="L1702" s="1665" t="s">
        <v>2296</v>
      </c>
      <c r="M1702" s="1666">
        <v>2.0872000000000002E-2</v>
      </c>
      <c r="N1702" s="1667">
        <v>1.5590059154640885</v>
      </c>
      <c r="O1702" s="1667"/>
    </row>
    <row r="1703" spans="11:15">
      <c r="K1703" s="1664">
        <v>43760</v>
      </c>
      <c r="L1703" s="1665" t="s">
        <v>2296</v>
      </c>
      <c r="M1703" s="1666">
        <v>2.0872000000000002E-2</v>
      </c>
      <c r="N1703" s="1667">
        <v>1.5593313111787643</v>
      </c>
      <c r="O1703" s="1667"/>
    </row>
    <row r="1704" spans="11:15">
      <c r="K1704" s="1664">
        <v>43761</v>
      </c>
      <c r="L1704" s="1665" t="s">
        <v>2296</v>
      </c>
      <c r="M1704" s="1666">
        <v>2.0872000000000002E-2</v>
      </c>
      <c r="N1704" s="1667">
        <v>1.5596567748100336</v>
      </c>
      <c r="O1704" s="1667"/>
    </row>
    <row r="1705" spans="11:15">
      <c r="K1705" s="1664">
        <v>43762</v>
      </c>
      <c r="L1705" s="1665" t="s">
        <v>2296</v>
      </c>
      <c r="M1705" s="1666">
        <v>2.0872000000000002E-2</v>
      </c>
      <c r="N1705" s="1667">
        <v>1.5599823063720721</v>
      </c>
      <c r="O1705" s="1667"/>
    </row>
    <row r="1706" spans="11:15">
      <c r="K1706" s="1664">
        <v>43763</v>
      </c>
      <c r="L1706" s="1665" t="s">
        <v>2296</v>
      </c>
      <c r="M1706" s="1666">
        <v>2.0872000000000002E-2</v>
      </c>
      <c r="N1706" s="1667">
        <v>1.5603079058790581</v>
      </c>
      <c r="O1706" s="1667"/>
    </row>
    <row r="1707" spans="11:15">
      <c r="K1707" s="1664">
        <v>43764</v>
      </c>
      <c r="L1707" s="1665"/>
      <c r="M1707" s="1666">
        <v>0</v>
      </c>
      <c r="N1707" s="1667">
        <v>1.5603079058790581</v>
      </c>
      <c r="O1707" s="1667"/>
    </row>
    <row r="1708" spans="11:15">
      <c r="K1708" s="1664">
        <v>43765</v>
      </c>
      <c r="L1708" s="1665"/>
      <c r="M1708" s="1666">
        <v>0</v>
      </c>
      <c r="N1708" s="1667">
        <v>1.5603079058790581</v>
      </c>
      <c r="O1708" s="1667"/>
    </row>
    <row r="1709" spans="11:15">
      <c r="K1709" s="1664">
        <v>43766</v>
      </c>
      <c r="L1709" s="1665" t="s">
        <v>2296</v>
      </c>
      <c r="M1709" s="1666">
        <v>2.0872000000000002E-2</v>
      </c>
      <c r="N1709" s="1667">
        <v>1.5606335733451733</v>
      </c>
      <c r="O1709" s="1667"/>
    </row>
    <row r="1710" spans="11:15">
      <c r="K1710" s="1664">
        <v>43767</v>
      </c>
      <c r="L1710" s="1665" t="s">
        <v>2296</v>
      </c>
      <c r="M1710" s="1666">
        <v>2.0872000000000002E-2</v>
      </c>
      <c r="N1710" s="1667">
        <v>1.5609593087846019</v>
      </c>
      <c r="O1710" s="1667"/>
    </row>
    <row r="1711" spans="11:15">
      <c r="K1711" s="1664">
        <v>43768</v>
      </c>
      <c r="L1711" s="1665" t="s">
        <v>2296</v>
      </c>
      <c r="M1711" s="1666">
        <v>2.0872000000000002E-2</v>
      </c>
      <c r="N1711" s="1667">
        <v>1.5612851122115314</v>
      </c>
      <c r="O1711" s="1667"/>
    </row>
    <row r="1712" spans="11:15">
      <c r="K1712" s="1664">
        <v>43769</v>
      </c>
      <c r="L1712" s="1665" t="s">
        <v>2296</v>
      </c>
      <c r="M1712" s="1666">
        <v>1.8984999999999998E-2</v>
      </c>
      <c r="N1712" s="1667">
        <v>1.5615815221900846</v>
      </c>
      <c r="O1712" s="1667"/>
    </row>
    <row r="1713" spans="11:15">
      <c r="K1713" s="1664">
        <v>43770</v>
      </c>
      <c r="L1713" s="1665" t="s">
        <v>2296</v>
      </c>
      <c r="M1713" s="1666">
        <v>1.8984999999999998E-2</v>
      </c>
      <c r="N1713" s="1667">
        <v>1.5618779884420724</v>
      </c>
      <c r="O1713" s="1667"/>
    </row>
    <row r="1714" spans="11:15">
      <c r="K1714" s="1664">
        <v>43771</v>
      </c>
      <c r="L1714" s="1665"/>
      <c r="M1714" s="1666">
        <v>0</v>
      </c>
      <c r="N1714" s="1667">
        <v>1.5618779884420724</v>
      </c>
      <c r="O1714" s="1667"/>
    </row>
    <row r="1715" spans="11:15">
      <c r="K1715" s="1664">
        <v>43772</v>
      </c>
      <c r="L1715" s="1665"/>
      <c r="M1715" s="1666">
        <v>0</v>
      </c>
      <c r="N1715" s="1667">
        <v>1.5618779884420724</v>
      </c>
      <c r="O1715" s="1667"/>
    </row>
    <row r="1716" spans="11:15">
      <c r="K1716" s="1664">
        <v>43773</v>
      </c>
      <c r="L1716" s="1665" t="s">
        <v>2296</v>
      </c>
      <c r="M1716" s="1666">
        <v>1.8984999999999998E-2</v>
      </c>
      <c r="N1716" s="1667">
        <v>1.5621745109781779</v>
      </c>
      <c r="O1716" s="1667"/>
    </row>
    <row r="1717" spans="11:15">
      <c r="K1717" s="1664">
        <v>43774</v>
      </c>
      <c r="L1717" s="1665" t="s">
        <v>2296</v>
      </c>
      <c r="M1717" s="1666">
        <v>1.8984999999999998E-2</v>
      </c>
      <c r="N1717" s="1667">
        <v>1.562471089809087</v>
      </c>
      <c r="O1717" s="1667"/>
    </row>
    <row r="1718" spans="11:15">
      <c r="K1718" s="1664">
        <v>43775</v>
      </c>
      <c r="L1718" s="1665" t="s">
        <v>2296</v>
      </c>
      <c r="M1718" s="1666">
        <v>1.8984999999999998E-2</v>
      </c>
      <c r="N1718" s="1667">
        <v>1.5627677249454872</v>
      </c>
      <c r="O1718" s="1667"/>
    </row>
    <row r="1719" spans="11:15">
      <c r="K1719" s="1664">
        <v>43776</v>
      </c>
      <c r="L1719" s="1665" t="s">
        <v>2296</v>
      </c>
      <c r="M1719" s="1666">
        <v>1.8984999999999998E-2</v>
      </c>
      <c r="N1719" s="1667">
        <v>1.563064416398068</v>
      </c>
      <c r="O1719" s="1667"/>
    </row>
    <row r="1720" spans="11:15">
      <c r="K1720" s="1664">
        <v>43777</v>
      </c>
      <c r="L1720" s="1665" t="s">
        <v>2296</v>
      </c>
      <c r="M1720" s="1666">
        <v>1.8984999999999998E-2</v>
      </c>
      <c r="N1720" s="1667">
        <v>1.5633611641775211</v>
      </c>
      <c r="O1720" s="1667"/>
    </row>
    <row r="1721" spans="11:15">
      <c r="K1721" s="1664">
        <v>43778</v>
      </c>
      <c r="L1721" s="1665"/>
      <c r="M1721" s="1666">
        <v>0</v>
      </c>
      <c r="N1721" s="1667">
        <v>1.5633611641775211</v>
      </c>
      <c r="O1721" s="1667"/>
    </row>
    <row r="1722" spans="11:15">
      <c r="K1722" s="1664">
        <v>43779</v>
      </c>
      <c r="L1722" s="1665"/>
      <c r="M1722" s="1666">
        <v>0</v>
      </c>
      <c r="N1722" s="1667">
        <v>1.5633611641775211</v>
      </c>
      <c r="O1722" s="1667"/>
    </row>
    <row r="1723" spans="11:15">
      <c r="K1723" s="1664">
        <v>43780</v>
      </c>
      <c r="L1723" s="1665" t="s">
        <v>2296</v>
      </c>
      <c r="M1723" s="1666">
        <v>1.8984999999999998E-2</v>
      </c>
      <c r="N1723" s="1667">
        <v>1.5636579682945402</v>
      </c>
      <c r="O1723" s="1667"/>
    </row>
    <row r="1724" spans="11:15">
      <c r="K1724" s="1664">
        <v>43781</v>
      </c>
      <c r="L1724" s="1665" t="s">
        <v>2296</v>
      </c>
      <c r="M1724" s="1666">
        <v>1.8984999999999998E-2</v>
      </c>
      <c r="N1724" s="1667">
        <v>1.5639548287598208</v>
      </c>
      <c r="O1724" s="1667"/>
    </row>
    <row r="1725" spans="11:15">
      <c r="K1725" s="1664">
        <v>43782</v>
      </c>
      <c r="L1725" s="1665" t="s">
        <v>2296</v>
      </c>
      <c r="M1725" s="1666">
        <v>1.8984999999999998E-2</v>
      </c>
      <c r="N1725" s="1667">
        <v>1.5642517455840608</v>
      </c>
      <c r="O1725" s="1667"/>
    </row>
    <row r="1726" spans="11:15">
      <c r="K1726" s="1664">
        <v>43783</v>
      </c>
      <c r="L1726" s="1665" t="s">
        <v>2296</v>
      </c>
      <c r="M1726" s="1666">
        <v>1.8984999999999998E-2</v>
      </c>
      <c r="N1726" s="1667">
        <v>1.5645487187779599</v>
      </c>
      <c r="O1726" s="1667"/>
    </row>
    <row r="1727" spans="11:15">
      <c r="K1727" s="1664">
        <v>43784</v>
      </c>
      <c r="L1727" s="1665"/>
      <c r="M1727" s="1666">
        <v>0</v>
      </c>
      <c r="N1727" s="1667">
        <v>1.5645487187779599</v>
      </c>
      <c r="O1727" s="1667"/>
    </row>
    <row r="1728" spans="11:15">
      <c r="K1728" s="1664">
        <v>43785</v>
      </c>
      <c r="L1728" s="1665"/>
      <c r="M1728" s="1666">
        <v>0</v>
      </c>
      <c r="N1728" s="1667">
        <v>1.5645487187779599</v>
      </c>
      <c r="O1728" s="1667"/>
    </row>
    <row r="1729" spans="11:15">
      <c r="K1729" s="1664">
        <v>43786</v>
      </c>
      <c r="L1729" s="1665"/>
      <c r="M1729" s="1666">
        <v>0</v>
      </c>
      <c r="N1729" s="1667">
        <v>1.5645487187779599</v>
      </c>
      <c r="O1729" s="1667"/>
    </row>
    <row r="1730" spans="11:15">
      <c r="K1730" s="1664">
        <v>43787</v>
      </c>
      <c r="L1730" s="1665" t="s">
        <v>2296</v>
      </c>
      <c r="M1730" s="1666">
        <v>1.8984999999999998E-2</v>
      </c>
      <c r="N1730" s="1667">
        <v>1.5648457483522198</v>
      </c>
      <c r="O1730" s="1667"/>
    </row>
    <row r="1731" spans="11:15">
      <c r="K1731" s="1664">
        <v>43788</v>
      </c>
      <c r="L1731" s="1665" t="s">
        <v>2296</v>
      </c>
      <c r="M1731" s="1666">
        <v>1.8984999999999998E-2</v>
      </c>
      <c r="N1731" s="1667">
        <v>1.5651428343175444</v>
      </c>
      <c r="O1731" s="1667"/>
    </row>
    <row r="1732" spans="11:15">
      <c r="K1732" s="1664">
        <v>43789</v>
      </c>
      <c r="L1732" s="1665" t="s">
        <v>2296</v>
      </c>
      <c r="M1732" s="1666">
        <v>1.8984999999999998E-2</v>
      </c>
      <c r="N1732" s="1667">
        <v>1.5654399766846394</v>
      </c>
      <c r="O1732" s="1667"/>
    </row>
    <row r="1733" spans="11:15">
      <c r="K1733" s="1664">
        <v>43790</v>
      </c>
      <c r="L1733" s="1665" t="s">
        <v>2296</v>
      </c>
      <c r="M1733" s="1666">
        <v>1.8984999999999998E-2</v>
      </c>
      <c r="N1733" s="1667">
        <v>1.5657371754642129</v>
      </c>
      <c r="O1733" s="1667"/>
    </row>
    <row r="1734" spans="11:15">
      <c r="K1734" s="1664">
        <v>43791</v>
      </c>
      <c r="L1734" s="1665" t="s">
        <v>2296</v>
      </c>
      <c r="M1734" s="1666">
        <v>1.8984999999999998E-2</v>
      </c>
      <c r="N1734" s="1667">
        <v>1.5660344306669747</v>
      </c>
      <c r="O1734" s="1667"/>
    </row>
    <row r="1735" spans="11:15">
      <c r="K1735" s="1664">
        <v>43792</v>
      </c>
      <c r="L1735" s="1665"/>
      <c r="M1735" s="1666">
        <v>0</v>
      </c>
      <c r="N1735" s="1667">
        <v>1.5660344306669747</v>
      </c>
      <c r="O1735" s="1667"/>
    </row>
    <row r="1736" spans="11:15">
      <c r="K1736" s="1664">
        <v>43793</v>
      </c>
      <c r="L1736" s="1665"/>
      <c r="M1736" s="1666">
        <v>0</v>
      </c>
      <c r="N1736" s="1667">
        <v>1.5660344306669747</v>
      </c>
      <c r="O1736" s="1667"/>
    </row>
    <row r="1737" spans="11:15">
      <c r="K1737" s="1664">
        <v>43794</v>
      </c>
      <c r="L1737" s="1665" t="s">
        <v>2296</v>
      </c>
      <c r="M1737" s="1666">
        <v>1.8984999999999998E-2</v>
      </c>
      <c r="N1737" s="1667">
        <v>1.5663317423036367</v>
      </c>
      <c r="O1737" s="1667"/>
    </row>
    <row r="1738" spans="11:15">
      <c r="K1738" s="1664">
        <v>43795</v>
      </c>
      <c r="L1738" s="1665" t="s">
        <v>2296</v>
      </c>
      <c r="M1738" s="1666">
        <v>1.8984999999999998E-2</v>
      </c>
      <c r="N1738" s="1667">
        <v>1.566629110384913</v>
      </c>
      <c r="O1738" s="1667"/>
    </row>
    <row r="1739" spans="11:15">
      <c r="K1739" s="1664">
        <v>43796</v>
      </c>
      <c r="L1739" s="1665" t="s">
        <v>2296</v>
      </c>
      <c r="M1739" s="1666">
        <v>1.8984999999999998E-2</v>
      </c>
      <c r="N1739" s="1667">
        <v>1.5669265349215196</v>
      </c>
      <c r="O1739" s="1667"/>
    </row>
    <row r="1740" spans="11:15">
      <c r="K1740" s="1664">
        <v>43797</v>
      </c>
      <c r="L1740" s="1665" t="s">
        <v>2296</v>
      </c>
      <c r="M1740" s="1666">
        <v>1.8984999999999998E-2</v>
      </c>
      <c r="N1740" s="1667">
        <v>1.5672240159241744</v>
      </c>
      <c r="O1740" s="1667"/>
    </row>
    <row r="1741" spans="11:15">
      <c r="K1741" s="1664">
        <v>43798</v>
      </c>
      <c r="L1741" s="1665" t="s">
        <v>2296</v>
      </c>
      <c r="M1741" s="1666">
        <v>1.8984999999999998E-2</v>
      </c>
      <c r="N1741" s="1667">
        <v>1.5675215534035976</v>
      </c>
      <c r="O1741" s="1667"/>
    </row>
    <row r="1742" spans="11:15">
      <c r="K1742" s="1664">
        <v>43799</v>
      </c>
      <c r="L1742" s="1665"/>
      <c r="M1742" s="1666">
        <v>0</v>
      </c>
      <c r="N1742" s="1667">
        <v>1.5675215534035976</v>
      </c>
      <c r="O1742" s="1667"/>
    </row>
    <row r="1743" spans="11:15">
      <c r="K1743" s="1664">
        <v>43800</v>
      </c>
      <c r="L1743" s="1665"/>
      <c r="M1743" s="1666">
        <v>0</v>
      </c>
      <c r="N1743" s="1667">
        <v>1.5675215534035976</v>
      </c>
      <c r="O1743" s="1667"/>
    </row>
    <row r="1744" spans="11:15">
      <c r="K1744" s="1664">
        <v>43801</v>
      </c>
      <c r="L1744" s="1665" t="s">
        <v>2296</v>
      </c>
      <c r="M1744" s="1666">
        <v>1.8984999999999998E-2</v>
      </c>
      <c r="N1744" s="1667">
        <v>1.5678191473705112</v>
      </c>
      <c r="O1744" s="1667"/>
    </row>
    <row r="1745" spans="11:15">
      <c r="K1745" s="1664">
        <v>43802</v>
      </c>
      <c r="L1745" s="1665" t="s">
        <v>2296</v>
      </c>
      <c r="M1745" s="1666">
        <v>1.8984999999999998E-2</v>
      </c>
      <c r="N1745" s="1667">
        <v>1.5681167978356394</v>
      </c>
      <c r="O1745" s="1667"/>
    </row>
    <row r="1746" spans="11:15">
      <c r="K1746" s="1664">
        <v>43803</v>
      </c>
      <c r="L1746" s="1665" t="s">
        <v>2296</v>
      </c>
      <c r="M1746" s="1666">
        <v>1.8984999999999998E-2</v>
      </c>
      <c r="N1746" s="1667">
        <v>1.5684145048097085</v>
      </c>
      <c r="O1746" s="1667"/>
    </row>
    <row r="1747" spans="11:15">
      <c r="K1747" s="1664">
        <v>43804</v>
      </c>
      <c r="L1747" s="1665" t="s">
        <v>2296</v>
      </c>
      <c r="M1747" s="1666">
        <v>1.8984999999999998E-2</v>
      </c>
      <c r="N1747" s="1667">
        <v>1.5687122683034465</v>
      </c>
      <c r="O1747" s="1667"/>
    </row>
    <row r="1748" spans="11:15">
      <c r="K1748" s="1664">
        <v>43805</v>
      </c>
      <c r="L1748" s="1665" t="s">
        <v>2296</v>
      </c>
      <c r="M1748" s="1666">
        <v>1.8984999999999998E-2</v>
      </c>
      <c r="N1748" s="1667">
        <v>1.5690100883275837</v>
      </c>
      <c r="O1748" s="1667"/>
    </row>
    <row r="1749" spans="11:15">
      <c r="K1749" s="1664">
        <v>43806</v>
      </c>
      <c r="L1749" s="1665"/>
      <c r="M1749" s="1666">
        <v>0</v>
      </c>
      <c r="N1749" s="1667">
        <v>1.5690100883275837</v>
      </c>
      <c r="O1749" s="1667"/>
    </row>
    <row r="1750" spans="11:15">
      <c r="K1750" s="1664">
        <v>43807</v>
      </c>
      <c r="L1750" s="1665"/>
      <c r="M1750" s="1666">
        <v>0</v>
      </c>
      <c r="N1750" s="1667">
        <v>1.5690100883275837</v>
      </c>
      <c r="O1750" s="1667"/>
    </row>
    <row r="1751" spans="11:15">
      <c r="K1751" s="1664">
        <v>43808</v>
      </c>
      <c r="L1751" s="1665" t="s">
        <v>2296</v>
      </c>
      <c r="M1751" s="1666">
        <v>1.8984999999999998E-2</v>
      </c>
      <c r="N1751" s="1667">
        <v>1.5693079648928525</v>
      </c>
      <c r="O1751" s="1667"/>
    </row>
    <row r="1752" spans="11:15">
      <c r="K1752" s="1664">
        <v>43809</v>
      </c>
      <c r="L1752" s="1665" t="s">
        <v>2296</v>
      </c>
      <c r="M1752" s="1666">
        <v>1.8984999999999998E-2</v>
      </c>
      <c r="N1752" s="1667">
        <v>1.5696058980099874</v>
      </c>
      <c r="O1752" s="1667"/>
    </row>
    <row r="1753" spans="11:15">
      <c r="K1753" s="1664">
        <v>43810</v>
      </c>
      <c r="L1753" s="1665" t="s">
        <v>2296</v>
      </c>
      <c r="M1753" s="1666">
        <v>1.8984999999999998E-2</v>
      </c>
      <c r="N1753" s="1667">
        <v>1.5699038876897244</v>
      </c>
      <c r="O1753" s="1667"/>
    </row>
    <row r="1754" spans="11:15">
      <c r="K1754" s="1664">
        <v>43811</v>
      </c>
      <c r="L1754" s="1665" t="s">
        <v>2296</v>
      </c>
      <c r="M1754" s="1666">
        <v>1.7089E-2</v>
      </c>
      <c r="N1754" s="1667">
        <v>1.5701721685650916</v>
      </c>
      <c r="O1754" s="1667"/>
    </row>
    <row r="1755" spans="11:15">
      <c r="K1755" s="1664">
        <v>43812</v>
      </c>
      <c r="L1755" s="1665" t="s">
        <v>2296</v>
      </c>
      <c r="M1755" s="1666">
        <v>1.7089E-2</v>
      </c>
      <c r="N1755" s="1667">
        <v>1.5704404952869775</v>
      </c>
      <c r="O1755" s="1667"/>
    </row>
    <row r="1756" spans="11:15">
      <c r="K1756" s="1664">
        <v>43813</v>
      </c>
      <c r="L1756" s="1665"/>
      <c r="M1756" s="1666">
        <v>0</v>
      </c>
      <c r="N1756" s="1667">
        <v>1.5704404952869775</v>
      </c>
      <c r="O1756" s="1667"/>
    </row>
    <row r="1757" spans="11:15">
      <c r="K1757" s="1664">
        <v>43814</v>
      </c>
      <c r="L1757" s="1665"/>
      <c r="M1757" s="1666">
        <v>0</v>
      </c>
      <c r="N1757" s="1667">
        <v>1.5704404952869775</v>
      </c>
      <c r="O1757" s="1667"/>
    </row>
    <row r="1758" spans="11:15">
      <c r="K1758" s="1664">
        <v>43815</v>
      </c>
      <c r="L1758" s="1665" t="s">
        <v>2296</v>
      </c>
      <c r="M1758" s="1666">
        <v>1.7089E-2</v>
      </c>
      <c r="N1758" s="1667">
        <v>1.5707088678632171</v>
      </c>
      <c r="O1758" s="1667"/>
    </row>
    <row r="1759" spans="11:15">
      <c r="K1759" s="1664">
        <v>43816</v>
      </c>
      <c r="L1759" s="1665" t="s">
        <v>2296</v>
      </c>
      <c r="M1759" s="1666">
        <v>1.7089E-2</v>
      </c>
      <c r="N1759" s="1667">
        <v>1.570977286301646</v>
      </c>
      <c r="O1759" s="1667"/>
    </row>
    <row r="1760" spans="11:15">
      <c r="K1760" s="1664">
        <v>43817</v>
      </c>
      <c r="L1760" s="1665" t="s">
        <v>2296</v>
      </c>
      <c r="M1760" s="1666">
        <v>1.7089E-2</v>
      </c>
      <c r="N1760" s="1667">
        <v>1.5712457506101021</v>
      </c>
      <c r="O1760" s="1667"/>
    </row>
    <row r="1761" spans="11:15">
      <c r="K1761" s="1664">
        <v>43818</v>
      </c>
      <c r="L1761" s="1665" t="s">
        <v>2296</v>
      </c>
      <c r="M1761" s="1666">
        <v>1.7089E-2</v>
      </c>
      <c r="N1761" s="1667">
        <v>1.5715142607964236</v>
      </c>
      <c r="O1761" s="1667"/>
    </row>
    <row r="1762" spans="11:15">
      <c r="K1762" s="1664">
        <v>43819</v>
      </c>
      <c r="L1762" s="1665" t="s">
        <v>2296</v>
      </c>
      <c r="M1762" s="1666">
        <v>1.7089E-2</v>
      </c>
      <c r="N1762" s="1667">
        <v>1.5717828168684511</v>
      </c>
      <c r="O1762" s="1667"/>
    </row>
    <row r="1763" spans="11:15">
      <c r="K1763" s="1664">
        <v>43820</v>
      </c>
      <c r="L1763" s="1665"/>
      <c r="M1763" s="1666">
        <v>0</v>
      </c>
      <c r="N1763" s="1667">
        <v>1.5717828168684511</v>
      </c>
      <c r="O1763" s="1667"/>
    </row>
    <row r="1764" spans="11:15">
      <c r="K1764" s="1664">
        <v>43821</v>
      </c>
      <c r="L1764" s="1665"/>
      <c r="M1764" s="1666">
        <v>0</v>
      </c>
      <c r="N1764" s="1667">
        <v>1.5717828168684511</v>
      </c>
      <c r="O1764" s="1667"/>
    </row>
    <row r="1765" spans="11:15">
      <c r="K1765" s="1664">
        <v>43822</v>
      </c>
      <c r="L1765" s="1665" t="s">
        <v>2296</v>
      </c>
      <c r="M1765" s="1666">
        <v>1.7089E-2</v>
      </c>
      <c r="N1765" s="1667">
        <v>1.5720514188340255</v>
      </c>
      <c r="O1765" s="1667"/>
    </row>
    <row r="1766" spans="11:15">
      <c r="K1766" s="1664">
        <v>43823</v>
      </c>
      <c r="L1766" s="1665" t="s">
        <v>2296</v>
      </c>
      <c r="M1766" s="1666">
        <v>1.7089E-2</v>
      </c>
      <c r="N1766" s="1667">
        <v>1.57232006670099</v>
      </c>
      <c r="O1766" s="1667"/>
    </row>
    <row r="1767" spans="11:15">
      <c r="K1767" s="1664">
        <v>43824</v>
      </c>
      <c r="L1767" s="1665"/>
      <c r="M1767" s="1666">
        <v>0</v>
      </c>
      <c r="N1767" s="1667">
        <v>1.57232006670099</v>
      </c>
      <c r="O1767" s="1667"/>
    </row>
    <row r="1768" spans="11:15">
      <c r="K1768" s="1664">
        <v>43825</v>
      </c>
      <c r="L1768" s="1665" t="s">
        <v>2296</v>
      </c>
      <c r="M1768" s="1666">
        <v>1.7089E-2</v>
      </c>
      <c r="N1768" s="1667">
        <v>1.5725887604771884</v>
      </c>
      <c r="O1768" s="1667"/>
    </row>
    <row r="1769" spans="11:15">
      <c r="K1769" s="1664">
        <v>43826</v>
      </c>
      <c r="L1769" s="1665" t="s">
        <v>2296</v>
      </c>
      <c r="M1769" s="1666">
        <v>1.7089E-2</v>
      </c>
      <c r="N1769" s="1667">
        <v>1.5728575001704663</v>
      </c>
      <c r="O1769" s="1667"/>
    </row>
    <row r="1770" spans="11:15">
      <c r="K1770" s="1664">
        <v>43827</v>
      </c>
      <c r="L1770" s="1665"/>
      <c r="M1770" s="1666">
        <v>0</v>
      </c>
      <c r="N1770" s="1667">
        <v>1.5728575001704663</v>
      </c>
      <c r="O1770" s="1667"/>
    </row>
    <row r="1771" spans="11:15">
      <c r="K1771" s="1664">
        <v>43828</v>
      </c>
      <c r="L1771" s="1665"/>
      <c r="M1771" s="1666">
        <v>0</v>
      </c>
      <c r="N1771" s="1667">
        <v>1.5728575001704663</v>
      </c>
      <c r="O1771" s="1667"/>
    </row>
    <row r="1772" spans="11:15">
      <c r="K1772" s="1664">
        <v>43829</v>
      </c>
      <c r="L1772" s="1665" t="s">
        <v>2296</v>
      </c>
      <c r="M1772" s="1666">
        <v>1.7089E-2</v>
      </c>
      <c r="N1772" s="1667">
        <v>1.5731262857886703</v>
      </c>
      <c r="O1772" s="1667"/>
    </row>
    <row r="1773" spans="11:15">
      <c r="K1773" s="1664">
        <v>43830</v>
      </c>
      <c r="L1773" s="1665" t="s">
        <v>2296</v>
      </c>
      <c r="M1773" s="1666">
        <v>1.7089E-2</v>
      </c>
      <c r="N1773" s="1667">
        <v>1.5733951173396485</v>
      </c>
      <c r="O1773" s="1667"/>
    </row>
    <row r="1774" spans="11:15">
      <c r="K1774" s="1664">
        <v>43831</v>
      </c>
      <c r="L1774" s="1665"/>
      <c r="M1774" s="1666">
        <v>0</v>
      </c>
      <c r="N1774" s="1667">
        <v>1.5733951173396485</v>
      </c>
      <c r="O1774" s="1667"/>
    </row>
    <row r="1775" spans="11:15">
      <c r="K1775" s="1664">
        <v>43832</v>
      </c>
      <c r="L1775" s="1665" t="s">
        <v>2296</v>
      </c>
      <c r="M1775" s="1666">
        <v>1.7089E-2</v>
      </c>
      <c r="N1775" s="1667">
        <v>1.5736639948312505</v>
      </c>
      <c r="O1775" s="1667"/>
    </row>
    <row r="1776" spans="11:15">
      <c r="K1776" s="1664">
        <v>43833</v>
      </c>
      <c r="L1776" s="1665" t="s">
        <v>2296</v>
      </c>
      <c r="M1776" s="1666">
        <v>1.7089E-2</v>
      </c>
      <c r="N1776" s="1667">
        <v>1.5739329182713271</v>
      </c>
      <c r="O1776" s="1667"/>
    </row>
    <row r="1777" spans="11:15">
      <c r="K1777" s="1664">
        <v>43834</v>
      </c>
      <c r="L1777" s="1665"/>
      <c r="M1777" s="1666">
        <v>0</v>
      </c>
      <c r="N1777" s="1667">
        <v>1.5739329182713271</v>
      </c>
      <c r="O1777" s="1667"/>
    </row>
    <row r="1778" spans="11:15">
      <c r="K1778" s="1664">
        <v>43835</v>
      </c>
      <c r="L1778" s="1665"/>
      <c r="M1778" s="1666">
        <v>0</v>
      </c>
      <c r="N1778" s="1667">
        <v>1.5739329182713271</v>
      </c>
      <c r="O1778" s="1667"/>
    </row>
    <row r="1779" spans="11:15">
      <c r="K1779" s="1664">
        <v>43836</v>
      </c>
      <c r="L1779" s="1665" t="s">
        <v>2296</v>
      </c>
      <c r="M1779" s="1666">
        <v>1.7089E-2</v>
      </c>
      <c r="N1779" s="1667">
        <v>1.5742018876677304</v>
      </c>
      <c r="O1779" s="1667"/>
    </row>
    <row r="1780" spans="11:15">
      <c r="K1780" s="1664">
        <v>43837</v>
      </c>
      <c r="L1780" s="1665" t="s">
        <v>2296</v>
      </c>
      <c r="M1780" s="1666">
        <v>1.7089E-2</v>
      </c>
      <c r="N1780" s="1667">
        <v>1.5744709030283137</v>
      </c>
      <c r="O1780" s="1667"/>
    </row>
    <row r="1781" spans="11:15">
      <c r="K1781" s="1664">
        <v>43838</v>
      </c>
      <c r="L1781" s="1665" t="s">
        <v>2296</v>
      </c>
      <c r="M1781" s="1666">
        <v>1.7089E-2</v>
      </c>
      <c r="N1781" s="1667">
        <v>1.5747399643609321</v>
      </c>
      <c r="O1781" s="1667"/>
    </row>
    <row r="1782" spans="11:15">
      <c r="K1782" s="1664">
        <v>43839</v>
      </c>
      <c r="L1782" s="1665" t="s">
        <v>2296</v>
      </c>
      <c r="M1782" s="1666">
        <v>1.7089E-2</v>
      </c>
      <c r="N1782" s="1667">
        <v>1.5750090716734417</v>
      </c>
      <c r="O1782" s="1667"/>
    </row>
    <row r="1783" spans="11:15">
      <c r="K1783" s="1664">
        <v>43840</v>
      </c>
      <c r="L1783" s="1665" t="s">
        <v>2296</v>
      </c>
      <c r="M1783" s="1666">
        <v>1.7089E-2</v>
      </c>
      <c r="N1783" s="1667">
        <v>1.5752782249736998</v>
      </c>
      <c r="O1783" s="1667"/>
    </row>
    <row r="1784" spans="11:15">
      <c r="K1784" s="1664">
        <v>43841</v>
      </c>
      <c r="L1784" s="1665"/>
      <c r="M1784" s="1666">
        <v>0</v>
      </c>
      <c r="N1784" s="1667">
        <v>1.5752782249736998</v>
      </c>
      <c r="O1784" s="1667"/>
    </row>
    <row r="1785" spans="11:15">
      <c r="K1785" s="1664">
        <v>43842</v>
      </c>
      <c r="L1785" s="1665"/>
      <c r="M1785" s="1666">
        <v>0</v>
      </c>
      <c r="N1785" s="1667">
        <v>1.5752782249736998</v>
      </c>
      <c r="O1785" s="1667"/>
    </row>
    <row r="1786" spans="11:15">
      <c r="K1786" s="1664">
        <v>43843</v>
      </c>
      <c r="L1786" s="1665" t="s">
        <v>2296</v>
      </c>
      <c r="M1786" s="1666">
        <v>1.7089E-2</v>
      </c>
      <c r="N1786" s="1667">
        <v>1.5755474242695655</v>
      </c>
      <c r="O1786" s="1667"/>
    </row>
    <row r="1787" spans="11:15">
      <c r="K1787" s="1664">
        <v>43844</v>
      </c>
      <c r="L1787" s="1665" t="s">
        <v>2296</v>
      </c>
      <c r="M1787" s="1666">
        <v>1.7089E-2</v>
      </c>
      <c r="N1787" s="1667">
        <v>1.5758166695688989</v>
      </c>
      <c r="O1787" s="1667"/>
    </row>
    <row r="1788" spans="11:15">
      <c r="K1788" s="1664">
        <v>43845</v>
      </c>
      <c r="L1788" s="1665" t="s">
        <v>2296</v>
      </c>
      <c r="M1788" s="1666">
        <v>1.7089E-2</v>
      </c>
      <c r="N1788" s="1667">
        <v>1.5760859608795614</v>
      </c>
      <c r="O1788" s="1667"/>
    </row>
    <row r="1789" spans="11:15">
      <c r="K1789" s="1664">
        <v>43846</v>
      </c>
      <c r="L1789" s="1665" t="s">
        <v>2296</v>
      </c>
      <c r="M1789" s="1666">
        <v>1.7089E-2</v>
      </c>
      <c r="N1789" s="1667">
        <v>1.576355298209416</v>
      </c>
      <c r="O1789" s="1667"/>
    </row>
    <row r="1790" spans="11:15">
      <c r="K1790" s="1664">
        <v>43847</v>
      </c>
      <c r="L1790" s="1665" t="s">
        <v>2296</v>
      </c>
      <c r="M1790" s="1666">
        <v>1.7089E-2</v>
      </c>
      <c r="N1790" s="1667">
        <v>1.576624681566327</v>
      </c>
      <c r="O1790" s="1667"/>
    </row>
    <row r="1791" spans="11:15">
      <c r="K1791" s="1664">
        <v>43848</v>
      </c>
      <c r="L1791" s="1665"/>
      <c r="M1791" s="1666">
        <v>0</v>
      </c>
      <c r="N1791" s="1667">
        <v>1.576624681566327</v>
      </c>
      <c r="O1791" s="1667"/>
    </row>
    <row r="1792" spans="11:15">
      <c r="K1792" s="1664">
        <v>43849</v>
      </c>
      <c r="L1792" s="1665"/>
      <c r="M1792" s="1666">
        <v>0</v>
      </c>
      <c r="N1792" s="1667">
        <v>1.576624681566327</v>
      </c>
      <c r="O1792" s="1667"/>
    </row>
    <row r="1793" spans="11:15">
      <c r="K1793" s="1664">
        <v>43850</v>
      </c>
      <c r="L1793" s="1665" t="s">
        <v>2296</v>
      </c>
      <c r="M1793" s="1666">
        <v>1.7089E-2</v>
      </c>
      <c r="N1793" s="1667">
        <v>1.5768941109581598</v>
      </c>
      <c r="O1793" s="1667"/>
    </row>
    <row r="1794" spans="11:15">
      <c r="K1794" s="1664">
        <v>43851</v>
      </c>
      <c r="L1794" s="1665" t="s">
        <v>2296</v>
      </c>
      <c r="M1794" s="1666">
        <v>1.7089E-2</v>
      </c>
      <c r="N1794" s="1667">
        <v>1.5771635863927813</v>
      </c>
      <c r="O1794" s="1667"/>
    </row>
    <row r="1795" spans="11:15">
      <c r="K1795" s="1664">
        <v>43852</v>
      </c>
      <c r="L1795" s="1665" t="s">
        <v>2296</v>
      </c>
      <c r="M1795" s="1666">
        <v>1.7089E-2</v>
      </c>
      <c r="N1795" s="1667">
        <v>1.5774331078780599</v>
      </c>
      <c r="O1795" s="1667"/>
    </row>
    <row r="1796" spans="11:15">
      <c r="K1796" s="1664">
        <v>43853</v>
      </c>
      <c r="L1796" s="1665" t="s">
        <v>2296</v>
      </c>
      <c r="M1796" s="1666">
        <v>1.7089E-2</v>
      </c>
      <c r="N1796" s="1667">
        <v>1.577702675421865</v>
      </c>
      <c r="O1796" s="1667"/>
    </row>
    <row r="1797" spans="11:15">
      <c r="K1797" s="1664">
        <v>43854</v>
      </c>
      <c r="L1797" s="1665" t="s">
        <v>2296</v>
      </c>
      <c r="M1797" s="1666">
        <v>1.7089E-2</v>
      </c>
      <c r="N1797" s="1667">
        <v>1.5779722890320678</v>
      </c>
      <c r="O1797" s="1667"/>
    </row>
    <row r="1798" spans="11:15">
      <c r="K1798" s="1664">
        <v>43855</v>
      </c>
      <c r="L1798" s="1665"/>
      <c r="M1798" s="1666">
        <v>0</v>
      </c>
      <c r="N1798" s="1667">
        <v>1.5779722890320678</v>
      </c>
      <c r="O1798" s="1667"/>
    </row>
    <row r="1799" spans="11:15">
      <c r="K1799" s="1664">
        <v>43856</v>
      </c>
      <c r="L1799" s="1665"/>
      <c r="M1799" s="1666">
        <v>0</v>
      </c>
      <c r="N1799" s="1667">
        <v>1.5779722890320678</v>
      </c>
      <c r="O1799" s="1667"/>
    </row>
    <row r="1800" spans="11:15">
      <c r="K1800" s="1664">
        <v>43857</v>
      </c>
      <c r="L1800" s="1665" t="s">
        <v>2296</v>
      </c>
      <c r="M1800" s="1666">
        <v>1.7089E-2</v>
      </c>
      <c r="N1800" s="1667">
        <v>1.5782419487165404</v>
      </c>
      <c r="O1800" s="1667"/>
    </row>
    <row r="1801" spans="11:15">
      <c r="K1801" s="1664">
        <v>43858</v>
      </c>
      <c r="L1801" s="1665" t="s">
        <v>2296</v>
      </c>
      <c r="M1801" s="1666">
        <v>1.7089E-2</v>
      </c>
      <c r="N1801" s="1667">
        <v>1.5785116544831566</v>
      </c>
      <c r="O1801" s="1667"/>
    </row>
    <row r="1802" spans="11:15">
      <c r="K1802" s="1664">
        <v>43859</v>
      </c>
      <c r="L1802" s="1665" t="s">
        <v>2296</v>
      </c>
      <c r="M1802" s="1666">
        <v>1.7089E-2</v>
      </c>
      <c r="N1802" s="1667">
        <v>1.5787814063397911</v>
      </c>
      <c r="O1802" s="1667"/>
    </row>
    <row r="1803" spans="11:15">
      <c r="K1803" s="1664">
        <v>43860</v>
      </c>
      <c r="L1803" s="1665" t="s">
        <v>2296</v>
      </c>
      <c r="M1803" s="1666">
        <v>1.7089E-2</v>
      </c>
      <c r="N1803" s="1667">
        <v>1.5790512042943203</v>
      </c>
      <c r="O1803" s="1667"/>
    </row>
    <row r="1804" spans="11:15">
      <c r="K1804" s="1664">
        <v>43861</v>
      </c>
      <c r="L1804" s="1665" t="s">
        <v>2296</v>
      </c>
      <c r="M1804" s="1666">
        <v>1.7089E-2</v>
      </c>
      <c r="N1804" s="1667">
        <v>1.5793210483546221</v>
      </c>
      <c r="O1804" s="1667"/>
    </row>
    <row r="1805" spans="11:15">
      <c r="K1805" s="1664">
        <v>43862</v>
      </c>
      <c r="L1805" s="1665"/>
      <c r="M1805" s="1666">
        <v>0</v>
      </c>
      <c r="N1805" s="1667">
        <v>1.5793210483546221</v>
      </c>
      <c r="O1805" s="1667"/>
    </row>
    <row r="1806" spans="11:15">
      <c r="K1806" s="1664">
        <v>43863</v>
      </c>
      <c r="L1806" s="1665"/>
      <c r="M1806" s="1666">
        <v>0</v>
      </c>
      <c r="N1806" s="1667">
        <v>1.5793210483546221</v>
      </c>
      <c r="O1806" s="1667"/>
    </row>
    <row r="1807" spans="11:15">
      <c r="K1807" s="1664">
        <v>43864</v>
      </c>
      <c r="L1807" s="1665" t="s">
        <v>2296</v>
      </c>
      <c r="M1807" s="1666">
        <v>1.7089E-2</v>
      </c>
      <c r="N1807" s="1667">
        <v>1.5795909385285754</v>
      </c>
      <c r="O1807" s="1667"/>
    </row>
    <row r="1808" spans="11:15">
      <c r="K1808" s="1664">
        <v>43865</v>
      </c>
      <c r="L1808" s="1665" t="s">
        <v>2296</v>
      </c>
      <c r="M1808" s="1666">
        <v>1.7089E-2</v>
      </c>
      <c r="N1808" s="1667">
        <v>1.5798608748240603</v>
      </c>
      <c r="O1808" s="1667"/>
    </row>
    <row r="1809" spans="11:15">
      <c r="K1809" s="1664">
        <v>43866</v>
      </c>
      <c r="L1809" s="1665" t="s">
        <v>2296</v>
      </c>
      <c r="M1809" s="1666">
        <v>1.7089E-2</v>
      </c>
      <c r="N1809" s="1667">
        <v>1.580130857248959</v>
      </c>
      <c r="O1809" s="1667"/>
    </row>
    <row r="1810" spans="11:15">
      <c r="K1810" s="1664">
        <v>43867</v>
      </c>
      <c r="L1810" s="1665" t="s">
        <v>2296</v>
      </c>
      <c r="M1810" s="1666">
        <v>1.6136999999999999E-2</v>
      </c>
      <c r="N1810" s="1667">
        <v>1.5803858429653934</v>
      </c>
      <c r="O1810" s="1667"/>
    </row>
    <row r="1811" spans="11:15">
      <c r="K1811" s="1664">
        <v>43868</v>
      </c>
      <c r="L1811" s="1665" t="s">
        <v>2296</v>
      </c>
      <c r="M1811" s="1666">
        <v>1.6136999999999999E-2</v>
      </c>
      <c r="N1811" s="1667">
        <v>1.5806408698288728</v>
      </c>
      <c r="O1811" s="1667"/>
    </row>
    <row r="1812" spans="11:15">
      <c r="K1812" s="1664">
        <v>43869</v>
      </c>
      <c r="L1812" s="1665"/>
      <c r="M1812" s="1666">
        <v>0</v>
      </c>
      <c r="N1812" s="1667">
        <v>1.5806408698288728</v>
      </c>
      <c r="O1812" s="1667"/>
    </row>
    <row r="1813" spans="11:15">
      <c r="K1813" s="1664">
        <v>43870</v>
      </c>
      <c r="L1813" s="1665"/>
      <c r="M1813" s="1666">
        <v>0</v>
      </c>
      <c r="N1813" s="1667">
        <v>1.5806408698288728</v>
      </c>
      <c r="O1813" s="1667"/>
    </row>
    <row r="1814" spans="11:15">
      <c r="K1814" s="1664">
        <v>43871</v>
      </c>
      <c r="L1814" s="1665" t="s">
        <v>2296</v>
      </c>
      <c r="M1814" s="1666">
        <v>1.6136999999999999E-2</v>
      </c>
      <c r="N1814" s="1667">
        <v>1.5808959378460372</v>
      </c>
      <c r="O1814" s="1667"/>
    </row>
    <row r="1815" spans="11:15">
      <c r="K1815" s="1664">
        <v>43872</v>
      </c>
      <c r="L1815" s="1665" t="s">
        <v>2296</v>
      </c>
      <c r="M1815" s="1666">
        <v>1.6136999999999999E-2</v>
      </c>
      <c r="N1815" s="1667">
        <v>1.5811510470235275</v>
      </c>
      <c r="O1815" s="1667"/>
    </row>
    <row r="1816" spans="11:15">
      <c r="K1816" s="1664">
        <v>43873</v>
      </c>
      <c r="L1816" s="1665" t="s">
        <v>2296</v>
      </c>
      <c r="M1816" s="1666">
        <v>1.6136999999999999E-2</v>
      </c>
      <c r="N1816" s="1667">
        <v>1.5814061973679858</v>
      </c>
      <c r="O1816" s="1667"/>
    </row>
    <row r="1817" spans="11:15">
      <c r="K1817" s="1664">
        <v>43874</v>
      </c>
      <c r="L1817" s="1665" t="s">
        <v>2296</v>
      </c>
      <c r="M1817" s="1666">
        <v>1.6136999999999999E-2</v>
      </c>
      <c r="N1817" s="1667">
        <v>1.5816613888860551</v>
      </c>
      <c r="O1817" s="1667"/>
    </row>
    <row r="1818" spans="11:15">
      <c r="K1818" s="1664">
        <v>43875</v>
      </c>
      <c r="L1818" s="1665" t="s">
        <v>2296</v>
      </c>
      <c r="M1818" s="1666">
        <v>1.6136999999999999E-2</v>
      </c>
      <c r="N1818" s="1667">
        <v>1.5819166215843798</v>
      </c>
      <c r="O1818" s="1667"/>
    </row>
    <row r="1819" spans="11:15">
      <c r="K1819" s="1664">
        <v>43876</v>
      </c>
      <c r="L1819" s="1665"/>
      <c r="M1819" s="1666">
        <v>0</v>
      </c>
      <c r="N1819" s="1667">
        <v>1.5819166215843798</v>
      </c>
      <c r="O1819" s="1667"/>
    </row>
    <row r="1820" spans="11:15">
      <c r="K1820" s="1664">
        <v>43877</v>
      </c>
      <c r="L1820" s="1665"/>
      <c r="M1820" s="1666">
        <v>0</v>
      </c>
      <c r="N1820" s="1667">
        <v>1.5819166215843798</v>
      </c>
      <c r="O1820" s="1667"/>
    </row>
    <row r="1821" spans="11:15">
      <c r="K1821" s="1664">
        <v>43878</v>
      </c>
      <c r="L1821" s="1665" t="s">
        <v>2296</v>
      </c>
      <c r="M1821" s="1666">
        <v>1.6136999999999999E-2</v>
      </c>
      <c r="N1821" s="1667">
        <v>1.5821718954696049</v>
      </c>
      <c r="O1821" s="1667"/>
    </row>
    <row r="1822" spans="11:15">
      <c r="K1822" s="1664">
        <v>43879</v>
      </c>
      <c r="L1822" s="1665" t="s">
        <v>2296</v>
      </c>
      <c r="M1822" s="1666">
        <v>1.6136999999999999E-2</v>
      </c>
      <c r="N1822" s="1667">
        <v>1.582427210548377</v>
      </c>
      <c r="O1822" s="1667"/>
    </row>
    <row r="1823" spans="11:15">
      <c r="K1823" s="1664">
        <v>43880</v>
      </c>
      <c r="L1823" s="1665" t="s">
        <v>2296</v>
      </c>
      <c r="M1823" s="1666">
        <v>1.6136999999999999E-2</v>
      </c>
      <c r="N1823" s="1667">
        <v>1.5826825668273432</v>
      </c>
      <c r="O1823" s="1667"/>
    </row>
    <row r="1824" spans="11:15">
      <c r="K1824" s="1664">
        <v>43881</v>
      </c>
      <c r="L1824" s="1665" t="s">
        <v>2296</v>
      </c>
      <c r="M1824" s="1666">
        <v>1.6136999999999999E-2</v>
      </c>
      <c r="N1824" s="1667">
        <v>1.5829379643131523</v>
      </c>
      <c r="O1824" s="1667"/>
    </row>
    <row r="1825" spans="11:15">
      <c r="K1825" s="1664">
        <v>43882</v>
      </c>
      <c r="L1825" s="1665" t="s">
        <v>2296</v>
      </c>
      <c r="M1825" s="1666">
        <v>1.6136999999999999E-2</v>
      </c>
      <c r="N1825" s="1667">
        <v>1.5831934030124535</v>
      </c>
      <c r="O1825" s="1667"/>
    </row>
    <row r="1826" spans="11:15">
      <c r="K1826" s="1664">
        <v>43883</v>
      </c>
      <c r="L1826" s="1665"/>
      <c r="M1826" s="1666">
        <v>0</v>
      </c>
      <c r="N1826" s="1667">
        <v>1.5831934030124535</v>
      </c>
      <c r="O1826" s="1667"/>
    </row>
    <row r="1827" spans="11:15">
      <c r="K1827" s="1664">
        <v>43884</v>
      </c>
      <c r="L1827" s="1665"/>
      <c r="M1827" s="1666">
        <v>0</v>
      </c>
      <c r="N1827" s="1667">
        <v>1.5831934030124535</v>
      </c>
      <c r="O1827" s="1667"/>
    </row>
    <row r="1828" spans="11:15">
      <c r="K1828" s="1664">
        <v>43885</v>
      </c>
      <c r="L1828" s="1665"/>
      <c r="M1828" s="1666">
        <v>0</v>
      </c>
      <c r="N1828" s="1667">
        <v>1.5831934030124535</v>
      </c>
      <c r="O1828" s="1667"/>
    </row>
    <row r="1829" spans="11:15">
      <c r="K1829" s="1664">
        <v>43886</v>
      </c>
      <c r="L1829" s="1665"/>
      <c r="M1829" s="1666">
        <v>0</v>
      </c>
      <c r="N1829" s="1667">
        <v>1.5831934030124535</v>
      </c>
      <c r="O1829" s="1667"/>
    </row>
    <row r="1830" spans="11:15">
      <c r="K1830" s="1664">
        <v>43887</v>
      </c>
      <c r="L1830" s="1665" t="s">
        <v>2296</v>
      </c>
      <c r="M1830" s="1666">
        <v>1.6136999999999999E-2</v>
      </c>
      <c r="N1830" s="1667">
        <v>1.5834488829318978</v>
      </c>
      <c r="O1830" s="1667"/>
    </row>
    <row r="1831" spans="11:15">
      <c r="K1831" s="1664">
        <v>43888</v>
      </c>
      <c r="L1831" s="1665" t="s">
        <v>2296</v>
      </c>
      <c r="M1831" s="1666">
        <v>1.6136999999999999E-2</v>
      </c>
      <c r="N1831" s="1667">
        <v>1.5837044040781365</v>
      </c>
      <c r="O1831" s="1667"/>
    </row>
    <row r="1832" spans="11:15">
      <c r="K1832" s="1664">
        <v>43889</v>
      </c>
      <c r="L1832" s="1665" t="s">
        <v>2296</v>
      </c>
      <c r="M1832" s="1666">
        <v>1.6136999999999999E-2</v>
      </c>
      <c r="N1832" s="1667">
        <v>1.5839599664578228</v>
      </c>
      <c r="O1832" s="1667"/>
    </row>
    <row r="1833" spans="11:15">
      <c r="K1833" s="1664">
        <v>43890</v>
      </c>
      <c r="L1833" s="1665"/>
      <c r="M1833" s="1666">
        <v>0</v>
      </c>
      <c r="N1833" s="1667">
        <v>1.5839599664578228</v>
      </c>
      <c r="O1833" s="1667"/>
    </row>
    <row r="1834" spans="11:15">
      <c r="K1834" s="1664">
        <v>43891</v>
      </c>
      <c r="L1834" s="1665"/>
      <c r="M1834" s="1666">
        <v>0</v>
      </c>
      <c r="N1834" s="1667">
        <v>1.5839599664578228</v>
      </c>
      <c r="O1834" s="1667"/>
    </row>
    <row r="1835" spans="11:15">
      <c r="K1835" s="1664">
        <v>43892</v>
      </c>
      <c r="L1835" s="1665" t="s">
        <v>2296</v>
      </c>
      <c r="M1835" s="1666">
        <v>1.6136999999999999E-2</v>
      </c>
      <c r="N1835" s="1667">
        <v>1.5842155700776102</v>
      </c>
      <c r="O1835" s="1667"/>
    </row>
    <row r="1836" spans="11:15">
      <c r="K1836" s="1664">
        <v>43893</v>
      </c>
      <c r="L1836" s="1665" t="s">
        <v>2296</v>
      </c>
      <c r="M1836" s="1666">
        <v>1.6136999999999999E-2</v>
      </c>
      <c r="N1836" s="1667">
        <v>1.5844712149441535</v>
      </c>
      <c r="O1836" s="1667"/>
    </row>
    <row r="1837" spans="11:15">
      <c r="K1837" s="1664">
        <v>43894</v>
      </c>
      <c r="L1837" s="1665" t="s">
        <v>2296</v>
      </c>
      <c r="M1837" s="1666">
        <v>1.6136999999999999E-2</v>
      </c>
      <c r="N1837" s="1667">
        <v>1.5847269010641092</v>
      </c>
      <c r="O1837" s="1667"/>
    </row>
    <row r="1838" spans="11:15">
      <c r="K1838" s="1664">
        <v>43895</v>
      </c>
      <c r="L1838" s="1665" t="s">
        <v>2296</v>
      </c>
      <c r="M1838" s="1666">
        <v>1.6136999999999999E-2</v>
      </c>
      <c r="N1838" s="1667">
        <v>1.584982628444134</v>
      </c>
      <c r="O1838" s="1667"/>
    </row>
    <row r="1839" spans="11:15">
      <c r="K1839" s="1664">
        <v>43896</v>
      </c>
      <c r="L1839" s="1665" t="s">
        <v>2296</v>
      </c>
      <c r="M1839" s="1666">
        <v>1.6136999999999999E-2</v>
      </c>
      <c r="N1839" s="1667">
        <v>1.5852383970908861</v>
      </c>
      <c r="O1839" s="1667"/>
    </row>
    <row r="1840" spans="11:15">
      <c r="K1840" s="1664">
        <v>43897</v>
      </c>
      <c r="L1840" s="1665"/>
      <c r="M1840" s="1666">
        <v>0</v>
      </c>
      <c r="N1840" s="1667">
        <v>1.5852383970908861</v>
      </c>
      <c r="O1840" s="1667"/>
    </row>
    <row r="1841" spans="11:15">
      <c r="K1841" s="1664">
        <v>43898</v>
      </c>
      <c r="L1841" s="1665"/>
      <c r="M1841" s="1666">
        <v>0</v>
      </c>
      <c r="N1841" s="1667">
        <v>1.5852383970908861</v>
      </c>
      <c r="O1841" s="1667"/>
    </row>
    <row r="1842" spans="11:15">
      <c r="K1842" s="1664">
        <v>43899</v>
      </c>
      <c r="L1842" s="1665" t="s">
        <v>2296</v>
      </c>
      <c r="M1842" s="1666">
        <v>1.6136999999999999E-2</v>
      </c>
      <c r="N1842" s="1667">
        <v>1.5854942070110247</v>
      </c>
      <c r="O1842" s="1667"/>
    </row>
    <row r="1843" spans="11:15">
      <c r="K1843" s="1664">
        <v>43900</v>
      </c>
      <c r="L1843" s="1665" t="s">
        <v>2296</v>
      </c>
      <c r="M1843" s="1666">
        <v>1.6136999999999999E-2</v>
      </c>
      <c r="N1843" s="1667">
        <v>1.5857500582112101</v>
      </c>
      <c r="O1843" s="1667"/>
    </row>
    <row r="1844" spans="11:15">
      <c r="K1844" s="1664">
        <v>43901</v>
      </c>
      <c r="L1844" s="1665" t="s">
        <v>2296</v>
      </c>
      <c r="M1844" s="1666">
        <v>1.6136999999999999E-2</v>
      </c>
      <c r="N1844" s="1667">
        <v>1.5860059506981037</v>
      </c>
      <c r="O1844" s="1667"/>
    </row>
    <row r="1845" spans="11:15">
      <c r="K1845" s="1664">
        <v>43902</v>
      </c>
      <c r="L1845" s="1665" t="s">
        <v>2296</v>
      </c>
      <c r="M1845" s="1666">
        <v>1.6136999999999999E-2</v>
      </c>
      <c r="N1845" s="1667">
        <v>1.586261884478368</v>
      </c>
      <c r="O1845" s="1667"/>
    </row>
    <row r="1846" spans="11:15">
      <c r="K1846" s="1664">
        <v>43903</v>
      </c>
      <c r="L1846" s="1665" t="s">
        <v>2296</v>
      </c>
      <c r="M1846" s="1666">
        <v>1.6136999999999999E-2</v>
      </c>
      <c r="N1846" s="1667">
        <v>1.5865178595586664</v>
      </c>
      <c r="O1846" s="1667"/>
    </row>
    <row r="1847" spans="11:15">
      <c r="K1847" s="1664">
        <v>43904</v>
      </c>
      <c r="L1847" s="1665"/>
      <c r="M1847" s="1666">
        <v>0</v>
      </c>
      <c r="N1847" s="1667">
        <v>1.5865178595586664</v>
      </c>
      <c r="O1847" s="1667"/>
    </row>
    <row r="1848" spans="11:15">
      <c r="K1848" s="1664">
        <v>43905</v>
      </c>
      <c r="L1848" s="1665"/>
      <c r="M1848" s="1666">
        <v>0</v>
      </c>
      <c r="N1848" s="1667">
        <v>1.5865178595586664</v>
      </c>
      <c r="O1848" s="1667"/>
    </row>
    <row r="1849" spans="11:15">
      <c r="K1849" s="1664">
        <v>43906</v>
      </c>
      <c r="L1849" s="1665" t="s">
        <v>2296</v>
      </c>
      <c r="M1849" s="1666">
        <v>1.6136999999999999E-2</v>
      </c>
      <c r="N1849" s="1667">
        <v>1.5867738759456635</v>
      </c>
      <c r="O1849" s="1667"/>
    </row>
    <row r="1850" spans="11:15">
      <c r="K1850" s="1664">
        <v>43907</v>
      </c>
      <c r="L1850" s="1665" t="s">
        <v>2296</v>
      </c>
      <c r="M1850" s="1666">
        <v>1.6136999999999999E-2</v>
      </c>
      <c r="N1850" s="1667">
        <v>1.587029933646025</v>
      </c>
      <c r="O1850" s="1667"/>
    </row>
    <row r="1851" spans="11:15">
      <c r="K1851" s="1664">
        <v>43908</v>
      </c>
      <c r="L1851" s="1665" t="s">
        <v>2296</v>
      </c>
      <c r="M1851" s="1666">
        <v>1.6136999999999999E-2</v>
      </c>
      <c r="N1851" s="1667">
        <v>1.5872860326664175</v>
      </c>
      <c r="O1851" s="1667"/>
    </row>
    <row r="1852" spans="11:15">
      <c r="K1852" s="1664">
        <v>43909</v>
      </c>
      <c r="L1852" s="1665" t="s">
        <v>2296</v>
      </c>
      <c r="M1852" s="1666">
        <v>1.4227E-2</v>
      </c>
      <c r="N1852" s="1667">
        <v>1.587511855850285</v>
      </c>
      <c r="O1852" s="1667"/>
    </row>
    <row r="1853" spans="11:15">
      <c r="K1853" s="1664">
        <v>43910</v>
      </c>
      <c r="L1853" s="1665" t="s">
        <v>2296</v>
      </c>
      <c r="M1853" s="1666">
        <v>1.4227E-2</v>
      </c>
      <c r="N1853" s="1667">
        <v>1.5877377111620168</v>
      </c>
      <c r="O1853" s="1667"/>
    </row>
    <row r="1854" spans="11:15">
      <c r="K1854" s="1664">
        <v>43911</v>
      </c>
      <c r="L1854" s="1665"/>
      <c r="M1854" s="1666">
        <v>0</v>
      </c>
      <c r="N1854" s="1667">
        <v>1.5877377111620168</v>
      </c>
      <c r="O1854" s="1667"/>
    </row>
    <row r="1855" spans="11:15">
      <c r="K1855" s="1664">
        <v>43912</v>
      </c>
      <c r="L1855" s="1665"/>
      <c r="M1855" s="1666">
        <v>0</v>
      </c>
      <c r="N1855" s="1667">
        <v>1.5877377111620168</v>
      </c>
      <c r="O1855" s="1667"/>
    </row>
    <row r="1856" spans="11:15">
      <c r="K1856" s="1664">
        <v>43913</v>
      </c>
      <c r="L1856" s="1665" t="s">
        <v>2296</v>
      </c>
      <c r="M1856" s="1666">
        <v>1.4227E-2</v>
      </c>
      <c r="N1856" s="1667">
        <v>1.5879635986061837</v>
      </c>
      <c r="O1856" s="1667"/>
    </row>
    <row r="1857" spans="11:15">
      <c r="K1857" s="1664">
        <v>43914</v>
      </c>
      <c r="L1857" s="1665" t="s">
        <v>2296</v>
      </c>
      <c r="M1857" s="1666">
        <v>1.4227E-2</v>
      </c>
      <c r="N1857" s="1667">
        <v>1.5881895181873575</v>
      </c>
      <c r="O1857" s="1667"/>
    </row>
    <row r="1858" spans="11:15">
      <c r="K1858" s="1664">
        <v>43915</v>
      </c>
      <c r="L1858" s="1665" t="s">
        <v>2296</v>
      </c>
      <c r="M1858" s="1666">
        <v>1.4227E-2</v>
      </c>
      <c r="N1858" s="1667">
        <v>1.5884154699101101</v>
      </c>
      <c r="O1858" s="1667"/>
    </row>
    <row r="1859" spans="11:15">
      <c r="K1859" s="1664">
        <v>43916</v>
      </c>
      <c r="L1859" s="1665" t="s">
        <v>2296</v>
      </c>
      <c r="M1859" s="1666">
        <v>1.4227E-2</v>
      </c>
      <c r="N1859" s="1667">
        <v>1.5886414537790141</v>
      </c>
      <c r="O1859" s="1667"/>
    </row>
    <row r="1860" spans="11:15">
      <c r="K1860" s="1664">
        <v>43917</v>
      </c>
      <c r="L1860" s="1665" t="s">
        <v>2296</v>
      </c>
      <c r="M1860" s="1666">
        <v>1.4227E-2</v>
      </c>
      <c r="N1860" s="1667">
        <v>1.5888674697986434</v>
      </c>
      <c r="O1860" s="1667"/>
    </row>
    <row r="1861" spans="11:15">
      <c r="K1861" s="1664">
        <v>43918</v>
      </c>
      <c r="L1861" s="1665"/>
      <c r="M1861" s="1666">
        <v>0</v>
      </c>
      <c r="N1861" s="1667">
        <v>1.5888674697986434</v>
      </c>
      <c r="O1861" s="1667"/>
    </row>
    <row r="1862" spans="11:15">
      <c r="K1862" s="1664">
        <v>43919</v>
      </c>
      <c r="L1862" s="1665"/>
      <c r="M1862" s="1666">
        <v>0</v>
      </c>
      <c r="N1862" s="1667">
        <v>1.5888674697986434</v>
      </c>
      <c r="O1862" s="1667"/>
    </row>
    <row r="1863" spans="11:15">
      <c r="K1863" s="1664">
        <v>43920</v>
      </c>
      <c r="L1863" s="1665" t="s">
        <v>2296</v>
      </c>
      <c r="M1863" s="1666">
        <v>1.4227E-2</v>
      </c>
      <c r="N1863" s="1667">
        <v>1.5890935179735717</v>
      </c>
      <c r="O1863" s="1667"/>
    </row>
    <row r="1864" spans="11:15">
      <c r="K1864" s="1664">
        <v>43921</v>
      </c>
      <c r="L1864" s="1665" t="s">
        <v>2296</v>
      </c>
      <c r="M1864" s="1666">
        <v>1.4227E-2</v>
      </c>
      <c r="N1864" s="1667">
        <v>1.5893195983083739</v>
      </c>
      <c r="O1864" s="1667"/>
    </row>
    <row r="1865" spans="11:15">
      <c r="K1865" s="1664">
        <v>43922</v>
      </c>
      <c r="L1865" s="1665" t="s">
        <v>2296</v>
      </c>
      <c r="M1865" s="1666">
        <v>1.4227E-2</v>
      </c>
      <c r="N1865" s="1667">
        <v>1.5895457108076252</v>
      </c>
      <c r="O1865" s="1667"/>
    </row>
    <row r="1866" spans="11:15">
      <c r="K1866" s="1664">
        <v>43923</v>
      </c>
      <c r="L1866" s="1665" t="s">
        <v>2296</v>
      </c>
      <c r="M1866" s="1666">
        <v>1.4227E-2</v>
      </c>
      <c r="N1866" s="1667">
        <v>1.5897718554759017</v>
      </c>
      <c r="O1866" s="1667"/>
    </row>
    <row r="1867" spans="11:15">
      <c r="K1867" s="1664">
        <v>43924</v>
      </c>
      <c r="L1867" s="1665" t="s">
        <v>2296</v>
      </c>
      <c r="M1867" s="1666">
        <v>1.4227E-2</v>
      </c>
      <c r="N1867" s="1667">
        <v>1.5899980323177803</v>
      </c>
      <c r="O1867" s="1667"/>
    </row>
    <row r="1868" spans="11:15">
      <c r="K1868" s="1664">
        <v>43925</v>
      </c>
      <c r="L1868" s="1665"/>
      <c r="M1868" s="1666">
        <v>0</v>
      </c>
      <c r="N1868" s="1667">
        <v>1.5899980323177803</v>
      </c>
      <c r="O1868" s="1667"/>
    </row>
    <row r="1869" spans="11:15">
      <c r="K1869" s="1664">
        <v>43926</v>
      </c>
      <c r="L1869" s="1665"/>
      <c r="M1869" s="1666">
        <v>0</v>
      </c>
      <c r="N1869" s="1667">
        <v>1.5899980323177803</v>
      </c>
      <c r="O1869" s="1667"/>
    </row>
    <row r="1870" spans="11:15">
      <c r="K1870" s="1664">
        <v>43927</v>
      </c>
      <c r="L1870" s="1665" t="s">
        <v>2296</v>
      </c>
      <c r="M1870" s="1666">
        <v>1.4227E-2</v>
      </c>
      <c r="N1870" s="1667">
        <v>1.590224241337838</v>
      </c>
      <c r="O1870" s="1667"/>
    </row>
    <row r="1871" spans="11:15">
      <c r="K1871" s="1664">
        <v>43928</v>
      </c>
      <c r="L1871" s="1665" t="s">
        <v>2296</v>
      </c>
      <c r="M1871" s="1666">
        <v>1.4227E-2</v>
      </c>
      <c r="N1871" s="1667">
        <v>1.5904504825406531</v>
      </c>
      <c r="O1871" s="1667"/>
    </row>
    <row r="1872" spans="11:15">
      <c r="K1872" s="1664">
        <v>43929</v>
      </c>
      <c r="L1872" s="1665" t="s">
        <v>2296</v>
      </c>
      <c r="M1872" s="1666">
        <v>1.4227E-2</v>
      </c>
      <c r="N1872" s="1667">
        <v>1.5906767559308042</v>
      </c>
      <c r="O1872" s="1667"/>
    </row>
    <row r="1873" spans="11:15">
      <c r="K1873" s="1664">
        <v>43930</v>
      </c>
      <c r="L1873" s="1665" t="s">
        <v>2296</v>
      </c>
      <c r="M1873" s="1666">
        <v>1.4227E-2</v>
      </c>
      <c r="N1873" s="1667">
        <v>1.5909030615128705</v>
      </c>
      <c r="O1873" s="1667"/>
    </row>
    <row r="1874" spans="11:15">
      <c r="K1874" s="1664">
        <v>43931</v>
      </c>
      <c r="L1874" s="1665"/>
      <c r="M1874" s="1666">
        <v>0</v>
      </c>
      <c r="N1874" s="1667">
        <v>1.5909030615128705</v>
      </c>
      <c r="O1874" s="1667"/>
    </row>
    <row r="1875" spans="11:15">
      <c r="K1875" s="1664">
        <v>43932</v>
      </c>
      <c r="L1875" s="1665"/>
      <c r="M1875" s="1666">
        <v>0</v>
      </c>
      <c r="N1875" s="1667">
        <v>1.5909030615128705</v>
      </c>
      <c r="O1875" s="1667"/>
    </row>
    <row r="1876" spans="11:15">
      <c r="K1876" s="1664">
        <v>43933</v>
      </c>
      <c r="L1876" s="1665"/>
      <c r="M1876" s="1666">
        <v>0</v>
      </c>
      <c r="N1876" s="1667">
        <v>1.5909030615128705</v>
      </c>
      <c r="O1876" s="1667"/>
    </row>
    <row r="1877" spans="11:15">
      <c r="K1877" s="1664">
        <v>43934</v>
      </c>
      <c r="L1877" s="1665" t="s">
        <v>2296</v>
      </c>
      <c r="M1877" s="1666">
        <v>1.4227E-2</v>
      </c>
      <c r="N1877" s="1667">
        <v>1.5911293992914319</v>
      </c>
      <c r="O1877" s="1667"/>
    </row>
    <row r="1878" spans="11:15">
      <c r="K1878" s="1664">
        <v>43935</v>
      </c>
      <c r="L1878" s="1665" t="s">
        <v>2296</v>
      </c>
      <c r="M1878" s="1666">
        <v>1.4227E-2</v>
      </c>
      <c r="N1878" s="1667">
        <v>1.5913557692710691</v>
      </c>
      <c r="O1878" s="1667"/>
    </row>
    <row r="1879" spans="11:15">
      <c r="K1879" s="1664">
        <v>43936</v>
      </c>
      <c r="L1879" s="1665" t="s">
        <v>2296</v>
      </c>
      <c r="M1879" s="1666">
        <v>1.4227E-2</v>
      </c>
      <c r="N1879" s="1667">
        <v>1.5915821714563634</v>
      </c>
      <c r="O1879" s="1667"/>
    </row>
    <row r="1880" spans="11:15">
      <c r="K1880" s="1664">
        <v>43937</v>
      </c>
      <c r="L1880" s="1665" t="s">
        <v>2296</v>
      </c>
      <c r="M1880" s="1666">
        <v>1.4227E-2</v>
      </c>
      <c r="N1880" s="1667">
        <v>1.5918086058518965</v>
      </c>
      <c r="O1880" s="1667"/>
    </row>
    <row r="1881" spans="11:15">
      <c r="K1881" s="1664">
        <v>43938</v>
      </c>
      <c r="L1881" s="1665" t="s">
        <v>2296</v>
      </c>
      <c r="M1881" s="1666">
        <v>1.4227E-2</v>
      </c>
      <c r="N1881" s="1667">
        <v>1.5920350724622512</v>
      </c>
      <c r="O1881" s="1667"/>
    </row>
    <row r="1882" spans="11:15">
      <c r="K1882" s="1664">
        <v>43939</v>
      </c>
      <c r="L1882" s="1665"/>
      <c r="M1882" s="1666">
        <v>0</v>
      </c>
      <c r="N1882" s="1667">
        <v>1.5920350724622512</v>
      </c>
      <c r="O1882" s="1667"/>
    </row>
    <row r="1883" spans="11:15">
      <c r="K1883" s="1664">
        <v>43940</v>
      </c>
      <c r="L1883" s="1665"/>
      <c r="M1883" s="1666">
        <v>0</v>
      </c>
      <c r="N1883" s="1667">
        <v>1.5920350724622512</v>
      </c>
      <c r="O1883" s="1667"/>
    </row>
    <row r="1884" spans="11:15">
      <c r="K1884" s="1664">
        <v>43941</v>
      </c>
      <c r="L1884" s="1665" t="s">
        <v>2296</v>
      </c>
      <c r="M1884" s="1666">
        <v>1.4227E-2</v>
      </c>
      <c r="N1884" s="1667">
        <v>1.5922615712920103</v>
      </c>
      <c r="O1884" s="1667"/>
    </row>
    <row r="1885" spans="11:15">
      <c r="K1885" s="1664">
        <v>43942</v>
      </c>
      <c r="L1885" s="1665"/>
      <c r="M1885" s="1666">
        <v>0</v>
      </c>
      <c r="N1885" s="1667">
        <v>1.5922615712920103</v>
      </c>
      <c r="O1885" s="1667"/>
    </row>
    <row r="1886" spans="11:15">
      <c r="K1886" s="1664">
        <v>43943</v>
      </c>
      <c r="L1886" s="1665" t="s">
        <v>2296</v>
      </c>
      <c r="M1886" s="1666">
        <v>1.4227E-2</v>
      </c>
      <c r="N1886" s="1667">
        <v>1.592488102345758</v>
      </c>
      <c r="O1886" s="1667"/>
    </row>
    <row r="1887" spans="11:15">
      <c r="K1887" s="1664">
        <v>43944</v>
      </c>
      <c r="L1887" s="1665" t="s">
        <v>2296</v>
      </c>
      <c r="M1887" s="1666">
        <v>1.4227E-2</v>
      </c>
      <c r="N1887" s="1667">
        <v>1.5927146656280786</v>
      </c>
      <c r="O1887" s="1667"/>
    </row>
    <row r="1888" spans="11:15">
      <c r="K1888" s="1664">
        <v>43945</v>
      </c>
      <c r="L1888" s="1665" t="s">
        <v>2296</v>
      </c>
      <c r="M1888" s="1666">
        <v>1.4227E-2</v>
      </c>
      <c r="N1888" s="1667">
        <v>1.5929412611435576</v>
      </c>
      <c r="O1888" s="1667"/>
    </row>
    <row r="1889" spans="11:15">
      <c r="K1889" s="1664">
        <v>43946</v>
      </c>
      <c r="L1889" s="1665"/>
      <c r="M1889" s="1666">
        <v>0</v>
      </c>
      <c r="N1889" s="1667">
        <v>1.5929412611435576</v>
      </c>
      <c r="O1889" s="1667"/>
    </row>
    <row r="1890" spans="11:15">
      <c r="K1890" s="1664">
        <v>43947</v>
      </c>
      <c r="L1890" s="1665"/>
      <c r="M1890" s="1666">
        <v>0</v>
      </c>
      <c r="N1890" s="1667">
        <v>1.5929412611435576</v>
      </c>
      <c r="O1890" s="1667"/>
    </row>
    <row r="1891" spans="11:15">
      <c r="K1891" s="1664">
        <v>43948</v>
      </c>
      <c r="L1891" s="1665" t="s">
        <v>2296</v>
      </c>
      <c r="M1891" s="1666">
        <v>1.4227E-2</v>
      </c>
      <c r="N1891" s="1667">
        <v>1.5931678888967804</v>
      </c>
      <c r="O1891" s="1667"/>
    </row>
    <row r="1892" spans="11:15">
      <c r="K1892" s="1664">
        <v>43949</v>
      </c>
      <c r="L1892" s="1665" t="s">
        <v>2296</v>
      </c>
      <c r="M1892" s="1666">
        <v>1.4227E-2</v>
      </c>
      <c r="N1892" s="1667">
        <v>1.5933945488923338</v>
      </c>
      <c r="O1892" s="1667"/>
    </row>
    <row r="1893" spans="11:15">
      <c r="K1893" s="1664">
        <v>43950</v>
      </c>
      <c r="L1893" s="1665" t="s">
        <v>2296</v>
      </c>
      <c r="M1893" s="1666">
        <v>1.4227E-2</v>
      </c>
      <c r="N1893" s="1667">
        <v>1.5936212411348047</v>
      </c>
      <c r="O1893" s="1667"/>
    </row>
    <row r="1894" spans="11:15">
      <c r="K1894" s="1664">
        <v>43951</v>
      </c>
      <c r="L1894" s="1665" t="s">
        <v>2296</v>
      </c>
      <c r="M1894" s="1666">
        <v>1.4227E-2</v>
      </c>
      <c r="N1894" s="1667">
        <v>1.5938479656287809</v>
      </c>
      <c r="O1894" s="1667"/>
    </row>
    <row r="1895" spans="11:15">
      <c r="K1895" s="1664">
        <v>43952</v>
      </c>
      <c r="L1895" s="1665"/>
      <c r="M1895" s="1666">
        <v>0</v>
      </c>
      <c r="N1895" s="1667">
        <v>1.5938479656287809</v>
      </c>
      <c r="O1895" s="1667"/>
    </row>
    <row r="1896" spans="11:15">
      <c r="K1896" s="1664">
        <v>43953</v>
      </c>
      <c r="L1896" s="1665"/>
      <c r="M1896" s="1666">
        <v>0</v>
      </c>
      <c r="N1896" s="1667">
        <v>1.5938479656287809</v>
      </c>
      <c r="O1896" s="1667"/>
    </row>
    <row r="1897" spans="11:15">
      <c r="K1897" s="1664">
        <v>43954</v>
      </c>
      <c r="L1897" s="1665"/>
      <c r="M1897" s="1666">
        <v>0</v>
      </c>
      <c r="N1897" s="1667">
        <v>1.5938479656287809</v>
      </c>
      <c r="O1897" s="1667"/>
    </row>
    <row r="1898" spans="11:15">
      <c r="K1898" s="1664">
        <v>43955</v>
      </c>
      <c r="L1898" s="1665" t="s">
        <v>2296</v>
      </c>
      <c r="M1898" s="1666">
        <v>1.4227E-2</v>
      </c>
      <c r="N1898" s="1667">
        <v>1.594074722378851</v>
      </c>
      <c r="O1898" s="1667"/>
    </row>
    <row r="1899" spans="11:15">
      <c r="K1899" s="1664">
        <v>43956</v>
      </c>
      <c r="L1899" s="1665" t="s">
        <v>2296</v>
      </c>
      <c r="M1899" s="1666">
        <v>1.4227E-2</v>
      </c>
      <c r="N1899" s="1667">
        <v>1.5943015113896037</v>
      </c>
      <c r="O1899" s="1667"/>
    </row>
    <row r="1900" spans="11:15">
      <c r="K1900" s="1664">
        <v>43957</v>
      </c>
      <c r="L1900" s="1665" t="s">
        <v>2296</v>
      </c>
      <c r="M1900" s="1666">
        <v>1.4227E-2</v>
      </c>
      <c r="N1900" s="1667">
        <v>1.5945283326656292</v>
      </c>
      <c r="O1900" s="1667"/>
    </row>
    <row r="1901" spans="11:15">
      <c r="K1901" s="1664">
        <v>43958</v>
      </c>
      <c r="L1901" s="1665" t="s">
        <v>2296</v>
      </c>
      <c r="M1901" s="1666">
        <v>1.1344999999999999E-2</v>
      </c>
      <c r="N1901" s="1667">
        <v>1.59470923190497</v>
      </c>
      <c r="O1901" s="1667"/>
    </row>
    <row r="1902" spans="11:15">
      <c r="K1902" s="1664">
        <v>43959</v>
      </c>
      <c r="L1902" s="1665" t="s">
        <v>2296</v>
      </c>
      <c r="M1902" s="1666">
        <v>1.1344999999999999E-2</v>
      </c>
      <c r="N1902" s="1667">
        <v>1.5948901516673295</v>
      </c>
      <c r="O1902" s="1667"/>
    </row>
    <row r="1903" spans="11:15">
      <c r="K1903" s="1664">
        <v>43960</v>
      </c>
      <c r="L1903" s="1665"/>
      <c r="M1903" s="1666">
        <v>0</v>
      </c>
      <c r="N1903" s="1667">
        <v>1.5948901516673295</v>
      </c>
      <c r="O1903" s="1667"/>
    </row>
    <row r="1904" spans="11:15">
      <c r="K1904" s="1664">
        <v>43961</v>
      </c>
      <c r="L1904" s="1665"/>
      <c r="M1904" s="1666">
        <v>0</v>
      </c>
      <c r="N1904" s="1667">
        <v>1.5948901516673295</v>
      </c>
      <c r="O1904" s="1667"/>
    </row>
    <row r="1905" spans="11:15">
      <c r="K1905" s="1664">
        <v>43962</v>
      </c>
      <c r="L1905" s="1665" t="s">
        <v>2296</v>
      </c>
      <c r="M1905" s="1666">
        <v>1.1344999999999999E-2</v>
      </c>
      <c r="N1905" s="1667">
        <v>1.5950710919550362</v>
      </c>
      <c r="O1905" s="1667"/>
    </row>
    <row r="1906" spans="11:15">
      <c r="K1906" s="1664">
        <v>43963</v>
      </c>
      <c r="L1906" s="1665" t="s">
        <v>2296</v>
      </c>
      <c r="M1906" s="1666">
        <v>1.1344999999999999E-2</v>
      </c>
      <c r="N1906" s="1667">
        <v>1.5952520527704184</v>
      </c>
      <c r="O1906" s="1667"/>
    </row>
    <row r="1907" spans="11:15">
      <c r="K1907" s="1664">
        <v>43964</v>
      </c>
      <c r="L1907" s="1665" t="s">
        <v>2296</v>
      </c>
      <c r="M1907" s="1666">
        <v>1.1344999999999999E-2</v>
      </c>
      <c r="N1907" s="1667">
        <v>1.5954330341158052</v>
      </c>
      <c r="O1907" s="1667"/>
    </row>
    <row r="1908" spans="11:15">
      <c r="K1908" s="1664">
        <v>43965</v>
      </c>
      <c r="L1908" s="1665" t="s">
        <v>2296</v>
      </c>
      <c r="M1908" s="1666">
        <v>1.1344999999999999E-2</v>
      </c>
      <c r="N1908" s="1667">
        <v>1.5956140359935256</v>
      </c>
      <c r="O1908" s="1667"/>
    </row>
    <row r="1909" spans="11:15">
      <c r="K1909" s="1664">
        <v>43966</v>
      </c>
      <c r="L1909" s="1665" t="s">
        <v>2296</v>
      </c>
      <c r="M1909" s="1666">
        <v>1.1344999999999999E-2</v>
      </c>
      <c r="N1909" s="1667">
        <v>1.5957950584059091</v>
      </c>
      <c r="O1909" s="1667"/>
    </row>
    <row r="1910" spans="11:15">
      <c r="K1910" s="1664">
        <v>43967</v>
      </c>
      <c r="L1910" s="1665"/>
      <c r="M1910" s="1666">
        <v>0</v>
      </c>
      <c r="N1910" s="1667">
        <v>1.5957950584059091</v>
      </c>
      <c r="O1910" s="1667"/>
    </row>
    <row r="1911" spans="11:15">
      <c r="K1911" s="1664">
        <v>43968</v>
      </c>
      <c r="L1911" s="1665"/>
      <c r="M1911" s="1666">
        <v>0</v>
      </c>
      <c r="N1911" s="1667">
        <v>1.5957950584059091</v>
      </c>
      <c r="O1911" s="1667"/>
    </row>
    <row r="1912" spans="11:15">
      <c r="K1912" s="1664">
        <v>43969</v>
      </c>
      <c r="L1912" s="1665" t="s">
        <v>2296</v>
      </c>
      <c r="M1912" s="1666">
        <v>1.1344999999999999E-2</v>
      </c>
      <c r="N1912" s="1667">
        <v>1.5959761013552851</v>
      </c>
      <c r="O1912" s="1667"/>
    </row>
    <row r="1913" spans="11:15">
      <c r="K1913" s="1664">
        <v>43970</v>
      </c>
      <c r="L1913" s="1665" t="s">
        <v>2296</v>
      </c>
      <c r="M1913" s="1666">
        <v>1.1344999999999999E-2</v>
      </c>
      <c r="N1913" s="1667">
        <v>1.5961571648439838</v>
      </c>
      <c r="O1913" s="1667"/>
    </row>
    <row r="1914" spans="11:15">
      <c r="K1914" s="1664">
        <v>43971</v>
      </c>
      <c r="L1914" s="1665" t="s">
        <v>2296</v>
      </c>
      <c r="M1914" s="1666">
        <v>1.1344999999999999E-2</v>
      </c>
      <c r="N1914" s="1667">
        <v>1.5963382488743354</v>
      </c>
      <c r="O1914" s="1667"/>
    </row>
    <row r="1915" spans="11:15">
      <c r="K1915" s="1664">
        <v>43972</v>
      </c>
      <c r="L1915" s="1665" t="s">
        <v>2296</v>
      </c>
      <c r="M1915" s="1666">
        <v>1.1344999999999999E-2</v>
      </c>
      <c r="N1915" s="1667">
        <v>1.5965193534486701</v>
      </c>
      <c r="O1915" s="1667"/>
    </row>
    <row r="1916" spans="11:15">
      <c r="K1916" s="1664">
        <v>43973</v>
      </c>
      <c r="L1916" s="1665" t="s">
        <v>2296</v>
      </c>
      <c r="M1916" s="1666">
        <v>1.1344999999999999E-2</v>
      </c>
      <c r="N1916" s="1667">
        <v>1.5967004785693188</v>
      </c>
      <c r="O1916" s="1667"/>
    </row>
    <row r="1917" spans="11:15">
      <c r="K1917" s="1664">
        <v>43974</v>
      </c>
      <c r="L1917" s="1665"/>
      <c r="M1917" s="1666">
        <v>0</v>
      </c>
      <c r="N1917" s="1667">
        <v>1.5967004785693188</v>
      </c>
      <c r="O1917" s="1667"/>
    </row>
    <row r="1918" spans="11:15">
      <c r="K1918" s="1664">
        <v>43975</v>
      </c>
      <c r="L1918" s="1665"/>
      <c r="M1918" s="1666">
        <v>0</v>
      </c>
      <c r="N1918" s="1667">
        <v>1.5967004785693188</v>
      </c>
      <c r="O1918" s="1667"/>
    </row>
    <row r="1919" spans="11:15">
      <c r="K1919" s="1664">
        <v>43976</v>
      </c>
      <c r="L1919" s="1665" t="s">
        <v>2296</v>
      </c>
      <c r="M1919" s="1666">
        <v>1.1344999999999999E-2</v>
      </c>
      <c r="N1919" s="1667">
        <v>1.5968816242386126</v>
      </c>
      <c r="O1919" s="1667"/>
    </row>
    <row r="1920" spans="11:15">
      <c r="K1920" s="1664">
        <v>43977</v>
      </c>
      <c r="L1920" s="1665" t="s">
        <v>2296</v>
      </c>
      <c r="M1920" s="1666">
        <v>1.1344999999999999E-2</v>
      </c>
      <c r="N1920" s="1667">
        <v>1.5970627904588823</v>
      </c>
      <c r="O1920" s="1667"/>
    </row>
    <row r="1921" spans="11:15">
      <c r="K1921" s="1664">
        <v>43978</v>
      </c>
      <c r="L1921" s="1665" t="s">
        <v>2296</v>
      </c>
      <c r="M1921" s="1666">
        <v>1.1344999999999999E-2</v>
      </c>
      <c r="N1921" s="1667">
        <v>1.5972439772324598</v>
      </c>
      <c r="O1921" s="1667"/>
    </row>
    <row r="1922" spans="11:15">
      <c r="K1922" s="1664">
        <v>43979</v>
      </c>
      <c r="L1922" s="1665" t="s">
        <v>2296</v>
      </c>
      <c r="M1922" s="1666">
        <v>1.1344999999999999E-2</v>
      </c>
      <c r="N1922" s="1667">
        <v>1.5974251845616767</v>
      </c>
      <c r="O1922" s="1667"/>
    </row>
    <row r="1923" spans="11:15">
      <c r="K1923" s="1664">
        <v>43980</v>
      </c>
      <c r="L1923" s="1665" t="s">
        <v>2296</v>
      </c>
      <c r="M1923" s="1666">
        <v>1.1344999999999999E-2</v>
      </c>
      <c r="N1923" s="1667">
        <v>1.5976064124488651</v>
      </c>
      <c r="O1923" s="1667"/>
    </row>
    <row r="1924" spans="11:15">
      <c r="K1924" s="1664">
        <v>43981</v>
      </c>
      <c r="L1924" s="1665"/>
      <c r="M1924" s="1666">
        <v>0</v>
      </c>
      <c r="N1924" s="1667">
        <v>1.5976064124488651</v>
      </c>
      <c r="O1924" s="1667"/>
    </row>
    <row r="1925" spans="11:15">
      <c r="K1925" s="1664">
        <v>43982</v>
      </c>
      <c r="L1925" s="1665"/>
      <c r="M1925" s="1666">
        <v>0</v>
      </c>
      <c r="N1925" s="1667">
        <v>1.5976064124488651</v>
      </c>
      <c r="O1925" s="1667"/>
    </row>
    <row r="1926" spans="11:15">
      <c r="K1926" s="1664">
        <v>43983</v>
      </c>
      <c r="L1926" s="1665" t="s">
        <v>2296</v>
      </c>
      <c r="M1926" s="1666">
        <v>1.1344999999999999E-2</v>
      </c>
      <c r="N1926" s="1667">
        <v>1.5977876608963575</v>
      </c>
      <c r="O1926" s="1667"/>
    </row>
    <row r="1927" spans="11:15">
      <c r="K1927" s="1664">
        <v>43984</v>
      </c>
      <c r="L1927" s="1665" t="s">
        <v>2296</v>
      </c>
      <c r="M1927" s="1666">
        <v>1.1344999999999999E-2</v>
      </c>
      <c r="N1927" s="1667">
        <v>1.5979689299064861</v>
      </c>
      <c r="O1927" s="1667"/>
    </row>
    <row r="1928" spans="11:15">
      <c r="K1928" s="1664">
        <v>43985</v>
      </c>
      <c r="L1928" s="1665" t="s">
        <v>2296</v>
      </c>
      <c r="M1928" s="1666">
        <v>1.1344999999999999E-2</v>
      </c>
      <c r="N1928" s="1667">
        <v>1.598150219481584</v>
      </c>
      <c r="O1928" s="1667"/>
    </row>
    <row r="1929" spans="11:15">
      <c r="K1929" s="1664">
        <v>43986</v>
      </c>
      <c r="L1929" s="1665" t="s">
        <v>2296</v>
      </c>
      <c r="M1929" s="1666">
        <v>1.1344999999999999E-2</v>
      </c>
      <c r="N1929" s="1667">
        <v>1.5983315296239842</v>
      </c>
      <c r="O1929" s="1667"/>
    </row>
    <row r="1930" spans="11:15">
      <c r="K1930" s="1664">
        <v>43987</v>
      </c>
      <c r="L1930" s="1665" t="s">
        <v>2296</v>
      </c>
      <c r="M1930" s="1666">
        <v>1.1344999999999999E-2</v>
      </c>
      <c r="N1930" s="1667">
        <v>1.5985128603360199</v>
      </c>
      <c r="O1930" s="1667"/>
    </row>
    <row r="1931" spans="11:15">
      <c r="K1931" s="1664">
        <v>43988</v>
      </c>
      <c r="L1931" s="1665"/>
      <c r="M1931" s="1666">
        <v>0</v>
      </c>
      <c r="N1931" s="1667">
        <v>1.5985128603360199</v>
      </c>
      <c r="O1931" s="1667"/>
    </row>
    <row r="1932" spans="11:15">
      <c r="K1932" s="1664">
        <v>43989</v>
      </c>
      <c r="L1932" s="1665"/>
      <c r="M1932" s="1666">
        <v>0</v>
      </c>
      <c r="N1932" s="1667">
        <v>1.5985128603360199</v>
      </c>
      <c r="O1932" s="1667"/>
    </row>
    <row r="1933" spans="11:15">
      <c r="K1933" s="1664">
        <v>43990</v>
      </c>
      <c r="L1933" s="1665" t="s">
        <v>2296</v>
      </c>
      <c r="M1933" s="1666">
        <v>1.1344999999999999E-2</v>
      </c>
      <c r="N1933" s="1667">
        <v>1.5986942116200249</v>
      </c>
      <c r="O1933" s="1667"/>
    </row>
    <row r="1934" spans="11:15">
      <c r="K1934" s="1664">
        <v>43991</v>
      </c>
      <c r="L1934" s="1665" t="s">
        <v>2296</v>
      </c>
      <c r="M1934" s="1666">
        <v>1.1344999999999999E-2</v>
      </c>
      <c r="N1934" s="1667">
        <v>1.598875583478333</v>
      </c>
      <c r="O1934" s="1667"/>
    </row>
    <row r="1935" spans="11:15">
      <c r="K1935" s="1664">
        <v>43992</v>
      </c>
      <c r="L1935" s="1665" t="s">
        <v>2296</v>
      </c>
      <c r="M1935" s="1666">
        <v>1.1344999999999999E-2</v>
      </c>
      <c r="N1935" s="1667">
        <v>1.5990569759132787</v>
      </c>
      <c r="O1935" s="1667"/>
    </row>
    <row r="1936" spans="11:15">
      <c r="K1936" s="1664">
        <v>43993</v>
      </c>
      <c r="L1936" s="1665"/>
      <c r="M1936" s="1666">
        <v>0</v>
      </c>
      <c r="N1936" s="1667">
        <v>1.5990569759132787</v>
      </c>
      <c r="O1936" s="1667"/>
    </row>
    <row r="1937" spans="11:15">
      <c r="K1937" s="1664">
        <v>43994</v>
      </c>
      <c r="L1937" s="1665" t="s">
        <v>2296</v>
      </c>
      <c r="M1937" s="1666">
        <v>1.1344999999999999E-2</v>
      </c>
      <c r="N1937" s="1667">
        <v>1.5992383889271959</v>
      </c>
      <c r="O1937" s="1667"/>
    </row>
    <row r="1938" spans="11:15">
      <c r="K1938" s="1664">
        <v>43995</v>
      </c>
      <c r="L1938" s="1665"/>
      <c r="M1938" s="1666">
        <v>0</v>
      </c>
      <c r="N1938" s="1667">
        <v>1.5992383889271959</v>
      </c>
      <c r="O1938" s="1667"/>
    </row>
    <row r="1939" spans="11:15">
      <c r="K1939" s="1664">
        <v>43996</v>
      </c>
      <c r="L1939" s="1665"/>
      <c r="M1939" s="1666">
        <v>0</v>
      </c>
      <c r="N1939" s="1667">
        <v>1.5992383889271959</v>
      </c>
      <c r="O1939" s="1667"/>
    </row>
    <row r="1940" spans="11:15">
      <c r="K1940" s="1664">
        <v>43997</v>
      </c>
      <c r="L1940" s="1665" t="s">
        <v>2296</v>
      </c>
      <c r="M1940" s="1666">
        <v>1.1344999999999999E-2</v>
      </c>
      <c r="N1940" s="1667">
        <v>1.5994198225224197</v>
      </c>
      <c r="O1940" s="1667"/>
    </row>
    <row r="1941" spans="11:15">
      <c r="K1941" s="1664">
        <v>43998</v>
      </c>
      <c r="L1941" s="1665" t="s">
        <v>2296</v>
      </c>
      <c r="M1941" s="1666">
        <v>1.1344999999999999E-2</v>
      </c>
      <c r="N1941" s="1667">
        <v>1.5996012767012848</v>
      </c>
      <c r="O1941" s="1667"/>
    </row>
    <row r="1942" spans="11:15">
      <c r="K1942" s="1664">
        <v>43999</v>
      </c>
      <c r="L1942" s="1665" t="s">
        <v>2296</v>
      </c>
      <c r="M1942" s="1666">
        <v>1.1344999999999999E-2</v>
      </c>
      <c r="N1942" s="1667">
        <v>1.5997827514661265</v>
      </c>
      <c r="O1942" s="1667"/>
    </row>
    <row r="1943" spans="11:15">
      <c r="K1943" s="1664">
        <v>44000</v>
      </c>
      <c r="L1943" s="1665" t="s">
        <v>2296</v>
      </c>
      <c r="M1943" s="1666">
        <v>8.4419999999999999E-3</v>
      </c>
      <c r="N1943" s="1667">
        <v>1.5999178051260055</v>
      </c>
      <c r="O1943" s="1667"/>
    </row>
    <row r="1944" spans="11:15">
      <c r="K1944" s="1664">
        <v>44001</v>
      </c>
      <c r="L1944" s="1665" t="s">
        <v>2296</v>
      </c>
      <c r="M1944" s="1666">
        <v>8.4419999999999999E-3</v>
      </c>
      <c r="N1944" s="1667">
        <v>1.6000528701871144</v>
      </c>
      <c r="O1944" s="1667"/>
    </row>
    <row r="1945" spans="11:15">
      <c r="K1945" s="1664">
        <v>44002</v>
      </c>
      <c r="L1945" s="1665"/>
      <c r="M1945" s="1666">
        <v>0</v>
      </c>
      <c r="N1945" s="1667">
        <v>1.6000528701871144</v>
      </c>
      <c r="O1945" s="1667"/>
    </row>
    <row r="1946" spans="11:15">
      <c r="K1946" s="1664">
        <v>44003</v>
      </c>
      <c r="L1946" s="1665"/>
      <c r="M1946" s="1666">
        <v>0</v>
      </c>
      <c r="N1946" s="1667">
        <v>1.6000528701871144</v>
      </c>
      <c r="O1946" s="1667"/>
    </row>
    <row r="1947" spans="11:15">
      <c r="K1947" s="1664">
        <v>44004</v>
      </c>
      <c r="L1947" s="1665" t="s">
        <v>2296</v>
      </c>
      <c r="M1947" s="1666">
        <v>8.4419999999999999E-3</v>
      </c>
      <c r="N1947" s="1667">
        <v>1.6001879466504156</v>
      </c>
      <c r="O1947" s="1667"/>
    </row>
    <row r="1948" spans="11:15">
      <c r="K1948" s="1664">
        <v>44005</v>
      </c>
      <c r="L1948" s="1665" t="s">
        <v>2296</v>
      </c>
      <c r="M1948" s="1666">
        <v>8.4419999999999999E-3</v>
      </c>
      <c r="N1948" s="1667">
        <v>1.600323034516872</v>
      </c>
      <c r="O1948" s="1667"/>
    </row>
    <row r="1949" spans="11:15">
      <c r="K1949" s="1664">
        <v>44006</v>
      </c>
      <c r="L1949" s="1665" t="s">
        <v>2296</v>
      </c>
      <c r="M1949" s="1666">
        <v>8.4419999999999999E-3</v>
      </c>
      <c r="N1949" s="1667">
        <v>1.6004581337874459</v>
      </c>
      <c r="O1949" s="1667"/>
    </row>
    <row r="1950" spans="11:15">
      <c r="K1950" s="1664">
        <v>44007</v>
      </c>
      <c r="L1950" s="1665" t="s">
        <v>2296</v>
      </c>
      <c r="M1950" s="1666">
        <v>8.4419999999999999E-3</v>
      </c>
      <c r="N1950" s="1667">
        <v>1.6005932444631004</v>
      </c>
      <c r="O1950" s="1667"/>
    </row>
    <row r="1951" spans="11:15">
      <c r="K1951" s="1664">
        <v>44008</v>
      </c>
      <c r="L1951" s="1665" t="s">
        <v>2296</v>
      </c>
      <c r="M1951" s="1666">
        <v>8.4419999999999999E-3</v>
      </c>
      <c r="N1951" s="1667">
        <v>1.600728366544798</v>
      </c>
      <c r="O1951" s="1667"/>
    </row>
    <row r="1952" spans="11:15">
      <c r="K1952" s="1664">
        <v>44009</v>
      </c>
      <c r="L1952" s="1665"/>
      <c r="M1952" s="1666">
        <v>0</v>
      </c>
      <c r="N1952" s="1667">
        <v>1.600728366544798</v>
      </c>
      <c r="O1952" s="1667"/>
    </row>
    <row r="1953" spans="11:15">
      <c r="K1953" s="1664">
        <v>44010</v>
      </c>
      <c r="L1953" s="1665"/>
      <c r="M1953" s="1666">
        <v>0</v>
      </c>
      <c r="N1953" s="1667">
        <v>1.600728366544798</v>
      </c>
      <c r="O1953" s="1667"/>
    </row>
    <row r="1954" spans="11:15">
      <c r="K1954" s="1664">
        <v>44011</v>
      </c>
      <c r="L1954" s="1665" t="s">
        <v>2296</v>
      </c>
      <c r="M1954" s="1666">
        <v>8.4419999999999999E-3</v>
      </c>
      <c r="N1954" s="1667">
        <v>1.6008635000335019</v>
      </c>
      <c r="O1954" s="1667"/>
    </row>
    <row r="1955" spans="11:15">
      <c r="K1955" s="1664">
        <v>44012</v>
      </c>
      <c r="L1955" s="1665" t="s">
        <v>2296</v>
      </c>
      <c r="M1955" s="1666">
        <v>8.4419999999999999E-3</v>
      </c>
      <c r="N1955" s="1667">
        <v>1.6009986449301747</v>
      </c>
      <c r="O1955" s="1667"/>
    </row>
    <row r="1956" spans="11:15">
      <c r="K1956" s="1664">
        <v>44013</v>
      </c>
      <c r="L1956" s="1665" t="s">
        <v>2296</v>
      </c>
      <c r="M1956" s="1666">
        <v>8.4419999999999999E-3</v>
      </c>
      <c r="N1956" s="1667">
        <v>1.6011338012357799</v>
      </c>
      <c r="O1956" s="1667"/>
    </row>
    <row r="1957" spans="11:15">
      <c r="K1957" s="1664">
        <v>44014</v>
      </c>
      <c r="L1957" s="1665" t="s">
        <v>2296</v>
      </c>
      <c r="M1957" s="1666">
        <v>8.4419999999999999E-3</v>
      </c>
      <c r="N1957" s="1667">
        <v>1.6012689689512802</v>
      </c>
      <c r="O1957" s="1667"/>
    </row>
    <row r="1958" spans="11:15">
      <c r="K1958" s="1664">
        <v>44015</v>
      </c>
      <c r="L1958" s="1665" t="s">
        <v>2296</v>
      </c>
      <c r="M1958" s="1666">
        <v>8.4419999999999999E-3</v>
      </c>
      <c r="N1958" s="1667">
        <v>1.6014041480776393</v>
      </c>
      <c r="O1958" s="1667"/>
    </row>
    <row r="1959" spans="11:15">
      <c r="K1959" s="1664">
        <v>44016</v>
      </c>
      <c r="L1959" s="1665"/>
      <c r="M1959" s="1666">
        <v>0</v>
      </c>
      <c r="N1959" s="1667">
        <v>1.6014041480776393</v>
      </c>
      <c r="O1959" s="1667"/>
    </row>
    <row r="1960" spans="11:15">
      <c r="K1960" s="1664">
        <v>44017</v>
      </c>
      <c r="L1960" s="1665"/>
      <c r="M1960" s="1666">
        <v>0</v>
      </c>
      <c r="N1960" s="1667">
        <v>1.6014041480776393</v>
      </c>
      <c r="O1960" s="1667"/>
    </row>
    <row r="1961" spans="11:15">
      <c r="K1961" s="1664">
        <v>44018</v>
      </c>
      <c r="L1961" s="1665" t="s">
        <v>2296</v>
      </c>
      <c r="M1961" s="1666">
        <v>8.4419999999999999E-3</v>
      </c>
      <c r="N1961" s="1667">
        <v>1.6015393386158201</v>
      </c>
      <c r="O1961" s="1667"/>
    </row>
    <row r="1962" spans="11:15">
      <c r="K1962" s="1664">
        <v>44019</v>
      </c>
      <c r="L1962" s="1665" t="s">
        <v>2296</v>
      </c>
      <c r="M1962" s="1666">
        <v>8.4419999999999999E-3</v>
      </c>
      <c r="N1962" s="1667">
        <v>1.6016745405667863</v>
      </c>
      <c r="O1962" s="1667"/>
    </row>
    <row r="1963" spans="11:15">
      <c r="K1963" s="1664">
        <v>44020</v>
      </c>
      <c r="L1963" s="1665" t="s">
        <v>2296</v>
      </c>
      <c r="M1963" s="1666">
        <v>8.4419999999999999E-3</v>
      </c>
      <c r="N1963" s="1667">
        <v>1.601809753931501</v>
      </c>
      <c r="O1963" s="1667"/>
    </row>
    <row r="1964" spans="11:15">
      <c r="K1964" s="1664">
        <v>44021</v>
      </c>
      <c r="L1964" s="1665" t="s">
        <v>2296</v>
      </c>
      <c r="M1964" s="1666">
        <v>8.4419999999999999E-3</v>
      </c>
      <c r="N1964" s="1667">
        <v>1.6019449787109281</v>
      </c>
      <c r="O1964" s="1667"/>
    </row>
    <row r="1965" spans="11:15">
      <c r="K1965" s="1664">
        <v>44022</v>
      </c>
      <c r="L1965" s="1665" t="s">
        <v>2296</v>
      </c>
      <c r="M1965" s="1666">
        <v>8.4419999999999999E-3</v>
      </c>
      <c r="N1965" s="1667">
        <v>1.6020802149060309</v>
      </c>
      <c r="O1965" s="1667"/>
    </row>
    <row r="1966" spans="11:15">
      <c r="K1966" s="1664">
        <v>44023</v>
      </c>
      <c r="L1966" s="1665"/>
      <c r="M1966" s="1666">
        <v>0</v>
      </c>
      <c r="N1966" s="1667">
        <v>1.6020802149060309</v>
      </c>
      <c r="O1966" s="1667"/>
    </row>
    <row r="1967" spans="11:15">
      <c r="K1967" s="1664">
        <v>44024</v>
      </c>
      <c r="L1967" s="1665"/>
      <c r="M1967" s="1666">
        <v>0</v>
      </c>
      <c r="N1967" s="1667">
        <v>1.6020802149060309</v>
      </c>
      <c r="O1967" s="1667"/>
    </row>
    <row r="1968" spans="11:15">
      <c r="K1968" s="1664">
        <v>44025</v>
      </c>
      <c r="L1968" s="1665" t="s">
        <v>2296</v>
      </c>
      <c r="M1968" s="1666">
        <v>8.4419999999999999E-3</v>
      </c>
      <c r="N1968" s="1667">
        <v>1.6022154625177734</v>
      </c>
      <c r="O1968" s="1667"/>
    </row>
    <row r="1969" spans="11:15">
      <c r="K1969" s="1664">
        <v>44026</v>
      </c>
      <c r="L1969" s="1665" t="s">
        <v>2296</v>
      </c>
      <c r="M1969" s="1666">
        <v>8.4419999999999999E-3</v>
      </c>
      <c r="N1969" s="1667">
        <v>1.6023507215471193</v>
      </c>
      <c r="O1969" s="1667"/>
    </row>
    <row r="1970" spans="11:15">
      <c r="K1970" s="1664">
        <v>44027</v>
      </c>
      <c r="L1970" s="1665" t="s">
        <v>2296</v>
      </c>
      <c r="M1970" s="1666">
        <v>8.4419999999999999E-3</v>
      </c>
      <c r="N1970" s="1667">
        <v>1.6024859919950325</v>
      </c>
      <c r="O1970" s="1667"/>
    </row>
    <row r="1971" spans="11:15">
      <c r="K1971" s="1664">
        <v>44028</v>
      </c>
      <c r="L1971" s="1665" t="s">
        <v>2296</v>
      </c>
      <c r="M1971" s="1666">
        <v>8.4419999999999999E-3</v>
      </c>
      <c r="N1971" s="1667">
        <v>1.6026212738624768</v>
      </c>
      <c r="O1971" s="1667"/>
    </row>
    <row r="1972" spans="11:15">
      <c r="K1972" s="1664">
        <v>44029</v>
      </c>
      <c r="L1972" s="1665" t="s">
        <v>2296</v>
      </c>
      <c r="M1972" s="1666">
        <v>8.4419999999999999E-3</v>
      </c>
      <c r="N1972" s="1667">
        <v>1.6027565671504165</v>
      </c>
      <c r="O1972" s="1667"/>
    </row>
    <row r="1973" spans="11:15">
      <c r="K1973" s="1664">
        <v>44030</v>
      </c>
      <c r="L1973" s="1665"/>
      <c r="M1973" s="1666">
        <v>0</v>
      </c>
      <c r="N1973" s="1667">
        <v>1.6027565671504165</v>
      </c>
      <c r="O1973" s="1667"/>
    </row>
    <row r="1974" spans="11:15">
      <c r="K1974" s="1664">
        <v>44031</v>
      </c>
      <c r="L1974" s="1665"/>
      <c r="M1974" s="1666">
        <v>0</v>
      </c>
      <c r="N1974" s="1667">
        <v>1.6027565671504165</v>
      </c>
      <c r="O1974" s="1667"/>
    </row>
    <row r="1975" spans="11:15">
      <c r="K1975" s="1664">
        <v>44032</v>
      </c>
      <c r="L1975" s="1665" t="s">
        <v>2296</v>
      </c>
      <c r="M1975" s="1666">
        <v>8.4419999999999999E-3</v>
      </c>
      <c r="N1975" s="1667">
        <v>1.6028918718598155</v>
      </c>
      <c r="O1975" s="1667"/>
    </row>
    <row r="1976" spans="11:15">
      <c r="K1976" s="1664">
        <v>44033</v>
      </c>
      <c r="L1976" s="1665" t="s">
        <v>2296</v>
      </c>
      <c r="M1976" s="1666">
        <v>8.4419999999999999E-3</v>
      </c>
      <c r="N1976" s="1667">
        <v>1.603027187991638</v>
      </c>
      <c r="O1976" s="1667"/>
    </row>
    <row r="1977" spans="11:15">
      <c r="K1977" s="1664">
        <v>44034</v>
      </c>
      <c r="L1977" s="1665" t="s">
        <v>2296</v>
      </c>
      <c r="M1977" s="1666">
        <v>8.4419999999999999E-3</v>
      </c>
      <c r="N1977" s="1667">
        <v>1.6031625155468483</v>
      </c>
      <c r="O1977" s="1667"/>
    </row>
    <row r="1978" spans="11:15">
      <c r="K1978" s="1664">
        <v>44035</v>
      </c>
      <c r="L1978" s="1665" t="s">
        <v>2296</v>
      </c>
      <c r="M1978" s="1666">
        <v>8.4419999999999999E-3</v>
      </c>
      <c r="N1978" s="1667">
        <v>1.6032978545264109</v>
      </c>
      <c r="O1978" s="1667"/>
    </row>
    <row r="1979" spans="11:15">
      <c r="K1979" s="1664">
        <v>44036</v>
      </c>
      <c r="L1979" s="1665" t="s">
        <v>2296</v>
      </c>
      <c r="M1979" s="1666">
        <v>8.4419999999999999E-3</v>
      </c>
      <c r="N1979" s="1667">
        <v>1.6034332049312903</v>
      </c>
      <c r="O1979" s="1667"/>
    </row>
    <row r="1980" spans="11:15">
      <c r="K1980" s="1664">
        <v>44037</v>
      </c>
      <c r="L1980" s="1665"/>
      <c r="M1980" s="1666">
        <v>0</v>
      </c>
      <c r="N1980" s="1667">
        <v>1.6034332049312903</v>
      </c>
      <c r="O1980" s="1667"/>
    </row>
    <row r="1981" spans="11:15">
      <c r="K1981" s="1664">
        <v>44038</v>
      </c>
      <c r="L1981" s="1665"/>
      <c r="M1981" s="1666">
        <v>0</v>
      </c>
      <c r="N1981" s="1667">
        <v>1.6034332049312903</v>
      </c>
      <c r="O1981" s="1667"/>
    </row>
    <row r="1982" spans="11:15">
      <c r="K1982" s="1664">
        <v>44039</v>
      </c>
      <c r="L1982" s="1665" t="s">
        <v>2296</v>
      </c>
      <c r="M1982" s="1666">
        <v>8.4419999999999999E-3</v>
      </c>
      <c r="N1982" s="1667">
        <v>1.6035685667624506</v>
      </c>
      <c r="O1982" s="1667"/>
    </row>
    <row r="1983" spans="11:15">
      <c r="K1983" s="1664">
        <v>44040</v>
      </c>
      <c r="L1983" s="1665" t="s">
        <v>2296</v>
      </c>
      <c r="M1983" s="1666">
        <v>8.4419999999999999E-3</v>
      </c>
      <c r="N1983" s="1667">
        <v>1.6037039400208568</v>
      </c>
      <c r="O1983" s="1667"/>
    </row>
    <row r="1984" spans="11:15">
      <c r="K1984" s="1664">
        <v>44041</v>
      </c>
      <c r="L1984" s="1665" t="s">
        <v>2296</v>
      </c>
      <c r="M1984" s="1666">
        <v>8.4419999999999999E-3</v>
      </c>
      <c r="N1984" s="1667">
        <v>1.6038393247074736</v>
      </c>
      <c r="O1984" s="1667"/>
    </row>
    <row r="1985" spans="11:15">
      <c r="K1985" s="1664">
        <v>44042</v>
      </c>
      <c r="L1985" s="1665" t="s">
        <v>2296</v>
      </c>
      <c r="M1985" s="1666">
        <v>8.4419999999999999E-3</v>
      </c>
      <c r="N1985" s="1667">
        <v>1.6039747208232655</v>
      </c>
      <c r="O1985" s="1667"/>
    </row>
    <row r="1986" spans="11:15">
      <c r="K1986" s="1664">
        <v>44043</v>
      </c>
      <c r="L1986" s="1665" t="s">
        <v>2296</v>
      </c>
      <c r="M1986" s="1666">
        <v>8.4419999999999999E-3</v>
      </c>
      <c r="N1986" s="1667">
        <v>1.6041101283691976</v>
      </c>
      <c r="O1986" s="1667"/>
    </row>
    <row r="1987" spans="11:15">
      <c r="K1987" s="1664">
        <v>44044</v>
      </c>
      <c r="L1987" s="1665"/>
      <c r="M1987" s="1666">
        <v>0</v>
      </c>
      <c r="N1987" s="1667">
        <v>1.6041101283691976</v>
      </c>
      <c r="O1987" s="1667"/>
    </row>
    <row r="1988" spans="11:15">
      <c r="K1988" s="1664">
        <v>44045</v>
      </c>
      <c r="L1988" s="1665"/>
      <c r="M1988" s="1666">
        <v>0</v>
      </c>
      <c r="N1988" s="1667">
        <v>1.6041101283691976</v>
      </c>
      <c r="O1988" s="1667"/>
    </row>
    <row r="1989" spans="11:15">
      <c r="K1989" s="1664">
        <v>44046</v>
      </c>
      <c r="L1989" s="1665" t="s">
        <v>2296</v>
      </c>
      <c r="M1989" s="1666">
        <v>8.4419999999999999E-3</v>
      </c>
      <c r="N1989" s="1667">
        <v>1.6042455473462347</v>
      </c>
      <c r="O1989" s="1667"/>
    </row>
    <row r="1990" spans="11:15">
      <c r="K1990" s="1664">
        <v>44047</v>
      </c>
      <c r="L1990" s="1665" t="s">
        <v>2296</v>
      </c>
      <c r="M1990" s="1666">
        <v>8.4419999999999999E-3</v>
      </c>
      <c r="N1990" s="1667">
        <v>1.6043809777553417</v>
      </c>
      <c r="O1990" s="1667"/>
    </row>
    <row r="1991" spans="11:15">
      <c r="K1991" s="1664">
        <v>44048</v>
      </c>
      <c r="L1991" s="1665" t="s">
        <v>2296</v>
      </c>
      <c r="M1991" s="1666">
        <v>8.4419999999999999E-3</v>
      </c>
      <c r="N1991" s="1667">
        <v>1.6045164195974839</v>
      </c>
      <c r="O1991" s="1667"/>
    </row>
    <row r="1992" spans="11:15">
      <c r="K1992" s="1664">
        <v>44049</v>
      </c>
      <c r="L1992" s="1665" t="s">
        <v>2296</v>
      </c>
      <c r="M1992" s="1666">
        <v>7.4689999999999999E-3</v>
      </c>
      <c r="N1992" s="1667">
        <v>1.6046362609288636</v>
      </c>
      <c r="O1992" s="1667"/>
    </row>
    <row r="1993" spans="11:15">
      <c r="K1993" s="1664">
        <v>44050</v>
      </c>
      <c r="L1993" s="1665" t="s">
        <v>2296</v>
      </c>
      <c r="M1993" s="1666">
        <v>7.4689999999999999E-3</v>
      </c>
      <c r="N1993" s="1667">
        <v>1.6047561112111923</v>
      </c>
      <c r="O1993" s="1667"/>
    </row>
    <row r="1994" spans="11:15">
      <c r="K1994" s="1664">
        <v>44051</v>
      </c>
      <c r="L1994" s="1665"/>
      <c r="M1994" s="1666">
        <v>0</v>
      </c>
      <c r="N1994" s="1667">
        <v>1.6047561112111923</v>
      </c>
      <c r="O1994" s="1667"/>
    </row>
    <row r="1995" spans="11:15">
      <c r="K1995" s="1664">
        <v>44052</v>
      </c>
      <c r="L1995" s="1665"/>
      <c r="M1995" s="1666">
        <v>0</v>
      </c>
      <c r="N1995" s="1667">
        <v>1.6047561112111923</v>
      </c>
      <c r="O1995" s="1667"/>
    </row>
    <row r="1996" spans="11:15">
      <c r="K1996" s="1664">
        <v>44053</v>
      </c>
      <c r="L1996" s="1665" t="s">
        <v>2296</v>
      </c>
      <c r="M1996" s="1666">
        <v>7.4689999999999999E-3</v>
      </c>
      <c r="N1996" s="1667">
        <v>1.6048759704451385</v>
      </c>
      <c r="O1996" s="1667"/>
    </row>
    <row r="1997" spans="11:15">
      <c r="K1997" s="1664">
        <v>44054</v>
      </c>
      <c r="L1997" s="1665" t="s">
        <v>2296</v>
      </c>
      <c r="M1997" s="1666">
        <v>7.4689999999999999E-3</v>
      </c>
      <c r="N1997" s="1667">
        <v>1.604995838631371</v>
      </c>
      <c r="O1997" s="1667"/>
    </row>
    <row r="1998" spans="11:15">
      <c r="K1998" s="1664">
        <v>44055</v>
      </c>
      <c r="L1998" s="1665" t="s">
        <v>2296</v>
      </c>
      <c r="M1998" s="1666">
        <v>7.4689999999999999E-3</v>
      </c>
      <c r="N1998" s="1667">
        <v>1.6051157157705582</v>
      </c>
      <c r="O1998" s="1667"/>
    </row>
    <row r="1999" spans="11:15">
      <c r="K1999" s="1664">
        <v>44056</v>
      </c>
      <c r="L1999" s="1665" t="s">
        <v>2296</v>
      </c>
      <c r="M1999" s="1666">
        <v>7.4689999999999999E-3</v>
      </c>
      <c r="N1999" s="1667">
        <v>1.6052356018633691</v>
      </c>
      <c r="O1999" s="1667"/>
    </row>
    <row r="2000" spans="11:15">
      <c r="K2000" s="1664">
        <v>44057</v>
      </c>
      <c r="L2000" s="1665" t="s">
        <v>2296</v>
      </c>
      <c r="M2000" s="1666">
        <v>7.4689999999999999E-3</v>
      </c>
      <c r="N2000" s="1667">
        <v>1.6053554969104722</v>
      </c>
      <c r="O2000" s="1667"/>
    </row>
    <row r="2001" spans="11:15">
      <c r="K2001" s="1664">
        <v>44058</v>
      </c>
      <c r="L2001" s="1665"/>
      <c r="M2001" s="1666">
        <v>0</v>
      </c>
      <c r="N2001" s="1667">
        <v>1.6053554969104722</v>
      </c>
      <c r="O2001" s="1667"/>
    </row>
    <row r="2002" spans="11:15">
      <c r="K2002" s="1664">
        <v>44059</v>
      </c>
      <c r="L2002" s="1665"/>
      <c r="M2002" s="1666">
        <v>0</v>
      </c>
      <c r="N2002" s="1667">
        <v>1.6053554969104722</v>
      </c>
      <c r="O2002" s="1667"/>
    </row>
    <row r="2003" spans="11:15">
      <c r="K2003" s="1664">
        <v>44060</v>
      </c>
      <c r="L2003" s="1665" t="s">
        <v>2296</v>
      </c>
      <c r="M2003" s="1666">
        <v>7.4689999999999999E-3</v>
      </c>
      <c r="N2003" s="1667">
        <v>1.6054754009125363</v>
      </c>
      <c r="O2003" s="1667"/>
    </row>
    <row r="2004" spans="11:15">
      <c r="K2004" s="1664">
        <v>44061</v>
      </c>
      <c r="L2004" s="1665" t="s">
        <v>2296</v>
      </c>
      <c r="M2004" s="1666">
        <v>7.4689999999999999E-3</v>
      </c>
      <c r="N2004" s="1667">
        <v>1.6055953138702304</v>
      </c>
      <c r="O2004" s="1667"/>
    </row>
    <row r="2005" spans="11:15">
      <c r="K2005" s="1664">
        <v>44062</v>
      </c>
      <c r="L2005" s="1665" t="s">
        <v>2296</v>
      </c>
      <c r="M2005" s="1666">
        <v>7.4689999999999999E-3</v>
      </c>
      <c r="N2005" s="1667">
        <v>1.6057152357842233</v>
      </c>
      <c r="O2005" s="1667"/>
    </row>
    <row r="2006" spans="11:15">
      <c r="K2006" s="1664">
        <v>44063</v>
      </c>
      <c r="L2006" s="1665" t="s">
        <v>2296</v>
      </c>
      <c r="M2006" s="1666">
        <v>7.4689999999999999E-3</v>
      </c>
      <c r="N2006" s="1667">
        <v>1.6058351666551838</v>
      </c>
      <c r="O2006" s="1667"/>
    </row>
    <row r="2007" spans="11:15">
      <c r="K2007" s="1664">
        <v>44064</v>
      </c>
      <c r="L2007" s="1665" t="s">
        <v>2296</v>
      </c>
      <c r="M2007" s="1666">
        <v>7.4689999999999999E-3</v>
      </c>
      <c r="N2007" s="1667">
        <v>1.6059551064837811</v>
      </c>
      <c r="O2007" s="1667"/>
    </row>
    <row r="2008" spans="11:15">
      <c r="K2008" s="1664">
        <v>44065</v>
      </c>
      <c r="L2008" s="1665"/>
      <c r="M2008" s="1666">
        <v>0</v>
      </c>
      <c r="N2008" s="1667">
        <v>1.6059551064837811</v>
      </c>
      <c r="O2008" s="1667"/>
    </row>
    <row r="2009" spans="11:15">
      <c r="K2009" s="1664">
        <v>44066</v>
      </c>
      <c r="L2009" s="1665"/>
      <c r="M2009" s="1666">
        <v>0</v>
      </c>
      <c r="N2009" s="1667">
        <v>1.6059551064837811</v>
      </c>
      <c r="O2009" s="1667"/>
    </row>
    <row r="2010" spans="11:15">
      <c r="K2010" s="1664">
        <v>44067</v>
      </c>
      <c r="L2010" s="1665" t="s">
        <v>2296</v>
      </c>
      <c r="M2010" s="1666">
        <v>7.4689999999999999E-3</v>
      </c>
      <c r="N2010" s="1667">
        <v>1.6060750552706844</v>
      </c>
      <c r="O2010" s="1667"/>
    </row>
    <row r="2011" spans="11:15">
      <c r="K2011" s="1664">
        <v>44068</v>
      </c>
      <c r="L2011" s="1665" t="s">
        <v>2296</v>
      </c>
      <c r="M2011" s="1666">
        <v>7.4689999999999999E-3</v>
      </c>
      <c r="N2011" s="1667">
        <v>1.6061950130165625</v>
      </c>
      <c r="O2011" s="1667"/>
    </row>
    <row r="2012" spans="11:15">
      <c r="K2012" s="1664">
        <v>44069</v>
      </c>
      <c r="L2012" s="1665" t="s">
        <v>2296</v>
      </c>
      <c r="M2012" s="1666">
        <v>7.4689999999999999E-3</v>
      </c>
      <c r="N2012" s="1667">
        <v>1.6063149797220846</v>
      </c>
      <c r="O2012" s="1667"/>
    </row>
    <row r="2013" spans="11:15">
      <c r="K2013" s="1664">
        <v>44070</v>
      </c>
      <c r="L2013" s="1665" t="s">
        <v>2296</v>
      </c>
      <c r="M2013" s="1666">
        <v>7.4689999999999999E-3</v>
      </c>
      <c r="N2013" s="1667">
        <v>1.60643495538792</v>
      </c>
      <c r="O2013" s="1667"/>
    </row>
    <row r="2014" spans="11:15">
      <c r="K2014" s="1664">
        <v>44071</v>
      </c>
      <c r="L2014" s="1665" t="s">
        <v>2296</v>
      </c>
      <c r="M2014" s="1666">
        <v>7.4689999999999999E-3</v>
      </c>
      <c r="N2014" s="1667">
        <v>1.6065549400147379</v>
      </c>
      <c r="O2014" s="1667"/>
    </row>
    <row r="2015" spans="11:15">
      <c r="K2015" s="1664">
        <v>44072</v>
      </c>
      <c r="L2015" s="1665"/>
      <c r="M2015" s="1666">
        <v>0</v>
      </c>
      <c r="N2015" s="1667">
        <v>1.6065549400147379</v>
      </c>
      <c r="O2015" s="1667"/>
    </row>
    <row r="2016" spans="11:15">
      <c r="K2016" s="1664">
        <v>44073</v>
      </c>
      <c r="L2016" s="1665"/>
      <c r="M2016" s="1666">
        <v>0</v>
      </c>
      <c r="N2016" s="1667">
        <v>1.6065549400147379</v>
      </c>
      <c r="O2016" s="1667"/>
    </row>
    <row r="2017" spans="11:15">
      <c r="K2017" s="1664">
        <v>44074</v>
      </c>
      <c r="L2017" s="1665" t="s">
        <v>2296</v>
      </c>
      <c r="M2017" s="1666">
        <v>7.4689999999999999E-3</v>
      </c>
      <c r="N2017" s="1667">
        <v>1.6066749336032076</v>
      </c>
      <c r="O2017" s="1667"/>
    </row>
    <row r="2018" spans="11:15">
      <c r="K2018" s="1664">
        <v>44075</v>
      </c>
      <c r="L2018" s="1665" t="s">
        <v>2296</v>
      </c>
      <c r="M2018" s="1666">
        <v>7.4689999999999999E-3</v>
      </c>
      <c r="N2018" s="1667">
        <v>1.6067949361539984</v>
      </c>
      <c r="O2018" s="1667"/>
    </row>
    <row r="2019" spans="11:15">
      <c r="K2019" s="1664">
        <v>44076</v>
      </c>
      <c r="L2019" s="1665" t="s">
        <v>2296</v>
      </c>
      <c r="M2019" s="1666">
        <v>7.4689999999999999E-3</v>
      </c>
      <c r="N2019" s="1667">
        <v>1.6069149476677795</v>
      </c>
      <c r="O2019" s="1667"/>
    </row>
    <row r="2020" spans="11:15">
      <c r="K2020" s="1664">
        <v>44077</v>
      </c>
      <c r="L2020" s="1665" t="s">
        <v>2296</v>
      </c>
      <c r="M2020" s="1666">
        <v>7.4689999999999999E-3</v>
      </c>
      <c r="N2020" s="1667">
        <v>1.6070349681452207</v>
      </c>
      <c r="O2020" s="1667"/>
    </row>
    <row r="2021" spans="11:15">
      <c r="K2021" s="1664">
        <v>44078</v>
      </c>
      <c r="L2021" s="1665" t="s">
        <v>2296</v>
      </c>
      <c r="M2021" s="1666">
        <v>7.4689999999999999E-3</v>
      </c>
      <c r="N2021" s="1667">
        <v>1.6071549975869914</v>
      </c>
      <c r="O2021" s="1667"/>
    </row>
    <row r="2022" spans="11:15">
      <c r="K2022" s="1664">
        <v>44079</v>
      </c>
      <c r="L2022" s="1665"/>
      <c r="M2022" s="1666">
        <v>0</v>
      </c>
      <c r="N2022" s="1667">
        <v>1.6071549975869914</v>
      </c>
      <c r="O2022" s="1667"/>
    </row>
    <row r="2023" spans="11:15">
      <c r="K2023" s="1664">
        <v>44080</v>
      </c>
      <c r="L2023" s="1665"/>
      <c r="M2023" s="1666">
        <v>0</v>
      </c>
      <c r="N2023" s="1667">
        <v>1.6071549975869914</v>
      </c>
      <c r="O2023" s="1667"/>
    </row>
    <row r="2024" spans="11:15">
      <c r="K2024" s="1664">
        <v>44081</v>
      </c>
      <c r="L2024" s="1665"/>
      <c r="M2024" s="1666">
        <v>0</v>
      </c>
      <c r="N2024" s="1667">
        <v>1.6071549975869914</v>
      </c>
      <c r="O2024" s="1667"/>
    </row>
    <row r="2025" spans="11:15">
      <c r="K2025" s="1664">
        <v>44082</v>
      </c>
      <c r="L2025" s="1665" t="s">
        <v>2296</v>
      </c>
      <c r="M2025" s="1666">
        <v>7.4689999999999999E-3</v>
      </c>
      <c r="N2025" s="1667">
        <v>1.6072750359937611</v>
      </c>
      <c r="O2025" s="1667"/>
    </row>
    <row r="2026" spans="11:15">
      <c r="K2026" s="1664">
        <v>44083</v>
      </c>
      <c r="L2026" s="1665" t="s">
        <v>2296</v>
      </c>
      <c r="M2026" s="1666">
        <v>7.4689999999999999E-3</v>
      </c>
      <c r="N2026" s="1667">
        <v>1.6073950833661994</v>
      </c>
      <c r="O2026" s="1667"/>
    </row>
    <row r="2027" spans="11:15">
      <c r="K2027" s="1664">
        <v>44084</v>
      </c>
      <c r="L2027" s="1665" t="s">
        <v>2296</v>
      </c>
      <c r="M2027" s="1666">
        <v>7.4689999999999999E-3</v>
      </c>
      <c r="N2027" s="1667">
        <v>1.6075151397049758</v>
      </c>
      <c r="O2027" s="1667"/>
    </row>
    <row r="2028" spans="11:15">
      <c r="K2028" s="1664">
        <v>44085</v>
      </c>
      <c r="L2028" s="1665" t="s">
        <v>2296</v>
      </c>
      <c r="M2028" s="1666">
        <v>7.4689999999999999E-3</v>
      </c>
      <c r="N2028" s="1667">
        <v>1.6076352050107603</v>
      </c>
      <c r="O2028" s="1667"/>
    </row>
    <row r="2029" spans="11:15">
      <c r="K2029" s="1664">
        <v>44086</v>
      </c>
      <c r="L2029" s="1665"/>
      <c r="M2029" s="1666">
        <v>0</v>
      </c>
      <c r="N2029" s="1667">
        <v>1.6076352050107603</v>
      </c>
      <c r="O2029" s="1667"/>
    </row>
    <row r="2030" spans="11:15">
      <c r="K2030" s="1664">
        <v>44087</v>
      </c>
      <c r="L2030" s="1665"/>
      <c r="M2030" s="1666">
        <v>0</v>
      </c>
      <c r="N2030" s="1667">
        <v>1.6076352050107603</v>
      </c>
      <c r="O2030" s="1667"/>
    </row>
    <row r="2031" spans="11:15">
      <c r="K2031" s="1664">
        <v>44088</v>
      </c>
      <c r="L2031" s="1665" t="s">
        <v>2296</v>
      </c>
      <c r="M2031" s="1666">
        <v>7.4689999999999999E-3</v>
      </c>
      <c r="N2031" s="1667">
        <v>1.6077552792842225</v>
      </c>
      <c r="O2031" s="1667"/>
    </row>
    <row r="2032" spans="11:15">
      <c r="K2032" s="1664">
        <v>44089</v>
      </c>
      <c r="L2032" s="1665" t="s">
        <v>2296</v>
      </c>
      <c r="M2032" s="1666">
        <v>7.4689999999999999E-3</v>
      </c>
      <c r="N2032" s="1667">
        <v>1.607875362526032</v>
      </c>
      <c r="O2032" s="1667"/>
    </row>
    <row r="2033" spans="11:15">
      <c r="K2033" s="1664">
        <v>44090</v>
      </c>
      <c r="L2033" s="1665" t="s">
        <v>2296</v>
      </c>
      <c r="M2033" s="1666">
        <v>7.4689999999999999E-3</v>
      </c>
      <c r="N2033" s="1667">
        <v>1.6079954547368589</v>
      </c>
      <c r="O2033" s="1667"/>
    </row>
    <row r="2034" spans="11:15">
      <c r="K2034" s="1664">
        <v>44091</v>
      </c>
      <c r="L2034" s="1665" t="s">
        <v>2296</v>
      </c>
      <c r="M2034" s="1666">
        <v>7.4689999999999999E-3</v>
      </c>
      <c r="N2034" s="1667">
        <v>1.608115555917373</v>
      </c>
      <c r="O2034" s="1667"/>
    </row>
    <row r="2035" spans="11:15">
      <c r="K2035" s="1664">
        <v>44092</v>
      </c>
      <c r="L2035" s="1665" t="s">
        <v>2296</v>
      </c>
      <c r="M2035" s="1666">
        <v>7.4689999999999999E-3</v>
      </c>
      <c r="N2035" s="1667">
        <v>1.6082356660682444</v>
      </c>
      <c r="O2035" s="1667"/>
    </row>
    <row r="2036" spans="11:15">
      <c r="K2036" s="1664">
        <v>44093</v>
      </c>
      <c r="L2036" s="1665"/>
      <c r="M2036" s="1666">
        <v>0</v>
      </c>
      <c r="N2036" s="1667">
        <v>1.6082356660682444</v>
      </c>
      <c r="O2036" s="1667"/>
    </row>
    <row r="2037" spans="11:15">
      <c r="K2037" s="1664">
        <v>44094</v>
      </c>
      <c r="L2037" s="1665"/>
      <c r="M2037" s="1666">
        <v>0</v>
      </c>
      <c r="N2037" s="1667">
        <v>1.6082356660682444</v>
      </c>
      <c r="O2037" s="1667"/>
    </row>
    <row r="2038" spans="11:15">
      <c r="K2038" s="1664">
        <v>44095</v>
      </c>
      <c r="L2038" s="1665" t="s">
        <v>2296</v>
      </c>
      <c r="M2038" s="1666">
        <v>7.4689999999999999E-3</v>
      </c>
      <c r="N2038" s="1667">
        <v>1.6083557851901429</v>
      </c>
      <c r="O2038" s="1667"/>
    </row>
    <row r="2039" spans="11:15">
      <c r="K2039" s="1664">
        <v>44096</v>
      </c>
      <c r="L2039" s="1665" t="s">
        <v>2296</v>
      </c>
      <c r="M2039" s="1666">
        <v>7.4689999999999999E-3</v>
      </c>
      <c r="N2039" s="1667">
        <v>1.6084759132837387</v>
      </c>
      <c r="O2039" s="1667"/>
    </row>
    <row r="2040" spans="11:15">
      <c r="K2040" s="1664">
        <v>44097</v>
      </c>
      <c r="L2040" s="1665" t="s">
        <v>2296</v>
      </c>
      <c r="M2040" s="1666">
        <v>7.4689999999999999E-3</v>
      </c>
      <c r="N2040" s="1667">
        <v>1.6085960503497019</v>
      </c>
      <c r="O2040" s="1667"/>
    </row>
    <row r="2041" spans="11:15">
      <c r="K2041" s="1664">
        <v>44098</v>
      </c>
      <c r="L2041" s="1665" t="s">
        <v>2296</v>
      </c>
      <c r="M2041" s="1666">
        <v>7.4689999999999999E-3</v>
      </c>
      <c r="N2041" s="1667">
        <v>1.6087161963887024</v>
      </c>
      <c r="O2041" s="1667"/>
    </row>
    <row r="2042" spans="11:15">
      <c r="K2042" s="1664">
        <v>44099</v>
      </c>
      <c r="L2042" s="1665" t="s">
        <v>2296</v>
      </c>
      <c r="M2042" s="1666">
        <v>7.4689999999999999E-3</v>
      </c>
      <c r="N2042" s="1667">
        <v>1.6088363514014106</v>
      </c>
      <c r="O2042" s="1667"/>
    </row>
    <row r="2043" spans="11:15">
      <c r="K2043" s="1664">
        <v>44100</v>
      </c>
      <c r="L2043" s="1665"/>
      <c r="M2043" s="1666">
        <v>0</v>
      </c>
      <c r="N2043" s="1667">
        <v>1.6088363514014106</v>
      </c>
      <c r="O2043" s="1667"/>
    </row>
    <row r="2044" spans="11:15">
      <c r="K2044" s="1664">
        <v>44101</v>
      </c>
      <c r="L2044" s="1665"/>
      <c r="M2044" s="1666">
        <v>0</v>
      </c>
      <c r="N2044" s="1667">
        <v>1.6088363514014106</v>
      </c>
      <c r="O2044" s="1667"/>
    </row>
    <row r="2045" spans="11:15">
      <c r="K2045" s="1664">
        <v>44102</v>
      </c>
      <c r="L2045" s="1665" t="s">
        <v>2296</v>
      </c>
      <c r="M2045" s="1666">
        <v>7.4689999999999999E-3</v>
      </c>
      <c r="N2045" s="1667">
        <v>1.6089565153884966</v>
      </c>
      <c r="O2045" s="1667"/>
    </row>
    <row r="2046" spans="11:15">
      <c r="K2046" s="1664">
        <v>44103</v>
      </c>
      <c r="L2046" s="1665" t="s">
        <v>2296</v>
      </c>
      <c r="M2046" s="1666">
        <v>7.4689999999999999E-3</v>
      </c>
      <c r="N2046" s="1667">
        <v>1.6090766883506309</v>
      </c>
      <c r="O2046" s="1667"/>
    </row>
    <row r="2047" spans="11:15">
      <c r="K2047" s="1664">
        <v>44104</v>
      </c>
      <c r="L2047" s="1665" t="s">
        <v>2296</v>
      </c>
      <c r="M2047" s="1666">
        <v>7.4689999999999999E-3</v>
      </c>
      <c r="N2047" s="1667">
        <v>1.6091968702884838</v>
      </c>
      <c r="O2047" s="1667"/>
    </row>
    <row r="2048" spans="11:15">
      <c r="K2048" s="1664">
        <v>44105</v>
      </c>
      <c r="L2048" s="1665" t="s">
        <v>2296</v>
      </c>
      <c r="M2048" s="1666">
        <v>7.4689999999999999E-3</v>
      </c>
      <c r="N2048" s="1667">
        <v>1.6093170612027254</v>
      </c>
      <c r="O2048" s="1667"/>
    </row>
    <row r="2049" spans="11:15">
      <c r="K2049" s="1664">
        <v>44106</v>
      </c>
      <c r="L2049" s="1665" t="s">
        <v>2296</v>
      </c>
      <c r="M2049" s="1666">
        <v>7.4689999999999999E-3</v>
      </c>
      <c r="N2049" s="1667">
        <v>1.6094372610940266</v>
      </c>
      <c r="O2049" s="1667"/>
    </row>
    <row r="2050" spans="11:15">
      <c r="K2050" s="1664">
        <v>44107</v>
      </c>
      <c r="L2050" s="1665"/>
      <c r="M2050" s="1666">
        <v>0</v>
      </c>
      <c r="N2050" s="1667">
        <v>1.6094372610940266</v>
      </c>
      <c r="O2050" s="1667"/>
    </row>
    <row r="2051" spans="11:15">
      <c r="K2051" s="1664">
        <v>44108</v>
      </c>
      <c r="L2051" s="1665"/>
      <c r="M2051" s="1666">
        <v>0</v>
      </c>
      <c r="N2051" s="1667">
        <v>1.6094372610940266</v>
      </c>
      <c r="O2051" s="1667"/>
    </row>
    <row r="2052" spans="11:15">
      <c r="K2052" s="1664">
        <v>44109</v>
      </c>
      <c r="L2052" s="1665" t="s">
        <v>2296</v>
      </c>
      <c r="M2052" s="1666">
        <v>7.4689999999999999E-3</v>
      </c>
      <c r="N2052" s="1667">
        <v>1.6095574699630577</v>
      </c>
      <c r="O2052" s="1667"/>
    </row>
    <row r="2053" spans="11:15">
      <c r="K2053" s="1664">
        <v>44110</v>
      </c>
      <c r="L2053" s="1665" t="s">
        <v>2296</v>
      </c>
      <c r="M2053" s="1666">
        <v>7.4689999999999999E-3</v>
      </c>
      <c r="N2053" s="1667">
        <v>1.609677687810489</v>
      </c>
      <c r="O2053" s="1667"/>
    </row>
    <row r="2054" spans="11:15">
      <c r="K2054" s="1664">
        <v>44111</v>
      </c>
      <c r="L2054" s="1665" t="s">
        <v>2296</v>
      </c>
      <c r="M2054" s="1666">
        <v>7.4689999999999999E-3</v>
      </c>
      <c r="N2054" s="1667">
        <v>1.6097979146369914</v>
      </c>
      <c r="O2054" s="1667"/>
    </row>
    <row r="2055" spans="11:15">
      <c r="K2055" s="1664">
        <v>44112</v>
      </c>
      <c r="L2055" s="1665" t="s">
        <v>2296</v>
      </c>
      <c r="M2055" s="1666">
        <v>7.4689999999999999E-3</v>
      </c>
      <c r="N2055" s="1667">
        <v>1.6099181504432356</v>
      </c>
      <c r="O2055" s="1667"/>
    </row>
    <row r="2056" spans="11:15">
      <c r="K2056" s="1664">
        <v>44113</v>
      </c>
      <c r="L2056" s="1665" t="s">
        <v>2296</v>
      </c>
      <c r="M2056" s="1666">
        <v>7.4689999999999999E-3</v>
      </c>
      <c r="N2056" s="1667">
        <v>1.610038395229892</v>
      </c>
      <c r="O2056" s="1667"/>
    </row>
    <row r="2057" spans="11:15">
      <c r="K2057" s="1664">
        <v>44114</v>
      </c>
      <c r="L2057" s="1665"/>
      <c r="M2057" s="1666">
        <v>0</v>
      </c>
      <c r="N2057" s="1667">
        <v>1.610038395229892</v>
      </c>
      <c r="O2057" s="1667"/>
    </row>
    <row r="2058" spans="11:15">
      <c r="K2058" s="1664">
        <v>44115</v>
      </c>
      <c r="L2058" s="1665"/>
      <c r="M2058" s="1666">
        <v>0</v>
      </c>
      <c r="N2058" s="1667">
        <v>1.610038395229892</v>
      </c>
      <c r="O2058" s="1667"/>
    </row>
    <row r="2059" spans="11:15">
      <c r="K2059" s="1664">
        <v>44116</v>
      </c>
      <c r="L2059" s="1665"/>
      <c r="M2059" s="1666">
        <v>0</v>
      </c>
      <c r="N2059" s="1667">
        <v>1.610038395229892</v>
      </c>
      <c r="O2059" s="1667"/>
    </row>
    <row r="2060" spans="11:15">
      <c r="K2060" s="1664">
        <v>44117</v>
      </c>
      <c r="L2060" s="1665" t="s">
        <v>2296</v>
      </c>
      <c r="M2060" s="1666">
        <v>7.4689999999999999E-3</v>
      </c>
      <c r="N2060" s="1667">
        <v>1.6101586489976316</v>
      </c>
      <c r="O2060" s="1667"/>
    </row>
    <row r="2061" spans="11:15">
      <c r="K2061" s="1664">
        <v>44118</v>
      </c>
      <c r="L2061" s="1665" t="s">
        <v>2296</v>
      </c>
      <c r="M2061" s="1666">
        <v>7.4689999999999999E-3</v>
      </c>
      <c r="N2061" s="1667">
        <v>1.6102789117471252</v>
      </c>
      <c r="O2061" s="1667"/>
    </row>
    <row r="2062" spans="11:15">
      <c r="K2062" s="1664">
        <v>44119</v>
      </c>
      <c r="L2062" s="1665" t="s">
        <v>2296</v>
      </c>
      <c r="M2062" s="1666">
        <v>7.4689999999999999E-3</v>
      </c>
      <c r="N2062" s="1667">
        <v>1.6103991834790434</v>
      </c>
      <c r="O2062" s="1667"/>
    </row>
    <row r="2063" spans="11:15">
      <c r="K2063" s="1664">
        <v>44120</v>
      </c>
      <c r="L2063" s="1665" t="s">
        <v>2296</v>
      </c>
      <c r="M2063" s="1666">
        <v>7.4689999999999999E-3</v>
      </c>
      <c r="N2063" s="1667">
        <v>1.6105194641940574</v>
      </c>
      <c r="O2063" s="1667"/>
    </row>
    <row r="2064" spans="11:15">
      <c r="K2064" s="1664">
        <v>44121</v>
      </c>
      <c r="L2064" s="1665"/>
      <c r="M2064" s="1666">
        <v>0</v>
      </c>
      <c r="N2064" s="1667">
        <v>1.6105194641940574</v>
      </c>
      <c r="O2064" s="1667"/>
    </row>
    <row r="2065" spans="11:15">
      <c r="K2065" s="1664">
        <v>44122</v>
      </c>
      <c r="L2065" s="1665"/>
      <c r="M2065" s="1666">
        <v>0</v>
      </c>
      <c r="N2065" s="1667">
        <v>1.6105194641940574</v>
      </c>
      <c r="O2065" s="1667"/>
    </row>
    <row r="2066" spans="11:15">
      <c r="K2066" s="1664">
        <v>44123</v>
      </c>
      <c r="L2066" s="1665" t="s">
        <v>2296</v>
      </c>
      <c r="M2066" s="1666">
        <v>7.4689999999999999E-3</v>
      </c>
      <c r="N2066" s="1667">
        <v>1.6106397538928381</v>
      </c>
      <c r="O2066" s="1667"/>
    </row>
    <row r="2067" spans="11:15">
      <c r="K2067" s="1664">
        <v>44124</v>
      </c>
      <c r="L2067" s="1665" t="s">
        <v>2296</v>
      </c>
      <c r="M2067" s="1666">
        <v>7.4689999999999999E-3</v>
      </c>
      <c r="N2067" s="1667">
        <v>1.6107600525760561</v>
      </c>
      <c r="O2067" s="1667"/>
    </row>
    <row r="2068" spans="11:15">
      <c r="K2068" s="1664">
        <v>44125</v>
      </c>
      <c r="L2068" s="1665" t="s">
        <v>2296</v>
      </c>
      <c r="M2068" s="1666">
        <v>7.4689999999999999E-3</v>
      </c>
      <c r="N2068" s="1667">
        <v>1.6108803602443829</v>
      </c>
      <c r="O2068" s="1667"/>
    </row>
    <row r="2069" spans="11:15">
      <c r="K2069" s="1664">
        <v>44126</v>
      </c>
      <c r="L2069" s="1665" t="s">
        <v>2296</v>
      </c>
      <c r="M2069" s="1666">
        <v>7.4689999999999999E-3</v>
      </c>
      <c r="N2069" s="1667">
        <v>1.6110006768984895</v>
      </c>
      <c r="O2069" s="1667"/>
    </row>
    <row r="2070" spans="11:15">
      <c r="K2070" s="1664">
        <v>44127</v>
      </c>
      <c r="L2070" s="1665" t="s">
        <v>2296</v>
      </c>
      <c r="M2070" s="1666">
        <v>7.4689999999999999E-3</v>
      </c>
      <c r="N2070" s="1667">
        <v>1.611121002539047</v>
      </c>
      <c r="O2070" s="1667"/>
    </row>
    <row r="2071" spans="11:15">
      <c r="K2071" s="1664">
        <v>44128</v>
      </c>
      <c r="L2071" s="1665"/>
      <c r="M2071" s="1666">
        <v>0</v>
      </c>
      <c r="N2071" s="1667">
        <v>1.611121002539047</v>
      </c>
      <c r="O2071" s="1667"/>
    </row>
    <row r="2072" spans="11:15">
      <c r="K2072" s="1664">
        <v>44129</v>
      </c>
      <c r="L2072" s="1665"/>
      <c r="M2072" s="1666">
        <v>0</v>
      </c>
      <c r="N2072" s="1667">
        <v>1.611121002539047</v>
      </c>
      <c r="O2072" s="1667"/>
    </row>
    <row r="2073" spans="11:15">
      <c r="K2073" s="1664">
        <v>44130</v>
      </c>
      <c r="L2073" s="1665" t="s">
        <v>2296</v>
      </c>
      <c r="M2073" s="1666">
        <v>7.4689999999999999E-3</v>
      </c>
      <c r="N2073" s="1667">
        <v>1.6112413371667265</v>
      </c>
      <c r="O2073" s="1667"/>
    </row>
    <row r="2074" spans="11:15">
      <c r="K2074" s="1664">
        <v>44131</v>
      </c>
      <c r="L2074" s="1665" t="s">
        <v>2296</v>
      </c>
      <c r="M2074" s="1666">
        <v>7.4689999999999999E-3</v>
      </c>
      <c r="N2074" s="1667">
        <v>1.6113616807821993</v>
      </c>
      <c r="O2074" s="1667"/>
    </row>
    <row r="2075" spans="11:15">
      <c r="K2075" s="1664">
        <v>44132</v>
      </c>
      <c r="L2075" s="1665" t="s">
        <v>2296</v>
      </c>
      <c r="M2075" s="1666">
        <v>7.4689999999999999E-3</v>
      </c>
      <c r="N2075" s="1667">
        <v>1.6114820333861368</v>
      </c>
      <c r="O2075" s="1667"/>
    </row>
    <row r="2076" spans="11:15">
      <c r="K2076" s="1664">
        <v>44133</v>
      </c>
      <c r="L2076" s="1665" t="s">
        <v>2296</v>
      </c>
      <c r="M2076" s="1666">
        <v>7.4689999999999999E-3</v>
      </c>
      <c r="N2076" s="1667">
        <v>1.6116023949792104</v>
      </c>
      <c r="O2076" s="1667"/>
    </row>
    <row r="2077" spans="11:15">
      <c r="K2077" s="1664">
        <v>44134</v>
      </c>
      <c r="L2077" s="1665" t="s">
        <v>2296</v>
      </c>
      <c r="M2077" s="1666">
        <v>7.4689999999999999E-3</v>
      </c>
      <c r="N2077" s="1667">
        <v>1.6117227655620914</v>
      </c>
      <c r="O2077" s="1667"/>
    </row>
    <row r="2078" spans="11:15">
      <c r="K2078" s="1664">
        <v>44135</v>
      </c>
      <c r="L2078" s="1665"/>
      <c r="M2078" s="1666">
        <v>0</v>
      </c>
      <c r="N2078" s="1667">
        <v>1.6117227655620914</v>
      </c>
      <c r="O2078" s="1667"/>
    </row>
    <row r="2079" spans="11:15">
      <c r="K2079" s="1664">
        <v>44136</v>
      </c>
      <c r="L2079" s="1665"/>
      <c r="M2079" s="1666">
        <v>0</v>
      </c>
      <c r="N2079" s="1667">
        <v>1.6117227655620914</v>
      </c>
      <c r="O2079" s="1667"/>
    </row>
    <row r="2080" spans="11:15">
      <c r="K2080" s="1664">
        <v>44137</v>
      </c>
      <c r="L2080" s="1665"/>
      <c r="M2080" s="1666">
        <v>0</v>
      </c>
      <c r="N2080" s="1667">
        <v>1.6117227655620914</v>
      </c>
      <c r="O2080" s="1667"/>
    </row>
    <row r="2081" spans="11:15">
      <c r="K2081" s="1664">
        <v>44138</v>
      </c>
      <c r="L2081" s="1665" t="s">
        <v>2296</v>
      </c>
      <c r="M2081" s="1666">
        <v>7.4689999999999999E-3</v>
      </c>
      <c r="N2081" s="1667">
        <v>1.6118431451354511</v>
      </c>
      <c r="O2081" s="1667"/>
    </row>
    <row r="2082" spans="11:15">
      <c r="K2082" s="1664">
        <v>44139</v>
      </c>
      <c r="L2082" s="1665" t="s">
        <v>2296</v>
      </c>
      <c r="M2082" s="1666">
        <v>7.4689999999999999E-3</v>
      </c>
      <c r="N2082" s="1667">
        <v>1.6119635336999611</v>
      </c>
      <c r="O2082" s="1667"/>
    </row>
    <row r="2083" spans="11:15">
      <c r="K2083" s="1664">
        <v>44140</v>
      </c>
      <c r="L2083" s="1665" t="s">
        <v>2296</v>
      </c>
      <c r="M2083" s="1666">
        <v>7.4689999999999999E-3</v>
      </c>
      <c r="N2083" s="1667">
        <v>1.6120839312562931</v>
      </c>
      <c r="O2083" s="1667"/>
    </row>
    <row r="2084" spans="11:15">
      <c r="K2084" s="1664">
        <v>44141</v>
      </c>
      <c r="L2084" s="1665" t="s">
        <v>2296</v>
      </c>
      <c r="M2084" s="1666">
        <v>7.4689999999999999E-3</v>
      </c>
      <c r="N2084" s="1667">
        <v>1.6122043378051185</v>
      </c>
      <c r="O2084" s="1667"/>
    </row>
    <row r="2085" spans="11:15">
      <c r="K2085" s="1664">
        <v>44142</v>
      </c>
      <c r="L2085" s="1665"/>
      <c r="M2085" s="1666">
        <v>0</v>
      </c>
      <c r="N2085" s="1667">
        <v>1.6122043378051185</v>
      </c>
      <c r="O2085" s="1667"/>
    </row>
    <row r="2086" spans="11:15">
      <c r="K2086" s="1664">
        <v>44143</v>
      </c>
      <c r="L2086" s="1665"/>
      <c r="M2086" s="1666">
        <v>0</v>
      </c>
      <c r="N2086" s="1667">
        <v>1.6122043378051185</v>
      </c>
      <c r="O2086" s="1667"/>
    </row>
    <row r="2087" spans="11:15">
      <c r="K2087" s="1664">
        <v>44144</v>
      </c>
      <c r="L2087" s="1665" t="s">
        <v>2296</v>
      </c>
      <c r="M2087" s="1666">
        <v>7.4689999999999999E-3</v>
      </c>
      <c r="N2087" s="1667">
        <v>1.612324753347109</v>
      </c>
      <c r="O2087" s="1667"/>
    </row>
    <row r="2088" spans="11:15">
      <c r="K2088" s="1664">
        <v>44145</v>
      </c>
      <c r="L2088" s="1665" t="s">
        <v>2296</v>
      </c>
      <c r="M2088" s="1666">
        <v>7.4689999999999999E-3</v>
      </c>
      <c r="N2088" s="1667">
        <v>1.6124451778829363</v>
      </c>
      <c r="O2088" s="1667"/>
    </row>
    <row r="2089" spans="11:15">
      <c r="K2089" s="1664">
        <v>44146</v>
      </c>
      <c r="L2089" s="1665" t="s">
        <v>2296</v>
      </c>
      <c r="M2089" s="1666">
        <v>7.4689999999999999E-3</v>
      </c>
      <c r="N2089" s="1667">
        <v>1.6125656114132723</v>
      </c>
      <c r="O2089" s="1667"/>
    </row>
    <row r="2090" spans="11:15">
      <c r="K2090" s="1664">
        <v>44147</v>
      </c>
      <c r="L2090" s="1665" t="s">
        <v>2296</v>
      </c>
      <c r="M2090" s="1666">
        <v>7.4689999999999999E-3</v>
      </c>
      <c r="N2090" s="1667">
        <v>1.6126860539387886</v>
      </c>
      <c r="O2090" s="1667"/>
    </row>
    <row r="2091" spans="11:15">
      <c r="K2091" s="1664">
        <v>44148</v>
      </c>
      <c r="L2091" s="1665" t="s">
        <v>2296</v>
      </c>
      <c r="M2091" s="1666">
        <v>7.4689999999999999E-3</v>
      </c>
      <c r="N2091" s="1667">
        <v>1.6128065054601572</v>
      </c>
      <c r="O2091" s="1667"/>
    </row>
    <row r="2092" spans="11:15">
      <c r="K2092" s="1664">
        <v>44149</v>
      </c>
      <c r="L2092" s="1665"/>
      <c r="M2092" s="1666">
        <v>0</v>
      </c>
      <c r="N2092" s="1667">
        <v>1.6128065054601572</v>
      </c>
      <c r="O2092" s="1667"/>
    </row>
    <row r="2093" spans="11:15">
      <c r="K2093" s="1664">
        <v>44150</v>
      </c>
      <c r="L2093" s="1665"/>
      <c r="M2093" s="1666">
        <v>0</v>
      </c>
      <c r="N2093" s="1667">
        <v>1.6128065054601572</v>
      </c>
      <c r="O2093" s="1667"/>
    </row>
    <row r="2094" spans="11:15">
      <c r="K2094" s="1664">
        <v>44151</v>
      </c>
      <c r="L2094" s="1665" t="s">
        <v>2296</v>
      </c>
      <c r="M2094" s="1666">
        <v>7.4689999999999999E-3</v>
      </c>
      <c r="N2094" s="1667">
        <v>1.6129269659780499</v>
      </c>
      <c r="O2094" s="1667"/>
    </row>
    <row r="2095" spans="11:15">
      <c r="K2095" s="1664">
        <v>44152</v>
      </c>
      <c r="L2095" s="1665" t="s">
        <v>2296</v>
      </c>
      <c r="M2095" s="1666">
        <v>7.4689999999999999E-3</v>
      </c>
      <c r="N2095" s="1667">
        <v>1.6130474354931386</v>
      </c>
      <c r="O2095" s="1667"/>
    </row>
    <row r="2096" spans="11:15">
      <c r="K2096" s="1664">
        <v>44153</v>
      </c>
      <c r="L2096" s="1665" t="s">
        <v>2296</v>
      </c>
      <c r="M2096" s="1666">
        <v>7.4689999999999999E-3</v>
      </c>
      <c r="N2096" s="1667">
        <v>1.6131679140060955</v>
      </c>
      <c r="O2096" s="1667"/>
    </row>
    <row r="2097" spans="11:15">
      <c r="K2097" s="1664">
        <v>44154</v>
      </c>
      <c r="L2097" s="1665" t="s">
        <v>2296</v>
      </c>
      <c r="M2097" s="1666">
        <v>7.4689999999999999E-3</v>
      </c>
      <c r="N2097" s="1667">
        <v>1.6132884015175926</v>
      </c>
      <c r="O2097" s="1667"/>
    </row>
    <row r="2098" spans="11:15">
      <c r="K2098" s="1664">
        <v>44155</v>
      </c>
      <c r="L2098" s="1665" t="s">
        <v>2296</v>
      </c>
      <c r="M2098" s="1666">
        <v>7.4689999999999999E-3</v>
      </c>
      <c r="N2098" s="1667">
        <v>1.6134088980283019</v>
      </c>
      <c r="O2098" s="1667"/>
    </row>
    <row r="2099" spans="11:15">
      <c r="K2099" s="1664">
        <v>44156</v>
      </c>
      <c r="L2099" s="1665"/>
      <c r="M2099" s="1666">
        <v>0</v>
      </c>
      <c r="N2099" s="1667">
        <v>1.6134088980283019</v>
      </c>
      <c r="O2099" s="1667"/>
    </row>
    <row r="2100" spans="11:15">
      <c r="K2100" s="1664">
        <v>44157</v>
      </c>
      <c r="L2100" s="1665"/>
      <c r="M2100" s="1666">
        <v>0</v>
      </c>
      <c r="N2100" s="1667">
        <v>1.6134088980283019</v>
      </c>
      <c r="O2100" s="1667"/>
    </row>
    <row r="2101" spans="11:15">
      <c r="K2101" s="1664">
        <v>44158</v>
      </c>
      <c r="L2101" s="1665" t="s">
        <v>2296</v>
      </c>
      <c r="M2101" s="1666">
        <v>7.4689999999999999E-3</v>
      </c>
      <c r="N2101" s="1667">
        <v>1.6135294035388956</v>
      </c>
      <c r="O2101" s="1667"/>
    </row>
    <row r="2102" spans="11:15">
      <c r="K2102" s="1664">
        <v>44159</v>
      </c>
      <c r="L2102" s="1665" t="s">
        <v>2296</v>
      </c>
      <c r="M2102" s="1666">
        <v>7.4689999999999999E-3</v>
      </c>
      <c r="N2102" s="1667">
        <v>1.6136499180500459</v>
      </c>
      <c r="O2102" s="1667"/>
    </row>
    <row r="2103" spans="11:15">
      <c r="K2103" s="1664">
        <v>44160</v>
      </c>
      <c r="L2103" s="1665" t="s">
        <v>2296</v>
      </c>
      <c r="M2103" s="1666">
        <v>7.4689999999999999E-3</v>
      </c>
      <c r="N2103" s="1667">
        <v>1.613770441562425</v>
      </c>
      <c r="O2103" s="1667"/>
    </row>
    <row r="2104" spans="11:15">
      <c r="K2104" s="1664">
        <v>44161</v>
      </c>
      <c r="L2104" s="1665" t="s">
        <v>2296</v>
      </c>
      <c r="M2104" s="1666">
        <v>7.4689999999999999E-3</v>
      </c>
      <c r="N2104" s="1667">
        <v>1.6138909740767051</v>
      </c>
      <c r="O2104" s="1667"/>
    </row>
    <row r="2105" spans="11:15">
      <c r="K2105" s="1664">
        <v>44162</v>
      </c>
      <c r="L2105" s="1665" t="s">
        <v>2296</v>
      </c>
      <c r="M2105" s="1666">
        <v>7.4689999999999999E-3</v>
      </c>
      <c r="N2105" s="1667">
        <v>1.6140115155935588</v>
      </c>
      <c r="O2105" s="1667"/>
    </row>
    <row r="2106" spans="11:15">
      <c r="K2106" s="1664">
        <v>44163</v>
      </c>
      <c r="L2106" s="1665"/>
      <c r="M2106" s="1666">
        <v>0</v>
      </c>
      <c r="N2106" s="1667">
        <v>1.6140115155935588</v>
      </c>
      <c r="O2106" s="1667"/>
    </row>
    <row r="2107" spans="11:15">
      <c r="K2107" s="1664">
        <v>44164</v>
      </c>
      <c r="L2107" s="1665"/>
      <c r="M2107" s="1666">
        <v>0</v>
      </c>
      <c r="N2107" s="1667">
        <v>1.6140115155935588</v>
      </c>
      <c r="O2107" s="1667"/>
    </row>
    <row r="2108" spans="11:15">
      <c r="K2108" s="1664">
        <v>44165</v>
      </c>
      <c r="L2108" s="1665" t="s">
        <v>2296</v>
      </c>
      <c r="M2108" s="1666">
        <v>7.4689999999999999E-3</v>
      </c>
      <c r="N2108" s="1667">
        <v>1.6141320661136584</v>
      </c>
      <c r="O2108" s="1667"/>
    </row>
    <row r="2109" spans="11:15">
      <c r="K2109" s="1664">
        <v>44166</v>
      </c>
      <c r="L2109" s="1665" t="s">
        <v>2296</v>
      </c>
      <c r="M2109" s="1666">
        <v>7.4689999999999999E-3</v>
      </c>
      <c r="N2109" s="1667">
        <v>1.6142526256376764</v>
      </c>
      <c r="O2109" s="1667"/>
    </row>
    <row r="2110" spans="11:15">
      <c r="K2110" s="1664">
        <v>44167</v>
      </c>
      <c r="L2110" s="1665" t="s">
        <v>2296</v>
      </c>
      <c r="M2110" s="1666">
        <v>7.4689999999999999E-3</v>
      </c>
      <c r="N2110" s="1667">
        <v>1.6143731941662851</v>
      </c>
      <c r="O2110" s="1667"/>
    </row>
    <row r="2111" spans="11:15">
      <c r="K2111" s="1664">
        <v>44168</v>
      </c>
      <c r="L2111" s="1665" t="s">
        <v>2296</v>
      </c>
      <c r="M2111" s="1666">
        <v>7.4689999999999999E-3</v>
      </c>
      <c r="N2111" s="1667">
        <v>1.6144937717001573</v>
      </c>
      <c r="O2111" s="1667"/>
    </row>
    <row r="2112" spans="11:15">
      <c r="K2112" s="1664">
        <v>44169</v>
      </c>
      <c r="L2112" s="1665" t="s">
        <v>2296</v>
      </c>
      <c r="M2112" s="1666">
        <v>7.4689999999999999E-3</v>
      </c>
      <c r="N2112" s="1667">
        <v>1.6146143582399655</v>
      </c>
      <c r="O2112" s="1667"/>
    </row>
    <row r="2113" spans="11:15">
      <c r="K2113" s="1664">
        <v>44170</v>
      </c>
      <c r="L2113" s="1665"/>
      <c r="M2113" s="1666">
        <v>0</v>
      </c>
      <c r="N2113" s="1667">
        <v>1.6146143582399655</v>
      </c>
      <c r="O2113" s="1667"/>
    </row>
    <row r="2114" spans="11:15">
      <c r="K2114" s="1664">
        <v>44171</v>
      </c>
      <c r="L2114" s="1665"/>
      <c r="M2114" s="1666">
        <v>0</v>
      </c>
      <c r="N2114" s="1667">
        <v>1.6146143582399655</v>
      </c>
      <c r="O2114" s="1667"/>
    </row>
    <row r="2115" spans="11:15">
      <c r="K2115" s="1664">
        <v>44172</v>
      </c>
      <c r="L2115" s="1665" t="s">
        <v>2296</v>
      </c>
      <c r="M2115" s="1666">
        <v>7.4689999999999999E-3</v>
      </c>
      <c r="N2115" s="1667">
        <v>1.6147349537863822</v>
      </c>
      <c r="O2115" s="1667"/>
    </row>
    <row r="2116" spans="11:15">
      <c r="K2116" s="1664">
        <v>44173</v>
      </c>
      <c r="L2116" s="1665" t="s">
        <v>2296</v>
      </c>
      <c r="M2116" s="1666">
        <v>7.4689999999999999E-3</v>
      </c>
      <c r="N2116" s="1667">
        <v>1.6148555583400803</v>
      </c>
      <c r="O2116" s="1667"/>
    </row>
    <row r="2117" spans="11:15">
      <c r="K2117" s="1664">
        <v>44174</v>
      </c>
      <c r="L2117" s="1665" t="s">
        <v>2296</v>
      </c>
      <c r="M2117" s="1666">
        <v>7.4689999999999999E-3</v>
      </c>
      <c r="N2117" s="1667">
        <v>1.6149761719017326</v>
      </c>
      <c r="O2117" s="1667"/>
    </row>
    <row r="2118" spans="11:15">
      <c r="K2118" s="1664">
        <v>44175</v>
      </c>
      <c r="L2118" s="1665" t="s">
        <v>2296</v>
      </c>
      <c r="M2118" s="1666">
        <v>7.4689999999999999E-3</v>
      </c>
      <c r="N2118" s="1667">
        <v>1.6150967944720118</v>
      </c>
      <c r="O2118" s="1667"/>
    </row>
    <row r="2119" spans="11:15">
      <c r="K2119" s="1664">
        <v>44176</v>
      </c>
      <c r="L2119" s="1665" t="s">
        <v>2296</v>
      </c>
      <c r="M2119" s="1666">
        <v>7.4689999999999999E-3</v>
      </c>
      <c r="N2119" s="1667">
        <v>1.6152174260515908</v>
      </c>
      <c r="O2119" s="1667"/>
    </row>
    <row r="2120" spans="11:15">
      <c r="K2120" s="1664">
        <v>44177</v>
      </c>
      <c r="L2120" s="1665"/>
      <c r="M2120" s="1666">
        <v>0</v>
      </c>
      <c r="N2120" s="1667">
        <v>1.6152174260515908</v>
      </c>
      <c r="O2120" s="1667"/>
    </row>
    <row r="2121" spans="11:15">
      <c r="K2121" s="1664">
        <v>44178</v>
      </c>
      <c r="L2121" s="1665"/>
      <c r="M2121" s="1666">
        <v>0</v>
      </c>
      <c r="N2121" s="1667">
        <v>1.6152174260515908</v>
      </c>
      <c r="O2121" s="1667"/>
    </row>
    <row r="2122" spans="11:15">
      <c r="K2122" s="1664">
        <v>44179</v>
      </c>
      <c r="L2122" s="1665" t="s">
        <v>2296</v>
      </c>
      <c r="M2122" s="1666">
        <v>7.4689999999999999E-3</v>
      </c>
      <c r="N2122" s="1667">
        <v>1.6153380666411425</v>
      </c>
      <c r="O2122" s="1667"/>
    </row>
    <row r="2123" spans="11:15">
      <c r="K2123" s="1664">
        <v>44180</v>
      </c>
      <c r="L2123" s="1665" t="s">
        <v>2296</v>
      </c>
      <c r="M2123" s="1666">
        <v>7.4689999999999999E-3</v>
      </c>
      <c r="N2123" s="1667">
        <v>1.6154587162413399</v>
      </c>
      <c r="O2123" s="1667"/>
    </row>
    <row r="2124" spans="11:15">
      <c r="K2124" s="1664">
        <v>44181</v>
      </c>
      <c r="L2124" s="1665" t="s">
        <v>2296</v>
      </c>
      <c r="M2124" s="1666">
        <v>7.4689999999999999E-3</v>
      </c>
      <c r="N2124" s="1667">
        <v>1.6155793748528557</v>
      </c>
      <c r="O2124" s="1667"/>
    </row>
    <row r="2125" spans="11:15">
      <c r="K2125" s="1664">
        <v>44182</v>
      </c>
      <c r="L2125" s="1665" t="s">
        <v>2296</v>
      </c>
      <c r="M2125" s="1666">
        <v>7.4689999999999999E-3</v>
      </c>
      <c r="N2125" s="1667">
        <v>1.6157000424763635</v>
      </c>
      <c r="O2125" s="1667"/>
    </row>
    <row r="2126" spans="11:15">
      <c r="K2126" s="1664">
        <v>44183</v>
      </c>
      <c r="L2126" s="1665" t="s">
        <v>2296</v>
      </c>
      <c r="M2126" s="1666">
        <v>7.4689999999999999E-3</v>
      </c>
      <c r="N2126" s="1667">
        <v>1.615820719112536</v>
      </c>
      <c r="O2126" s="1667"/>
    </row>
    <row r="2127" spans="11:15">
      <c r="K2127" s="1664">
        <v>44184</v>
      </c>
      <c r="L2127" s="1665"/>
      <c r="M2127" s="1666">
        <v>0</v>
      </c>
      <c r="N2127" s="1667">
        <v>1.615820719112536</v>
      </c>
      <c r="O2127" s="1667"/>
    </row>
    <row r="2128" spans="11:15">
      <c r="K2128" s="1664">
        <v>44185</v>
      </c>
      <c r="L2128" s="1665"/>
      <c r="M2128" s="1666">
        <v>0</v>
      </c>
      <c r="N2128" s="1667">
        <v>1.615820719112536</v>
      </c>
      <c r="O2128" s="1667"/>
    </row>
    <row r="2129" spans="11:15">
      <c r="K2129" s="1664">
        <v>44186</v>
      </c>
      <c r="L2129" s="1665" t="s">
        <v>2296</v>
      </c>
      <c r="M2129" s="1666">
        <v>7.4689999999999999E-3</v>
      </c>
      <c r="N2129" s="1667">
        <v>1.6159414047620464</v>
      </c>
      <c r="O2129" s="1667"/>
    </row>
    <row r="2130" spans="11:15">
      <c r="K2130" s="1664">
        <v>44187</v>
      </c>
      <c r="L2130" s="1665" t="s">
        <v>2296</v>
      </c>
      <c r="M2130" s="1666">
        <v>7.4689999999999999E-3</v>
      </c>
      <c r="N2130" s="1667">
        <v>1.6160620994255679</v>
      </c>
      <c r="O2130" s="1667"/>
    </row>
    <row r="2131" spans="11:15">
      <c r="K2131" s="1664">
        <v>44188</v>
      </c>
      <c r="L2131" s="1665" t="s">
        <v>2296</v>
      </c>
      <c r="M2131" s="1666">
        <v>7.4689999999999999E-3</v>
      </c>
      <c r="N2131" s="1667">
        <v>1.6161828031037739</v>
      </c>
      <c r="O2131" s="1667"/>
    </row>
    <row r="2132" spans="11:15">
      <c r="K2132" s="1664">
        <v>44189</v>
      </c>
      <c r="L2132" s="1665" t="s">
        <v>2296</v>
      </c>
      <c r="M2132" s="1666">
        <v>7.4689999999999999E-3</v>
      </c>
      <c r="N2132" s="1667">
        <v>1.6163035157973376</v>
      </c>
      <c r="O2132" s="1667"/>
    </row>
    <row r="2133" spans="11:15">
      <c r="K2133" s="1664">
        <v>44190</v>
      </c>
      <c r="L2133" s="1665"/>
      <c r="M2133" s="1666">
        <v>0</v>
      </c>
      <c r="N2133" s="1667">
        <v>1.6163035157973376</v>
      </c>
      <c r="O2133" s="1667"/>
    </row>
    <row r="2134" spans="11:15">
      <c r="K2134" s="1664">
        <v>44191</v>
      </c>
      <c r="L2134" s="1665"/>
      <c r="M2134" s="1666">
        <v>0</v>
      </c>
      <c r="N2134" s="1667">
        <v>1.6163035157973376</v>
      </c>
      <c r="O2134" s="1667"/>
    </row>
    <row r="2135" spans="11:15">
      <c r="K2135" s="1664">
        <v>44192</v>
      </c>
      <c r="L2135" s="1665"/>
      <c r="M2135" s="1666">
        <v>0</v>
      </c>
      <c r="N2135" s="1667">
        <v>1.6163035157973376</v>
      </c>
      <c r="O2135" s="1667"/>
    </row>
    <row r="2136" spans="11:15">
      <c r="K2136" s="1664">
        <v>44193</v>
      </c>
      <c r="L2136" s="1665" t="s">
        <v>2296</v>
      </c>
      <c r="M2136" s="1666">
        <v>7.4689999999999999E-3</v>
      </c>
      <c r="N2136" s="1667">
        <v>1.6164242375069324</v>
      </c>
      <c r="O2136" s="1667"/>
    </row>
    <row r="2137" spans="11:15">
      <c r="K2137" s="1664">
        <v>44194</v>
      </c>
      <c r="L2137" s="1665" t="s">
        <v>2296</v>
      </c>
      <c r="M2137" s="1666">
        <v>7.4689999999999999E-3</v>
      </c>
      <c r="N2137" s="1667">
        <v>1.6165449682332318</v>
      </c>
      <c r="O2137" s="1667"/>
    </row>
    <row r="2138" spans="11:15">
      <c r="K2138" s="1664">
        <v>44195</v>
      </c>
      <c r="L2138" s="1665" t="s">
        <v>2296</v>
      </c>
      <c r="M2138" s="1666">
        <v>7.4689999999999999E-3</v>
      </c>
      <c r="N2138" s="1667">
        <v>1.6166657079769091</v>
      </c>
      <c r="O2138" s="1667"/>
    </row>
    <row r="2139" spans="11:15">
      <c r="K2139" s="1664">
        <v>44196</v>
      </c>
      <c r="L2139" s="1665" t="s">
        <v>2296</v>
      </c>
      <c r="M2139" s="1666">
        <v>7.4689999999999999E-3</v>
      </c>
      <c r="N2139" s="1667">
        <v>1.6167864567386379</v>
      </c>
      <c r="O2139" s="1667"/>
    </row>
    <row r="2140" spans="11:15">
      <c r="K2140" s="1664">
        <v>44197</v>
      </c>
      <c r="L2140" s="1665"/>
      <c r="M2140" s="1666">
        <v>0</v>
      </c>
      <c r="N2140" s="1667">
        <v>1.6167864567386379</v>
      </c>
      <c r="O2140" s="1667"/>
    </row>
    <row r="2141" spans="11:15">
      <c r="K2141" s="1664">
        <v>44198</v>
      </c>
      <c r="L2141" s="1665"/>
      <c r="M2141" s="1666">
        <v>0</v>
      </c>
      <c r="N2141" s="1667">
        <v>1.6167864567386379</v>
      </c>
      <c r="O2141" s="1667"/>
    </row>
    <row r="2142" spans="11:15">
      <c r="K2142" s="1664">
        <v>44199</v>
      </c>
      <c r="L2142" s="1665"/>
      <c r="M2142" s="1666">
        <v>0</v>
      </c>
      <c r="N2142" s="1667">
        <v>1.6167864567386379</v>
      </c>
      <c r="O2142" s="1667"/>
    </row>
    <row r="2143" spans="11:15">
      <c r="K2143" s="1664">
        <v>44200</v>
      </c>
      <c r="L2143" s="1665" t="s">
        <v>2296</v>
      </c>
      <c r="M2143" s="1666">
        <v>7.4689999999999999E-3</v>
      </c>
      <c r="N2143" s="1667">
        <v>1.6169072145190915</v>
      </c>
      <c r="O2143" s="1667"/>
    </row>
    <row r="2144" spans="11:15">
      <c r="K2144" s="1664">
        <v>44201</v>
      </c>
      <c r="L2144" s="1665" t="s">
        <v>2296</v>
      </c>
      <c r="M2144" s="1666">
        <v>7.4689999999999999E-3</v>
      </c>
      <c r="N2144" s="1667">
        <v>1.6170279813189439</v>
      </c>
      <c r="O2144" s="1667"/>
    </row>
    <row r="2145" spans="11:15">
      <c r="K2145" s="1664">
        <v>44202</v>
      </c>
      <c r="L2145" s="1665" t="s">
        <v>2296</v>
      </c>
      <c r="M2145" s="1666">
        <v>7.4689999999999999E-3</v>
      </c>
      <c r="N2145" s="1667">
        <v>1.6171487571388685</v>
      </c>
      <c r="O2145" s="1667"/>
    </row>
    <row r="2146" spans="11:15">
      <c r="K2146" s="1664">
        <v>44203</v>
      </c>
      <c r="L2146" s="1665" t="s">
        <v>2296</v>
      </c>
      <c r="M2146" s="1666">
        <v>7.4689999999999999E-3</v>
      </c>
      <c r="N2146" s="1667">
        <v>1.6172695419795391</v>
      </c>
      <c r="O2146" s="1667"/>
    </row>
    <row r="2147" spans="11:15">
      <c r="K2147" s="1664">
        <v>44204</v>
      </c>
      <c r="L2147" s="1665" t="s">
        <v>2296</v>
      </c>
      <c r="M2147" s="1666">
        <v>7.4689999999999999E-3</v>
      </c>
      <c r="N2147" s="1667">
        <v>1.6173903358416295</v>
      </c>
      <c r="O2147" s="1667"/>
    </row>
    <row r="2148" spans="11:15">
      <c r="K2148" s="1664">
        <v>44205</v>
      </c>
      <c r="L2148" s="1665"/>
      <c r="M2148" s="1666">
        <v>0</v>
      </c>
      <c r="N2148" s="1667">
        <v>1.6173903358416295</v>
      </c>
      <c r="O2148" s="1667"/>
    </row>
    <row r="2149" spans="11:15">
      <c r="K2149" s="1664">
        <v>44206</v>
      </c>
      <c r="L2149" s="1665"/>
      <c r="M2149" s="1666">
        <v>0</v>
      </c>
      <c r="N2149" s="1667">
        <v>1.6173903358416295</v>
      </c>
      <c r="O2149" s="1667"/>
    </row>
    <row r="2150" spans="11:15">
      <c r="K2150" s="1664">
        <v>44207</v>
      </c>
      <c r="L2150" s="1665" t="s">
        <v>2296</v>
      </c>
      <c r="M2150" s="1666">
        <v>7.4689999999999999E-3</v>
      </c>
      <c r="N2150" s="1667">
        <v>1.6175111387258134</v>
      </c>
      <c r="O2150" s="1667"/>
    </row>
    <row r="2151" spans="11:15">
      <c r="K2151" s="1664">
        <v>44208</v>
      </c>
      <c r="L2151" s="1665" t="s">
        <v>2296</v>
      </c>
      <c r="M2151" s="1666">
        <v>7.4689999999999999E-3</v>
      </c>
      <c r="N2151" s="1667">
        <v>1.6176319506327648</v>
      </c>
      <c r="O2151" s="1667"/>
    </row>
    <row r="2152" spans="11:15">
      <c r="K2152" s="1664">
        <v>44209</v>
      </c>
      <c r="L2152" s="1665" t="s">
        <v>2296</v>
      </c>
      <c r="M2152" s="1666">
        <v>7.4689999999999999E-3</v>
      </c>
      <c r="N2152" s="1667">
        <v>1.6177527715631574</v>
      </c>
      <c r="O2152" s="1667"/>
    </row>
    <row r="2153" spans="11:15">
      <c r="K2153" s="1664">
        <v>44210</v>
      </c>
      <c r="L2153" s="1665" t="s">
        <v>2296</v>
      </c>
      <c r="M2153" s="1666">
        <v>7.4689999999999999E-3</v>
      </c>
      <c r="N2153" s="1667">
        <v>1.6178736015176653</v>
      </c>
      <c r="O2153" s="1667"/>
    </row>
    <row r="2154" spans="11:15">
      <c r="K2154" s="1664">
        <v>44211</v>
      </c>
      <c r="L2154" s="1665" t="s">
        <v>2296</v>
      </c>
      <c r="M2154" s="1666">
        <v>7.4689999999999999E-3</v>
      </c>
      <c r="N2154" s="1667">
        <v>1.6179944404969626</v>
      </c>
      <c r="O2154" s="1667"/>
    </row>
    <row r="2155" spans="11:15">
      <c r="K2155" s="1664">
        <v>44212</v>
      </c>
      <c r="L2155" s="1665"/>
      <c r="M2155" s="1666">
        <v>0</v>
      </c>
      <c r="N2155" s="1667">
        <v>1.6179944404969626</v>
      </c>
      <c r="O2155" s="1667"/>
    </row>
    <row r="2156" spans="11:15">
      <c r="K2156" s="1664">
        <v>44213</v>
      </c>
      <c r="L2156" s="1665"/>
      <c r="M2156" s="1666">
        <v>0</v>
      </c>
      <c r="N2156" s="1667">
        <v>1.6179944404969626</v>
      </c>
      <c r="O2156" s="1667"/>
    </row>
    <row r="2157" spans="11:15">
      <c r="K2157" s="1664">
        <v>44214</v>
      </c>
      <c r="L2157" s="1665" t="s">
        <v>2296</v>
      </c>
      <c r="M2157" s="1666">
        <v>7.4689999999999999E-3</v>
      </c>
      <c r="N2157" s="1667">
        <v>1.6181152885017231</v>
      </c>
      <c r="O2157" s="1667"/>
    </row>
    <row r="2158" spans="11:15">
      <c r="K2158" s="1664">
        <v>44215</v>
      </c>
      <c r="L2158" s="1665" t="s">
        <v>2296</v>
      </c>
      <c r="M2158" s="1666">
        <v>7.4689999999999999E-3</v>
      </c>
      <c r="N2158" s="1667">
        <v>1.6182361455326213</v>
      </c>
      <c r="O2158" s="1667"/>
    </row>
    <row r="2159" spans="11:15">
      <c r="K2159" s="1664">
        <v>44216</v>
      </c>
      <c r="L2159" s="1665" t="s">
        <v>2296</v>
      </c>
      <c r="M2159" s="1666">
        <v>7.4689999999999999E-3</v>
      </c>
      <c r="N2159" s="1667">
        <v>1.618357011590331</v>
      </c>
      <c r="O2159" s="1667"/>
    </row>
    <row r="2160" spans="11:15">
      <c r="K2160" s="1664">
        <v>44217</v>
      </c>
      <c r="L2160" s="1665" t="s">
        <v>2296</v>
      </c>
      <c r="M2160" s="1666">
        <v>7.4689999999999999E-3</v>
      </c>
      <c r="N2160" s="1667">
        <v>1.6184778866755265</v>
      </c>
      <c r="O2160" s="1667"/>
    </row>
    <row r="2161" spans="11:15">
      <c r="K2161" s="1664">
        <v>44218</v>
      </c>
      <c r="L2161" s="1665" t="s">
        <v>2296</v>
      </c>
      <c r="M2161" s="1666">
        <v>7.4689999999999999E-3</v>
      </c>
      <c r="N2161" s="1667">
        <v>1.6185987707888823</v>
      </c>
      <c r="O2161" s="1667"/>
    </row>
    <row r="2162" spans="11:15">
      <c r="K2162" s="1664">
        <v>44219</v>
      </c>
      <c r="L2162" s="1665"/>
      <c r="M2162" s="1666">
        <v>0</v>
      </c>
      <c r="N2162" s="1667">
        <v>1.6185987707888823</v>
      </c>
      <c r="O2162" s="1667"/>
    </row>
    <row r="2163" spans="11:15">
      <c r="K2163" s="1664">
        <v>44220</v>
      </c>
      <c r="L2163" s="1665"/>
      <c r="M2163" s="1666">
        <v>0</v>
      </c>
      <c r="N2163" s="1667">
        <v>1.6185987707888823</v>
      </c>
      <c r="O2163" s="1667"/>
    </row>
    <row r="2164" spans="11:15">
      <c r="K2164" s="1664">
        <v>44221</v>
      </c>
      <c r="L2164" s="1665" t="s">
        <v>2296</v>
      </c>
      <c r="M2164" s="1666">
        <v>7.4689999999999999E-3</v>
      </c>
      <c r="N2164" s="1667">
        <v>1.6187196639310724</v>
      </c>
      <c r="O2164" s="1667"/>
    </row>
    <row r="2165" spans="11:15">
      <c r="K2165" s="1664">
        <v>44222</v>
      </c>
      <c r="L2165" s="1665" t="s">
        <v>2296</v>
      </c>
      <c r="M2165" s="1666">
        <v>7.4689999999999999E-3</v>
      </c>
      <c r="N2165" s="1667">
        <v>1.6188405661027712</v>
      </c>
      <c r="O2165" s="1667"/>
    </row>
    <row r="2166" spans="11:15">
      <c r="K2166" s="1664">
        <v>44223</v>
      </c>
      <c r="L2166" s="1665" t="s">
        <v>2296</v>
      </c>
      <c r="M2166" s="1666">
        <v>7.4689999999999999E-3</v>
      </c>
      <c r="N2166" s="1667">
        <v>1.6189614773046532</v>
      </c>
      <c r="O2166" s="1667"/>
    </row>
    <row r="2167" spans="11:15">
      <c r="K2167" s="1664">
        <v>44224</v>
      </c>
      <c r="L2167" s="1665" t="s">
        <v>2296</v>
      </c>
      <c r="M2167" s="1666">
        <v>7.4689999999999999E-3</v>
      </c>
      <c r="N2167" s="1667">
        <v>1.6190823975373929</v>
      </c>
      <c r="O2167" s="1667"/>
    </row>
    <row r="2168" spans="11:15">
      <c r="K2168" s="1664">
        <v>44225</v>
      </c>
      <c r="L2168" s="1665" t="s">
        <v>2296</v>
      </c>
      <c r="M2168" s="1666">
        <v>7.4689999999999999E-3</v>
      </c>
      <c r="N2168" s="1667">
        <v>1.6192033268016648</v>
      </c>
      <c r="O2168" s="1667"/>
    </row>
    <row r="2169" spans="11:15">
      <c r="K2169" s="1664">
        <v>44226</v>
      </c>
      <c r="L2169" s="1665"/>
      <c r="M2169" s="1666">
        <v>0</v>
      </c>
      <c r="N2169" s="1667">
        <v>1.6192033268016648</v>
      </c>
      <c r="O2169" s="1667"/>
    </row>
    <row r="2170" spans="11:15">
      <c r="K2170" s="1664">
        <v>44227</v>
      </c>
      <c r="L2170" s="1665"/>
      <c r="M2170" s="1666">
        <v>0</v>
      </c>
      <c r="N2170" s="1667">
        <v>1.6192033268016648</v>
      </c>
      <c r="O2170" s="1667"/>
    </row>
    <row r="2171" spans="11:15">
      <c r="K2171" s="1664">
        <v>44228</v>
      </c>
      <c r="L2171" s="1665" t="s">
        <v>2296</v>
      </c>
      <c r="M2171" s="1666">
        <v>7.4689999999999999E-3</v>
      </c>
      <c r="N2171" s="1667">
        <v>1.6193242650981434</v>
      </c>
      <c r="O2171" s="1667"/>
    </row>
    <row r="2172" spans="11:15">
      <c r="K2172" s="1664">
        <v>44229</v>
      </c>
      <c r="L2172" s="1665" t="s">
        <v>2296</v>
      </c>
      <c r="M2172" s="1666">
        <v>7.4689999999999999E-3</v>
      </c>
      <c r="N2172" s="1667">
        <v>1.6194452124275034</v>
      </c>
      <c r="O2172" s="1667"/>
    </row>
    <row r="2173" spans="11:15">
      <c r="K2173" s="1664">
        <v>44230</v>
      </c>
      <c r="L2173" s="1665" t="s">
        <v>2296</v>
      </c>
      <c r="M2173" s="1666">
        <v>7.4689999999999999E-3</v>
      </c>
      <c r="N2173" s="1667">
        <v>1.6195661687904195</v>
      </c>
      <c r="O2173" s="1667"/>
    </row>
    <row r="2174" spans="11:15">
      <c r="K2174" s="1664">
        <v>44231</v>
      </c>
      <c r="L2174" s="1665" t="s">
        <v>2296</v>
      </c>
      <c r="M2174" s="1666">
        <v>7.4689999999999999E-3</v>
      </c>
      <c r="N2174" s="1667">
        <v>1.6196871341875663</v>
      </c>
      <c r="O2174" s="1667"/>
    </row>
    <row r="2175" spans="11:15">
      <c r="K2175" s="1664">
        <v>44232</v>
      </c>
      <c r="L2175" s="1665" t="s">
        <v>2296</v>
      </c>
      <c r="M2175" s="1666">
        <v>7.4689999999999999E-3</v>
      </c>
      <c r="N2175" s="1667">
        <v>1.6198081086196185</v>
      </c>
      <c r="O2175" s="1667"/>
    </row>
    <row r="2176" spans="11:15">
      <c r="K2176" s="1664">
        <v>44233</v>
      </c>
      <c r="L2176" s="1665"/>
      <c r="M2176" s="1666">
        <v>0</v>
      </c>
      <c r="N2176" s="1667">
        <v>1.6198081086196185</v>
      </c>
      <c r="O2176" s="1667"/>
    </row>
    <row r="2177" spans="11:15">
      <c r="K2177" s="1664">
        <v>44234</v>
      </c>
      <c r="L2177" s="1665"/>
      <c r="M2177" s="1666">
        <v>0</v>
      </c>
      <c r="N2177" s="1667">
        <v>1.6198081086196185</v>
      </c>
      <c r="O2177" s="1667"/>
    </row>
    <row r="2178" spans="11:15">
      <c r="K2178" s="1664">
        <v>44235</v>
      </c>
      <c r="L2178" s="1665" t="s">
        <v>2296</v>
      </c>
      <c r="M2178" s="1666">
        <v>7.4689999999999999E-3</v>
      </c>
      <c r="N2178" s="1667">
        <v>1.6199290920872513</v>
      </c>
      <c r="O2178" s="1667"/>
    </row>
    <row r="2179" spans="11:15">
      <c r="K2179" s="1664">
        <v>44236</v>
      </c>
      <c r="L2179" s="1665" t="s">
        <v>2296</v>
      </c>
      <c r="M2179" s="1666">
        <v>7.4689999999999999E-3</v>
      </c>
      <c r="N2179" s="1667">
        <v>1.6200500845911392</v>
      </c>
      <c r="O2179" s="1667"/>
    </row>
    <row r="2180" spans="11:15">
      <c r="K2180" s="1664">
        <v>44237</v>
      </c>
      <c r="L2180" s="1665" t="s">
        <v>2296</v>
      </c>
      <c r="M2180" s="1666">
        <v>7.4689999999999999E-3</v>
      </c>
      <c r="N2180" s="1667">
        <v>1.6201710861319571</v>
      </c>
      <c r="O2180" s="1667"/>
    </row>
    <row r="2181" spans="11:15">
      <c r="K2181" s="1664">
        <v>44238</v>
      </c>
      <c r="L2181" s="1665" t="s">
        <v>2296</v>
      </c>
      <c r="M2181" s="1666">
        <v>7.4689999999999999E-3</v>
      </c>
      <c r="N2181" s="1667">
        <v>1.6202920967103802</v>
      </c>
      <c r="O2181" s="1667"/>
    </row>
    <row r="2182" spans="11:15">
      <c r="K2182" s="1664">
        <v>44239</v>
      </c>
      <c r="L2182" s="1665" t="s">
        <v>2296</v>
      </c>
      <c r="M2182" s="1666">
        <v>7.4689999999999999E-3</v>
      </c>
      <c r="N2182" s="1667">
        <v>1.6204131163270834</v>
      </c>
      <c r="O2182" s="1667"/>
    </row>
    <row r="2183" spans="11:15">
      <c r="K2183" s="1664">
        <v>44240</v>
      </c>
      <c r="L2183" s="1665"/>
      <c r="M2183" s="1666">
        <v>0</v>
      </c>
      <c r="N2183" s="1667">
        <v>1.6204131163270834</v>
      </c>
      <c r="O2183" s="1667"/>
    </row>
    <row r="2184" spans="11:15">
      <c r="K2184" s="1664">
        <v>44241</v>
      </c>
      <c r="L2184" s="1665"/>
      <c r="M2184" s="1666">
        <v>0</v>
      </c>
      <c r="N2184" s="1667">
        <v>1.6204131163270834</v>
      </c>
      <c r="O2184" s="1667"/>
    </row>
    <row r="2185" spans="11:15">
      <c r="K2185" s="1664">
        <v>44242</v>
      </c>
      <c r="L2185" s="1665"/>
      <c r="M2185" s="1666">
        <v>0</v>
      </c>
      <c r="N2185" s="1667">
        <v>1.6204131163270834</v>
      </c>
      <c r="O2185" s="1667"/>
    </row>
    <row r="2186" spans="11:15">
      <c r="K2186" s="1664">
        <v>44243</v>
      </c>
      <c r="L2186" s="1665"/>
      <c r="M2186" s="1666">
        <v>0</v>
      </c>
      <c r="N2186" s="1667">
        <v>1.6204131163270834</v>
      </c>
      <c r="O2186" s="1667"/>
    </row>
    <row r="2187" spans="11:15">
      <c r="K2187" s="1664">
        <v>44244</v>
      </c>
      <c r="L2187" s="1665" t="s">
        <v>2296</v>
      </c>
      <c r="M2187" s="1666">
        <v>7.4689999999999999E-3</v>
      </c>
      <c r="N2187" s="1667">
        <v>1.6205341449827417</v>
      </c>
      <c r="O2187" s="1667"/>
    </row>
    <row r="2188" spans="11:15">
      <c r="K2188" s="1664">
        <v>44245</v>
      </c>
      <c r="L2188" s="1665" t="s">
        <v>2296</v>
      </c>
      <c r="M2188" s="1666">
        <v>7.4689999999999999E-3</v>
      </c>
      <c r="N2188" s="1667">
        <v>1.6206551826780304</v>
      </c>
      <c r="O2188" s="1667"/>
    </row>
    <row r="2189" spans="11:15">
      <c r="K2189" s="1664">
        <v>44246</v>
      </c>
      <c r="L2189" s="1665" t="s">
        <v>2296</v>
      </c>
      <c r="M2189" s="1666">
        <v>7.4689999999999999E-3</v>
      </c>
      <c r="N2189" s="1667">
        <v>1.6207762294136245</v>
      </c>
      <c r="O2189" s="1667"/>
    </row>
    <row r="2190" spans="11:15">
      <c r="K2190" s="1664">
        <v>44247</v>
      </c>
      <c r="L2190" s="1665"/>
      <c r="M2190" s="1666">
        <v>0</v>
      </c>
      <c r="N2190" s="1667">
        <v>1.6207762294136245</v>
      </c>
      <c r="O2190" s="1667"/>
    </row>
    <row r="2191" spans="11:15">
      <c r="K2191" s="1664">
        <v>44248</v>
      </c>
      <c r="L2191" s="1665"/>
      <c r="M2191" s="1666">
        <v>0</v>
      </c>
      <c r="N2191" s="1667">
        <v>1.6207762294136245</v>
      </c>
      <c r="O2191" s="1667"/>
    </row>
    <row r="2192" spans="11:15">
      <c r="K2192" s="1664">
        <v>44249</v>
      </c>
      <c r="L2192" s="1665" t="s">
        <v>2296</v>
      </c>
      <c r="M2192" s="1666">
        <v>7.4689999999999999E-3</v>
      </c>
      <c r="N2192" s="1667">
        <v>1.6208972851901993</v>
      </c>
      <c r="O2192" s="1667"/>
    </row>
    <row r="2193" spans="11:15">
      <c r="K2193" s="1664">
        <v>44250</v>
      </c>
      <c r="L2193" s="1665" t="s">
        <v>2296</v>
      </c>
      <c r="M2193" s="1666">
        <v>7.4689999999999999E-3</v>
      </c>
      <c r="N2193" s="1667">
        <v>1.6210183500084301</v>
      </c>
      <c r="O2193" s="1667"/>
    </row>
    <row r="2194" spans="11:15">
      <c r="K2194" s="1664">
        <v>44251</v>
      </c>
      <c r="L2194" s="1665" t="s">
        <v>2296</v>
      </c>
      <c r="M2194" s="1666">
        <v>7.4689999999999999E-3</v>
      </c>
      <c r="N2194" s="1667">
        <v>1.621139423868992</v>
      </c>
      <c r="O2194" s="1667"/>
    </row>
    <row r="2195" spans="11:15">
      <c r="K2195" s="1664">
        <v>44252</v>
      </c>
      <c r="L2195" s="1665" t="s">
        <v>2296</v>
      </c>
      <c r="M2195" s="1666">
        <v>7.4689999999999999E-3</v>
      </c>
      <c r="N2195" s="1667">
        <v>1.6212605067725607</v>
      </c>
      <c r="O2195" s="1667"/>
    </row>
    <row r="2196" spans="11:15">
      <c r="K2196" s="1664">
        <v>44253</v>
      </c>
      <c r="L2196" s="1665" t="s">
        <v>2296</v>
      </c>
      <c r="M2196" s="1666">
        <v>7.4689999999999999E-3</v>
      </c>
      <c r="N2196" s="1667">
        <v>1.6213815987198115</v>
      </c>
      <c r="O2196" s="1667"/>
    </row>
    <row r="2197" spans="11:15">
      <c r="K2197" s="1664">
        <v>44254</v>
      </c>
      <c r="L2197" s="1665"/>
      <c r="M2197" s="1666">
        <v>0</v>
      </c>
      <c r="N2197" s="1667">
        <v>1.6213815987198115</v>
      </c>
      <c r="O2197" s="1667"/>
    </row>
    <row r="2198" spans="11:15">
      <c r="K2198" s="1664">
        <v>44255</v>
      </c>
      <c r="L2198" s="1665"/>
      <c r="M2198" s="1666">
        <v>0</v>
      </c>
      <c r="N2198" s="1667">
        <v>1.6213815987198115</v>
      </c>
      <c r="O2198" s="1667"/>
    </row>
    <row r="2199" spans="11:15">
      <c r="K2199" s="1664">
        <v>44256</v>
      </c>
      <c r="L2199" s="1665" t="s">
        <v>2296</v>
      </c>
      <c r="M2199" s="1666">
        <v>7.4689999999999999E-3</v>
      </c>
      <c r="N2199" s="1667">
        <v>1.6215026997114197</v>
      </c>
      <c r="O2199" s="1667"/>
    </row>
    <row r="2200" spans="11:15">
      <c r="K2200" s="1664">
        <v>44257</v>
      </c>
      <c r="L2200" s="1665" t="s">
        <v>2296</v>
      </c>
      <c r="M2200" s="1666">
        <v>7.4689999999999999E-3</v>
      </c>
      <c r="N2200" s="1667">
        <v>1.6216238097480611</v>
      </c>
      <c r="O2200" s="1667"/>
    </row>
    <row r="2201" spans="11:15">
      <c r="K2201" s="1664">
        <v>44258</v>
      </c>
      <c r="L2201" s="1665" t="s">
        <v>2296</v>
      </c>
      <c r="M2201" s="1666">
        <v>7.4689999999999999E-3</v>
      </c>
      <c r="N2201" s="1667">
        <v>1.6217449288304111</v>
      </c>
      <c r="O2201" s="1667"/>
    </row>
    <row r="2202" spans="11:15">
      <c r="K2202" s="1664">
        <v>44259</v>
      </c>
      <c r="L2202" s="1665" t="s">
        <v>2296</v>
      </c>
      <c r="M2202" s="1666">
        <v>7.4689999999999999E-3</v>
      </c>
      <c r="N2202" s="1667">
        <v>1.6218660569591454</v>
      </c>
      <c r="O2202" s="1667"/>
    </row>
    <row r="2203" spans="11:15">
      <c r="K2203" s="1664">
        <v>44260</v>
      </c>
      <c r="L2203" s="1665" t="s">
        <v>2296</v>
      </c>
      <c r="M2203" s="1666">
        <v>7.4689999999999999E-3</v>
      </c>
      <c r="N2203" s="1667">
        <v>1.6219871941349395</v>
      </c>
      <c r="O2203" s="1667"/>
    </row>
    <row r="2204" spans="11:15">
      <c r="K2204" s="1664">
        <v>44261</v>
      </c>
      <c r="L2204" s="1665"/>
      <c r="M2204" s="1666">
        <v>0</v>
      </c>
      <c r="N2204" s="1667">
        <v>1.6219871941349395</v>
      </c>
      <c r="O2204" s="1667"/>
    </row>
    <row r="2205" spans="11:15">
      <c r="K2205" s="1664">
        <v>44262</v>
      </c>
      <c r="L2205" s="1665"/>
      <c r="M2205" s="1666">
        <v>0</v>
      </c>
      <c r="N2205" s="1667">
        <v>1.6219871941349395</v>
      </c>
      <c r="O2205" s="1667"/>
    </row>
    <row r="2206" spans="11:15">
      <c r="K2206" s="1664">
        <v>44263</v>
      </c>
      <c r="L2206" s="1665" t="s">
        <v>2296</v>
      </c>
      <c r="M2206" s="1666">
        <v>7.4689999999999999E-3</v>
      </c>
      <c r="N2206" s="1667">
        <v>1.6221083403584693</v>
      </c>
      <c r="O2206" s="1667"/>
    </row>
    <row r="2207" spans="11:15">
      <c r="K2207" s="1664">
        <v>44264</v>
      </c>
      <c r="L2207" s="1665" t="s">
        <v>2296</v>
      </c>
      <c r="M2207" s="1666">
        <v>7.4689999999999999E-3</v>
      </c>
      <c r="N2207" s="1667">
        <v>1.6222294956304106</v>
      </c>
      <c r="O2207" s="1667"/>
    </row>
    <row r="2208" spans="11:15">
      <c r="K2208" s="1664">
        <v>44265</v>
      </c>
      <c r="L2208" s="1665" t="s">
        <v>2296</v>
      </c>
      <c r="M2208" s="1666">
        <v>7.4689999999999999E-3</v>
      </c>
      <c r="N2208" s="1667">
        <v>1.6223506599514392</v>
      </c>
      <c r="O2208" s="1667"/>
    </row>
    <row r="2209" spans="11:15">
      <c r="K2209" s="1664">
        <v>44266</v>
      </c>
      <c r="L2209" s="1665" t="s">
        <v>2296</v>
      </c>
      <c r="M2209" s="1666">
        <v>7.4689999999999999E-3</v>
      </c>
      <c r="N2209" s="1667">
        <v>1.622471833322231</v>
      </c>
      <c r="O2209" s="1667"/>
    </row>
    <row r="2210" spans="11:15">
      <c r="K2210" s="1664">
        <v>44267</v>
      </c>
      <c r="L2210" s="1665" t="s">
        <v>2296</v>
      </c>
      <c r="M2210" s="1666">
        <v>7.4689999999999999E-3</v>
      </c>
      <c r="N2210" s="1667">
        <v>1.6225930157434618</v>
      </c>
      <c r="O2210" s="1667"/>
    </row>
    <row r="2211" spans="11:15">
      <c r="K2211" s="1664">
        <v>44268</v>
      </c>
      <c r="L2211" s="1665"/>
      <c r="M2211" s="1666">
        <v>0</v>
      </c>
      <c r="N2211" s="1667">
        <v>1.6225930157434618</v>
      </c>
      <c r="O2211" s="1667"/>
    </row>
    <row r="2212" spans="11:15">
      <c r="K2212" s="1664">
        <v>44269</v>
      </c>
      <c r="L2212" s="1665"/>
      <c r="M2212" s="1666">
        <v>0</v>
      </c>
      <c r="N2212" s="1667">
        <v>1.6225930157434618</v>
      </c>
      <c r="O2212" s="1667"/>
    </row>
    <row r="2213" spans="11:15">
      <c r="K2213" s="1664">
        <v>44270</v>
      </c>
      <c r="L2213" s="1665" t="s">
        <v>2296</v>
      </c>
      <c r="M2213" s="1666">
        <v>7.4689999999999999E-3</v>
      </c>
      <c r="N2213" s="1667">
        <v>1.6227142072158076</v>
      </c>
      <c r="O2213" s="1667"/>
    </row>
    <row r="2214" spans="11:15">
      <c r="K2214" s="1664">
        <v>44271</v>
      </c>
      <c r="L2214" s="1665" t="s">
        <v>2296</v>
      </c>
      <c r="M2214" s="1666">
        <v>7.4689999999999999E-3</v>
      </c>
      <c r="N2214" s="1667">
        <v>1.6228354077399445</v>
      </c>
      <c r="O2214" s="1667"/>
    </row>
    <row r="2215" spans="11:15">
      <c r="K2215" s="1664">
        <v>44272</v>
      </c>
      <c r="L2215" s="1665" t="s">
        <v>2296</v>
      </c>
      <c r="M2215" s="1666">
        <v>7.4689999999999999E-3</v>
      </c>
      <c r="N2215" s="1667">
        <v>1.6229566173165484</v>
      </c>
      <c r="O2215" s="1667"/>
    </row>
    <row r="2216" spans="11:15">
      <c r="K2216" s="1664">
        <v>44273</v>
      </c>
      <c r="L2216" s="1665" t="s">
        <v>2296</v>
      </c>
      <c r="M2216" s="1666">
        <v>1.0378999999999999E-2</v>
      </c>
      <c r="N2216" s="1667">
        <v>1.6231250639838597</v>
      </c>
      <c r="O2216" s="1667"/>
    </row>
    <row r="2217" spans="11:15">
      <c r="K2217" s="1664">
        <v>44274</v>
      </c>
      <c r="L2217" s="1665" t="s">
        <v>2296</v>
      </c>
      <c r="M2217" s="1666">
        <v>1.0378999999999999E-2</v>
      </c>
      <c r="N2217" s="1667">
        <v>1.6232935281342507</v>
      </c>
      <c r="O2217" s="1667"/>
    </row>
    <row r="2218" spans="11:15">
      <c r="K2218" s="1664">
        <v>44275</v>
      </c>
      <c r="L2218" s="1665"/>
      <c r="M2218" s="1666">
        <v>0</v>
      </c>
      <c r="N2218" s="1667">
        <v>1.6232935281342507</v>
      </c>
      <c r="O2218" s="1667"/>
    </row>
    <row r="2219" spans="11:15">
      <c r="K2219" s="1664">
        <v>44276</v>
      </c>
      <c r="L2219" s="1665"/>
      <c r="M2219" s="1666">
        <v>0</v>
      </c>
      <c r="N2219" s="1667">
        <v>1.6232935281342507</v>
      </c>
      <c r="O2219" s="1667"/>
    </row>
    <row r="2220" spans="11:15">
      <c r="K2220" s="1664">
        <v>44277</v>
      </c>
      <c r="L2220" s="1665" t="s">
        <v>2296</v>
      </c>
      <c r="M2220" s="1666">
        <v>1.0378999999999999E-2</v>
      </c>
      <c r="N2220" s="1667">
        <v>1.6234620097695358</v>
      </c>
      <c r="O2220" s="1667"/>
    </row>
    <row r="2221" spans="11:15">
      <c r="K2221" s="1664">
        <v>44278</v>
      </c>
      <c r="L2221" s="1665" t="s">
        <v>2296</v>
      </c>
      <c r="M2221" s="1666">
        <v>1.0378999999999999E-2</v>
      </c>
      <c r="N2221" s="1667">
        <v>1.6236305088915299</v>
      </c>
      <c r="O2221" s="1667"/>
    </row>
    <row r="2222" spans="11:15">
      <c r="K2222" s="1664">
        <v>44279</v>
      </c>
      <c r="L2222" s="1665" t="s">
        <v>2296</v>
      </c>
      <c r="M2222" s="1666">
        <v>1.0378999999999999E-2</v>
      </c>
      <c r="N2222" s="1667">
        <v>1.6237990255020478</v>
      </c>
      <c r="O2222" s="1667"/>
    </row>
    <row r="2223" spans="11:15">
      <c r="K2223" s="1664">
        <v>44280</v>
      </c>
      <c r="L2223" s="1665" t="s">
        <v>2296</v>
      </c>
      <c r="M2223" s="1666">
        <v>1.0378999999999999E-2</v>
      </c>
      <c r="N2223" s="1667">
        <v>1.6239675596029048</v>
      </c>
      <c r="O2223" s="1667"/>
    </row>
    <row r="2224" spans="11:15">
      <c r="K2224" s="1664">
        <v>44281</v>
      </c>
      <c r="L2224" s="1665" t="s">
        <v>2296</v>
      </c>
      <c r="M2224" s="1666">
        <v>1.0378999999999999E-2</v>
      </c>
      <c r="N2224" s="1667">
        <v>1.6241361111959161</v>
      </c>
      <c r="O2224" s="1667"/>
    </row>
    <row r="2225" spans="11:15">
      <c r="K2225" s="1664">
        <v>44282</v>
      </c>
      <c r="L2225" s="1665"/>
      <c r="M2225" s="1666">
        <v>0</v>
      </c>
      <c r="N2225" s="1667">
        <v>1.6241361111959161</v>
      </c>
      <c r="O2225" s="1667"/>
    </row>
    <row r="2226" spans="11:15">
      <c r="K2226" s="1664">
        <v>44283</v>
      </c>
      <c r="L2226" s="1665"/>
      <c r="M2226" s="1666">
        <v>0</v>
      </c>
      <c r="N2226" s="1667">
        <v>1.6241361111959161</v>
      </c>
      <c r="O2226" s="1667"/>
    </row>
    <row r="2227" spans="11:15">
      <c r="K2227" s="1664">
        <v>44284</v>
      </c>
      <c r="L2227" s="1665" t="s">
        <v>2296</v>
      </c>
      <c r="M2227" s="1666">
        <v>1.0378999999999999E-2</v>
      </c>
      <c r="N2227" s="1667">
        <v>1.6243046802828971</v>
      </c>
      <c r="O2227" s="1667"/>
    </row>
    <row r="2228" spans="11:15">
      <c r="K2228" s="1664">
        <v>44285</v>
      </c>
      <c r="L2228" s="1665" t="s">
        <v>2296</v>
      </c>
      <c r="M2228" s="1666">
        <v>1.0378999999999999E-2</v>
      </c>
      <c r="N2228" s="1667">
        <v>1.6244732668656638</v>
      </c>
      <c r="O2228" s="1667"/>
    </row>
    <row r="2229" spans="11:15">
      <c r="K2229" s="1664">
        <v>44286</v>
      </c>
      <c r="L2229" s="1665" t="s">
        <v>2296</v>
      </c>
      <c r="M2229" s="1666">
        <v>1.0378999999999999E-2</v>
      </c>
      <c r="N2229" s="1667">
        <v>1.624641870946032</v>
      </c>
      <c r="O2229" s="1667"/>
    </row>
    <row r="2230" spans="11:15">
      <c r="K2230" s="1664">
        <v>44287</v>
      </c>
      <c r="L2230" s="1665" t="s">
        <v>2296</v>
      </c>
      <c r="M2230" s="1666">
        <v>1.0378999999999999E-2</v>
      </c>
      <c r="N2230" s="1667">
        <v>1.6248104925258176</v>
      </c>
      <c r="O2230" s="1667"/>
    </row>
    <row r="2231" spans="11:15">
      <c r="K2231" s="1664">
        <v>44288</v>
      </c>
      <c r="L2231" s="1665"/>
      <c r="M2231" s="1666">
        <v>0</v>
      </c>
      <c r="N2231" s="1667">
        <v>1.6248104925258176</v>
      </c>
      <c r="O2231" s="1667"/>
    </row>
    <row r="2232" spans="11:15">
      <c r="K2232" s="1664">
        <v>44289</v>
      </c>
      <c r="L2232" s="1665"/>
      <c r="M2232" s="1666">
        <v>0</v>
      </c>
      <c r="N2232" s="1667">
        <v>1.6248104925258176</v>
      </c>
      <c r="O2232" s="1667"/>
    </row>
    <row r="2233" spans="11:15">
      <c r="K2233" s="1664">
        <v>44290</v>
      </c>
      <c r="L2233" s="1665"/>
      <c r="M2233" s="1666">
        <v>0</v>
      </c>
      <c r="N2233" s="1667">
        <v>1.6248104925258176</v>
      </c>
      <c r="O2233" s="1667"/>
    </row>
    <row r="2234" spans="11:15">
      <c r="K2234" s="1664">
        <v>44291</v>
      </c>
      <c r="L2234" s="1665" t="s">
        <v>2296</v>
      </c>
      <c r="M2234" s="1666">
        <v>1.0378999999999999E-2</v>
      </c>
      <c r="N2234" s="1667">
        <v>1.6249791316068369</v>
      </c>
      <c r="O2234" s="1667"/>
    </row>
    <row r="2235" spans="11:15">
      <c r="K2235" s="1664">
        <v>44292</v>
      </c>
      <c r="L2235" s="1665" t="s">
        <v>2296</v>
      </c>
      <c r="M2235" s="1666">
        <v>1.0378999999999999E-2</v>
      </c>
      <c r="N2235" s="1667">
        <v>1.6251477881909064</v>
      </c>
      <c r="O2235" s="1667"/>
    </row>
    <row r="2236" spans="11:15">
      <c r="K2236" s="1664">
        <v>44293</v>
      </c>
      <c r="L2236" s="1665" t="s">
        <v>2296</v>
      </c>
      <c r="M2236" s="1666">
        <v>1.0378999999999999E-2</v>
      </c>
      <c r="N2236" s="1667">
        <v>1.6253164622798428</v>
      </c>
      <c r="O2236" s="1667"/>
    </row>
    <row r="2237" spans="11:15">
      <c r="K2237" s="1664">
        <v>44294</v>
      </c>
      <c r="L2237" s="1665" t="s">
        <v>2296</v>
      </c>
      <c r="M2237" s="1666">
        <v>1.0378999999999999E-2</v>
      </c>
      <c r="N2237" s="1667">
        <v>1.6254851538754629</v>
      </c>
      <c r="O2237" s="1667"/>
    </row>
    <row r="2238" spans="11:15">
      <c r="K2238" s="1664">
        <v>44295</v>
      </c>
      <c r="L2238" s="1665" t="s">
        <v>2296</v>
      </c>
      <c r="M2238" s="1666">
        <v>1.0378999999999999E-2</v>
      </c>
      <c r="N2238" s="1667">
        <v>1.6256538629795838</v>
      </c>
      <c r="O2238" s="1667"/>
    </row>
    <row r="2239" spans="11:15">
      <c r="K2239" s="1664">
        <v>44296</v>
      </c>
      <c r="L2239" s="1665"/>
      <c r="M2239" s="1666">
        <v>0</v>
      </c>
      <c r="N2239" s="1667">
        <v>1.6256538629795838</v>
      </c>
      <c r="O2239" s="1667"/>
    </row>
    <row r="2240" spans="11:15">
      <c r="K2240" s="1664">
        <v>44297</v>
      </c>
      <c r="L2240" s="1665"/>
      <c r="M2240" s="1666">
        <v>0</v>
      </c>
      <c r="N2240" s="1667">
        <v>1.6256538629795838</v>
      </c>
      <c r="O2240" s="1667"/>
    </row>
    <row r="2241" spans="11:15">
      <c r="K2241" s="1664">
        <v>44298</v>
      </c>
      <c r="L2241" s="1665" t="s">
        <v>2296</v>
      </c>
      <c r="M2241" s="1666">
        <v>1.0378999999999999E-2</v>
      </c>
      <c r="N2241" s="1667">
        <v>1.6258225895940226</v>
      </c>
      <c r="O2241" s="1667"/>
    </row>
    <row r="2242" spans="11:15">
      <c r="K2242" s="1664">
        <v>44299</v>
      </c>
      <c r="L2242" s="1665" t="s">
        <v>2296</v>
      </c>
      <c r="M2242" s="1666">
        <v>1.0378999999999999E-2</v>
      </c>
      <c r="N2242" s="1667">
        <v>1.6259913337205967</v>
      </c>
      <c r="O2242" s="1667"/>
    </row>
    <row r="2243" spans="11:15">
      <c r="K2243" s="1664">
        <v>44300</v>
      </c>
      <c r="L2243" s="1665" t="s">
        <v>2296</v>
      </c>
      <c r="M2243" s="1666">
        <v>1.0378999999999999E-2</v>
      </c>
      <c r="N2243" s="1667">
        <v>1.6261600953611237</v>
      </c>
      <c r="O2243" s="1667"/>
    </row>
    <row r="2244" spans="11:15">
      <c r="K2244" s="1664">
        <v>44301</v>
      </c>
      <c r="L2244" s="1665" t="s">
        <v>2296</v>
      </c>
      <c r="M2244" s="1666">
        <v>1.0378999999999999E-2</v>
      </c>
      <c r="N2244" s="1667">
        <v>1.6263288745174214</v>
      </c>
      <c r="O2244" s="1667"/>
    </row>
    <row r="2245" spans="11:15">
      <c r="K2245" s="1664">
        <v>44302</v>
      </c>
      <c r="L2245" s="1665" t="s">
        <v>2296</v>
      </c>
      <c r="M2245" s="1666">
        <v>1.0378999999999999E-2</v>
      </c>
      <c r="N2245" s="1667">
        <v>1.6264976711913075</v>
      </c>
      <c r="O2245" s="1667"/>
    </row>
    <row r="2246" spans="11:15">
      <c r="K2246" s="1664">
        <v>44303</v>
      </c>
      <c r="L2246" s="1665"/>
      <c r="M2246" s="1666">
        <v>0</v>
      </c>
      <c r="N2246" s="1667">
        <v>1.6264976711913075</v>
      </c>
      <c r="O2246" s="1667"/>
    </row>
    <row r="2247" spans="11:15">
      <c r="K2247" s="1664">
        <v>44304</v>
      </c>
      <c r="L2247" s="1665"/>
      <c r="M2247" s="1666">
        <v>0</v>
      </c>
      <c r="N2247" s="1667">
        <v>1.6264976711913075</v>
      </c>
      <c r="O2247" s="1667"/>
    </row>
    <row r="2248" spans="11:15">
      <c r="K2248" s="1664">
        <v>44305</v>
      </c>
      <c r="L2248" s="1665" t="s">
        <v>2296</v>
      </c>
      <c r="M2248" s="1666">
        <v>1.0378999999999999E-2</v>
      </c>
      <c r="N2248" s="1667">
        <v>1.6266664853846005</v>
      </c>
      <c r="O2248" s="1667"/>
    </row>
    <row r="2249" spans="11:15">
      <c r="K2249" s="1664">
        <v>44306</v>
      </c>
      <c r="L2249" s="1665" t="s">
        <v>2296</v>
      </c>
      <c r="M2249" s="1666">
        <v>1.0378999999999999E-2</v>
      </c>
      <c r="N2249" s="1667">
        <v>1.6268353170991185</v>
      </c>
      <c r="O2249" s="1667"/>
    </row>
    <row r="2250" spans="11:15">
      <c r="K2250" s="1664">
        <v>44307</v>
      </c>
      <c r="L2250" s="1665"/>
      <c r="M2250" s="1666">
        <v>0</v>
      </c>
      <c r="N2250" s="1667">
        <v>1.6268353170991185</v>
      </c>
      <c r="O2250" s="1667"/>
    </row>
    <row r="2251" spans="11:15">
      <c r="K2251" s="1664">
        <v>44308</v>
      </c>
      <c r="L2251" s="1665" t="s">
        <v>2296</v>
      </c>
      <c r="M2251" s="1666">
        <v>1.0378999999999999E-2</v>
      </c>
      <c r="N2251" s="1667">
        <v>1.6270041663366803</v>
      </c>
      <c r="O2251" s="1667"/>
    </row>
    <row r="2252" spans="11:15">
      <c r="K2252" s="1664">
        <v>44309</v>
      </c>
      <c r="L2252" s="1665" t="s">
        <v>2296</v>
      </c>
      <c r="M2252" s="1666">
        <v>1.0378999999999999E-2</v>
      </c>
      <c r="N2252" s="1667">
        <v>1.6271730330991045</v>
      </c>
      <c r="O2252" s="1667"/>
    </row>
    <row r="2253" spans="11:15">
      <c r="K2253" s="1664">
        <v>44310</v>
      </c>
      <c r="L2253" s="1665"/>
      <c r="M2253" s="1666">
        <v>0</v>
      </c>
      <c r="N2253" s="1667">
        <v>1.6271730330991045</v>
      </c>
      <c r="O2253" s="1667"/>
    </row>
    <row r="2254" spans="11:15">
      <c r="K2254" s="1664">
        <v>44311</v>
      </c>
      <c r="L2254" s="1665"/>
      <c r="M2254" s="1666">
        <v>0</v>
      </c>
      <c r="N2254" s="1667">
        <v>1.6271730330991045</v>
      </c>
      <c r="O2254" s="1667"/>
    </row>
    <row r="2255" spans="11:15">
      <c r="K2255" s="1664">
        <v>44312</v>
      </c>
      <c r="L2255" s="1665" t="s">
        <v>2296</v>
      </c>
      <c r="M2255" s="1666">
        <v>1.0378999999999999E-2</v>
      </c>
      <c r="N2255" s="1667">
        <v>1.62734191738821</v>
      </c>
      <c r="O2255" s="1667"/>
    </row>
    <row r="2256" spans="11:15">
      <c r="K2256" s="1664">
        <v>44313</v>
      </c>
      <c r="L2256" s="1665" t="s">
        <v>2296</v>
      </c>
      <c r="M2256" s="1666">
        <v>1.0378999999999999E-2</v>
      </c>
      <c r="N2256" s="1667">
        <v>1.6275108192058159</v>
      </c>
      <c r="O2256" s="1667"/>
    </row>
    <row r="2257" spans="11:15">
      <c r="K2257" s="1664">
        <v>44314</v>
      </c>
      <c r="L2257" s="1665" t="s">
        <v>2296</v>
      </c>
      <c r="M2257" s="1666">
        <v>1.0378999999999999E-2</v>
      </c>
      <c r="N2257" s="1667">
        <v>1.6276797385537414</v>
      </c>
      <c r="O2257" s="1667"/>
    </row>
    <row r="2258" spans="11:15">
      <c r="K2258" s="1664">
        <v>44315</v>
      </c>
      <c r="L2258" s="1665" t="s">
        <v>2296</v>
      </c>
      <c r="M2258" s="1666">
        <v>1.0378999999999999E-2</v>
      </c>
      <c r="N2258" s="1667">
        <v>1.627848675433806</v>
      </c>
      <c r="O2258" s="1667"/>
    </row>
    <row r="2259" spans="11:15">
      <c r="K2259" s="1664">
        <v>44316</v>
      </c>
      <c r="L2259" s="1665" t="s">
        <v>2296</v>
      </c>
      <c r="M2259" s="1666">
        <v>1.0378999999999999E-2</v>
      </c>
      <c r="N2259" s="1667">
        <v>1.6280176298478293</v>
      </c>
      <c r="O2259" s="1667"/>
    </row>
    <row r="2260" spans="11:15">
      <c r="K2260" s="1664">
        <v>44317</v>
      </c>
      <c r="L2260" s="1665"/>
      <c r="M2260" s="1666">
        <v>0</v>
      </c>
      <c r="N2260" s="1667">
        <v>1.6280176298478293</v>
      </c>
      <c r="O2260" s="1667"/>
    </row>
    <row r="2261" spans="11:15">
      <c r="K2261" s="1664">
        <v>44318</v>
      </c>
      <c r="L2261" s="1665"/>
      <c r="M2261" s="1666">
        <v>0</v>
      </c>
      <c r="N2261" s="1667">
        <v>1.6280176298478293</v>
      </c>
      <c r="O2261" s="1667"/>
    </row>
    <row r="2262" spans="11:15">
      <c r="K2262" s="1664">
        <v>44319</v>
      </c>
      <c r="L2262" s="1665" t="s">
        <v>2296</v>
      </c>
      <c r="M2262" s="1666">
        <v>1.0378999999999999E-2</v>
      </c>
      <c r="N2262" s="1667">
        <v>1.6281866017976312</v>
      </c>
      <c r="O2262" s="1667"/>
    </row>
    <row r="2263" spans="11:15">
      <c r="K2263" s="1664">
        <v>44320</v>
      </c>
      <c r="L2263" s="1665" t="s">
        <v>2296</v>
      </c>
      <c r="M2263" s="1666">
        <v>1.0378999999999999E-2</v>
      </c>
      <c r="N2263" s="1667">
        <v>1.6283555912850318</v>
      </c>
      <c r="O2263" s="1667"/>
    </row>
    <row r="2264" spans="11:15">
      <c r="K2264" s="1664">
        <v>44321</v>
      </c>
      <c r="L2264" s="1665" t="s">
        <v>2296</v>
      </c>
      <c r="M2264" s="1666">
        <v>1.0378999999999999E-2</v>
      </c>
      <c r="N2264" s="1667">
        <v>1.6285245983118515</v>
      </c>
      <c r="O2264" s="1667"/>
    </row>
    <row r="2265" spans="11:15">
      <c r="K2265" s="1664">
        <v>44322</v>
      </c>
      <c r="L2265" s="1665" t="s">
        <v>2296</v>
      </c>
      <c r="M2265" s="1666">
        <v>1.3269E-2</v>
      </c>
      <c r="N2265" s="1667">
        <v>1.6287406872408015</v>
      </c>
      <c r="O2265" s="1667"/>
    </row>
    <row r="2266" spans="11:15">
      <c r="K2266" s="1664">
        <v>44323</v>
      </c>
      <c r="L2266" s="1665" t="s">
        <v>2296</v>
      </c>
      <c r="M2266" s="1666">
        <v>1.3269E-2</v>
      </c>
      <c r="N2266" s="1667">
        <v>1.6289568048425915</v>
      </c>
      <c r="O2266" s="1667"/>
    </row>
    <row r="2267" spans="11:15">
      <c r="K2267" s="1664">
        <v>44324</v>
      </c>
      <c r="L2267" s="1665"/>
      <c r="M2267" s="1666">
        <v>0</v>
      </c>
      <c r="N2267" s="1667">
        <v>1.6289568048425915</v>
      </c>
      <c r="O2267" s="1667"/>
    </row>
    <row r="2268" spans="11:15">
      <c r="K2268" s="1664">
        <v>44325</v>
      </c>
      <c r="L2268" s="1665"/>
      <c r="M2268" s="1666">
        <v>0</v>
      </c>
      <c r="N2268" s="1667">
        <v>1.6289568048425915</v>
      </c>
      <c r="O2268" s="1667"/>
    </row>
    <row r="2269" spans="11:15">
      <c r="K2269" s="1664">
        <v>44326</v>
      </c>
      <c r="L2269" s="1665" t="s">
        <v>2296</v>
      </c>
      <c r="M2269" s="1666">
        <v>1.3269E-2</v>
      </c>
      <c r="N2269" s="1667">
        <v>1.6291729511210262</v>
      </c>
      <c r="O2269" s="1667"/>
    </row>
    <row r="2270" spans="11:15">
      <c r="K2270" s="1664">
        <v>44327</v>
      </c>
      <c r="L2270" s="1665" t="s">
        <v>2296</v>
      </c>
      <c r="M2270" s="1666">
        <v>1.3269E-2</v>
      </c>
      <c r="N2270" s="1667">
        <v>1.6293891260799105</v>
      </c>
      <c r="O2270" s="1667"/>
    </row>
    <row r="2271" spans="11:15">
      <c r="K2271" s="1664">
        <v>44328</v>
      </c>
      <c r="L2271" s="1665" t="s">
        <v>2296</v>
      </c>
      <c r="M2271" s="1666">
        <v>1.3269E-2</v>
      </c>
      <c r="N2271" s="1667">
        <v>1.6296053297230502</v>
      </c>
      <c r="O2271" s="1667"/>
    </row>
    <row r="2272" spans="11:15">
      <c r="K2272" s="1664">
        <v>44329</v>
      </c>
      <c r="L2272" s="1665" t="s">
        <v>2296</v>
      </c>
      <c r="M2272" s="1666">
        <v>1.3269E-2</v>
      </c>
      <c r="N2272" s="1667">
        <v>1.6298215620542511</v>
      </c>
      <c r="O2272" s="1667"/>
    </row>
    <row r="2273" spans="11:15">
      <c r="K2273" s="1664">
        <v>44330</v>
      </c>
      <c r="L2273" s="1665" t="s">
        <v>2296</v>
      </c>
      <c r="M2273" s="1666">
        <v>1.3269E-2</v>
      </c>
      <c r="N2273" s="1667">
        <v>1.6300378230773203</v>
      </c>
      <c r="O2273" s="1667"/>
    </row>
    <row r="2274" spans="11:15">
      <c r="K2274" s="1664">
        <v>44331</v>
      </c>
      <c r="L2274" s="1665"/>
      <c r="M2274" s="1666">
        <v>0</v>
      </c>
      <c r="N2274" s="1667">
        <v>1.6300378230773203</v>
      </c>
      <c r="O2274" s="1667"/>
    </row>
    <row r="2275" spans="11:15">
      <c r="K2275" s="1664">
        <v>44332</v>
      </c>
      <c r="L2275" s="1665"/>
      <c r="M2275" s="1666">
        <v>0</v>
      </c>
      <c r="N2275" s="1667">
        <v>1.6300378230773203</v>
      </c>
      <c r="O2275" s="1667"/>
    </row>
    <row r="2276" spans="11:15">
      <c r="K2276" s="1664">
        <v>44333</v>
      </c>
      <c r="L2276" s="1665" t="s">
        <v>2296</v>
      </c>
      <c r="M2276" s="1666">
        <v>1.3269E-2</v>
      </c>
      <c r="N2276" s="1667">
        <v>1.6302541127960644</v>
      </c>
      <c r="O2276" s="1667"/>
    </row>
    <row r="2277" spans="11:15">
      <c r="K2277" s="1664">
        <v>44334</v>
      </c>
      <c r="L2277" s="1665" t="s">
        <v>2296</v>
      </c>
      <c r="M2277" s="1666">
        <v>1.3269E-2</v>
      </c>
      <c r="N2277" s="1667">
        <v>1.6304704312142912</v>
      </c>
      <c r="O2277" s="1667"/>
    </row>
    <row r="2278" spans="11:15">
      <c r="K2278" s="1664">
        <v>44335</v>
      </c>
      <c r="L2278" s="1665" t="s">
        <v>2296</v>
      </c>
      <c r="M2278" s="1666">
        <v>1.3269E-2</v>
      </c>
      <c r="N2278" s="1667">
        <v>1.6306867783358092</v>
      </c>
      <c r="O2278" s="1667"/>
    </row>
    <row r="2279" spans="11:15">
      <c r="K2279" s="1664">
        <v>44336</v>
      </c>
      <c r="L2279" s="1665" t="s">
        <v>2296</v>
      </c>
      <c r="M2279" s="1666">
        <v>1.3269E-2</v>
      </c>
      <c r="N2279" s="1667">
        <v>1.6309031541644268</v>
      </c>
      <c r="O2279" s="1667"/>
    </row>
    <row r="2280" spans="11:15">
      <c r="K2280" s="1664">
        <v>44337</v>
      </c>
      <c r="L2280" s="1665" t="s">
        <v>2296</v>
      </c>
      <c r="M2280" s="1666">
        <v>1.3269E-2</v>
      </c>
      <c r="N2280" s="1667">
        <v>1.6311195587039529</v>
      </c>
      <c r="O2280" s="1667"/>
    </row>
    <row r="2281" spans="11:15">
      <c r="K2281" s="1664">
        <v>44338</v>
      </c>
      <c r="L2281" s="1665"/>
      <c r="M2281" s="1666">
        <v>0</v>
      </c>
      <c r="N2281" s="1667">
        <v>1.6311195587039529</v>
      </c>
      <c r="O2281" s="1667"/>
    </row>
    <row r="2282" spans="11:15">
      <c r="K2282" s="1664">
        <v>44339</v>
      </c>
      <c r="L2282" s="1665"/>
      <c r="M2282" s="1666">
        <v>0</v>
      </c>
      <c r="N2282" s="1667">
        <v>1.6311195587039529</v>
      </c>
      <c r="O2282" s="1667"/>
    </row>
    <row r="2283" spans="11:15">
      <c r="K2283" s="1664">
        <v>44340</v>
      </c>
      <c r="L2283" s="1665" t="s">
        <v>2296</v>
      </c>
      <c r="M2283" s="1666">
        <v>1.3269E-2</v>
      </c>
      <c r="N2283" s="1667">
        <v>1.6313359919581973</v>
      </c>
      <c r="O2283" s="1667"/>
    </row>
    <row r="2284" spans="11:15">
      <c r="K2284" s="1664">
        <v>44341</v>
      </c>
      <c r="L2284" s="1665" t="s">
        <v>2296</v>
      </c>
      <c r="M2284" s="1666">
        <v>1.3269E-2</v>
      </c>
      <c r="N2284" s="1667">
        <v>1.6315524539309703</v>
      </c>
      <c r="O2284" s="1667"/>
    </row>
    <row r="2285" spans="11:15">
      <c r="K2285" s="1664">
        <v>44342</v>
      </c>
      <c r="L2285" s="1665" t="s">
        <v>2296</v>
      </c>
      <c r="M2285" s="1666">
        <v>1.3269E-2</v>
      </c>
      <c r="N2285" s="1667">
        <v>1.6317689446260824</v>
      </c>
      <c r="O2285" s="1667"/>
    </row>
    <row r="2286" spans="11:15">
      <c r="K2286" s="1664">
        <v>44343</v>
      </c>
      <c r="L2286" s="1665" t="s">
        <v>2296</v>
      </c>
      <c r="M2286" s="1666">
        <v>1.3269E-2</v>
      </c>
      <c r="N2286" s="1667">
        <v>1.6319854640473448</v>
      </c>
      <c r="O2286" s="1667"/>
    </row>
    <row r="2287" spans="11:15">
      <c r="K2287" s="1664">
        <v>44344</v>
      </c>
      <c r="L2287" s="1665" t="s">
        <v>2296</v>
      </c>
      <c r="M2287" s="1666">
        <v>1.3269E-2</v>
      </c>
      <c r="N2287" s="1667">
        <v>1.6322020121985694</v>
      </c>
      <c r="O2287" s="1667"/>
    </row>
    <row r="2288" spans="11:15">
      <c r="K2288" s="1664">
        <v>44345</v>
      </c>
      <c r="L2288" s="1665"/>
      <c r="M2288" s="1666">
        <v>0</v>
      </c>
      <c r="N2288" s="1667">
        <v>1.6322020121985694</v>
      </c>
      <c r="O2288" s="1667"/>
    </row>
    <row r="2289" spans="11:15">
      <c r="K2289" s="1664">
        <v>44346</v>
      </c>
      <c r="L2289" s="1665"/>
      <c r="M2289" s="1666">
        <v>0</v>
      </c>
      <c r="N2289" s="1667">
        <v>1.6322020121985694</v>
      </c>
      <c r="O2289" s="1667"/>
    </row>
    <row r="2290" spans="11:15">
      <c r="K2290" s="1664">
        <v>44347</v>
      </c>
      <c r="L2290" s="1665" t="s">
        <v>2296</v>
      </c>
      <c r="M2290" s="1666">
        <v>1.3269E-2</v>
      </c>
      <c r="N2290" s="1667">
        <v>1.6324185890835681</v>
      </c>
      <c r="O2290" s="1667"/>
    </row>
    <row r="2291" spans="11:15">
      <c r="K2291" s="1664">
        <v>44348</v>
      </c>
      <c r="L2291" s="1665" t="s">
        <v>2296</v>
      </c>
      <c r="M2291" s="1666">
        <v>1.3269E-2</v>
      </c>
      <c r="N2291" s="1667">
        <v>1.6326351947061537</v>
      </c>
      <c r="O2291" s="1667"/>
    </row>
    <row r="2292" spans="11:15">
      <c r="K2292" s="1664">
        <v>44349</v>
      </c>
      <c r="L2292" s="1665" t="s">
        <v>2296</v>
      </c>
      <c r="M2292" s="1666">
        <v>1.3269E-2</v>
      </c>
      <c r="N2292" s="1667">
        <v>1.6328518290701393</v>
      </c>
      <c r="O2292" s="1667"/>
    </row>
    <row r="2293" spans="11:15">
      <c r="K2293" s="1664">
        <v>44350</v>
      </c>
      <c r="L2293" s="1665"/>
      <c r="M2293" s="1666">
        <v>0</v>
      </c>
      <c r="N2293" s="1667">
        <v>1.6328518290701393</v>
      </c>
      <c r="O2293" s="1667"/>
    </row>
    <row r="2294" spans="11:15">
      <c r="K2294" s="1664">
        <v>44351</v>
      </c>
      <c r="L2294" s="1665" t="s">
        <v>2296</v>
      </c>
      <c r="M2294" s="1666">
        <v>1.3269E-2</v>
      </c>
      <c r="N2294" s="1667">
        <v>1.6330684921793386</v>
      </c>
      <c r="O2294" s="1667"/>
    </row>
    <row r="2295" spans="11:15">
      <c r="K2295" s="1664">
        <v>44352</v>
      </c>
      <c r="L2295" s="1665"/>
      <c r="M2295" s="1666">
        <v>0</v>
      </c>
      <c r="N2295" s="1667">
        <v>1.6330684921793386</v>
      </c>
      <c r="O2295" s="1667"/>
    </row>
    <row r="2296" spans="11:15">
      <c r="K2296" s="1664">
        <v>44353</v>
      </c>
      <c r="L2296" s="1665"/>
      <c r="M2296" s="1666">
        <v>0</v>
      </c>
      <c r="N2296" s="1667">
        <v>1.6330684921793386</v>
      </c>
      <c r="O2296" s="1667"/>
    </row>
    <row r="2297" spans="11:15">
      <c r="K2297" s="1664">
        <v>44354</v>
      </c>
      <c r="L2297" s="1665" t="s">
        <v>2296</v>
      </c>
      <c r="M2297" s="1666">
        <v>1.3269E-2</v>
      </c>
      <c r="N2297" s="1667">
        <v>1.633285184037566</v>
      </c>
      <c r="O2297" s="1667"/>
    </row>
    <row r="2298" spans="11:15">
      <c r="K2298" s="1664">
        <v>44355</v>
      </c>
      <c r="L2298" s="1665" t="s">
        <v>2296</v>
      </c>
      <c r="M2298" s="1666">
        <v>1.3269E-2</v>
      </c>
      <c r="N2298" s="1667">
        <v>1.6335019046486359</v>
      </c>
      <c r="O2298" s="1667"/>
    </row>
    <row r="2299" spans="11:15">
      <c r="K2299" s="1664">
        <v>44356</v>
      </c>
      <c r="L2299" s="1665" t="s">
        <v>2296</v>
      </c>
      <c r="M2299" s="1666">
        <v>1.3269E-2</v>
      </c>
      <c r="N2299" s="1667">
        <v>1.6337186540163637</v>
      </c>
      <c r="O2299" s="1667"/>
    </row>
    <row r="2300" spans="11:15">
      <c r="K2300" s="1664">
        <v>44357</v>
      </c>
      <c r="L2300" s="1665" t="s">
        <v>2296</v>
      </c>
      <c r="M2300" s="1666">
        <v>1.3269E-2</v>
      </c>
      <c r="N2300" s="1667">
        <v>1.6339354321445652</v>
      </c>
      <c r="O2300" s="1667"/>
    </row>
    <row r="2301" spans="11:15">
      <c r="K2301" s="1664">
        <v>44358</v>
      </c>
      <c r="L2301" s="1665" t="s">
        <v>2296</v>
      </c>
      <c r="M2301" s="1666">
        <v>1.3269E-2</v>
      </c>
      <c r="N2301" s="1667">
        <v>1.6341522390370564</v>
      </c>
      <c r="O2301" s="1667"/>
    </row>
    <row r="2302" spans="11:15">
      <c r="K2302" s="1664">
        <v>44359</v>
      </c>
      <c r="L2302" s="1665"/>
      <c r="M2302" s="1666">
        <v>0</v>
      </c>
      <c r="N2302" s="1667">
        <v>1.6341522390370564</v>
      </c>
      <c r="O2302" s="1667"/>
    </row>
    <row r="2303" spans="11:15">
      <c r="K2303" s="1664">
        <v>44360</v>
      </c>
      <c r="L2303" s="1665"/>
      <c r="M2303" s="1666">
        <v>0</v>
      </c>
      <c r="N2303" s="1667">
        <v>1.6341522390370564</v>
      </c>
      <c r="O2303" s="1667"/>
    </row>
    <row r="2304" spans="11:15">
      <c r="K2304" s="1664">
        <v>44361</v>
      </c>
      <c r="L2304" s="1665" t="s">
        <v>2296</v>
      </c>
      <c r="M2304" s="1666">
        <v>1.3269E-2</v>
      </c>
      <c r="N2304" s="1667">
        <v>1.6343690746976542</v>
      </c>
      <c r="O2304" s="1667"/>
    </row>
    <row r="2305" spans="11:15">
      <c r="K2305" s="1664">
        <v>44362</v>
      </c>
      <c r="L2305" s="1665" t="s">
        <v>2296</v>
      </c>
      <c r="M2305" s="1666">
        <v>1.3269E-2</v>
      </c>
      <c r="N2305" s="1667">
        <v>1.634585939130176</v>
      </c>
      <c r="O2305" s="1667"/>
    </row>
    <row r="2306" spans="11:15">
      <c r="K2306" s="1664">
        <v>44363</v>
      </c>
      <c r="L2306" s="1665" t="s">
        <v>2296</v>
      </c>
      <c r="M2306" s="1666">
        <v>1.3269E-2</v>
      </c>
      <c r="N2306" s="1667">
        <v>1.6348028323384394</v>
      </c>
      <c r="O2306" s="1667"/>
    </row>
    <row r="2307" spans="11:15">
      <c r="K2307" s="1664">
        <v>44364</v>
      </c>
      <c r="L2307" s="1665" t="s">
        <v>2296</v>
      </c>
      <c r="M2307" s="1666">
        <v>1.6136999999999999E-2</v>
      </c>
      <c r="N2307" s="1667">
        <v>1.635066640471494</v>
      </c>
      <c r="O2307" s="1667"/>
    </row>
    <row r="2308" spans="11:15">
      <c r="K2308" s="1664">
        <v>44365</v>
      </c>
      <c r="L2308" s="1665" t="s">
        <v>2296</v>
      </c>
      <c r="M2308" s="1666">
        <v>1.6136999999999999E-2</v>
      </c>
      <c r="N2308" s="1667">
        <v>1.6353304911752669</v>
      </c>
      <c r="O2308" s="1667"/>
    </row>
    <row r="2309" spans="11:15">
      <c r="K2309" s="1664">
        <v>44366</v>
      </c>
      <c r="L2309" s="1665"/>
      <c r="M2309" s="1666">
        <v>0</v>
      </c>
      <c r="N2309" s="1667">
        <v>1.6353304911752669</v>
      </c>
      <c r="O2309" s="1667"/>
    </row>
    <row r="2310" spans="11:15">
      <c r="K2310" s="1664">
        <v>44367</v>
      </c>
      <c r="L2310" s="1665"/>
      <c r="M2310" s="1666">
        <v>0</v>
      </c>
      <c r="N2310" s="1667">
        <v>1.6353304911752669</v>
      </c>
      <c r="O2310" s="1667"/>
    </row>
    <row r="2311" spans="11:15">
      <c r="K2311" s="1664">
        <v>44368</v>
      </c>
      <c r="L2311" s="1665" t="s">
        <v>2296</v>
      </c>
      <c r="M2311" s="1666">
        <v>1.6136999999999999E-2</v>
      </c>
      <c r="N2311" s="1667">
        <v>1.6355943844566279</v>
      </c>
      <c r="O2311" s="1667"/>
    </row>
    <row r="2312" spans="11:15">
      <c r="K2312" s="1664">
        <v>44369</v>
      </c>
      <c r="L2312" s="1665" t="s">
        <v>2296</v>
      </c>
      <c r="M2312" s="1666">
        <v>1.6136999999999999E-2</v>
      </c>
      <c r="N2312" s="1667">
        <v>1.6358583203224477</v>
      </c>
      <c r="O2312" s="1667"/>
    </row>
    <row r="2313" spans="11:15">
      <c r="K2313" s="1664">
        <v>44370</v>
      </c>
      <c r="L2313" s="1665" t="s">
        <v>2296</v>
      </c>
      <c r="M2313" s="1666">
        <v>1.6136999999999999E-2</v>
      </c>
      <c r="N2313" s="1667">
        <v>1.6361222987795982</v>
      </c>
      <c r="O2313" s="1667"/>
    </row>
    <row r="2314" spans="11:15">
      <c r="K2314" s="1664">
        <v>44371</v>
      </c>
      <c r="L2314" s="1665" t="s">
        <v>2296</v>
      </c>
      <c r="M2314" s="1666">
        <v>1.6136999999999999E-2</v>
      </c>
      <c r="N2314" s="1667">
        <v>1.6363863198349524</v>
      </c>
      <c r="O2314" s="1667"/>
    </row>
    <row r="2315" spans="11:15">
      <c r="K2315" s="1664">
        <v>44372</v>
      </c>
      <c r="L2315" s="1665" t="s">
        <v>2296</v>
      </c>
      <c r="M2315" s="1666">
        <v>1.6136999999999999E-2</v>
      </c>
      <c r="N2315" s="1667">
        <v>1.6366503834953843</v>
      </c>
      <c r="O2315" s="1667"/>
    </row>
    <row r="2316" spans="11:15">
      <c r="K2316" s="1664">
        <v>44373</v>
      </c>
      <c r="L2316" s="1665"/>
      <c r="M2316" s="1666">
        <v>0</v>
      </c>
      <c r="N2316" s="1667">
        <v>1.6366503834953843</v>
      </c>
      <c r="O2316" s="1667"/>
    </row>
    <row r="2317" spans="11:15">
      <c r="K2317" s="1664">
        <v>44374</v>
      </c>
      <c r="L2317" s="1665"/>
      <c r="M2317" s="1666">
        <v>0</v>
      </c>
      <c r="N2317" s="1667">
        <v>1.6366503834953843</v>
      </c>
      <c r="O2317" s="1667"/>
    </row>
    <row r="2318" spans="11:15">
      <c r="K2318" s="1664">
        <v>44375</v>
      </c>
      <c r="L2318" s="1665" t="s">
        <v>2296</v>
      </c>
      <c r="M2318" s="1666">
        <v>1.6136999999999999E-2</v>
      </c>
      <c r="N2318" s="1667">
        <v>1.636914489767769</v>
      </c>
      <c r="O2318" s="1667"/>
    </row>
    <row r="2319" spans="11:15">
      <c r="K2319" s="1664">
        <v>44376</v>
      </c>
      <c r="L2319" s="1665" t="s">
        <v>2296</v>
      </c>
      <c r="M2319" s="1666">
        <v>1.6136999999999999E-2</v>
      </c>
      <c r="N2319" s="1667">
        <v>1.6371786386589828</v>
      </c>
      <c r="O2319" s="1667"/>
    </row>
    <row r="2320" spans="11:15">
      <c r="K2320" s="1664">
        <v>44377</v>
      </c>
      <c r="L2320" s="1665" t="s">
        <v>2296</v>
      </c>
      <c r="M2320" s="1666">
        <v>1.6136999999999999E-2</v>
      </c>
      <c r="N2320" s="1667">
        <v>1.6374428301759034</v>
      </c>
      <c r="O2320" s="1667"/>
    </row>
    <row r="2321" spans="11:15">
      <c r="K2321" s="1664">
        <v>44378</v>
      </c>
      <c r="L2321" s="1665" t="s">
        <v>2296</v>
      </c>
      <c r="M2321" s="1666">
        <v>1.6136999999999999E-2</v>
      </c>
      <c r="N2321" s="1667">
        <v>1.637707064325409</v>
      </c>
      <c r="O2321" s="1667"/>
    </row>
    <row r="2322" spans="11:15">
      <c r="K2322" s="1664">
        <v>44379</v>
      </c>
      <c r="L2322" s="1665" t="s">
        <v>2296</v>
      </c>
      <c r="M2322" s="1666">
        <v>1.6136999999999999E-2</v>
      </c>
      <c r="N2322" s="1667">
        <v>1.6379713411143793</v>
      </c>
      <c r="O2322" s="1667"/>
    </row>
    <row r="2323" spans="11:15">
      <c r="K2323" s="1664">
        <v>44380</v>
      </c>
      <c r="L2323" s="1665"/>
      <c r="M2323" s="1666">
        <v>0</v>
      </c>
      <c r="N2323" s="1667">
        <v>1.6379713411143793</v>
      </c>
      <c r="O2323" s="1667"/>
    </row>
    <row r="2324" spans="11:15">
      <c r="K2324" s="1664">
        <v>44381</v>
      </c>
      <c r="L2324" s="1665"/>
      <c r="M2324" s="1666">
        <v>0</v>
      </c>
      <c r="N2324" s="1667">
        <v>1.6379713411143793</v>
      </c>
      <c r="O2324" s="1667"/>
    </row>
    <row r="2325" spans="11:15">
      <c r="K2325" s="1664">
        <v>44382</v>
      </c>
      <c r="L2325" s="1665" t="s">
        <v>2296</v>
      </c>
      <c r="M2325" s="1666">
        <v>1.6136999999999999E-2</v>
      </c>
      <c r="N2325" s="1667">
        <v>1.638235660549695</v>
      </c>
      <c r="O2325" s="1667"/>
    </row>
    <row r="2326" spans="11:15">
      <c r="K2326" s="1664">
        <v>44383</v>
      </c>
      <c r="L2326" s="1665" t="s">
        <v>2296</v>
      </c>
      <c r="M2326" s="1666">
        <v>1.6136999999999999E-2</v>
      </c>
      <c r="N2326" s="1667">
        <v>1.638500022638238</v>
      </c>
      <c r="O2326" s="1667"/>
    </row>
    <row r="2327" spans="11:15">
      <c r="K2327" s="1664">
        <v>44384</v>
      </c>
      <c r="L2327" s="1665" t="s">
        <v>2296</v>
      </c>
      <c r="M2327" s="1666">
        <v>1.6136999999999999E-2</v>
      </c>
      <c r="N2327" s="1667">
        <v>1.6387644273868913</v>
      </c>
      <c r="O2327" s="1667"/>
    </row>
    <row r="2328" spans="11:15">
      <c r="K2328" s="1664">
        <v>44385</v>
      </c>
      <c r="L2328" s="1665" t="s">
        <v>2296</v>
      </c>
      <c r="M2328" s="1666">
        <v>1.6136999999999999E-2</v>
      </c>
      <c r="N2328" s="1667">
        <v>1.6390288748025388</v>
      </c>
      <c r="O2328" s="1667"/>
    </row>
    <row r="2329" spans="11:15">
      <c r="K2329" s="1664">
        <v>44386</v>
      </c>
      <c r="L2329" s="1665" t="s">
        <v>2296</v>
      </c>
      <c r="M2329" s="1666">
        <v>1.6136999999999999E-2</v>
      </c>
      <c r="N2329" s="1667">
        <v>1.6392933648920658</v>
      </c>
      <c r="O2329" s="1667"/>
    </row>
    <row r="2330" spans="11:15">
      <c r="K2330" s="1664">
        <v>44387</v>
      </c>
      <c r="L2330" s="1665"/>
      <c r="M2330" s="1666">
        <v>0</v>
      </c>
      <c r="N2330" s="1667">
        <v>1.6392933648920658</v>
      </c>
      <c r="O2330" s="1667"/>
    </row>
    <row r="2331" spans="11:15">
      <c r="K2331" s="1664">
        <v>44388</v>
      </c>
      <c r="L2331" s="1665"/>
      <c r="M2331" s="1666">
        <v>0</v>
      </c>
      <c r="N2331" s="1667">
        <v>1.6392933648920658</v>
      </c>
      <c r="O2331" s="1667"/>
    </row>
    <row r="2332" spans="11:15">
      <c r="K2332" s="1664">
        <v>44389</v>
      </c>
      <c r="L2332" s="1665" t="s">
        <v>2296</v>
      </c>
      <c r="M2332" s="1666">
        <v>1.6136999999999999E-2</v>
      </c>
      <c r="N2332" s="1667">
        <v>1.6395578976623586</v>
      </c>
      <c r="O2332" s="1667"/>
    </row>
    <row r="2333" spans="11:15">
      <c r="K2333" s="1664">
        <v>44390</v>
      </c>
      <c r="L2333" s="1665" t="s">
        <v>2296</v>
      </c>
      <c r="M2333" s="1666">
        <v>1.6136999999999999E-2</v>
      </c>
      <c r="N2333" s="1667">
        <v>1.6398224731203044</v>
      </c>
      <c r="O2333" s="1667"/>
    </row>
    <row r="2334" spans="11:15">
      <c r="K2334" s="1664">
        <v>44391</v>
      </c>
      <c r="L2334" s="1665" t="s">
        <v>2296</v>
      </c>
      <c r="M2334" s="1666">
        <v>1.6136999999999999E-2</v>
      </c>
      <c r="N2334" s="1667">
        <v>1.6400870912727918</v>
      </c>
      <c r="O2334" s="1667"/>
    </row>
    <row r="2335" spans="11:15">
      <c r="K2335" s="1664">
        <v>44392</v>
      </c>
      <c r="L2335" s="1665" t="s">
        <v>2296</v>
      </c>
      <c r="M2335" s="1666">
        <v>1.6136999999999999E-2</v>
      </c>
      <c r="N2335" s="1667">
        <v>1.6403517521267106</v>
      </c>
      <c r="O2335" s="1667"/>
    </row>
    <row r="2336" spans="11:15">
      <c r="K2336" s="1664">
        <v>44393</v>
      </c>
      <c r="L2336" s="1665" t="s">
        <v>2296</v>
      </c>
      <c r="M2336" s="1666">
        <v>1.6136999999999999E-2</v>
      </c>
      <c r="N2336" s="1667">
        <v>1.6406164556889513</v>
      </c>
      <c r="O2336" s="1667"/>
    </row>
    <row r="2337" spans="11:15">
      <c r="K2337" s="1664">
        <v>44394</v>
      </c>
      <c r="L2337" s="1665"/>
      <c r="M2337" s="1666">
        <v>0</v>
      </c>
      <c r="N2337" s="1667">
        <v>1.6406164556889513</v>
      </c>
      <c r="O2337" s="1667"/>
    </row>
    <row r="2338" spans="11:15">
      <c r="K2338" s="1664">
        <v>44395</v>
      </c>
      <c r="L2338" s="1665"/>
      <c r="M2338" s="1666">
        <v>0</v>
      </c>
      <c r="N2338" s="1667">
        <v>1.6406164556889513</v>
      </c>
      <c r="O2338" s="1667"/>
    </row>
    <row r="2339" spans="11:15">
      <c r="K2339" s="1664">
        <v>44396</v>
      </c>
      <c r="L2339" s="1665" t="s">
        <v>2296</v>
      </c>
      <c r="M2339" s="1666">
        <v>1.6136999999999999E-2</v>
      </c>
      <c r="N2339" s="1667">
        <v>1.6408812019664059</v>
      </c>
      <c r="O2339" s="1667"/>
    </row>
    <row r="2340" spans="11:15">
      <c r="K2340" s="1664">
        <v>44397</v>
      </c>
      <c r="L2340" s="1665" t="s">
        <v>2296</v>
      </c>
      <c r="M2340" s="1666">
        <v>1.6136999999999999E-2</v>
      </c>
      <c r="N2340" s="1667">
        <v>1.6411459909659674</v>
      </c>
      <c r="O2340" s="1667"/>
    </row>
    <row r="2341" spans="11:15">
      <c r="K2341" s="1664">
        <v>44398</v>
      </c>
      <c r="L2341" s="1665" t="s">
        <v>2296</v>
      </c>
      <c r="M2341" s="1666">
        <v>1.6136999999999999E-2</v>
      </c>
      <c r="N2341" s="1667">
        <v>1.6414108226945296</v>
      </c>
      <c r="O2341" s="1667"/>
    </row>
    <row r="2342" spans="11:15">
      <c r="K2342" s="1664">
        <v>44399</v>
      </c>
      <c r="L2342" s="1665" t="s">
        <v>2296</v>
      </c>
      <c r="M2342" s="1666">
        <v>1.6136999999999999E-2</v>
      </c>
      <c r="N2342" s="1667">
        <v>1.6416756971589879</v>
      </c>
      <c r="O2342" s="1667"/>
    </row>
    <row r="2343" spans="11:15">
      <c r="K2343" s="1664">
        <v>44400</v>
      </c>
      <c r="L2343" s="1665" t="s">
        <v>2296</v>
      </c>
      <c r="M2343" s="1666">
        <v>1.6136999999999999E-2</v>
      </c>
      <c r="N2343" s="1667">
        <v>1.6419406143662385</v>
      </c>
      <c r="O2343" s="1667"/>
    </row>
    <row r="2344" spans="11:15">
      <c r="K2344" s="1664">
        <v>44401</v>
      </c>
      <c r="L2344" s="1665"/>
      <c r="M2344" s="1666">
        <v>0</v>
      </c>
      <c r="N2344" s="1667">
        <v>1.6419406143662385</v>
      </c>
      <c r="O2344" s="1667"/>
    </row>
    <row r="2345" spans="11:15">
      <c r="K2345" s="1664">
        <v>44402</v>
      </c>
      <c r="L2345" s="1665"/>
      <c r="M2345" s="1666">
        <v>0</v>
      </c>
      <c r="N2345" s="1667">
        <v>1.6419406143662385</v>
      </c>
      <c r="O2345" s="1667"/>
    </row>
    <row r="2346" spans="11:15">
      <c r="K2346" s="1664">
        <v>44403</v>
      </c>
      <c r="L2346" s="1665" t="s">
        <v>2296</v>
      </c>
      <c r="M2346" s="1666">
        <v>1.6136999999999999E-2</v>
      </c>
      <c r="N2346" s="1667">
        <v>1.6422055743231789</v>
      </c>
      <c r="O2346" s="1667"/>
    </row>
    <row r="2347" spans="11:15">
      <c r="K2347" s="1664">
        <v>44404</v>
      </c>
      <c r="L2347" s="1665" t="s">
        <v>2296</v>
      </c>
      <c r="M2347" s="1666">
        <v>1.6136999999999999E-2</v>
      </c>
      <c r="N2347" s="1667">
        <v>1.6424705770367076</v>
      </c>
      <c r="O2347" s="1667"/>
    </row>
    <row r="2348" spans="11:15">
      <c r="K2348" s="1664">
        <v>44405</v>
      </c>
      <c r="L2348" s="1665" t="s">
        <v>2296</v>
      </c>
      <c r="M2348" s="1666">
        <v>1.6136999999999999E-2</v>
      </c>
      <c r="N2348" s="1667">
        <v>1.6427356225137242</v>
      </c>
      <c r="O2348" s="1667"/>
    </row>
    <row r="2349" spans="11:15">
      <c r="K2349" s="1664">
        <v>44406</v>
      </c>
      <c r="L2349" s="1665" t="s">
        <v>2296</v>
      </c>
      <c r="M2349" s="1666">
        <v>1.6136999999999999E-2</v>
      </c>
      <c r="N2349" s="1667">
        <v>1.6430007107611293</v>
      </c>
      <c r="O2349" s="1667"/>
    </row>
    <row r="2350" spans="11:15">
      <c r="K2350" s="1664">
        <v>44407</v>
      </c>
      <c r="L2350" s="1665" t="s">
        <v>2296</v>
      </c>
      <c r="M2350" s="1666">
        <v>1.6136999999999999E-2</v>
      </c>
      <c r="N2350" s="1667">
        <v>1.6432658417858248</v>
      </c>
      <c r="O2350" s="1667"/>
    </row>
    <row r="2351" spans="11:15">
      <c r="K2351" s="1664">
        <v>44408</v>
      </c>
      <c r="L2351" s="1665"/>
      <c r="M2351" s="1666">
        <v>0</v>
      </c>
      <c r="N2351" s="1667">
        <v>1.6432658417858248</v>
      </c>
      <c r="O2351" s="1667"/>
    </row>
    <row r="2352" spans="11:15">
      <c r="K2352" s="1664">
        <v>44409</v>
      </c>
      <c r="L2352" s="1665"/>
      <c r="M2352" s="1666">
        <v>0</v>
      </c>
      <c r="N2352" s="1667">
        <v>1.6432658417858248</v>
      </c>
      <c r="O2352" s="1667"/>
    </row>
    <row r="2353" spans="11:15">
      <c r="K2353" s="1664">
        <v>44410</v>
      </c>
      <c r="L2353" s="1665" t="s">
        <v>2296</v>
      </c>
      <c r="M2353" s="1666">
        <v>1.6136999999999999E-2</v>
      </c>
      <c r="N2353" s="1667">
        <v>1.6435310155947138</v>
      </c>
      <c r="O2353" s="1667"/>
    </row>
    <row r="2354" spans="11:15">
      <c r="K2354" s="1664">
        <v>44411</v>
      </c>
      <c r="L2354" s="1665" t="s">
        <v>2296</v>
      </c>
      <c r="M2354" s="1666">
        <v>1.6136999999999999E-2</v>
      </c>
      <c r="N2354" s="1667">
        <v>1.6437962321947004</v>
      </c>
      <c r="O2354" s="1667"/>
    </row>
    <row r="2355" spans="11:15">
      <c r="K2355" s="1664">
        <v>44412</v>
      </c>
      <c r="L2355" s="1665" t="s">
        <v>2296</v>
      </c>
      <c r="M2355" s="1666">
        <v>1.6136999999999999E-2</v>
      </c>
      <c r="N2355" s="1667">
        <v>1.6440614915926897</v>
      </c>
      <c r="O2355" s="1667"/>
    </row>
    <row r="2356" spans="11:15">
      <c r="K2356" s="1664">
        <v>44413</v>
      </c>
      <c r="L2356" s="1665" t="s">
        <v>2296</v>
      </c>
      <c r="M2356" s="1666">
        <v>1.993E-2</v>
      </c>
      <c r="N2356" s="1667">
        <v>1.6443891530479642</v>
      </c>
      <c r="O2356" s="1667"/>
    </row>
    <row r="2357" spans="11:15">
      <c r="K2357" s="1664">
        <v>44414</v>
      </c>
      <c r="L2357" s="1665" t="s">
        <v>2296</v>
      </c>
      <c r="M2357" s="1666">
        <v>1.993E-2</v>
      </c>
      <c r="N2357" s="1667">
        <v>1.6447168798061667</v>
      </c>
      <c r="O2357" s="1667"/>
    </row>
    <row r="2358" spans="11:15">
      <c r="K2358" s="1664">
        <v>44415</v>
      </c>
      <c r="L2358" s="1665"/>
      <c r="M2358" s="1666">
        <v>0</v>
      </c>
      <c r="N2358" s="1667">
        <v>1.6447168798061667</v>
      </c>
      <c r="O2358" s="1667"/>
    </row>
    <row r="2359" spans="11:15">
      <c r="K2359" s="1664">
        <v>44416</v>
      </c>
      <c r="L2359" s="1665"/>
      <c r="M2359" s="1666">
        <v>0</v>
      </c>
      <c r="N2359" s="1667">
        <v>1.6447168798061667</v>
      </c>
      <c r="O2359" s="1667"/>
    </row>
    <row r="2360" spans="11:15">
      <c r="K2360" s="1664">
        <v>44417</v>
      </c>
      <c r="L2360" s="1665" t="s">
        <v>2296</v>
      </c>
      <c r="M2360" s="1666">
        <v>1.993E-2</v>
      </c>
      <c r="N2360" s="1667">
        <v>1.645044671880312</v>
      </c>
      <c r="O2360" s="1667"/>
    </row>
    <row r="2361" spans="11:15">
      <c r="K2361" s="1664">
        <v>44418</v>
      </c>
      <c r="L2361" s="1665" t="s">
        <v>2296</v>
      </c>
      <c r="M2361" s="1666">
        <v>1.993E-2</v>
      </c>
      <c r="N2361" s="1667">
        <v>1.6453725292834178</v>
      </c>
      <c r="O2361" s="1667"/>
    </row>
    <row r="2362" spans="11:15">
      <c r="K2362" s="1664">
        <v>44419</v>
      </c>
      <c r="L2362" s="1665" t="s">
        <v>2296</v>
      </c>
      <c r="M2362" s="1666">
        <v>1.993E-2</v>
      </c>
      <c r="N2362" s="1667">
        <v>1.6457004520285041</v>
      </c>
      <c r="O2362" s="1667"/>
    </row>
    <row r="2363" spans="11:15">
      <c r="K2363" s="1664">
        <v>44420</v>
      </c>
      <c r="L2363" s="1665" t="s">
        <v>2296</v>
      </c>
      <c r="M2363" s="1666">
        <v>1.993E-2</v>
      </c>
      <c r="N2363" s="1667">
        <v>1.6460284401285934</v>
      </c>
      <c r="O2363" s="1667"/>
    </row>
    <row r="2364" spans="11:15">
      <c r="K2364" s="1664">
        <v>44421</v>
      </c>
      <c r="L2364" s="1665" t="s">
        <v>2296</v>
      </c>
      <c r="M2364" s="1666">
        <v>1.993E-2</v>
      </c>
      <c r="N2364" s="1667">
        <v>1.646356493596711</v>
      </c>
      <c r="O2364" s="1667"/>
    </row>
    <row r="2365" spans="11:15">
      <c r="K2365" s="1664">
        <v>44422</v>
      </c>
      <c r="L2365" s="1665"/>
      <c r="M2365" s="1666">
        <v>0</v>
      </c>
      <c r="N2365" s="1667">
        <v>1.646356493596711</v>
      </c>
      <c r="O2365" s="1667"/>
    </row>
    <row r="2366" spans="11:15">
      <c r="K2366" s="1664">
        <v>44423</v>
      </c>
      <c r="L2366" s="1665"/>
      <c r="M2366" s="1666">
        <v>0</v>
      </c>
      <c r="N2366" s="1667">
        <v>1.646356493596711</v>
      </c>
      <c r="O2366" s="1667"/>
    </row>
    <row r="2367" spans="11:15">
      <c r="K2367" s="1664">
        <v>44424</v>
      </c>
      <c r="L2367" s="1665" t="s">
        <v>2296</v>
      </c>
      <c r="M2367" s="1666">
        <v>1.993E-2</v>
      </c>
      <c r="N2367" s="1667">
        <v>1.6466846124458849</v>
      </c>
      <c r="O2367" s="1667"/>
    </row>
    <row r="2368" spans="11:15">
      <c r="K2368" s="1664">
        <v>44425</v>
      </c>
      <c r="L2368" s="1665" t="s">
        <v>2296</v>
      </c>
      <c r="M2368" s="1666">
        <v>1.993E-2</v>
      </c>
      <c r="N2368" s="1667">
        <v>1.6470127966891455</v>
      </c>
      <c r="O2368" s="1667"/>
    </row>
    <row r="2369" spans="11:15">
      <c r="K2369" s="1664">
        <v>44426</v>
      </c>
      <c r="L2369" s="1665" t="s">
        <v>2296</v>
      </c>
      <c r="M2369" s="1666">
        <v>1.993E-2</v>
      </c>
      <c r="N2369" s="1667">
        <v>1.6473410463395257</v>
      </c>
      <c r="O2369" s="1667"/>
    </row>
    <row r="2370" spans="11:15">
      <c r="K2370" s="1664">
        <v>44427</v>
      </c>
      <c r="L2370" s="1665" t="s">
        <v>2296</v>
      </c>
      <c r="M2370" s="1666">
        <v>1.993E-2</v>
      </c>
      <c r="N2370" s="1667">
        <v>1.6476693614100613</v>
      </c>
      <c r="O2370" s="1667"/>
    </row>
    <row r="2371" spans="11:15">
      <c r="K2371" s="1664">
        <v>44428</v>
      </c>
      <c r="L2371" s="1665" t="s">
        <v>2296</v>
      </c>
      <c r="M2371" s="1666">
        <v>1.993E-2</v>
      </c>
      <c r="N2371" s="1667">
        <v>1.6479977419137903</v>
      </c>
      <c r="O2371" s="1667"/>
    </row>
    <row r="2372" spans="11:15">
      <c r="K2372" s="1664">
        <v>44429</v>
      </c>
      <c r="L2372" s="1665"/>
      <c r="M2372" s="1666">
        <v>0</v>
      </c>
      <c r="N2372" s="1667">
        <v>1.6479977419137903</v>
      </c>
      <c r="O2372" s="1667"/>
    </row>
    <row r="2373" spans="11:15">
      <c r="K2373" s="1664">
        <v>44430</v>
      </c>
      <c r="L2373" s="1665"/>
      <c r="M2373" s="1666">
        <v>0</v>
      </c>
      <c r="N2373" s="1667">
        <v>1.6479977419137903</v>
      </c>
      <c r="O2373" s="1667"/>
    </row>
    <row r="2374" spans="11:15">
      <c r="K2374" s="1664">
        <v>44431</v>
      </c>
      <c r="L2374" s="1665" t="s">
        <v>2296</v>
      </c>
      <c r="M2374" s="1666">
        <v>1.993E-2</v>
      </c>
      <c r="N2374" s="1667">
        <v>1.6483261878637538</v>
      </c>
      <c r="O2374" s="1667"/>
    </row>
    <row r="2375" spans="11:15">
      <c r="K2375" s="1664">
        <v>44432</v>
      </c>
      <c r="L2375" s="1665" t="s">
        <v>2296</v>
      </c>
      <c r="M2375" s="1666">
        <v>1.993E-2</v>
      </c>
      <c r="N2375" s="1667">
        <v>1.6486546992729951</v>
      </c>
      <c r="O2375" s="1667"/>
    </row>
    <row r="2376" spans="11:15">
      <c r="K2376" s="1664">
        <v>44433</v>
      </c>
      <c r="L2376" s="1665" t="s">
        <v>2296</v>
      </c>
      <c r="M2376" s="1666">
        <v>1.993E-2</v>
      </c>
      <c r="N2376" s="1667">
        <v>1.6489832761545602</v>
      </c>
      <c r="O2376" s="1667"/>
    </row>
    <row r="2377" spans="11:15">
      <c r="K2377" s="1664">
        <v>44434</v>
      </c>
      <c r="L2377" s="1665" t="s">
        <v>2296</v>
      </c>
      <c r="M2377" s="1666">
        <v>1.993E-2</v>
      </c>
      <c r="N2377" s="1667">
        <v>1.6493119185214977</v>
      </c>
      <c r="O2377" s="1667"/>
    </row>
    <row r="2378" spans="11:15">
      <c r="K2378" s="1664">
        <v>44435</v>
      </c>
      <c r="L2378" s="1665" t="s">
        <v>2296</v>
      </c>
      <c r="M2378" s="1666">
        <v>1.993E-2</v>
      </c>
      <c r="N2378" s="1667">
        <v>1.649640626386859</v>
      </c>
      <c r="O2378" s="1667"/>
    </row>
    <row r="2379" spans="11:15">
      <c r="K2379" s="1664">
        <v>44436</v>
      </c>
      <c r="L2379" s="1665"/>
      <c r="M2379" s="1666">
        <v>0</v>
      </c>
      <c r="N2379" s="1667">
        <v>1.649640626386859</v>
      </c>
      <c r="O2379" s="1667"/>
    </row>
    <row r="2380" spans="11:15">
      <c r="K2380" s="1664">
        <v>44437</v>
      </c>
      <c r="L2380" s="1665"/>
      <c r="M2380" s="1666">
        <v>0</v>
      </c>
      <c r="N2380" s="1667">
        <v>1.649640626386859</v>
      </c>
      <c r="O2380" s="1667"/>
    </row>
    <row r="2381" spans="11:15">
      <c r="K2381" s="1664">
        <v>44438</v>
      </c>
      <c r="L2381" s="1665" t="s">
        <v>2296</v>
      </c>
      <c r="M2381" s="1666">
        <v>1.993E-2</v>
      </c>
      <c r="N2381" s="1667">
        <v>1.6499693997636979</v>
      </c>
      <c r="O2381" s="1667"/>
    </row>
    <row r="2382" spans="11:15">
      <c r="K2382" s="1664">
        <v>44439</v>
      </c>
      <c r="L2382" s="1665" t="s">
        <v>2296</v>
      </c>
      <c r="M2382" s="1666">
        <v>1.993E-2</v>
      </c>
      <c r="N2382" s="1667">
        <v>1.6502982386650709</v>
      </c>
      <c r="O2382" s="1667"/>
    </row>
    <row r="2383" spans="11:15">
      <c r="K2383" s="1664">
        <v>44440</v>
      </c>
      <c r="L2383" s="1665" t="s">
        <v>2296</v>
      </c>
      <c r="M2383" s="1666">
        <v>1.993E-2</v>
      </c>
      <c r="N2383" s="1667">
        <v>1.6506271431040369</v>
      </c>
      <c r="O2383" s="1667"/>
    </row>
    <row r="2384" spans="11:15">
      <c r="K2384" s="1664">
        <v>44441</v>
      </c>
      <c r="L2384" s="1665" t="s">
        <v>2296</v>
      </c>
      <c r="M2384" s="1666">
        <v>1.993E-2</v>
      </c>
      <c r="N2384" s="1667">
        <v>1.6509561130936576</v>
      </c>
      <c r="O2384" s="1667"/>
    </row>
    <row r="2385" spans="11:15">
      <c r="K2385" s="1664">
        <v>44442</v>
      </c>
      <c r="L2385" s="1665" t="s">
        <v>2296</v>
      </c>
      <c r="M2385" s="1666">
        <v>1.993E-2</v>
      </c>
      <c r="N2385" s="1667">
        <v>1.6512851486469973</v>
      </c>
      <c r="O2385" s="1667"/>
    </row>
    <row r="2386" spans="11:15">
      <c r="K2386" s="1664">
        <v>44443</v>
      </c>
      <c r="L2386" s="1665"/>
      <c r="M2386" s="1666">
        <v>0</v>
      </c>
      <c r="N2386" s="1667">
        <v>1.6512851486469973</v>
      </c>
      <c r="O2386" s="1667"/>
    </row>
    <row r="2387" spans="11:15">
      <c r="K2387" s="1664">
        <v>44444</v>
      </c>
      <c r="L2387" s="1665"/>
      <c r="M2387" s="1666">
        <v>0</v>
      </c>
      <c r="N2387" s="1667">
        <v>1.6512851486469973</v>
      </c>
      <c r="O2387" s="1667"/>
    </row>
    <row r="2388" spans="11:15">
      <c r="K2388" s="1664">
        <v>44445</v>
      </c>
      <c r="L2388" s="1665" t="s">
        <v>2296</v>
      </c>
      <c r="M2388" s="1666">
        <v>1.993E-2</v>
      </c>
      <c r="N2388" s="1667">
        <v>1.6516142497771227</v>
      </c>
      <c r="O2388" s="1667"/>
    </row>
    <row r="2389" spans="11:15">
      <c r="K2389" s="1664">
        <v>44446</v>
      </c>
      <c r="L2389" s="1665"/>
      <c r="M2389" s="1666">
        <v>0</v>
      </c>
      <c r="N2389" s="1667">
        <v>1.6516142497771227</v>
      </c>
      <c r="O2389" s="1667"/>
    </row>
    <row r="2390" spans="11:15">
      <c r="K2390" s="1664">
        <v>44447</v>
      </c>
      <c r="L2390" s="1665" t="s">
        <v>2296</v>
      </c>
      <c r="M2390" s="1666">
        <v>1.993E-2</v>
      </c>
      <c r="N2390" s="1667">
        <v>1.6519434164971032</v>
      </c>
      <c r="O2390" s="1667"/>
    </row>
    <row r="2391" spans="11:15">
      <c r="K2391" s="1664">
        <v>44448</v>
      </c>
      <c r="L2391" s="1665" t="s">
        <v>2296</v>
      </c>
      <c r="M2391" s="1666">
        <v>1.993E-2</v>
      </c>
      <c r="N2391" s="1667">
        <v>1.652272648820011</v>
      </c>
      <c r="O2391" s="1667"/>
    </row>
    <row r="2392" spans="11:15">
      <c r="K2392" s="1664">
        <v>44449</v>
      </c>
      <c r="L2392" s="1665" t="s">
        <v>2296</v>
      </c>
      <c r="M2392" s="1666">
        <v>1.993E-2</v>
      </c>
      <c r="N2392" s="1667">
        <v>1.6526019467589208</v>
      </c>
      <c r="O2392" s="1667"/>
    </row>
    <row r="2393" spans="11:15">
      <c r="K2393" s="1664">
        <v>44450</v>
      </c>
      <c r="L2393" s="1665"/>
      <c r="M2393" s="1666">
        <v>0</v>
      </c>
      <c r="N2393" s="1667">
        <v>1.6526019467589208</v>
      </c>
      <c r="O2393" s="1667"/>
    </row>
    <row r="2394" spans="11:15">
      <c r="K2394" s="1664">
        <v>44451</v>
      </c>
      <c r="L2394" s="1665"/>
      <c r="M2394" s="1666">
        <v>0</v>
      </c>
      <c r="N2394" s="1667">
        <v>1.6526019467589208</v>
      </c>
      <c r="O2394" s="1667"/>
    </row>
    <row r="2395" spans="11:15">
      <c r="K2395" s="1664">
        <v>44452</v>
      </c>
      <c r="L2395" s="1665" t="s">
        <v>2296</v>
      </c>
      <c r="M2395" s="1666">
        <v>1.993E-2</v>
      </c>
      <c r="N2395" s="1667">
        <v>1.6529313103269099</v>
      </c>
      <c r="O2395" s="1667"/>
    </row>
    <row r="2396" spans="11:15">
      <c r="K2396" s="1664">
        <v>44453</v>
      </c>
      <c r="L2396" s="1665" t="s">
        <v>2296</v>
      </c>
      <c r="M2396" s="1666">
        <v>1.993E-2</v>
      </c>
      <c r="N2396" s="1667">
        <v>1.653260739537058</v>
      </c>
      <c r="O2396" s="1667"/>
    </row>
    <row r="2397" spans="11:15">
      <c r="K2397" s="1664">
        <v>44454</v>
      </c>
      <c r="L2397" s="1665" t="s">
        <v>2296</v>
      </c>
      <c r="M2397" s="1666">
        <v>1.993E-2</v>
      </c>
      <c r="N2397" s="1667">
        <v>1.6535902344024478</v>
      </c>
      <c r="O2397" s="1667"/>
    </row>
    <row r="2398" spans="11:15">
      <c r="K2398" s="1664">
        <v>44455</v>
      </c>
      <c r="L2398" s="1665" t="s">
        <v>2296</v>
      </c>
      <c r="M2398" s="1666">
        <v>1.993E-2</v>
      </c>
      <c r="N2398" s="1667">
        <v>1.6539197949361641</v>
      </c>
      <c r="O2398" s="1667"/>
    </row>
    <row r="2399" spans="11:15">
      <c r="K2399" s="1664">
        <v>44456</v>
      </c>
      <c r="L2399" s="1665" t="s">
        <v>2296</v>
      </c>
      <c r="M2399" s="1666">
        <v>1.993E-2</v>
      </c>
      <c r="N2399" s="1667">
        <v>1.654249421151295</v>
      </c>
      <c r="O2399" s="1667"/>
    </row>
    <row r="2400" spans="11:15">
      <c r="K2400" s="1664">
        <v>44457</v>
      </c>
      <c r="L2400" s="1665"/>
      <c r="M2400" s="1666">
        <v>0</v>
      </c>
      <c r="N2400" s="1667">
        <v>1.654249421151295</v>
      </c>
      <c r="O2400" s="1667"/>
    </row>
    <row r="2401" spans="11:15">
      <c r="K2401" s="1664">
        <v>44458</v>
      </c>
      <c r="L2401" s="1665"/>
      <c r="M2401" s="1666">
        <v>0</v>
      </c>
      <c r="N2401" s="1667">
        <v>1.654249421151295</v>
      </c>
      <c r="O2401" s="1667"/>
    </row>
    <row r="2402" spans="11:15">
      <c r="K2402" s="1664">
        <v>44459</v>
      </c>
      <c r="L2402" s="1665" t="s">
        <v>2296</v>
      </c>
      <c r="M2402" s="1666">
        <v>1.993E-2</v>
      </c>
      <c r="N2402" s="1667">
        <v>1.6545791130609304</v>
      </c>
      <c r="O2402" s="1667"/>
    </row>
    <row r="2403" spans="11:15">
      <c r="K2403" s="1664">
        <v>44460</v>
      </c>
      <c r="L2403" s="1665" t="s">
        <v>2296</v>
      </c>
      <c r="M2403" s="1666">
        <v>1.993E-2</v>
      </c>
      <c r="N2403" s="1667">
        <v>1.6549088706781634</v>
      </c>
      <c r="O2403" s="1667"/>
    </row>
    <row r="2404" spans="11:15">
      <c r="K2404" s="1664">
        <v>44461</v>
      </c>
      <c r="L2404" s="1665" t="s">
        <v>2296</v>
      </c>
      <c r="M2404" s="1666">
        <v>1.993E-2</v>
      </c>
      <c r="N2404" s="1667">
        <v>1.6552386940160895</v>
      </c>
      <c r="O2404" s="1667"/>
    </row>
    <row r="2405" spans="11:15">
      <c r="K2405" s="1664">
        <v>44462</v>
      </c>
      <c r="L2405" s="1665" t="s">
        <v>2296</v>
      </c>
      <c r="M2405" s="1666">
        <v>2.3687E-2</v>
      </c>
      <c r="N2405" s="1667">
        <v>1.6556307704055411</v>
      </c>
      <c r="O2405" s="1667"/>
    </row>
    <row r="2406" spans="11:15">
      <c r="K2406" s="1664">
        <v>44463</v>
      </c>
      <c r="L2406" s="1665" t="s">
        <v>2296</v>
      </c>
      <c r="M2406" s="1666">
        <v>2.3687E-2</v>
      </c>
      <c r="N2406" s="1667">
        <v>1.656022939666127</v>
      </c>
      <c r="O2406" s="1667"/>
    </row>
    <row r="2407" spans="11:15">
      <c r="K2407" s="1664">
        <v>44464</v>
      </c>
      <c r="L2407" s="1665"/>
      <c r="M2407" s="1666">
        <v>0</v>
      </c>
      <c r="N2407" s="1667">
        <v>1.656022939666127</v>
      </c>
      <c r="O2407" s="1667"/>
    </row>
    <row r="2408" spans="11:15">
      <c r="K2408" s="1664">
        <v>44465</v>
      </c>
      <c r="L2408" s="1665"/>
      <c r="M2408" s="1666">
        <v>0</v>
      </c>
      <c r="N2408" s="1667">
        <v>1.656022939666127</v>
      </c>
      <c r="O2408" s="1667"/>
    </row>
    <row r="2409" spans="11:15">
      <c r="K2409" s="1664">
        <v>44466</v>
      </c>
      <c r="L2409" s="1665" t="s">
        <v>2296</v>
      </c>
      <c r="M2409" s="1666">
        <v>2.3687E-2</v>
      </c>
      <c r="N2409" s="1667">
        <v>1.6564152018198457</v>
      </c>
      <c r="O2409" s="1667"/>
    </row>
    <row r="2410" spans="11:15">
      <c r="K2410" s="1664">
        <v>44467</v>
      </c>
      <c r="L2410" s="1665" t="s">
        <v>2296</v>
      </c>
      <c r="M2410" s="1666">
        <v>2.3687E-2</v>
      </c>
      <c r="N2410" s="1667">
        <v>1.6568075568887006</v>
      </c>
      <c r="O2410" s="1667"/>
    </row>
    <row r="2411" spans="11:15">
      <c r="K2411" s="1664">
        <v>44468</v>
      </c>
      <c r="L2411" s="1665" t="s">
        <v>2296</v>
      </c>
      <c r="M2411" s="1666">
        <v>2.3687E-2</v>
      </c>
      <c r="N2411" s="1667">
        <v>1.6572000048947009</v>
      </c>
      <c r="O2411" s="1667"/>
    </row>
    <row r="2412" spans="11:15">
      <c r="K2412" s="1664">
        <v>44469</v>
      </c>
      <c r="L2412" s="1665" t="s">
        <v>2296</v>
      </c>
      <c r="M2412" s="1666">
        <v>2.3687E-2</v>
      </c>
      <c r="N2412" s="1667">
        <v>1.6575925458598602</v>
      </c>
      <c r="O2412" s="1667"/>
    </row>
    <row r="2413" spans="11:15">
      <c r="K2413" s="1664">
        <v>44470</v>
      </c>
      <c r="L2413" s="1665" t="s">
        <v>2296</v>
      </c>
      <c r="M2413" s="1666">
        <v>2.3687E-2</v>
      </c>
      <c r="N2413" s="1667">
        <v>1.657985179806198</v>
      </c>
      <c r="O2413" s="1667"/>
    </row>
    <row r="2414" spans="11:15">
      <c r="K2414" s="1664">
        <v>44471</v>
      </c>
      <c r="L2414" s="1665"/>
      <c r="M2414" s="1666">
        <v>0</v>
      </c>
      <c r="N2414" s="1667">
        <v>1.657985179806198</v>
      </c>
      <c r="O2414" s="1667"/>
    </row>
    <row r="2415" spans="11:15">
      <c r="K2415" s="1664">
        <v>44472</v>
      </c>
      <c r="L2415" s="1665"/>
      <c r="M2415" s="1666">
        <v>0</v>
      </c>
      <c r="N2415" s="1667">
        <v>1.657985179806198</v>
      </c>
      <c r="O2415" s="1667"/>
    </row>
    <row r="2416" spans="11:15">
      <c r="K2416" s="1664">
        <v>44473</v>
      </c>
      <c r="L2416" s="1665" t="s">
        <v>2296</v>
      </c>
      <c r="M2416" s="1666">
        <v>2.3687E-2</v>
      </c>
      <c r="N2416" s="1667">
        <v>1.6583779067557385</v>
      </c>
      <c r="O2416" s="1667"/>
    </row>
    <row r="2417" spans="11:15">
      <c r="K2417" s="1664">
        <v>44474</v>
      </c>
      <c r="L2417" s="1665" t="s">
        <v>2296</v>
      </c>
      <c r="M2417" s="1666">
        <v>2.3687E-2</v>
      </c>
      <c r="N2417" s="1667">
        <v>1.6587707267305116</v>
      </c>
      <c r="O2417" s="1667"/>
    </row>
    <row r="2418" spans="11:15">
      <c r="K2418" s="1664">
        <v>44475</v>
      </c>
      <c r="L2418" s="1665" t="s">
        <v>2296</v>
      </c>
      <c r="M2418" s="1666">
        <v>2.3687E-2</v>
      </c>
      <c r="N2418" s="1667">
        <v>1.6591636397525522</v>
      </c>
      <c r="O2418" s="1667"/>
    </row>
    <row r="2419" spans="11:15">
      <c r="K2419" s="1664">
        <v>44476</v>
      </c>
      <c r="L2419" s="1665" t="s">
        <v>2296</v>
      </c>
      <c r="M2419" s="1666">
        <v>2.3687E-2</v>
      </c>
      <c r="N2419" s="1667">
        <v>1.6595566458439004</v>
      </c>
      <c r="O2419" s="1667"/>
    </row>
    <row r="2420" spans="11:15">
      <c r="K2420" s="1664">
        <v>44477</v>
      </c>
      <c r="L2420" s="1665" t="s">
        <v>2296</v>
      </c>
      <c r="M2420" s="1666">
        <v>2.3687E-2</v>
      </c>
      <c r="N2420" s="1667">
        <v>1.6599497450266014</v>
      </c>
      <c r="O2420" s="1667"/>
    </row>
    <row r="2421" spans="11:15">
      <c r="K2421" s="1664">
        <v>44478</v>
      </c>
      <c r="L2421" s="1665"/>
      <c r="M2421" s="1666">
        <v>0</v>
      </c>
      <c r="N2421" s="1667">
        <v>1.6599497450266014</v>
      </c>
      <c r="O2421" s="1667"/>
    </row>
    <row r="2422" spans="11:15">
      <c r="K2422" s="1664">
        <v>44479</v>
      </c>
      <c r="L2422" s="1665"/>
      <c r="M2422" s="1666">
        <v>0</v>
      </c>
      <c r="N2422" s="1667">
        <v>1.6599497450266014</v>
      </c>
      <c r="O2422" s="1667"/>
    </row>
    <row r="2423" spans="11:15">
      <c r="K2423" s="1664">
        <v>44480</v>
      </c>
      <c r="L2423" s="1665" t="s">
        <v>2296</v>
      </c>
      <c r="M2423" s="1666">
        <v>2.3687E-2</v>
      </c>
      <c r="N2423" s="1667">
        <v>1.6603429373227059</v>
      </c>
      <c r="O2423" s="1667"/>
    </row>
    <row r="2424" spans="11:15">
      <c r="K2424" s="1664">
        <v>44481</v>
      </c>
      <c r="L2424" s="1665"/>
      <c r="M2424" s="1666">
        <v>0</v>
      </c>
      <c r="N2424" s="1667">
        <v>1.6603429373227059</v>
      </c>
      <c r="O2424" s="1667"/>
    </row>
    <row r="2425" spans="11:15">
      <c r="K2425" s="1664">
        <v>44482</v>
      </c>
      <c r="L2425" s="1665" t="s">
        <v>2296</v>
      </c>
      <c r="M2425" s="1666">
        <v>2.3687E-2</v>
      </c>
      <c r="N2425" s="1667">
        <v>1.6607362227542695</v>
      </c>
      <c r="O2425" s="1667"/>
    </row>
    <row r="2426" spans="11:15">
      <c r="K2426" s="1664">
        <v>44483</v>
      </c>
      <c r="L2426" s="1665" t="s">
        <v>2296</v>
      </c>
      <c r="M2426" s="1666">
        <v>2.3687E-2</v>
      </c>
      <c r="N2426" s="1667">
        <v>1.6611296013433532</v>
      </c>
      <c r="O2426" s="1667"/>
    </row>
    <row r="2427" spans="11:15">
      <c r="K2427" s="1664">
        <v>44484</v>
      </c>
      <c r="L2427" s="1665" t="s">
        <v>2296</v>
      </c>
      <c r="M2427" s="1666">
        <v>2.3687E-2</v>
      </c>
      <c r="N2427" s="1667">
        <v>1.6615230731120234</v>
      </c>
      <c r="O2427" s="1667"/>
    </row>
    <row r="2428" spans="11:15">
      <c r="K2428" s="1664">
        <v>44485</v>
      </c>
      <c r="L2428" s="1665"/>
      <c r="M2428" s="1666">
        <v>0</v>
      </c>
      <c r="N2428" s="1667">
        <v>1.6615230731120234</v>
      </c>
      <c r="O2428" s="1667"/>
    </row>
    <row r="2429" spans="11:15">
      <c r="K2429" s="1664">
        <v>44486</v>
      </c>
      <c r="L2429" s="1665"/>
      <c r="M2429" s="1666">
        <v>0</v>
      </c>
      <c r="N2429" s="1667">
        <v>1.6615230731120234</v>
      </c>
      <c r="O2429" s="1667"/>
    </row>
    <row r="2430" spans="11:15">
      <c r="K2430" s="1664">
        <v>44487</v>
      </c>
      <c r="L2430" s="1665" t="s">
        <v>2296</v>
      </c>
      <c r="M2430" s="1666">
        <v>2.3687E-2</v>
      </c>
      <c r="N2430" s="1667">
        <v>1.6619166380823513</v>
      </c>
      <c r="O2430" s="1667"/>
    </row>
    <row r="2431" spans="11:15">
      <c r="K2431" s="1664">
        <v>44488</v>
      </c>
      <c r="L2431" s="1665" t="s">
        <v>2296</v>
      </c>
      <c r="M2431" s="1666">
        <v>2.3687E-2</v>
      </c>
      <c r="N2431" s="1667">
        <v>1.6623102962764138</v>
      </c>
      <c r="O2431" s="1667"/>
    </row>
    <row r="2432" spans="11:15">
      <c r="K2432" s="1664">
        <v>44489</v>
      </c>
      <c r="L2432" s="1665" t="s">
        <v>2296</v>
      </c>
      <c r="M2432" s="1666">
        <v>2.3687E-2</v>
      </c>
      <c r="N2432" s="1667">
        <v>1.6627040477162927</v>
      </c>
      <c r="O2432" s="1667"/>
    </row>
    <row r="2433" spans="11:15">
      <c r="K2433" s="1664">
        <v>44490</v>
      </c>
      <c r="L2433" s="1665" t="s">
        <v>2296</v>
      </c>
      <c r="M2433" s="1666">
        <v>2.3687E-2</v>
      </c>
      <c r="N2433" s="1667">
        <v>1.6630978924240751</v>
      </c>
      <c r="O2433" s="1667"/>
    </row>
    <row r="2434" spans="11:15">
      <c r="K2434" s="1664">
        <v>44491</v>
      </c>
      <c r="L2434" s="1665" t="s">
        <v>2296</v>
      </c>
      <c r="M2434" s="1666">
        <v>2.3687E-2</v>
      </c>
      <c r="N2434" s="1667">
        <v>1.6634918304218536</v>
      </c>
      <c r="O2434" s="1667"/>
    </row>
    <row r="2435" spans="11:15">
      <c r="K2435" s="1664">
        <v>44492</v>
      </c>
      <c r="L2435" s="1665"/>
      <c r="M2435" s="1666">
        <v>0</v>
      </c>
      <c r="N2435" s="1667">
        <v>1.6634918304218536</v>
      </c>
      <c r="O2435" s="1667"/>
    </row>
    <row r="2436" spans="11:15">
      <c r="K2436" s="1664">
        <v>44493</v>
      </c>
      <c r="L2436" s="1665"/>
      <c r="M2436" s="1666">
        <v>0</v>
      </c>
      <c r="N2436" s="1667">
        <v>1.6634918304218536</v>
      </c>
      <c r="O2436" s="1667"/>
    </row>
    <row r="2437" spans="11:15">
      <c r="K2437" s="1664">
        <v>44494</v>
      </c>
      <c r="L2437" s="1665" t="s">
        <v>2296</v>
      </c>
      <c r="M2437" s="1666">
        <v>2.3687E-2</v>
      </c>
      <c r="N2437" s="1667">
        <v>1.6638858617317256</v>
      </c>
      <c r="O2437" s="1667"/>
    </row>
    <row r="2438" spans="11:15">
      <c r="K2438" s="1664">
        <v>44495</v>
      </c>
      <c r="L2438" s="1665" t="s">
        <v>2296</v>
      </c>
      <c r="M2438" s="1666">
        <v>2.3687E-2</v>
      </c>
      <c r="N2438" s="1667">
        <v>1.664279986375794</v>
      </c>
      <c r="O2438" s="1667"/>
    </row>
    <row r="2439" spans="11:15">
      <c r="K2439" s="1664">
        <v>44496</v>
      </c>
      <c r="L2439" s="1665" t="s">
        <v>2296</v>
      </c>
      <c r="M2439" s="1666">
        <v>2.3687E-2</v>
      </c>
      <c r="N2439" s="1667">
        <v>1.6646742043761666</v>
      </c>
      <c r="O2439" s="1667"/>
    </row>
    <row r="2440" spans="11:15">
      <c r="K2440" s="1664">
        <v>44497</v>
      </c>
      <c r="L2440" s="1665" t="s">
        <v>2296</v>
      </c>
      <c r="M2440" s="1666">
        <v>2.9256000000000001E-2</v>
      </c>
      <c r="N2440" s="1667">
        <v>1.6651612214613991</v>
      </c>
      <c r="O2440" s="1667"/>
    </row>
    <row r="2441" spans="11:15">
      <c r="K2441" s="1664">
        <v>44498</v>
      </c>
      <c r="L2441" s="1665" t="s">
        <v>2296</v>
      </c>
      <c r="M2441" s="1666">
        <v>2.9256000000000001E-2</v>
      </c>
      <c r="N2441" s="1667">
        <v>1.66564838102835</v>
      </c>
      <c r="O2441" s="1667"/>
    </row>
    <row r="2442" spans="11:15">
      <c r="K2442" s="1664">
        <v>44499</v>
      </c>
      <c r="L2442" s="1665"/>
      <c r="M2442" s="1666">
        <v>0</v>
      </c>
      <c r="N2442" s="1667">
        <v>1.66564838102835</v>
      </c>
      <c r="O2442" s="1667"/>
    </row>
    <row r="2443" spans="11:15">
      <c r="K2443" s="1664">
        <v>44500</v>
      </c>
      <c r="L2443" s="1665"/>
      <c r="M2443" s="1666">
        <v>0</v>
      </c>
      <c r="N2443" s="1667">
        <v>1.66564838102835</v>
      </c>
      <c r="O2443" s="1667"/>
    </row>
    <row r="2444" spans="11:15">
      <c r="K2444" s="1664">
        <v>44501</v>
      </c>
      <c r="L2444" s="1665" t="s">
        <v>2296</v>
      </c>
      <c r="M2444" s="1666">
        <v>2.9256000000000001E-2</v>
      </c>
      <c r="N2444" s="1667">
        <v>1.6661356831187037</v>
      </c>
      <c r="O2444" s="1667"/>
    </row>
    <row r="2445" spans="11:15">
      <c r="K2445" s="1664">
        <v>44502</v>
      </c>
      <c r="L2445" s="1665"/>
      <c r="M2445" s="1666">
        <v>0</v>
      </c>
      <c r="N2445" s="1667">
        <v>1.6661356831187037</v>
      </c>
      <c r="O2445" s="1667"/>
    </row>
    <row r="2446" spans="11:15">
      <c r="K2446" s="1664">
        <v>44503</v>
      </c>
      <c r="L2446" s="1665" t="s">
        <v>2296</v>
      </c>
      <c r="M2446" s="1666">
        <v>2.9256000000000001E-2</v>
      </c>
      <c r="N2446" s="1667">
        <v>1.6666231277741572</v>
      </c>
      <c r="O2446" s="1667"/>
    </row>
    <row r="2447" spans="11:15">
      <c r="K2447" s="1664">
        <v>44504</v>
      </c>
      <c r="L2447" s="1665" t="s">
        <v>2296</v>
      </c>
      <c r="M2447" s="1666">
        <v>2.9256000000000001E-2</v>
      </c>
      <c r="N2447" s="1667">
        <v>1.6671107150364191</v>
      </c>
      <c r="O2447" s="1667"/>
    </row>
    <row r="2448" spans="11:15">
      <c r="K2448" s="1664">
        <v>44505</v>
      </c>
      <c r="L2448" s="1665" t="s">
        <v>2296</v>
      </c>
      <c r="M2448" s="1666">
        <v>2.9256000000000001E-2</v>
      </c>
      <c r="N2448" s="1667">
        <v>1.6675984449472103</v>
      </c>
      <c r="O2448" s="1667"/>
    </row>
    <row r="2449" spans="11:15">
      <c r="K2449" s="1664">
        <v>44506</v>
      </c>
      <c r="L2449" s="1665"/>
      <c r="M2449" s="1666">
        <v>0</v>
      </c>
      <c r="N2449" s="1667">
        <v>1.6675984449472103</v>
      </c>
      <c r="O2449" s="1667"/>
    </row>
    <row r="2450" spans="11:15">
      <c r="K2450" s="1664">
        <v>44507</v>
      </c>
      <c r="L2450" s="1665"/>
      <c r="M2450" s="1666">
        <v>0</v>
      </c>
      <c r="N2450" s="1667">
        <v>1.6675984449472103</v>
      </c>
      <c r="O2450" s="1667"/>
    </row>
    <row r="2451" spans="11:15">
      <c r="K2451" s="1664">
        <v>44508</v>
      </c>
      <c r="L2451" s="1665" t="s">
        <v>2296</v>
      </c>
      <c r="M2451" s="1666">
        <v>2.9256000000000001E-2</v>
      </c>
      <c r="N2451" s="1667">
        <v>1.6680863175482643</v>
      </c>
      <c r="O2451" s="1667"/>
    </row>
    <row r="2452" spans="11:15">
      <c r="K2452" s="1664">
        <v>44509</v>
      </c>
      <c r="L2452" s="1665" t="s">
        <v>2296</v>
      </c>
      <c r="M2452" s="1666">
        <v>2.9256000000000001E-2</v>
      </c>
      <c r="N2452" s="1667">
        <v>1.6685743328813265</v>
      </c>
      <c r="O2452" s="1667"/>
    </row>
    <row r="2453" spans="11:15">
      <c r="K2453" s="1664">
        <v>44510</v>
      </c>
      <c r="L2453" s="1665" t="s">
        <v>2296</v>
      </c>
      <c r="M2453" s="1666">
        <v>2.9256000000000001E-2</v>
      </c>
      <c r="N2453" s="1667">
        <v>1.6690624909881544</v>
      </c>
      <c r="O2453" s="1667"/>
    </row>
    <row r="2454" spans="11:15">
      <c r="K2454" s="1664">
        <v>44511</v>
      </c>
      <c r="L2454" s="1665" t="s">
        <v>2296</v>
      </c>
      <c r="M2454" s="1666">
        <v>2.9256000000000001E-2</v>
      </c>
      <c r="N2454" s="1667">
        <v>1.6695507919105181</v>
      </c>
      <c r="O2454" s="1667"/>
    </row>
    <row r="2455" spans="11:15">
      <c r="K2455" s="1664">
        <v>44512</v>
      </c>
      <c r="L2455" s="1665" t="s">
        <v>2296</v>
      </c>
      <c r="M2455" s="1666">
        <v>2.9256000000000001E-2</v>
      </c>
      <c r="N2455" s="1667">
        <v>1.6700392356901996</v>
      </c>
      <c r="O2455" s="1667"/>
    </row>
    <row r="2456" spans="11:15">
      <c r="K2456" s="1664">
        <v>44513</v>
      </c>
      <c r="L2456" s="1665"/>
      <c r="M2456" s="1666">
        <v>0</v>
      </c>
      <c r="N2456" s="1667">
        <v>1.6700392356901996</v>
      </c>
      <c r="O2456" s="1667"/>
    </row>
    <row r="2457" spans="11:15">
      <c r="K2457" s="1664">
        <v>44514</v>
      </c>
      <c r="L2457" s="1665"/>
      <c r="M2457" s="1666">
        <v>0</v>
      </c>
      <c r="N2457" s="1667">
        <v>1.6700392356901996</v>
      </c>
      <c r="O2457" s="1667"/>
    </row>
    <row r="2458" spans="11:15">
      <c r="K2458" s="1664">
        <v>44515</v>
      </c>
      <c r="L2458" s="1665"/>
      <c r="M2458" s="1666">
        <v>0</v>
      </c>
      <c r="N2458" s="1667">
        <v>1.6700392356901996</v>
      </c>
      <c r="O2458" s="1667"/>
    </row>
    <row r="2459" spans="11:15">
      <c r="K2459" s="1664">
        <v>44516</v>
      </c>
      <c r="L2459" s="1665" t="s">
        <v>2296</v>
      </c>
      <c r="M2459" s="1666">
        <v>2.9256000000000001E-2</v>
      </c>
      <c r="N2459" s="1667">
        <v>1.6705278223689934</v>
      </c>
      <c r="O2459" s="1667"/>
    </row>
    <row r="2460" spans="11:15">
      <c r="K2460" s="1664">
        <v>44517</v>
      </c>
      <c r="L2460" s="1665" t="s">
        <v>2296</v>
      </c>
      <c r="M2460" s="1666">
        <v>2.9256000000000001E-2</v>
      </c>
      <c r="N2460" s="1667">
        <v>1.6710165519887059</v>
      </c>
      <c r="O2460" s="1667"/>
    </row>
    <row r="2461" spans="11:15">
      <c r="K2461" s="1664">
        <v>44518</v>
      </c>
      <c r="L2461" s="1665" t="s">
        <v>2296</v>
      </c>
      <c r="M2461" s="1666">
        <v>2.9256000000000001E-2</v>
      </c>
      <c r="N2461" s="1667">
        <v>1.6715054245911558</v>
      </c>
      <c r="O2461" s="1667"/>
    </row>
    <row r="2462" spans="11:15">
      <c r="K2462" s="1664">
        <v>44519</v>
      </c>
      <c r="L2462" s="1665" t="s">
        <v>2296</v>
      </c>
      <c r="M2462" s="1666">
        <v>2.9256000000000001E-2</v>
      </c>
      <c r="N2462" s="1667">
        <v>1.6719944402181743</v>
      </c>
      <c r="O2462" s="1667"/>
    </row>
    <row r="2463" spans="11:15">
      <c r="K2463" s="1664">
        <v>44520</v>
      </c>
      <c r="L2463" s="1665"/>
      <c r="M2463" s="1666">
        <v>0</v>
      </c>
      <c r="N2463" s="1667">
        <v>1.6719944402181743</v>
      </c>
      <c r="O2463" s="1667"/>
    </row>
    <row r="2464" spans="11:15">
      <c r="K2464" s="1664">
        <v>44521</v>
      </c>
      <c r="L2464" s="1665"/>
      <c r="M2464" s="1666">
        <v>0</v>
      </c>
      <c r="N2464" s="1667">
        <v>1.6719944402181743</v>
      </c>
      <c r="O2464" s="1667"/>
    </row>
    <row r="2465" spans="11:15">
      <c r="K2465" s="1664">
        <v>44522</v>
      </c>
      <c r="L2465" s="1665" t="s">
        <v>2296</v>
      </c>
      <c r="M2465" s="1666">
        <v>2.9256000000000001E-2</v>
      </c>
      <c r="N2465" s="1667">
        <v>1.6724835989116047</v>
      </c>
      <c r="O2465" s="1667"/>
    </row>
    <row r="2466" spans="11:15">
      <c r="K2466" s="1664">
        <v>44523</v>
      </c>
      <c r="L2466" s="1665" t="s">
        <v>2296</v>
      </c>
      <c r="M2466" s="1666">
        <v>2.9256000000000001E-2</v>
      </c>
      <c r="N2466" s="1667">
        <v>1.6729729007133025</v>
      </c>
      <c r="O2466" s="1667"/>
    </row>
    <row r="2467" spans="11:15">
      <c r="K2467" s="1664">
        <v>44524</v>
      </c>
      <c r="L2467" s="1665" t="s">
        <v>2296</v>
      </c>
      <c r="M2467" s="1666">
        <v>2.9256000000000001E-2</v>
      </c>
      <c r="N2467" s="1667">
        <v>1.6734623456651354</v>
      </c>
      <c r="O2467" s="1667"/>
    </row>
    <row r="2468" spans="11:15">
      <c r="K2468" s="1664">
        <v>44525</v>
      </c>
      <c r="L2468" s="1665" t="s">
        <v>2296</v>
      </c>
      <c r="M2468" s="1666">
        <v>2.9256000000000001E-2</v>
      </c>
      <c r="N2468" s="1667">
        <v>1.6739519338089834</v>
      </c>
      <c r="O2468" s="1667"/>
    </row>
    <row r="2469" spans="11:15">
      <c r="K2469" s="1664">
        <v>44526</v>
      </c>
      <c r="L2469" s="1665" t="s">
        <v>2296</v>
      </c>
      <c r="M2469" s="1666">
        <v>2.9256000000000001E-2</v>
      </c>
      <c r="N2469" s="1667">
        <v>1.6744416651867389</v>
      </c>
      <c r="O2469" s="1667"/>
    </row>
    <row r="2470" spans="11:15">
      <c r="K2470" s="1664">
        <v>44527</v>
      </c>
      <c r="L2470" s="1665"/>
      <c r="M2470" s="1666">
        <v>0</v>
      </c>
      <c r="N2470" s="1667">
        <v>1.6744416651867389</v>
      </c>
      <c r="O2470" s="1667"/>
    </row>
    <row r="2471" spans="11:15">
      <c r="K2471" s="1664">
        <v>44528</v>
      </c>
      <c r="L2471" s="1665"/>
      <c r="M2471" s="1666">
        <v>0</v>
      </c>
      <c r="N2471" s="1667">
        <v>1.6744416651867389</v>
      </c>
      <c r="O2471" s="1667"/>
    </row>
    <row r="2472" spans="11:15">
      <c r="K2472" s="1664">
        <v>44529</v>
      </c>
      <c r="L2472" s="1665" t="s">
        <v>2296</v>
      </c>
      <c r="M2472" s="1666">
        <v>2.9256000000000001E-2</v>
      </c>
      <c r="N2472" s="1667">
        <v>1.6749315398403062</v>
      </c>
      <c r="O2472" s="1667"/>
    </row>
    <row r="2473" spans="11:15">
      <c r="K2473" s="1664">
        <v>44530</v>
      </c>
      <c r="L2473" s="1665" t="s">
        <v>2296</v>
      </c>
      <c r="M2473" s="1666">
        <v>2.9256000000000001E-2</v>
      </c>
      <c r="N2473" s="1667">
        <v>1.6754215578116021</v>
      </c>
      <c r="O2473" s="1667"/>
    </row>
    <row r="2474" spans="11:15">
      <c r="K2474" s="1664">
        <v>44531</v>
      </c>
      <c r="L2474" s="1665" t="s">
        <v>2296</v>
      </c>
      <c r="M2474" s="1666">
        <v>2.9256000000000001E-2</v>
      </c>
      <c r="N2474" s="1667">
        <v>1.6759117191425557</v>
      </c>
      <c r="O2474" s="1667"/>
    </row>
    <row r="2475" spans="11:15">
      <c r="K2475" s="1664">
        <v>44532</v>
      </c>
      <c r="L2475" s="1665" t="s">
        <v>2296</v>
      </c>
      <c r="M2475" s="1666">
        <v>2.9256000000000001E-2</v>
      </c>
      <c r="N2475" s="1667">
        <v>1.6764020238751083</v>
      </c>
      <c r="O2475" s="1667"/>
    </row>
    <row r="2476" spans="11:15">
      <c r="K2476" s="1664">
        <v>44533</v>
      </c>
      <c r="L2476" s="1665" t="s">
        <v>2296</v>
      </c>
      <c r="M2476" s="1666">
        <v>2.9256000000000001E-2</v>
      </c>
      <c r="N2476" s="1667">
        <v>1.6768924720512133</v>
      </c>
      <c r="O2476" s="1667"/>
    </row>
    <row r="2477" spans="11:15">
      <c r="K2477" s="1664">
        <v>44534</v>
      </c>
      <c r="L2477" s="1665"/>
      <c r="M2477" s="1666">
        <v>0</v>
      </c>
      <c r="N2477" s="1667">
        <v>1.6768924720512133</v>
      </c>
      <c r="O2477" s="1667"/>
    </row>
    <row r="2478" spans="11:15">
      <c r="K2478" s="1664">
        <v>44535</v>
      </c>
      <c r="L2478" s="1665"/>
      <c r="M2478" s="1666">
        <v>0</v>
      </c>
      <c r="N2478" s="1667">
        <v>1.6768924720512133</v>
      </c>
      <c r="O2478" s="1667"/>
    </row>
    <row r="2479" spans="11:15">
      <c r="K2479" s="1664">
        <v>44536</v>
      </c>
      <c r="L2479" s="1665" t="s">
        <v>2296</v>
      </c>
      <c r="M2479" s="1666">
        <v>2.9256000000000001E-2</v>
      </c>
      <c r="N2479" s="1667">
        <v>1.6773830637128369</v>
      </c>
      <c r="O2479" s="1667"/>
    </row>
    <row r="2480" spans="11:15">
      <c r="K2480" s="1664">
        <v>44537</v>
      </c>
      <c r="L2480" s="1665" t="s">
        <v>2296</v>
      </c>
      <c r="M2480" s="1666">
        <v>2.9256000000000001E-2</v>
      </c>
      <c r="N2480" s="1667">
        <v>1.6778737989019568</v>
      </c>
      <c r="O2480" s="1667"/>
    </row>
    <row r="2481" spans="11:15">
      <c r="K2481" s="1664">
        <v>44538</v>
      </c>
      <c r="L2481" s="1665" t="s">
        <v>2296</v>
      </c>
      <c r="M2481" s="1666">
        <v>2.9256000000000001E-2</v>
      </c>
      <c r="N2481" s="1667">
        <v>1.6783646776605636</v>
      </c>
      <c r="O2481" s="1667"/>
    </row>
    <row r="2482" spans="11:15">
      <c r="K2482" s="1664">
        <v>44539</v>
      </c>
      <c r="L2482" s="1665" t="s">
        <v>2296</v>
      </c>
      <c r="M2482" s="1666">
        <v>3.4749000000000002E-2</v>
      </c>
      <c r="N2482" s="1667">
        <v>1.678947892602404</v>
      </c>
      <c r="O2482" s="1667"/>
    </row>
    <row r="2483" spans="11:15">
      <c r="K2483" s="1664">
        <v>44540</v>
      </c>
      <c r="L2483" s="1665" t="s">
        <v>2296</v>
      </c>
      <c r="M2483" s="1666">
        <v>3.4749000000000002E-2</v>
      </c>
      <c r="N2483" s="1667">
        <v>1.6795313102056044</v>
      </c>
      <c r="O2483" s="1667"/>
    </row>
    <row r="2484" spans="11:15">
      <c r="K2484" s="1664">
        <v>44541</v>
      </c>
      <c r="L2484" s="1665"/>
      <c r="M2484" s="1666">
        <v>0</v>
      </c>
      <c r="N2484" s="1667">
        <v>1.6795313102056044</v>
      </c>
      <c r="O2484" s="1667"/>
    </row>
    <row r="2485" spans="11:15">
      <c r="K2485" s="1664">
        <v>44542</v>
      </c>
      <c r="L2485" s="1665"/>
      <c r="M2485" s="1666">
        <v>0</v>
      </c>
      <c r="N2485" s="1667">
        <v>1.6795313102056044</v>
      </c>
      <c r="O2485" s="1667"/>
    </row>
    <row r="2486" spans="11:15">
      <c r="K2486" s="1664">
        <v>44543</v>
      </c>
      <c r="L2486" s="1665" t="s">
        <v>2296</v>
      </c>
      <c r="M2486" s="1666">
        <v>3.4749000000000002E-2</v>
      </c>
      <c r="N2486" s="1667">
        <v>1.6801149305405878</v>
      </c>
      <c r="O2486" s="1667"/>
    </row>
    <row r="2487" spans="11:15">
      <c r="K2487" s="1664">
        <v>44544</v>
      </c>
      <c r="L2487" s="1665" t="s">
        <v>2296</v>
      </c>
      <c r="M2487" s="1666">
        <v>3.4749000000000002E-2</v>
      </c>
      <c r="N2487" s="1667">
        <v>1.6806987536778013</v>
      </c>
      <c r="O2487" s="1667"/>
    </row>
    <row r="2488" spans="11:15">
      <c r="K2488" s="1664">
        <v>44545</v>
      </c>
      <c r="L2488" s="1665" t="s">
        <v>2296</v>
      </c>
      <c r="M2488" s="1666">
        <v>3.4749000000000002E-2</v>
      </c>
      <c r="N2488" s="1667">
        <v>1.6812827796877168</v>
      </c>
      <c r="O2488" s="1667"/>
    </row>
    <row r="2489" spans="11:15">
      <c r="K2489" s="1664">
        <v>44546</v>
      </c>
      <c r="L2489" s="1665" t="s">
        <v>2296</v>
      </c>
      <c r="M2489" s="1666">
        <v>3.4749000000000002E-2</v>
      </c>
      <c r="N2489" s="1667">
        <v>1.6818670086408305</v>
      </c>
      <c r="O2489" s="1667"/>
    </row>
    <row r="2490" spans="11:15">
      <c r="K2490" s="1664">
        <v>44547</v>
      </c>
      <c r="L2490" s="1665" t="s">
        <v>2296</v>
      </c>
      <c r="M2490" s="1666">
        <v>3.4749000000000002E-2</v>
      </c>
      <c r="N2490" s="1667">
        <v>1.6824514406076632</v>
      </c>
      <c r="O2490" s="1667"/>
    </row>
    <row r="2491" spans="11:15">
      <c r="K2491" s="1664">
        <v>44548</v>
      </c>
      <c r="L2491" s="1665"/>
      <c r="M2491" s="1666">
        <v>0</v>
      </c>
      <c r="N2491" s="1667">
        <v>1.6824514406076632</v>
      </c>
      <c r="O2491" s="1667"/>
    </row>
    <row r="2492" spans="11:15">
      <c r="K2492" s="1664">
        <v>44549</v>
      </c>
      <c r="L2492" s="1665"/>
      <c r="M2492" s="1666">
        <v>0</v>
      </c>
      <c r="N2492" s="1667">
        <v>1.6824514406076632</v>
      </c>
      <c r="O2492" s="1667"/>
    </row>
    <row r="2493" spans="11:15">
      <c r="K2493" s="1664">
        <v>44550</v>
      </c>
      <c r="L2493" s="1665" t="s">
        <v>2296</v>
      </c>
      <c r="M2493" s="1666">
        <v>3.4749000000000002E-2</v>
      </c>
      <c r="N2493" s="1667">
        <v>1.6830360756587599</v>
      </c>
      <c r="O2493" s="1667"/>
    </row>
    <row r="2494" spans="11:15">
      <c r="K2494" s="1664">
        <v>44551</v>
      </c>
      <c r="L2494" s="1665" t="s">
        <v>2296</v>
      </c>
      <c r="M2494" s="1666">
        <v>3.4749000000000002E-2</v>
      </c>
      <c r="N2494" s="1667">
        <v>1.6836209138646905</v>
      </c>
      <c r="O2494" s="1667"/>
    </row>
    <row r="2495" spans="11:15">
      <c r="K2495" s="1664">
        <v>44552</v>
      </c>
      <c r="L2495" s="1665" t="s">
        <v>2296</v>
      </c>
      <c r="M2495" s="1666">
        <v>3.4749000000000002E-2</v>
      </c>
      <c r="N2495" s="1667">
        <v>1.6842059552960493</v>
      </c>
      <c r="O2495" s="1667"/>
    </row>
    <row r="2496" spans="11:15">
      <c r="K2496" s="1664">
        <v>44553</v>
      </c>
      <c r="L2496" s="1665" t="s">
        <v>2296</v>
      </c>
      <c r="M2496" s="1666">
        <v>3.4749000000000002E-2</v>
      </c>
      <c r="N2496" s="1667">
        <v>1.6847912000234551</v>
      </c>
      <c r="O2496" s="1667"/>
    </row>
    <row r="2497" spans="11:15">
      <c r="K2497" s="1664">
        <v>44554</v>
      </c>
      <c r="L2497" s="1665" t="s">
        <v>2296</v>
      </c>
      <c r="M2497" s="1666">
        <v>3.4749000000000002E-2</v>
      </c>
      <c r="N2497" s="1667">
        <v>1.6853766481175512</v>
      </c>
      <c r="O2497" s="1667"/>
    </row>
    <row r="2498" spans="11:15">
      <c r="K2498" s="1664">
        <v>44555</v>
      </c>
      <c r="L2498" s="1665"/>
      <c r="M2498" s="1666">
        <v>0</v>
      </c>
      <c r="N2498" s="1667">
        <v>1.6853766481175512</v>
      </c>
      <c r="O2498" s="1667"/>
    </row>
    <row r="2499" spans="11:15">
      <c r="K2499" s="1664">
        <v>44556</v>
      </c>
      <c r="L2499" s="1665"/>
      <c r="M2499" s="1666">
        <v>0</v>
      </c>
      <c r="N2499" s="1667">
        <v>1.6853766481175512</v>
      </c>
      <c r="O2499" s="1667"/>
    </row>
    <row r="2500" spans="11:15">
      <c r="K2500" s="1664">
        <v>44557</v>
      </c>
      <c r="L2500" s="1665" t="s">
        <v>2296</v>
      </c>
      <c r="M2500" s="1666">
        <v>3.4749000000000002E-2</v>
      </c>
      <c r="N2500" s="1667">
        <v>1.6859622996490056</v>
      </c>
      <c r="O2500" s="1667"/>
    </row>
    <row r="2501" spans="11:15">
      <c r="K2501" s="1664">
        <v>44558</v>
      </c>
      <c r="L2501" s="1665" t="s">
        <v>2296</v>
      </c>
      <c r="M2501" s="1666">
        <v>3.4749000000000002E-2</v>
      </c>
      <c r="N2501" s="1667">
        <v>1.6865481546885106</v>
      </c>
      <c r="O2501" s="1667"/>
    </row>
    <row r="2502" spans="11:15">
      <c r="K2502" s="1664">
        <v>44559</v>
      </c>
      <c r="L2502" s="1665" t="s">
        <v>2296</v>
      </c>
      <c r="M2502" s="1666">
        <v>3.4749000000000002E-2</v>
      </c>
      <c r="N2502" s="1667">
        <v>1.6871342133067833</v>
      </c>
      <c r="O2502" s="1667"/>
    </row>
    <row r="2503" spans="11:15">
      <c r="K2503" s="1664">
        <v>44560</v>
      </c>
      <c r="L2503" s="1665" t="s">
        <v>2296</v>
      </c>
      <c r="M2503" s="1666">
        <v>3.4749000000000002E-2</v>
      </c>
      <c r="N2503" s="1667">
        <v>1.6877204755745652</v>
      </c>
      <c r="O2503" s="1667"/>
    </row>
    <row r="2504" spans="11:15">
      <c r="K2504" s="1664">
        <v>44561</v>
      </c>
      <c r="L2504" s="1665" t="s">
        <v>2296</v>
      </c>
      <c r="M2504" s="1666">
        <v>3.4749000000000002E-2</v>
      </c>
      <c r="N2504" s="1667">
        <v>1.6883069415626226</v>
      </c>
      <c r="O2504" s="1667"/>
    </row>
    <row r="2505" spans="11:15">
      <c r="K2505" s="1664">
        <v>44562</v>
      </c>
      <c r="L2505" s="1665"/>
      <c r="M2505" s="1666">
        <v>0</v>
      </c>
      <c r="N2505" s="1667">
        <v>1.6883069415626226</v>
      </c>
      <c r="O2505" s="1667"/>
    </row>
    <row r="2506" spans="11:15">
      <c r="K2506" s="1664">
        <v>44563</v>
      </c>
      <c r="L2506" s="1665"/>
      <c r="M2506" s="1666">
        <v>0</v>
      </c>
      <c r="N2506" s="1667">
        <v>1.6883069415626226</v>
      </c>
      <c r="O2506" s="1667"/>
    </row>
    <row r="2507" spans="11:15">
      <c r="K2507" s="1664">
        <v>44564</v>
      </c>
      <c r="L2507" s="1665" t="s">
        <v>2296</v>
      </c>
      <c r="M2507" s="1666">
        <v>3.4749000000000002E-2</v>
      </c>
      <c r="N2507" s="1667">
        <v>1.6888936113417463</v>
      </c>
      <c r="O2507" s="1667"/>
    </row>
    <row r="2508" spans="11:15">
      <c r="K2508" s="1664">
        <v>44565</v>
      </c>
      <c r="L2508" s="1665" t="s">
        <v>2296</v>
      </c>
      <c r="M2508" s="1666">
        <v>3.4749000000000002E-2</v>
      </c>
      <c r="N2508" s="1667">
        <v>1.6894804849827514</v>
      </c>
      <c r="O2508" s="1667"/>
    </row>
    <row r="2509" spans="11:15">
      <c r="K2509" s="1664">
        <v>44566</v>
      </c>
      <c r="L2509" s="1665" t="s">
        <v>2296</v>
      </c>
      <c r="M2509" s="1666">
        <v>3.4749000000000002E-2</v>
      </c>
      <c r="N2509" s="1667">
        <v>1.6900675625564781</v>
      </c>
      <c r="O2509" s="1667"/>
    </row>
    <row r="2510" spans="11:15">
      <c r="K2510" s="1664">
        <v>44567</v>
      </c>
      <c r="L2510" s="1665" t="s">
        <v>2296</v>
      </c>
      <c r="M2510" s="1666">
        <v>3.4749000000000002E-2</v>
      </c>
      <c r="N2510" s="1667">
        <v>1.6906548441337907</v>
      </c>
      <c r="O2510" s="1667"/>
    </row>
    <row r="2511" spans="11:15">
      <c r="K2511" s="1664">
        <v>44568</v>
      </c>
      <c r="L2511" s="1665" t="s">
        <v>2296</v>
      </c>
      <c r="M2511" s="1666">
        <v>3.4749000000000002E-2</v>
      </c>
      <c r="N2511" s="1667">
        <v>1.6912423297855788</v>
      </c>
      <c r="O2511" s="1667"/>
    </row>
    <row r="2512" spans="11:15">
      <c r="K2512" s="1664">
        <v>44569</v>
      </c>
      <c r="L2512" s="1665"/>
      <c r="M2512" s="1666">
        <v>0</v>
      </c>
      <c r="N2512" s="1667">
        <v>1.6912423297855788</v>
      </c>
      <c r="O2512" s="1667"/>
    </row>
    <row r="2513" spans="11:15">
      <c r="K2513" s="1664">
        <v>44570</v>
      </c>
      <c r="L2513" s="1665"/>
      <c r="M2513" s="1666">
        <v>0</v>
      </c>
      <c r="N2513" s="1667">
        <v>1.6912423297855788</v>
      </c>
      <c r="O2513" s="1667"/>
    </row>
    <row r="2514" spans="11:15">
      <c r="K2514" s="1664">
        <v>44571</v>
      </c>
      <c r="L2514" s="1665" t="s">
        <v>2296</v>
      </c>
      <c r="M2514" s="1666">
        <v>3.4749000000000002E-2</v>
      </c>
      <c r="N2514" s="1667">
        <v>1.691830019582756</v>
      </c>
      <c r="O2514" s="1667"/>
    </row>
    <row r="2515" spans="11:15">
      <c r="K2515" s="1664">
        <v>44572</v>
      </c>
      <c r="L2515" s="1665" t="s">
        <v>2296</v>
      </c>
      <c r="M2515" s="1666">
        <v>3.4749000000000002E-2</v>
      </c>
      <c r="N2515" s="1667">
        <v>1.6924179135962609</v>
      </c>
      <c r="O2515" s="1667"/>
    </row>
    <row r="2516" spans="11:15">
      <c r="K2516" s="1664">
        <v>44573</v>
      </c>
      <c r="L2516" s="1665" t="s">
        <v>2296</v>
      </c>
      <c r="M2516" s="1666">
        <v>3.4749000000000002E-2</v>
      </c>
      <c r="N2516" s="1667">
        <v>1.6930060118970565</v>
      </c>
      <c r="O2516" s="1667"/>
    </row>
    <row r="2517" spans="11:15">
      <c r="K2517" s="1664">
        <v>44574</v>
      </c>
      <c r="L2517" s="1665" t="s">
        <v>2296</v>
      </c>
      <c r="M2517" s="1666">
        <v>3.4749000000000002E-2</v>
      </c>
      <c r="N2517" s="1667">
        <v>1.6935943145561305</v>
      </c>
      <c r="O2517" s="1667"/>
    </row>
    <row r="2518" spans="11:15">
      <c r="K2518" s="1664">
        <v>44575</v>
      </c>
      <c r="L2518" s="1665" t="s">
        <v>2296</v>
      </c>
      <c r="M2518" s="1666">
        <v>3.4749000000000002E-2</v>
      </c>
      <c r="N2518" s="1667">
        <v>1.6941828216444956</v>
      </c>
      <c r="O2518" s="1667"/>
    </row>
    <row r="2519" spans="11:15">
      <c r="K2519" s="1664">
        <v>44576</v>
      </c>
      <c r="L2519" s="1665"/>
      <c r="M2519" s="1666">
        <v>0</v>
      </c>
      <c r="N2519" s="1667">
        <v>1.6941828216444956</v>
      </c>
      <c r="O2519" s="1667"/>
    </row>
    <row r="2520" spans="11:15">
      <c r="K2520" s="1664">
        <v>44577</v>
      </c>
      <c r="L2520" s="1665"/>
      <c r="M2520" s="1666">
        <v>0</v>
      </c>
      <c r="N2520" s="1667">
        <v>1.6941828216444956</v>
      </c>
      <c r="O2520" s="1667"/>
    </row>
    <row r="2521" spans="11:15">
      <c r="K2521" s="1664">
        <v>44578</v>
      </c>
      <c r="L2521" s="1665" t="s">
        <v>2296</v>
      </c>
      <c r="M2521" s="1666">
        <v>3.4749000000000002E-2</v>
      </c>
      <c r="N2521" s="1667">
        <v>1.694771533233189</v>
      </c>
      <c r="O2521" s="1667"/>
    </row>
    <row r="2522" spans="11:15">
      <c r="K2522" s="1664">
        <v>44579</v>
      </c>
      <c r="L2522" s="1665" t="s">
        <v>2296</v>
      </c>
      <c r="M2522" s="1666">
        <v>3.4749000000000002E-2</v>
      </c>
      <c r="N2522" s="1667">
        <v>1.6953604493932721</v>
      </c>
      <c r="O2522" s="1667"/>
    </row>
    <row r="2523" spans="11:15">
      <c r="K2523" s="1664">
        <v>44580</v>
      </c>
      <c r="L2523" s="1665" t="s">
        <v>2296</v>
      </c>
      <c r="M2523" s="1666">
        <v>3.4749000000000002E-2</v>
      </c>
      <c r="N2523" s="1667">
        <v>1.6959495701958318</v>
      </c>
      <c r="O2523" s="1667"/>
    </row>
    <row r="2524" spans="11:15">
      <c r="K2524" s="1664">
        <v>44581</v>
      </c>
      <c r="L2524" s="1665" t="s">
        <v>2296</v>
      </c>
      <c r="M2524" s="1666">
        <v>3.4749000000000002E-2</v>
      </c>
      <c r="N2524" s="1667">
        <v>1.6965388957119791</v>
      </c>
      <c r="O2524" s="1667"/>
    </row>
    <row r="2525" spans="11:15">
      <c r="K2525" s="1664">
        <v>44582</v>
      </c>
      <c r="L2525" s="1665" t="s">
        <v>2296</v>
      </c>
      <c r="M2525" s="1666">
        <v>3.4749000000000002E-2</v>
      </c>
      <c r="N2525" s="1667">
        <v>1.6971284260128501</v>
      </c>
      <c r="O2525" s="1667"/>
    </row>
    <row r="2526" spans="11:15">
      <c r="K2526" s="1664">
        <v>44583</v>
      </c>
      <c r="L2526" s="1665"/>
      <c r="M2526" s="1666">
        <v>0</v>
      </c>
      <c r="N2526" s="1667">
        <v>1.6971284260128501</v>
      </c>
      <c r="O2526" s="1667"/>
    </row>
    <row r="2527" spans="11:15">
      <c r="K2527" s="1664">
        <v>44584</v>
      </c>
      <c r="L2527" s="1665"/>
      <c r="M2527" s="1666">
        <v>0</v>
      </c>
      <c r="N2527" s="1667">
        <v>1.6971284260128501</v>
      </c>
      <c r="O2527" s="1667"/>
    </row>
    <row r="2528" spans="11:15">
      <c r="K2528" s="1664">
        <v>44585</v>
      </c>
      <c r="L2528" s="1665" t="s">
        <v>2296</v>
      </c>
      <c r="M2528" s="1666">
        <v>3.4749000000000002E-2</v>
      </c>
      <c r="N2528" s="1667">
        <v>1.6977181611696053</v>
      </c>
      <c r="O2528" s="1667"/>
    </row>
    <row r="2529" spans="11:15">
      <c r="K2529" s="1664">
        <v>44586</v>
      </c>
      <c r="L2529" s="1665" t="s">
        <v>2296</v>
      </c>
      <c r="M2529" s="1666">
        <v>3.4749000000000002E-2</v>
      </c>
      <c r="N2529" s="1667">
        <v>1.69830810125343</v>
      </c>
      <c r="O2529" s="1667"/>
    </row>
    <row r="2530" spans="11:15">
      <c r="K2530" s="1664">
        <v>44587</v>
      </c>
      <c r="L2530" s="1665" t="s">
        <v>2296</v>
      </c>
      <c r="M2530" s="1666">
        <v>3.4749000000000002E-2</v>
      </c>
      <c r="N2530" s="1667">
        <v>1.6988982463355347</v>
      </c>
      <c r="O2530" s="1667"/>
    </row>
    <row r="2531" spans="11:15">
      <c r="K2531" s="1664">
        <v>44588</v>
      </c>
      <c r="L2531" s="1665" t="s">
        <v>2296</v>
      </c>
      <c r="M2531" s="1666">
        <v>3.4749000000000002E-2</v>
      </c>
      <c r="N2531" s="1667">
        <v>1.6994885964871538</v>
      </c>
      <c r="O2531" s="1667"/>
    </row>
    <row r="2532" spans="11:15">
      <c r="K2532" s="1664">
        <v>44589</v>
      </c>
      <c r="L2532" s="1665" t="s">
        <v>2296</v>
      </c>
      <c r="M2532" s="1666">
        <v>3.4749000000000002E-2</v>
      </c>
      <c r="N2532" s="1667">
        <v>1.700079151779547</v>
      </c>
      <c r="O2532" s="1667"/>
    </row>
    <row r="2533" spans="11:15">
      <c r="K2533" s="1664">
        <v>44590</v>
      </c>
      <c r="L2533" s="1665"/>
      <c r="M2533" s="1666">
        <v>0</v>
      </c>
      <c r="N2533" s="1667">
        <v>1.700079151779547</v>
      </c>
      <c r="O2533" s="1667"/>
    </row>
    <row r="2534" spans="11:15">
      <c r="K2534" s="1664">
        <v>44591</v>
      </c>
      <c r="L2534" s="1665"/>
      <c r="M2534" s="1666">
        <v>0</v>
      </c>
      <c r="N2534" s="1667">
        <v>1.700079151779547</v>
      </c>
      <c r="O2534" s="1667"/>
    </row>
    <row r="2535" spans="11:15">
      <c r="K2535" s="1664">
        <v>44592</v>
      </c>
      <c r="L2535" s="1665" t="s">
        <v>2296</v>
      </c>
      <c r="M2535" s="1666">
        <v>3.4749000000000002E-2</v>
      </c>
      <c r="N2535" s="1667">
        <v>1.700669912283999</v>
      </c>
      <c r="O2535" s="1667"/>
    </row>
    <row r="2536" spans="11:15">
      <c r="K2536" s="1664">
        <v>44593</v>
      </c>
      <c r="L2536" s="1665" t="s">
        <v>2296</v>
      </c>
      <c r="M2536" s="1666">
        <v>3.4749000000000002E-2</v>
      </c>
      <c r="N2536" s="1667">
        <v>1.7012608780718186</v>
      </c>
      <c r="O2536" s="1667"/>
    </row>
    <row r="2537" spans="11:15">
      <c r="K2537" s="1664">
        <v>44594</v>
      </c>
      <c r="L2537" s="1665" t="s">
        <v>2296</v>
      </c>
      <c r="M2537" s="1666">
        <v>3.4749000000000002E-2</v>
      </c>
      <c r="N2537" s="1667">
        <v>1.7018520492143399</v>
      </c>
      <c r="O2537" s="1667"/>
    </row>
    <row r="2538" spans="11:15">
      <c r="K2538" s="1664">
        <v>44595</v>
      </c>
      <c r="L2538" s="1665" t="s">
        <v>2296</v>
      </c>
      <c r="M2538" s="1666">
        <v>4.0168000000000002E-2</v>
      </c>
      <c r="N2538" s="1667">
        <v>1.7025356491454682</v>
      </c>
      <c r="O2538" s="1667"/>
    </row>
    <row r="2539" spans="11:15">
      <c r="K2539" s="1664">
        <v>44596</v>
      </c>
      <c r="L2539" s="1665" t="s">
        <v>2296</v>
      </c>
      <c r="M2539" s="1666">
        <v>4.0168000000000002E-2</v>
      </c>
      <c r="N2539" s="1667">
        <v>1.7032195236650169</v>
      </c>
      <c r="O2539" s="1667"/>
    </row>
    <row r="2540" spans="11:15">
      <c r="K2540" s="1664">
        <v>44597</v>
      </c>
      <c r="L2540" s="1665"/>
      <c r="M2540" s="1666">
        <v>0</v>
      </c>
      <c r="N2540" s="1667">
        <v>1.7032195236650169</v>
      </c>
      <c r="O2540" s="1667"/>
    </row>
    <row r="2541" spans="11:15">
      <c r="K2541" s="1664">
        <v>44598</v>
      </c>
      <c r="L2541" s="1665"/>
      <c r="M2541" s="1666">
        <v>0</v>
      </c>
      <c r="N2541" s="1667">
        <v>1.7032195236650169</v>
      </c>
      <c r="O2541" s="1667"/>
    </row>
    <row r="2542" spans="11:15">
      <c r="K2542" s="1664">
        <v>44599</v>
      </c>
      <c r="L2542" s="1665" t="s">
        <v>2296</v>
      </c>
      <c r="M2542" s="1666">
        <v>4.0168000000000002E-2</v>
      </c>
      <c r="N2542" s="1667">
        <v>1.7039036728832826</v>
      </c>
      <c r="O2542" s="1667"/>
    </row>
    <row r="2543" spans="11:15">
      <c r="K2543" s="1664">
        <v>44600</v>
      </c>
      <c r="L2543" s="1665" t="s">
        <v>2296</v>
      </c>
      <c r="M2543" s="1666">
        <v>4.0168000000000002E-2</v>
      </c>
      <c r="N2543" s="1667">
        <v>1.7045880969106062</v>
      </c>
      <c r="O2543" s="1667"/>
    </row>
    <row r="2544" spans="11:15">
      <c r="K2544" s="1664">
        <v>44601</v>
      </c>
      <c r="L2544" s="1665" t="s">
        <v>2296</v>
      </c>
      <c r="M2544" s="1666">
        <v>4.0168000000000002E-2</v>
      </c>
      <c r="N2544" s="1667">
        <v>1.7052727958573732</v>
      </c>
      <c r="O2544" s="1667"/>
    </row>
    <row r="2545" spans="11:15">
      <c r="K2545" s="1664">
        <v>44602</v>
      </c>
      <c r="L2545" s="1665" t="s">
        <v>2296</v>
      </c>
      <c r="M2545" s="1666">
        <v>4.0168000000000002E-2</v>
      </c>
      <c r="N2545" s="1667">
        <v>1.7059577698340131</v>
      </c>
      <c r="O2545" s="1667"/>
    </row>
    <row r="2546" spans="11:15">
      <c r="K2546" s="1664">
        <v>44603</v>
      </c>
      <c r="L2546" s="1665" t="s">
        <v>2296</v>
      </c>
      <c r="M2546" s="1666">
        <v>4.0168000000000002E-2</v>
      </c>
      <c r="N2546" s="1667">
        <v>1.706643018951</v>
      </c>
      <c r="O2546" s="1667"/>
    </row>
    <row r="2547" spans="11:15">
      <c r="K2547" s="1664">
        <v>44604</v>
      </c>
      <c r="L2547" s="1665"/>
      <c r="M2547" s="1666">
        <v>0</v>
      </c>
      <c r="N2547" s="1667">
        <v>1.706643018951</v>
      </c>
      <c r="O2547" s="1667"/>
    </row>
    <row r="2548" spans="11:15">
      <c r="K2548" s="1664">
        <v>44605</v>
      </c>
      <c r="L2548" s="1665"/>
      <c r="M2548" s="1666">
        <v>0</v>
      </c>
      <c r="N2548" s="1667">
        <v>1.706643018951</v>
      </c>
      <c r="O2548" s="1667"/>
    </row>
    <row r="2549" spans="11:15">
      <c r="K2549" s="1664">
        <v>44606</v>
      </c>
      <c r="L2549" s="1665" t="s">
        <v>2296</v>
      </c>
      <c r="M2549" s="1666">
        <v>4.0168000000000002E-2</v>
      </c>
      <c r="N2549" s="1667">
        <v>1.7073285433188521</v>
      </c>
      <c r="O2549" s="1667"/>
    </row>
    <row r="2550" spans="11:15">
      <c r="K2550" s="1664">
        <v>44607</v>
      </c>
      <c r="L2550" s="1665" t="s">
        <v>2296</v>
      </c>
      <c r="M2550" s="1666">
        <v>4.0168000000000002E-2</v>
      </c>
      <c r="N2550" s="1667">
        <v>1.7080143430481323</v>
      </c>
      <c r="O2550" s="1667"/>
    </row>
    <row r="2551" spans="11:15">
      <c r="K2551" s="1664">
        <v>44608</v>
      </c>
      <c r="L2551" s="1665" t="s">
        <v>2296</v>
      </c>
      <c r="M2551" s="1666">
        <v>4.0168000000000002E-2</v>
      </c>
      <c r="N2551" s="1667">
        <v>1.7087004182494478</v>
      </c>
      <c r="O2551" s="1667"/>
    </row>
    <row r="2552" spans="11:15">
      <c r="K2552" s="1664">
        <v>44609</v>
      </c>
      <c r="L2552" s="1665" t="s">
        <v>2296</v>
      </c>
      <c r="M2552" s="1666">
        <v>4.0168000000000002E-2</v>
      </c>
      <c r="N2552" s="1667">
        <v>1.7093867690334503</v>
      </c>
      <c r="O2552" s="1667"/>
    </row>
    <row r="2553" spans="11:15">
      <c r="K2553" s="1664">
        <v>44610</v>
      </c>
      <c r="L2553" s="1665" t="s">
        <v>2296</v>
      </c>
      <c r="M2553" s="1666">
        <v>4.0168000000000002E-2</v>
      </c>
      <c r="N2553" s="1667">
        <v>1.7100733955108356</v>
      </c>
      <c r="O2553" s="1667"/>
    </row>
    <row r="2554" spans="11:15">
      <c r="K2554" s="1664">
        <v>44611</v>
      </c>
      <c r="L2554" s="1665"/>
      <c r="M2554" s="1666">
        <v>0</v>
      </c>
      <c r="N2554" s="1667">
        <v>1.7100733955108356</v>
      </c>
      <c r="O2554" s="1667"/>
    </row>
    <row r="2555" spans="11:15">
      <c r="K2555" s="1664">
        <v>44612</v>
      </c>
      <c r="L2555" s="1665"/>
      <c r="M2555" s="1666">
        <v>0</v>
      </c>
      <c r="N2555" s="1667">
        <v>1.7100733955108356</v>
      </c>
      <c r="O2555" s="1667"/>
    </row>
    <row r="2556" spans="11:15">
      <c r="K2556" s="1664">
        <v>44613</v>
      </c>
      <c r="L2556" s="1665" t="s">
        <v>2296</v>
      </c>
      <c r="M2556" s="1666">
        <v>4.0168000000000002E-2</v>
      </c>
      <c r="N2556" s="1667">
        <v>1.7107602977923444</v>
      </c>
      <c r="O2556" s="1667"/>
    </row>
    <row r="2557" spans="11:15">
      <c r="K2557" s="1664">
        <v>44614</v>
      </c>
      <c r="L2557" s="1665" t="s">
        <v>2296</v>
      </c>
      <c r="M2557" s="1666">
        <v>4.0168000000000002E-2</v>
      </c>
      <c r="N2557" s="1667">
        <v>1.7114474759887615</v>
      </c>
      <c r="O2557" s="1667"/>
    </row>
    <row r="2558" spans="11:15">
      <c r="K2558" s="1664">
        <v>44615</v>
      </c>
      <c r="L2558" s="1665" t="s">
        <v>2296</v>
      </c>
      <c r="M2558" s="1666">
        <v>4.0168000000000002E-2</v>
      </c>
      <c r="N2558" s="1667">
        <v>1.7121349302109166</v>
      </c>
      <c r="O2558" s="1667"/>
    </row>
    <row r="2559" spans="11:15">
      <c r="K2559" s="1664">
        <v>44616</v>
      </c>
      <c r="L2559" s="1665" t="s">
        <v>2296</v>
      </c>
      <c r="M2559" s="1666">
        <v>4.0168000000000002E-2</v>
      </c>
      <c r="N2559" s="1667">
        <v>1.7128226605696837</v>
      </c>
      <c r="O2559" s="1667"/>
    </row>
    <row r="2560" spans="11:15">
      <c r="K2560" s="1664">
        <v>44617</v>
      </c>
      <c r="L2560" s="1665" t="s">
        <v>2296</v>
      </c>
      <c r="M2560" s="1666">
        <v>4.0168000000000002E-2</v>
      </c>
      <c r="N2560" s="1667">
        <v>1.7135106671759812</v>
      </c>
      <c r="O2560" s="1667"/>
    </row>
    <row r="2561" spans="11:15">
      <c r="K2561" s="1664">
        <v>44618</v>
      </c>
      <c r="L2561" s="1665"/>
      <c r="M2561" s="1666">
        <v>0</v>
      </c>
      <c r="N2561" s="1667">
        <v>1.7135106671759812</v>
      </c>
      <c r="O2561" s="1667"/>
    </row>
    <row r="2562" spans="11:15">
      <c r="K2562" s="1664">
        <v>44619</v>
      </c>
      <c r="L2562" s="1665"/>
      <c r="M2562" s="1666">
        <v>0</v>
      </c>
      <c r="N2562" s="1667">
        <v>1.7135106671759812</v>
      </c>
      <c r="O2562" s="1667"/>
    </row>
    <row r="2563" spans="11:15">
      <c r="K2563" s="1664">
        <v>44620</v>
      </c>
      <c r="L2563" s="1665"/>
      <c r="M2563" s="1666">
        <v>0</v>
      </c>
      <c r="N2563" s="1667">
        <v>1.7135106671759812</v>
      </c>
      <c r="O2563" s="1667"/>
    </row>
    <row r="2564" spans="11:15">
      <c r="K2564" s="1664">
        <v>44621</v>
      </c>
      <c r="L2564" s="1665"/>
      <c r="M2564" s="1666">
        <v>0</v>
      </c>
      <c r="N2564" s="1667">
        <v>1.7135106671759812</v>
      </c>
      <c r="O2564" s="1667"/>
    </row>
    <row r="2565" spans="11:15">
      <c r="K2565" s="1664">
        <v>44622</v>
      </c>
      <c r="L2565" s="1665" t="s">
        <v>2296</v>
      </c>
      <c r="M2565" s="1666">
        <v>4.0168000000000002E-2</v>
      </c>
      <c r="N2565" s="1667">
        <v>1.7141989501407724</v>
      </c>
      <c r="O2565" s="1667"/>
    </row>
    <row r="2566" spans="11:15">
      <c r="K2566" s="1664">
        <v>44623</v>
      </c>
      <c r="L2566" s="1665" t="s">
        <v>2296</v>
      </c>
      <c r="M2566" s="1666">
        <v>4.0168000000000002E-2</v>
      </c>
      <c r="N2566" s="1667">
        <v>1.7148875095750649</v>
      </c>
      <c r="O2566" s="1667"/>
    </row>
    <row r="2567" spans="11:15">
      <c r="K2567" s="1664">
        <v>44624</v>
      </c>
      <c r="L2567" s="1665" t="s">
        <v>2296</v>
      </c>
      <c r="M2567" s="1666">
        <v>4.0168000000000002E-2</v>
      </c>
      <c r="N2567" s="1667">
        <v>1.7155763455899109</v>
      </c>
      <c r="O2567" s="1667"/>
    </row>
    <row r="2568" spans="11:15">
      <c r="K2568" s="1664">
        <v>44625</v>
      </c>
      <c r="L2568" s="1665"/>
      <c r="M2568" s="1666">
        <v>0</v>
      </c>
      <c r="N2568" s="1667">
        <v>1.7155763455899109</v>
      </c>
      <c r="O2568" s="1667"/>
    </row>
    <row r="2569" spans="11:15">
      <c r="K2569" s="1664">
        <v>44626</v>
      </c>
      <c r="L2569" s="1665"/>
      <c r="M2569" s="1666">
        <v>0</v>
      </c>
      <c r="N2569" s="1667">
        <v>1.7155763455899109</v>
      </c>
      <c r="O2569" s="1667"/>
    </row>
    <row r="2570" spans="11:15">
      <c r="K2570" s="1664">
        <v>44627</v>
      </c>
      <c r="L2570" s="1665" t="s">
        <v>2296</v>
      </c>
      <c r="M2570" s="1666">
        <v>4.0168000000000002E-2</v>
      </c>
      <c r="N2570" s="1667">
        <v>1.7162654582964074</v>
      </c>
      <c r="O2570" s="1667"/>
    </row>
    <row r="2571" spans="11:15">
      <c r="K2571" s="1664">
        <v>44628</v>
      </c>
      <c r="L2571" s="1665" t="s">
        <v>2296</v>
      </c>
      <c r="M2571" s="1666">
        <v>4.0168000000000002E-2</v>
      </c>
      <c r="N2571" s="1667">
        <v>1.716954847805696</v>
      </c>
      <c r="O2571" s="1667"/>
    </row>
    <row r="2572" spans="11:15">
      <c r="K2572" s="1664">
        <v>44629</v>
      </c>
      <c r="L2572" s="1665" t="s">
        <v>2296</v>
      </c>
      <c r="M2572" s="1666">
        <v>4.0168000000000002E-2</v>
      </c>
      <c r="N2572" s="1667">
        <v>1.7176445142289625</v>
      </c>
      <c r="O2572" s="1667"/>
    </row>
    <row r="2573" spans="11:15">
      <c r="K2573" s="1664">
        <v>44630</v>
      </c>
      <c r="L2573" s="1665" t="s">
        <v>2296</v>
      </c>
      <c r="M2573" s="1666">
        <v>4.0168000000000002E-2</v>
      </c>
      <c r="N2573" s="1667">
        <v>1.718334457677438</v>
      </c>
      <c r="O2573" s="1667"/>
    </row>
    <row r="2574" spans="11:15">
      <c r="K2574" s="1664">
        <v>44631</v>
      </c>
      <c r="L2574" s="1665" t="s">
        <v>2296</v>
      </c>
      <c r="M2574" s="1666">
        <v>4.0168000000000002E-2</v>
      </c>
      <c r="N2574" s="1667">
        <v>1.7190246782623977</v>
      </c>
      <c r="O2574" s="1667"/>
    </row>
    <row r="2575" spans="11:15">
      <c r="K2575" s="1664">
        <v>44632</v>
      </c>
      <c r="L2575" s="1665"/>
      <c r="M2575" s="1666">
        <v>0</v>
      </c>
      <c r="N2575" s="1667">
        <v>1.7190246782623977</v>
      </c>
      <c r="O2575" s="1667"/>
    </row>
    <row r="2576" spans="11:15">
      <c r="K2576" s="1664">
        <v>44633</v>
      </c>
      <c r="L2576" s="1665"/>
      <c r="M2576" s="1666">
        <v>0</v>
      </c>
      <c r="N2576" s="1667">
        <v>1.7190246782623977</v>
      </c>
      <c r="O2576" s="1667"/>
    </row>
    <row r="2577" spans="11:15">
      <c r="K2577" s="1664">
        <v>44634</v>
      </c>
      <c r="L2577" s="1665" t="s">
        <v>2296</v>
      </c>
      <c r="M2577" s="1666">
        <v>4.0168000000000002E-2</v>
      </c>
      <c r="N2577" s="1667">
        <v>1.7197151760951621</v>
      </c>
      <c r="O2577" s="1667"/>
    </row>
    <row r="2578" spans="11:15">
      <c r="K2578" s="1664">
        <v>44635</v>
      </c>
      <c r="L2578" s="1665" t="s">
        <v>2296</v>
      </c>
      <c r="M2578" s="1666">
        <v>4.0168000000000002E-2</v>
      </c>
      <c r="N2578" s="1667">
        <v>1.7204059512870959</v>
      </c>
      <c r="O2578" s="1667"/>
    </row>
    <row r="2579" spans="11:15">
      <c r="K2579" s="1664">
        <v>44636</v>
      </c>
      <c r="L2579" s="1665" t="s">
        <v>2296</v>
      </c>
      <c r="M2579" s="1666">
        <v>4.0168000000000002E-2</v>
      </c>
      <c r="N2579" s="1667">
        <v>1.721097003949609</v>
      </c>
      <c r="O2579" s="1667"/>
    </row>
    <row r="2580" spans="11:15">
      <c r="K2580" s="1664">
        <v>44637</v>
      </c>
      <c r="L2580" s="1665" t="s">
        <v>2296</v>
      </c>
      <c r="M2580" s="1666">
        <v>4.3739E-2</v>
      </c>
      <c r="N2580" s="1667">
        <v>1.7218497945681666</v>
      </c>
      <c r="O2580" s="1667"/>
    </row>
    <row r="2581" spans="11:15">
      <c r="K2581" s="1664">
        <v>44638</v>
      </c>
      <c r="L2581" s="1665" t="s">
        <v>2296</v>
      </c>
      <c r="M2581" s="1666">
        <v>4.3739E-2</v>
      </c>
      <c r="N2581" s="1667">
        <v>1.7226029144498129</v>
      </c>
      <c r="O2581" s="1667"/>
    </row>
    <row r="2582" spans="11:15">
      <c r="K2582" s="1664">
        <v>44639</v>
      </c>
      <c r="L2582" s="1665"/>
      <c r="M2582" s="1666">
        <v>0</v>
      </c>
      <c r="N2582" s="1667">
        <v>1.7226029144498129</v>
      </c>
      <c r="O2582" s="1667"/>
    </row>
    <row r="2583" spans="11:15">
      <c r="K2583" s="1664">
        <v>44640</v>
      </c>
      <c r="L2583" s="1665"/>
      <c r="M2583" s="1666">
        <v>0</v>
      </c>
      <c r="N2583" s="1667">
        <v>1.7226029144498129</v>
      </c>
      <c r="O2583" s="1667"/>
    </row>
    <row r="2584" spans="11:15">
      <c r="K2584" s="1664">
        <v>44641</v>
      </c>
      <c r="L2584" s="1665" t="s">
        <v>2296</v>
      </c>
      <c r="M2584" s="1666">
        <v>4.3739E-2</v>
      </c>
      <c r="N2584" s="1667">
        <v>1.7233563637385643</v>
      </c>
      <c r="O2584" s="1667"/>
    </row>
    <row r="2585" spans="11:15">
      <c r="K2585" s="1664">
        <v>44642</v>
      </c>
      <c r="L2585" s="1665" t="s">
        <v>2296</v>
      </c>
      <c r="M2585" s="1666">
        <v>4.3739E-2</v>
      </c>
      <c r="N2585" s="1667">
        <v>1.7241101425785001</v>
      </c>
      <c r="O2585" s="1667"/>
    </row>
    <row r="2586" spans="11:15">
      <c r="K2586" s="1664">
        <v>44643</v>
      </c>
      <c r="L2586" s="1665" t="s">
        <v>2296</v>
      </c>
      <c r="M2586" s="1666">
        <v>4.3739E-2</v>
      </c>
      <c r="N2586" s="1667">
        <v>1.7248642511137626</v>
      </c>
      <c r="O2586" s="1667"/>
    </row>
    <row r="2587" spans="11:15">
      <c r="K2587" s="1664">
        <v>44644</v>
      </c>
      <c r="L2587" s="1665" t="s">
        <v>2296</v>
      </c>
      <c r="M2587" s="1666">
        <v>4.3739E-2</v>
      </c>
      <c r="N2587" s="1667">
        <v>1.7256186894885575</v>
      </c>
      <c r="O2587" s="1667"/>
    </row>
    <row r="2588" spans="11:15">
      <c r="K2588" s="1664">
        <v>44645</v>
      </c>
      <c r="L2588" s="1665" t="s">
        <v>2296</v>
      </c>
      <c r="M2588" s="1666">
        <v>4.3739E-2</v>
      </c>
      <c r="N2588" s="1667">
        <v>1.726373457847153</v>
      </c>
      <c r="O2588" s="1667"/>
    </row>
    <row r="2589" spans="11:15">
      <c r="K2589" s="1664">
        <v>44646</v>
      </c>
      <c r="L2589" s="1665"/>
      <c r="M2589" s="1666">
        <v>0</v>
      </c>
      <c r="N2589" s="1667">
        <v>1.726373457847153</v>
      </c>
      <c r="O2589" s="1667"/>
    </row>
    <row r="2590" spans="11:15">
      <c r="K2590" s="1664">
        <v>44647</v>
      </c>
      <c r="L2590" s="1665"/>
      <c r="M2590" s="1666">
        <v>0</v>
      </c>
      <c r="N2590" s="1667">
        <v>1.726373457847153</v>
      </c>
      <c r="O2590" s="1667"/>
    </row>
    <row r="2591" spans="11:15">
      <c r="K2591" s="1664">
        <v>44648</v>
      </c>
      <c r="L2591" s="1665" t="s">
        <v>2296</v>
      </c>
      <c r="M2591" s="1666">
        <v>4.3739E-2</v>
      </c>
      <c r="N2591" s="1667">
        <v>1.727128556333881</v>
      </c>
      <c r="O2591" s="1667"/>
    </row>
    <row r="2592" spans="11:15">
      <c r="K2592" s="1664">
        <v>44649</v>
      </c>
      <c r="L2592" s="1665" t="s">
        <v>2296</v>
      </c>
      <c r="M2592" s="1666">
        <v>4.3739E-2</v>
      </c>
      <c r="N2592" s="1667">
        <v>1.727883985093136</v>
      </c>
      <c r="O2592" s="1667"/>
    </row>
    <row r="2593" spans="11:15">
      <c r="K2593" s="1664">
        <v>44650</v>
      </c>
      <c r="L2593" s="1665" t="s">
        <v>2296</v>
      </c>
      <c r="M2593" s="1666">
        <v>4.3739E-2</v>
      </c>
      <c r="N2593" s="1667">
        <v>1.7286397442693762</v>
      </c>
      <c r="O2593" s="1667"/>
    </row>
    <row r="2594" spans="11:15">
      <c r="K2594" s="1664">
        <v>44651</v>
      </c>
      <c r="L2594" s="1665" t="s">
        <v>2296</v>
      </c>
      <c r="M2594" s="1666">
        <v>4.3739E-2</v>
      </c>
      <c r="N2594" s="1667">
        <v>1.7293958340071223</v>
      </c>
      <c r="O2594" s="1667"/>
    </row>
    <row r="2595" spans="11:15">
      <c r="K2595" s="1664">
        <v>44652</v>
      </c>
      <c r="L2595" s="1665" t="s">
        <v>2296</v>
      </c>
      <c r="M2595" s="1666">
        <v>4.3739E-2</v>
      </c>
      <c r="N2595" s="1667">
        <v>1.7301522544509589</v>
      </c>
      <c r="O2595" s="1667"/>
    </row>
    <row r="2596" spans="11:15">
      <c r="K2596" s="1664">
        <v>44653</v>
      </c>
      <c r="L2596" s="1665"/>
      <c r="M2596" s="1666">
        <v>0</v>
      </c>
      <c r="N2596" s="1667">
        <v>1.7301522544509589</v>
      </c>
      <c r="O2596" s="1667"/>
    </row>
    <row r="2597" spans="11:15">
      <c r="K2597" s="1664">
        <v>44654</v>
      </c>
      <c r="L2597" s="1665"/>
      <c r="M2597" s="1666">
        <v>0</v>
      </c>
      <c r="N2597" s="1667">
        <v>1.7301522544509589</v>
      </c>
      <c r="O2597" s="1667"/>
    </row>
    <row r="2598" spans="11:15">
      <c r="K2598" s="1664">
        <v>44655</v>
      </c>
      <c r="L2598" s="1665" t="s">
        <v>2296</v>
      </c>
      <c r="M2598" s="1666">
        <v>4.3739E-2</v>
      </c>
      <c r="N2598" s="1667">
        <v>1.7309090057455334</v>
      </c>
      <c r="O2598" s="1667"/>
    </row>
    <row r="2599" spans="11:15">
      <c r="K2599" s="1664">
        <v>44656</v>
      </c>
      <c r="L2599" s="1665" t="s">
        <v>2296</v>
      </c>
      <c r="M2599" s="1666">
        <v>4.3739E-2</v>
      </c>
      <c r="N2599" s="1667">
        <v>1.7316660880355565</v>
      </c>
      <c r="O2599" s="1667"/>
    </row>
    <row r="2600" spans="11:15">
      <c r="K2600" s="1664">
        <v>44657</v>
      </c>
      <c r="L2600" s="1665" t="s">
        <v>2296</v>
      </c>
      <c r="M2600" s="1666">
        <v>4.3739E-2</v>
      </c>
      <c r="N2600" s="1667">
        <v>1.7324235014658025</v>
      </c>
      <c r="O2600" s="1667"/>
    </row>
    <row r="2601" spans="11:15">
      <c r="K2601" s="1664">
        <v>44658</v>
      </c>
      <c r="L2601" s="1665" t="s">
        <v>2296</v>
      </c>
      <c r="M2601" s="1666">
        <v>4.3739E-2</v>
      </c>
      <c r="N2601" s="1667">
        <v>1.7331812461811087</v>
      </c>
      <c r="O2601" s="1667"/>
    </row>
    <row r="2602" spans="11:15">
      <c r="K2602" s="1664">
        <v>44659</v>
      </c>
      <c r="L2602" s="1665" t="s">
        <v>2296</v>
      </c>
      <c r="M2602" s="1666">
        <v>4.3739E-2</v>
      </c>
      <c r="N2602" s="1667">
        <v>1.7339393223263759</v>
      </c>
      <c r="O2602" s="1667"/>
    </row>
    <row r="2603" spans="11:15">
      <c r="K2603" s="1664">
        <v>44660</v>
      </c>
      <c r="L2603" s="1665"/>
      <c r="M2603" s="1666">
        <v>0</v>
      </c>
      <c r="N2603" s="1667">
        <v>1.7339393223263759</v>
      </c>
      <c r="O2603" s="1667"/>
    </row>
    <row r="2604" spans="11:15">
      <c r="K2604" s="1664">
        <v>44661</v>
      </c>
      <c r="L2604" s="1665"/>
      <c r="M2604" s="1666">
        <v>0</v>
      </c>
      <c r="N2604" s="1667">
        <v>1.7339393223263759</v>
      </c>
      <c r="O2604" s="1667"/>
    </row>
    <row r="2605" spans="11:15">
      <c r="K2605" s="1664">
        <v>44662</v>
      </c>
      <c r="L2605" s="1665" t="s">
        <v>2296</v>
      </c>
      <c r="M2605" s="1666">
        <v>4.3739E-2</v>
      </c>
      <c r="N2605" s="1667">
        <v>1.7346977300465685</v>
      </c>
      <c r="O2605" s="1667"/>
    </row>
    <row r="2606" spans="11:15">
      <c r="K2606" s="1664">
        <v>44663</v>
      </c>
      <c r="L2606" s="1665" t="s">
        <v>2296</v>
      </c>
      <c r="M2606" s="1666">
        <v>4.3739E-2</v>
      </c>
      <c r="N2606" s="1667">
        <v>1.7354564694867136</v>
      </c>
      <c r="O2606" s="1667"/>
    </row>
    <row r="2607" spans="11:15">
      <c r="K2607" s="1664">
        <v>44664</v>
      </c>
      <c r="L2607" s="1665" t="s">
        <v>2296</v>
      </c>
      <c r="M2607" s="1666">
        <v>4.3739E-2</v>
      </c>
      <c r="N2607" s="1667">
        <v>1.7362155407919027</v>
      </c>
      <c r="O2607" s="1667"/>
    </row>
    <row r="2608" spans="11:15">
      <c r="K2608" s="1664">
        <v>44665</v>
      </c>
      <c r="L2608" s="1665" t="s">
        <v>2296</v>
      </c>
      <c r="M2608" s="1666">
        <v>4.3739E-2</v>
      </c>
      <c r="N2608" s="1667">
        <v>1.7369749441072897</v>
      </c>
      <c r="O2608" s="1667"/>
    </row>
    <row r="2609" spans="11:15">
      <c r="K2609" s="1664">
        <v>44666</v>
      </c>
      <c r="L2609" s="1665"/>
      <c r="M2609" s="1666">
        <v>0</v>
      </c>
      <c r="N2609" s="1667">
        <v>1.7369749441072897</v>
      </c>
      <c r="O2609" s="1667"/>
    </row>
    <row r="2610" spans="11:15">
      <c r="K2610" s="1664">
        <v>44667</v>
      </c>
      <c r="L2610" s="1665"/>
      <c r="M2610" s="1666">
        <v>0</v>
      </c>
      <c r="N2610" s="1667">
        <v>1.7369749441072897</v>
      </c>
      <c r="O2610" s="1667"/>
    </row>
    <row r="2611" spans="11:15">
      <c r="K2611" s="1664">
        <v>44668</v>
      </c>
      <c r="L2611" s="1665"/>
      <c r="M2611" s="1666">
        <v>0</v>
      </c>
      <c r="N2611" s="1667">
        <v>1.7369749441072897</v>
      </c>
      <c r="O2611" s="1667"/>
    </row>
    <row r="2612" spans="11:15">
      <c r="K2612" s="1664">
        <v>44669</v>
      </c>
      <c r="L2612" s="1665" t="s">
        <v>2296</v>
      </c>
      <c r="M2612" s="1666">
        <v>4.3739E-2</v>
      </c>
      <c r="N2612" s="1667">
        <v>1.737734679578093</v>
      </c>
      <c r="O2612" s="1667"/>
    </row>
    <row r="2613" spans="11:15">
      <c r="K2613" s="1664">
        <v>44670</v>
      </c>
      <c r="L2613" s="1665" t="s">
        <v>2296</v>
      </c>
      <c r="M2613" s="1666">
        <v>4.3739E-2</v>
      </c>
      <c r="N2613" s="1667">
        <v>1.7384947473495937</v>
      </c>
      <c r="O2613" s="1667"/>
    </row>
    <row r="2614" spans="11:15">
      <c r="K2614" s="1664">
        <v>44671</v>
      </c>
      <c r="L2614" s="1665" t="s">
        <v>2296</v>
      </c>
      <c r="M2614" s="1666">
        <v>4.3739E-2</v>
      </c>
      <c r="N2614" s="1667">
        <v>1.7392551475671372</v>
      </c>
      <c r="O2614" s="1667"/>
    </row>
    <row r="2615" spans="11:15">
      <c r="K2615" s="1664">
        <v>44672</v>
      </c>
      <c r="L2615" s="1665"/>
      <c r="M2615" s="1666">
        <v>0</v>
      </c>
      <c r="N2615" s="1667">
        <v>1.7392551475671372</v>
      </c>
      <c r="O2615" s="1667"/>
    </row>
    <row r="2616" spans="11:15">
      <c r="K2616" s="1664">
        <v>44673</v>
      </c>
      <c r="L2616" s="1665" t="s">
        <v>2296</v>
      </c>
      <c r="M2616" s="1666">
        <v>4.3739E-2</v>
      </c>
      <c r="N2616" s="1667">
        <v>1.7400158803761316</v>
      </c>
      <c r="O2616" s="1667"/>
    </row>
    <row r="2617" spans="11:15">
      <c r="K2617" s="1664">
        <v>44674</v>
      </c>
      <c r="L2617" s="1665"/>
      <c r="M2617" s="1666">
        <v>0</v>
      </c>
      <c r="N2617" s="1667">
        <v>1.7400158803761316</v>
      </c>
      <c r="O2617" s="1667"/>
    </row>
    <row r="2618" spans="11:15">
      <c r="K2618" s="1664">
        <v>44675</v>
      </c>
      <c r="L2618" s="1665"/>
      <c r="M2618" s="1666">
        <v>0</v>
      </c>
      <c r="N2618" s="1667">
        <v>1.7400158803761316</v>
      </c>
      <c r="O2618" s="1667"/>
    </row>
    <row r="2619" spans="11:15">
      <c r="K2619" s="1664">
        <v>44676</v>
      </c>
      <c r="L2619" s="1665" t="s">
        <v>2296</v>
      </c>
      <c r="M2619" s="1666">
        <v>4.3739E-2</v>
      </c>
      <c r="N2619" s="1667">
        <v>1.7407769459220495</v>
      </c>
      <c r="O2619" s="1667"/>
    </row>
    <row r="2620" spans="11:15">
      <c r="K2620" s="1664">
        <v>44677</v>
      </c>
      <c r="L2620" s="1665" t="s">
        <v>2296</v>
      </c>
      <c r="M2620" s="1666">
        <v>4.3739E-2</v>
      </c>
      <c r="N2620" s="1667">
        <v>1.7415383443504264</v>
      </c>
      <c r="O2620" s="1667"/>
    </row>
    <row r="2621" spans="11:15">
      <c r="K2621" s="1664">
        <v>44678</v>
      </c>
      <c r="L2621" s="1665" t="s">
        <v>2296</v>
      </c>
      <c r="M2621" s="1666">
        <v>4.3739E-2</v>
      </c>
      <c r="N2621" s="1667">
        <v>1.7423000758068621</v>
      </c>
      <c r="O2621" s="1667"/>
    </row>
    <row r="2622" spans="11:15">
      <c r="K2622" s="1664">
        <v>44679</v>
      </c>
      <c r="L2622" s="1665" t="s">
        <v>2296</v>
      </c>
      <c r="M2622" s="1666">
        <v>4.3739E-2</v>
      </c>
      <c r="N2622" s="1667">
        <v>1.7430621404370195</v>
      </c>
      <c r="O2622" s="1667"/>
    </row>
    <row r="2623" spans="11:15">
      <c r="K2623" s="1664">
        <v>44680</v>
      </c>
      <c r="L2623" s="1665" t="s">
        <v>2296</v>
      </c>
      <c r="M2623" s="1666">
        <v>4.3739E-2</v>
      </c>
      <c r="N2623" s="1667">
        <v>1.7438245383866253</v>
      </c>
      <c r="O2623" s="1667"/>
    </row>
    <row r="2624" spans="11:15">
      <c r="K2624" s="1664">
        <v>44681</v>
      </c>
      <c r="L2624" s="1665"/>
      <c r="M2624" s="1666">
        <v>0</v>
      </c>
      <c r="N2624" s="1667">
        <v>1.7438245383866253</v>
      </c>
      <c r="O2624" s="1667"/>
    </row>
    <row r="2625" spans="11:15">
      <c r="K2625" s="1664">
        <v>44682</v>
      </c>
      <c r="L2625" s="1665"/>
      <c r="M2625" s="1666">
        <v>0</v>
      </c>
      <c r="N2625" s="1667">
        <v>1.7438245383866253</v>
      </c>
      <c r="O2625" s="1667"/>
    </row>
    <row r="2626" spans="11:15">
      <c r="K2626" s="1664">
        <v>44683</v>
      </c>
      <c r="L2626" s="1665" t="s">
        <v>2296</v>
      </c>
      <c r="M2626" s="1666">
        <v>4.3739E-2</v>
      </c>
      <c r="N2626" s="1667">
        <v>1.7445872698014704</v>
      </c>
      <c r="O2626" s="1667"/>
    </row>
    <row r="2627" spans="11:15">
      <c r="K2627" s="1664">
        <v>44684</v>
      </c>
      <c r="L2627" s="1665" t="s">
        <v>2296</v>
      </c>
      <c r="M2627" s="1666">
        <v>4.3739E-2</v>
      </c>
      <c r="N2627" s="1667">
        <v>1.7453503348274091</v>
      </c>
      <c r="O2627" s="1667"/>
    </row>
    <row r="2628" spans="11:15">
      <c r="K2628" s="1664">
        <v>44685</v>
      </c>
      <c r="L2628" s="1665" t="s">
        <v>2296</v>
      </c>
      <c r="M2628" s="1666">
        <v>4.3739E-2</v>
      </c>
      <c r="N2628" s="1667">
        <v>1.7461137336103594</v>
      </c>
      <c r="O2628" s="1667"/>
    </row>
    <row r="2629" spans="11:15">
      <c r="K2629" s="1664">
        <v>44686</v>
      </c>
      <c r="L2629" s="1665" t="s">
        <v>2296</v>
      </c>
      <c r="M2629" s="1666">
        <v>4.7279000000000002E-2</v>
      </c>
      <c r="N2629" s="1667">
        <v>1.7469392787224729</v>
      </c>
      <c r="O2629" s="1667"/>
    </row>
    <row r="2630" spans="11:15">
      <c r="K2630" s="1664">
        <v>44687</v>
      </c>
      <c r="L2630" s="1665" t="s">
        <v>2296</v>
      </c>
      <c r="M2630" s="1666">
        <v>4.7279000000000002E-2</v>
      </c>
      <c r="N2630" s="1667">
        <v>1.7477652141440598</v>
      </c>
      <c r="O2630" s="1667"/>
    </row>
    <row r="2631" spans="11:15">
      <c r="K2631" s="1664">
        <v>44688</v>
      </c>
      <c r="L2631" s="1665"/>
      <c r="M2631" s="1666">
        <v>0</v>
      </c>
      <c r="N2631" s="1667">
        <v>1.7477652141440598</v>
      </c>
      <c r="O2631" s="1667"/>
    </row>
    <row r="2632" spans="11:15">
      <c r="K2632" s="1664">
        <v>44689</v>
      </c>
      <c r="L2632" s="1665"/>
      <c r="M2632" s="1666">
        <v>0</v>
      </c>
      <c r="N2632" s="1667">
        <v>1.7477652141440598</v>
      </c>
      <c r="O2632" s="1667"/>
    </row>
    <row r="2633" spans="11:15">
      <c r="K2633" s="1664">
        <v>44690</v>
      </c>
      <c r="L2633" s="1665" t="s">
        <v>2296</v>
      </c>
      <c r="M2633" s="1666">
        <v>4.7279000000000002E-2</v>
      </c>
      <c r="N2633" s="1667">
        <v>1.7485915400596548</v>
      </c>
      <c r="O2633" s="1667"/>
    </row>
    <row r="2634" spans="11:15">
      <c r="K2634" s="1664">
        <v>44691</v>
      </c>
      <c r="L2634" s="1665" t="s">
        <v>2296</v>
      </c>
      <c r="M2634" s="1666">
        <v>4.7279000000000002E-2</v>
      </c>
      <c r="N2634" s="1667">
        <v>1.7494182566538794</v>
      </c>
      <c r="O2634" s="1667"/>
    </row>
    <row r="2635" spans="11:15">
      <c r="K2635" s="1664">
        <v>44692</v>
      </c>
      <c r="L2635" s="1665" t="s">
        <v>2296</v>
      </c>
      <c r="M2635" s="1666">
        <v>4.7279000000000002E-2</v>
      </c>
      <c r="N2635" s="1667">
        <v>1.7502453641114426</v>
      </c>
      <c r="O2635" s="1667"/>
    </row>
    <row r="2636" spans="11:15">
      <c r="K2636" s="1664">
        <v>44693</v>
      </c>
      <c r="L2636" s="1665" t="s">
        <v>2296</v>
      </c>
      <c r="M2636" s="1666">
        <v>4.7279000000000002E-2</v>
      </c>
      <c r="N2636" s="1667">
        <v>1.7510728626171406</v>
      </c>
      <c r="O2636" s="1667"/>
    </row>
    <row r="2637" spans="11:15">
      <c r="K2637" s="1664">
        <v>44694</v>
      </c>
      <c r="L2637" s="1665" t="s">
        <v>2296</v>
      </c>
      <c r="M2637" s="1666">
        <v>4.7279000000000002E-2</v>
      </c>
      <c r="N2637" s="1667">
        <v>1.7519007523558572</v>
      </c>
      <c r="O2637" s="1667"/>
    </row>
    <row r="2638" spans="11:15">
      <c r="K2638" s="1664">
        <v>44695</v>
      </c>
      <c r="L2638" s="1665"/>
      <c r="M2638" s="1666">
        <v>0</v>
      </c>
      <c r="N2638" s="1667">
        <v>1.7519007523558572</v>
      </c>
      <c r="O2638" s="1667"/>
    </row>
    <row r="2639" spans="11:15">
      <c r="K2639" s="1664">
        <v>44696</v>
      </c>
      <c r="L2639" s="1665"/>
      <c r="M2639" s="1666">
        <v>0</v>
      </c>
      <c r="N2639" s="1667">
        <v>1.7519007523558572</v>
      </c>
      <c r="O2639" s="1667"/>
    </row>
    <row r="2640" spans="11:15">
      <c r="K2640" s="1664">
        <v>44697</v>
      </c>
      <c r="L2640" s="1665" t="s">
        <v>2296</v>
      </c>
      <c r="M2640" s="1666">
        <v>4.7279000000000002E-2</v>
      </c>
      <c r="N2640" s="1667">
        <v>1.7527290335125634</v>
      </c>
      <c r="O2640" s="1667"/>
    </row>
    <row r="2641" spans="11:15">
      <c r="K2641" s="1664">
        <v>44698</v>
      </c>
      <c r="L2641" s="1665" t="s">
        <v>2296</v>
      </c>
      <c r="M2641" s="1666">
        <v>4.7279000000000002E-2</v>
      </c>
      <c r="N2641" s="1667">
        <v>1.7535577062723176</v>
      </c>
      <c r="O2641" s="1667"/>
    </row>
    <row r="2642" spans="11:15">
      <c r="K2642" s="1664">
        <v>44699</v>
      </c>
      <c r="L2642" s="1665" t="s">
        <v>2296</v>
      </c>
      <c r="M2642" s="1666">
        <v>4.7279000000000002E-2</v>
      </c>
      <c r="N2642" s="1667">
        <v>1.7543867708202658</v>
      </c>
      <c r="O2642" s="1667"/>
    </row>
    <row r="2643" spans="11:15">
      <c r="K2643" s="1664">
        <v>44700</v>
      </c>
      <c r="L2643" s="1665" t="s">
        <v>2296</v>
      </c>
      <c r="M2643" s="1666">
        <v>4.7279000000000002E-2</v>
      </c>
      <c r="N2643" s="1667">
        <v>1.7552162273416418</v>
      </c>
      <c r="O2643" s="1667"/>
    </row>
    <row r="2644" spans="11:15">
      <c r="K2644" s="1664">
        <v>44701</v>
      </c>
      <c r="L2644" s="1665" t="s">
        <v>2296</v>
      </c>
      <c r="M2644" s="1666">
        <v>4.7279000000000002E-2</v>
      </c>
      <c r="N2644" s="1667">
        <v>1.7560460760217664</v>
      </c>
      <c r="O2644" s="1667"/>
    </row>
    <row r="2645" spans="11:15">
      <c r="K2645" s="1664">
        <v>44702</v>
      </c>
      <c r="L2645" s="1665"/>
      <c r="M2645" s="1666">
        <v>0</v>
      </c>
      <c r="N2645" s="1667">
        <v>1.7560460760217664</v>
      </c>
      <c r="O2645" s="1667"/>
    </row>
    <row r="2646" spans="11:15">
      <c r="K2646" s="1664">
        <v>44703</v>
      </c>
      <c r="L2646" s="1665"/>
      <c r="M2646" s="1666">
        <v>0</v>
      </c>
      <c r="N2646" s="1667">
        <v>1.7560460760217664</v>
      </c>
      <c r="O2646" s="1667"/>
    </row>
    <row r="2647" spans="11:15">
      <c r="K2647" s="1664">
        <v>44704</v>
      </c>
      <c r="L2647" s="1665" t="s">
        <v>2296</v>
      </c>
      <c r="M2647" s="1666">
        <v>4.7279000000000002E-2</v>
      </c>
      <c r="N2647" s="1667">
        <v>1.7568763170460486</v>
      </c>
      <c r="O2647" s="1667"/>
    </row>
    <row r="2648" spans="11:15">
      <c r="K2648" s="1664">
        <v>44705</v>
      </c>
      <c r="L2648" s="1665" t="s">
        <v>2296</v>
      </c>
      <c r="M2648" s="1666">
        <v>4.7279000000000002E-2</v>
      </c>
      <c r="N2648" s="1667">
        <v>1.7577069505999847</v>
      </c>
      <c r="O2648" s="1667"/>
    </row>
    <row r="2649" spans="11:15">
      <c r="K2649" s="1664">
        <v>44706</v>
      </c>
      <c r="L2649" s="1665" t="s">
        <v>2296</v>
      </c>
      <c r="M2649" s="1666">
        <v>4.7279000000000002E-2</v>
      </c>
      <c r="N2649" s="1667">
        <v>1.7585379768691587</v>
      </c>
      <c r="O2649" s="1667"/>
    </row>
    <row r="2650" spans="11:15">
      <c r="K2650" s="1664">
        <v>44707</v>
      </c>
      <c r="L2650" s="1665" t="s">
        <v>2296</v>
      </c>
      <c r="M2650" s="1666">
        <v>4.7279000000000002E-2</v>
      </c>
      <c r="N2650" s="1667">
        <v>1.7593693960392425</v>
      </c>
      <c r="O2650" s="1667"/>
    </row>
    <row r="2651" spans="11:15">
      <c r="K2651" s="1664">
        <v>44708</v>
      </c>
      <c r="L2651" s="1665" t="s">
        <v>2296</v>
      </c>
      <c r="M2651" s="1666">
        <v>4.7279000000000002E-2</v>
      </c>
      <c r="N2651" s="1667">
        <v>1.7602012082959957</v>
      </c>
      <c r="O2651" s="1667"/>
    </row>
    <row r="2652" spans="11:15">
      <c r="K2652" s="1664">
        <v>44709</v>
      </c>
      <c r="L2652" s="1665"/>
      <c r="M2652" s="1666">
        <v>0</v>
      </c>
      <c r="N2652" s="1667">
        <v>1.7602012082959957</v>
      </c>
      <c r="O2652" s="1667"/>
    </row>
    <row r="2653" spans="11:15">
      <c r="K2653" s="1664">
        <v>44710</v>
      </c>
      <c r="L2653" s="1665"/>
      <c r="M2653" s="1666">
        <v>0</v>
      </c>
      <c r="N2653" s="1667">
        <v>1.7602012082959957</v>
      </c>
      <c r="O2653" s="1667"/>
    </row>
    <row r="2654" spans="11:15">
      <c r="K2654" s="1664">
        <v>44711</v>
      </c>
      <c r="L2654" s="1665" t="s">
        <v>2296</v>
      </c>
      <c r="M2654" s="1666">
        <v>4.7279000000000002E-2</v>
      </c>
      <c r="N2654" s="1667">
        <v>1.7610334138252657</v>
      </c>
      <c r="O2654" s="1667"/>
    </row>
    <row r="2655" spans="11:15">
      <c r="K2655" s="1664">
        <v>44712</v>
      </c>
      <c r="L2655" s="1665" t="s">
        <v>2296</v>
      </c>
      <c r="M2655" s="1666">
        <v>4.7279000000000002E-2</v>
      </c>
      <c r="N2655" s="1667">
        <v>1.7618660128129879</v>
      </c>
      <c r="O2655" s="1667"/>
    </row>
    <row r="2656" spans="11:15">
      <c r="K2656" s="1664">
        <v>44713</v>
      </c>
      <c r="L2656" s="1665" t="s">
        <v>2296</v>
      </c>
      <c r="M2656" s="1666">
        <v>4.7279000000000002E-2</v>
      </c>
      <c r="N2656" s="1667">
        <v>1.7626990054451857</v>
      </c>
      <c r="O2656" s="1667"/>
    </row>
    <row r="2657" spans="11:15">
      <c r="K2657" s="1664">
        <v>44714</v>
      </c>
      <c r="L2657" s="1665" t="s">
        <v>2296</v>
      </c>
      <c r="M2657" s="1666">
        <v>4.7279000000000002E-2</v>
      </c>
      <c r="N2657" s="1667">
        <v>1.76353239190797</v>
      </c>
      <c r="O2657" s="1667"/>
    </row>
    <row r="2658" spans="11:15">
      <c r="K2658" s="1664">
        <v>44715</v>
      </c>
      <c r="L2658" s="1665" t="s">
        <v>2296</v>
      </c>
      <c r="M2658" s="1666">
        <v>4.7279000000000002E-2</v>
      </c>
      <c r="N2658" s="1667">
        <v>1.7643661723875399</v>
      </c>
      <c r="O2658" s="1667"/>
    </row>
    <row r="2659" spans="11:15">
      <c r="K2659" s="1664">
        <v>44716</v>
      </c>
      <c r="L2659" s="1665"/>
      <c r="M2659" s="1666">
        <v>0</v>
      </c>
      <c r="N2659" s="1667">
        <v>1.7643661723875399</v>
      </c>
      <c r="O2659" s="1667"/>
    </row>
    <row r="2660" spans="11:15">
      <c r="K2660" s="1664">
        <v>44717</v>
      </c>
      <c r="L2660" s="1665"/>
      <c r="M2660" s="1666">
        <v>0</v>
      </c>
      <c r="N2660" s="1667">
        <v>1.7643661723875399</v>
      </c>
      <c r="O2660" s="1667"/>
    </row>
    <row r="2661" spans="11:15">
      <c r="K2661" s="1664">
        <v>44718</v>
      </c>
      <c r="L2661" s="1665" t="s">
        <v>2296</v>
      </c>
      <c r="M2661" s="1666">
        <v>4.7279000000000002E-2</v>
      </c>
      <c r="N2661" s="1667">
        <v>1.7652003470701829</v>
      </c>
      <c r="O2661" s="1667"/>
    </row>
    <row r="2662" spans="11:15">
      <c r="K2662" s="1664">
        <v>44719</v>
      </c>
      <c r="L2662" s="1665" t="s">
        <v>2296</v>
      </c>
      <c r="M2662" s="1666">
        <v>4.7279000000000002E-2</v>
      </c>
      <c r="N2662" s="1667">
        <v>1.7660349161422739</v>
      </c>
      <c r="O2662" s="1667"/>
    </row>
    <row r="2663" spans="11:15">
      <c r="K2663" s="1664">
        <v>44720</v>
      </c>
      <c r="L2663" s="1665" t="s">
        <v>2296</v>
      </c>
      <c r="M2663" s="1666">
        <v>4.7279000000000002E-2</v>
      </c>
      <c r="N2663" s="1667">
        <v>1.7668698797902767</v>
      </c>
      <c r="O2663" s="1667"/>
    </row>
    <row r="2664" spans="11:15">
      <c r="K2664" s="1664">
        <v>44721</v>
      </c>
      <c r="L2664" s="1665" t="s">
        <v>2296</v>
      </c>
      <c r="M2664" s="1666">
        <v>4.7279000000000002E-2</v>
      </c>
      <c r="N2664" s="1667">
        <v>1.7677052382007425</v>
      </c>
      <c r="O2664" s="1667"/>
    </row>
    <row r="2665" spans="11:15">
      <c r="K2665" s="1664">
        <v>44722</v>
      </c>
      <c r="L2665" s="1665" t="s">
        <v>2296</v>
      </c>
      <c r="M2665" s="1666">
        <v>4.7279000000000002E-2</v>
      </c>
      <c r="N2665" s="1667">
        <v>1.7685409915603112</v>
      </c>
      <c r="O2665" s="1667"/>
    </row>
    <row r="2666" spans="11:15">
      <c r="K2666" s="1664">
        <v>44723</v>
      </c>
      <c r="L2666" s="1665"/>
      <c r="M2666" s="1666">
        <v>0</v>
      </c>
      <c r="N2666" s="1667">
        <v>1.7685409915603112</v>
      </c>
      <c r="O2666" s="1667"/>
    </row>
    <row r="2667" spans="11:15">
      <c r="K2667" s="1664">
        <v>44724</v>
      </c>
      <c r="L2667" s="1665"/>
      <c r="M2667" s="1666">
        <v>0</v>
      </c>
      <c r="N2667" s="1667">
        <v>1.7685409915603112</v>
      </c>
      <c r="O2667" s="1667"/>
    </row>
    <row r="2668" spans="11:15">
      <c r="K2668" s="1664">
        <v>44725</v>
      </c>
      <c r="L2668" s="1665" t="s">
        <v>2296</v>
      </c>
      <c r="M2668" s="1666">
        <v>4.7279000000000002E-2</v>
      </c>
      <c r="N2668" s="1667">
        <v>1.7693771400557108</v>
      </c>
      <c r="O2668" s="1667"/>
    </row>
    <row r="2669" spans="11:15">
      <c r="K2669" s="1664">
        <v>44726</v>
      </c>
      <c r="L2669" s="1665" t="s">
        <v>2296</v>
      </c>
      <c r="M2669" s="1666">
        <v>4.7279000000000002E-2</v>
      </c>
      <c r="N2669" s="1667">
        <v>1.7702136838737574</v>
      </c>
      <c r="O2669" s="1667"/>
    </row>
    <row r="2670" spans="11:15">
      <c r="K2670" s="1664">
        <v>44727</v>
      </c>
      <c r="L2670" s="1665" t="s">
        <v>2296</v>
      </c>
      <c r="M2670" s="1666">
        <v>4.7279000000000002E-2</v>
      </c>
      <c r="N2670" s="1667">
        <v>1.7710506232013559</v>
      </c>
      <c r="O2670" s="1667"/>
    </row>
    <row r="2671" spans="11:15">
      <c r="K2671" s="1664">
        <v>44728</v>
      </c>
      <c r="L2671" s="1665"/>
      <c r="M2671" s="1666">
        <v>0</v>
      </c>
      <c r="N2671" s="1667">
        <v>1.7710506232013559</v>
      </c>
      <c r="O2671" s="1667"/>
    </row>
    <row r="2672" spans="11:15">
      <c r="K2672" s="1664">
        <v>44729</v>
      </c>
      <c r="L2672" s="1665" t="s">
        <v>2296</v>
      </c>
      <c r="M2672" s="1666">
        <v>4.9036999999999997E-2</v>
      </c>
      <c r="N2672" s="1667">
        <v>1.7719190932954552</v>
      </c>
      <c r="O2672" s="1667"/>
    </row>
    <row r="2673" spans="11:15">
      <c r="K2673" s="1664">
        <v>44730</v>
      </c>
      <c r="L2673" s="1665"/>
      <c r="M2673" s="1666">
        <v>0</v>
      </c>
      <c r="N2673" s="1667">
        <v>1.7719190932954552</v>
      </c>
      <c r="O2673" s="1667"/>
    </row>
    <row r="2674" spans="11:15">
      <c r="K2674" s="1664">
        <v>44731</v>
      </c>
      <c r="L2674" s="1665"/>
      <c r="M2674" s="1666">
        <v>0</v>
      </c>
      <c r="N2674" s="1667">
        <v>1.7719190932954552</v>
      </c>
      <c r="O2674" s="1667"/>
    </row>
    <row r="2675" spans="11:15">
      <c r="K2675" s="1664">
        <v>44732</v>
      </c>
      <c r="L2675" s="1665" t="s">
        <v>2296</v>
      </c>
      <c r="M2675" s="1666">
        <v>4.9036999999999997E-2</v>
      </c>
      <c r="N2675" s="1667">
        <v>1.7727879892612346</v>
      </c>
      <c r="O2675" s="1667"/>
    </row>
    <row r="2676" spans="11:15">
      <c r="K2676" s="1664">
        <v>44733</v>
      </c>
      <c r="L2676" s="1665" t="s">
        <v>2296</v>
      </c>
      <c r="M2676" s="1666">
        <v>4.9036999999999997E-2</v>
      </c>
      <c r="N2676" s="1667">
        <v>1.7736573113075287</v>
      </c>
      <c r="O2676" s="1667"/>
    </row>
    <row r="2677" spans="11:15">
      <c r="K2677" s="1664">
        <v>44734</v>
      </c>
      <c r="L2677" s="1665" t="s">
        <v>2296</v>
      </c>
      <c r="M2677" s="1666">
        <v>4.9036999999999997E-2</v>
      </c>
      <c r="N2677" s="1667">
        <v>1.7745270596432747</v>
      </c>
      <c r="O2677" s="1667"/>
    </row>
    <row r="2678" spans="11:15">
      <c r="K2678" s="1664">
        <v>44735</v>
      </c>
      <c r="L2678" s="1665" t="s">
        <v>2296</v>
      </c>
      <c r="M2678" s="1666">
        <v>4.9036999999999997E-2</v>
      </c>
      <c r="N2678" s="1667">
        <v>1.7753972344775122</v>
      </c>
      <c r="O2678" s="1667"/>
    </row>
    <row r="2679" spans="11:15">
      <c r="K2679" s="1664">
        <v>44736</v>
      </c>
      <c r="L2679" s="1665" t="s">
        <v>2296</v>
      </c>
      <c r="M2679" s="1666">
        <v>4.9036999999999997E-2</v>
      </c>
      <c r="N2679" s="1667">
        <v>1.7762678360193831</v>
      </c>
      <c r="O2679" s="1667"/>
    </row>
    <row r="2680" spans="11:15">
      <c r="K2680" s="1664">
        <v>44737</v>
      </c>
      <c r="L2680" s="1665"/>
      <c r="M2680" s="1666">
        <v>0</v>
      </c>
      <c r="N2680" s="1667">
        <v>1.7762678360193831</v>
      </c>
      <c r="O2680" s="1667"/>
    </row>
    <row r="2681" spans="11:15">
      <c r="K2681" s="1664">
        <v>44738</v>
      </c>
      <c r="L2681" s="1665"/>
      <c r="M2681" s="1666">
        <v>0</v>
      </c>
      <c r="N2681" s="1667">
        <v>1.7762678360193831</v>
      </c>
      <c r="O2681" s="1667"/>
    </row>
    <row r="2682" spans="11:15">
      <c r="K2682" s="1664">
        <v>44739</v>
      </c>
      <c r="L2682" s="1665" t="s">
        <v>2296</v>
      </c>
      <c r="M2682" s="1666">
        <v>4.9036999999999997E-2</v>
      </c>
      <c r="N2682" s="1667">
        <v>1.7771388644781321</v>
      </c>
      <c r="O2682" s="1667"/>
    </row>
    <row r="2683" spans="11:15">
      <c r="K2683" s="1664">
        <v>44740</v>
      </c>
      <c r="L2683" s="1665" t="s">
        <v>2296</v>
      </c>
      <c r="M2683" s="1666">
        <v>4.9036999999999997E-2</v>
      </c>
      <c r="N2683" s="1667">
        <v>1.7780103200631063</v>
      </c>
      <c r="O2683" s="1667"/>
    </row>
    <row r="2684" spans="11:15">
      <c r="K2684" s="1664">
        <v>44741</v>
      </c>
      <c r="L2684" s="1665" t="s">
        <v>2296</v>
      </c>
      <c r="M2684" s="1666">
        <v>4.9036999999999997E-2</v>
      </c>
      <c r="N2684" s="1667">
        <v>1.7788822029837559</v>
      </c>
      <c r="O2684" s="1667"/>
    </row>
    <row r="2685" spans="11:15">
      <c r="K2685" s="1664">
        <v>44742</v>
      </c>
      <c r="L2685" s="1665" t="s">
        <v>2296</v>
      </c>
      <c r="M2685" s="1666">
        <v>4.9036999999999997E-2</v>
      </c>
      <c r="N2685" s="1667">
        <v>1.7797545134496331</v>
      </c>
      <c r="O2685" s="1667"/>
    </row>
    <row r="2686" spans="11:15">
      <c r="K2686" s="1664">
        <v>44743</v>
      </c>
      <c r="L2686" s="1665" t="s">
        <v>2296</v>
      </c>
      <c r="M2686" s="1666">
        <v>4.9036999999999997E-2</v>
      </c>
      <c r="N2686" s="1667">
        <v>1.7806272516703936</v>
      </c>
      <c r="O2686" s="1667"/>
    </row>
    <row r="2687" spans="11:15">
      <c r="K2687" s="1664">
        <v>44744</v>
      </c>
      <c r="L2687" s="1665"/>
      <c r="M2687" s="1666">
        <v>0</v>
      </c>
      <c r="N2687" s="1667">
        <v>1.7806272516703936</v>
      </c>
      <c r="O2687" s="1667"/>
    </row>
    <row r="2688" spans="11:15">
      <c r="K2688" s="1664">
        <v>44745</v>
      </c>
      <c r="L2688" s="1665"/>
      <c r="M2688" s="1666">
        <v>0</v>
      </c>
      <c r="N2688" s="1667">
        <v>1.7806272516703936</v>
      </c>
      <c r="O2688" s="1667"/>
    </row>
    <row r="2689" spans="11:15">
      <c r="K2689" s="1664">
        <v>44746</v>
      </c>
      <c r="L2689" s="1665" t="s">
        <v>2296</v>
      </c>
      <c r="M2689" s="1666">
        <v>4.9036999999999997E-2</v>
      </c>
      <c r="N2689" s="1667">
        <v>1.7815004178557954</v>
      </c>
      <c r="O2689" s="1667"/>
    </row>
    <row r="2690" spans="11:15">
      <c r="K2690" s="1664">
        <v>44747</v>
      </c>
      <c r="L2690" s="1665" t="s">
        <v>2296</v>
      </c>
      <c r="M2690" s="1666">
        <v>4.9036999999999997E-2</v>
      </c>
      <c r="N2690" s="1667">
        <v>1.7823740122156995</v>
      </c>
      <c r="O2690" s="1667"/>
    </row>
    <row r="2691" spans="11:15">
      <c r="K2691" s="1664">
        <v>44748</v>
      </c>
      <c r="L2691" s="1665" t="s">
        <v>2296</v>
      </c>
      <c r="M2691" s="1666">
        <v>4.9036999999999997E-2</v>
      </c>
      <c r="N2691" s="1667">
        <v>1.7832480349600699</v>
      </c>
      <c r="O2691" s="1667"/>
    </row>
    <row r="2692" spans="11:15">
      <c r="K2692" s="1664">
        <v>44749</v>
      </c>
      <c r="L2692" s="1665" t="s">
        <v>2296</v>
      </c>
      <c r="M2692" s="1666">
        <v>4.9036999999999997E-2</v>
      </c>
      <c r="N2692" s="1667">
        <v>1.7841224862989733</v>
      </c>
      <c r="O2692" s="1667"/>
    </row>
    <row r="2693" spans="11:15">
      <c r="K2693" s="1664">
        <v>44750</v>
      </c>
      <c r="L2693" s="1665" t="s">
        <v>2296</v>
      </c>
      <c r="M2693" s="1666">
        <v>4.9036999999999997E-2</v>
      </c>
      <c r="N2693" s="1667">
        <v>1.7849973664425798</v>
      </c>
      <c r="O2693" s="1667"/>
    </row>
    <row r="2694" spans="11:15">
      <c r="K2694" s="1664">
        <v>44751</v>
      </c>
      <c r="L2694" s="1665"/>
      <c r="M2694" s="1666">
        <v>0</v>
      </c>
      <c r="N2694" s="1667">
        <v>1.7849973664425798</v>
      </c>
      <c r="O2694" s="1667"/>
    </row>
    <row r="2695" spans="11:15">
      <c r="K2695" s="1664">
        <v>44752</v>
      </c>
      <c r="L2695" s="1665"/>
      <c r="M2695" s="1666">
        <v>0</v>
      </c>
      <c r="N2695" s="1667">
        <v>1.7849973664425798</v>
      </c>
      <c r="O2695" s="1667"/>
    </row>
    <row r="2696" spans="11:15">
      <c r="K2696" s="1664">
        <v>44753</v>
      </c>
      <c r="L2696" s="1665" t="s">
        <v>2296</v>
      </c>
      <c r="M2696" s="1666">
        <v>4.9036999999999997E-2</v>
      </c>
      <c r="N2696" s="1667">
        <v>1.7858726756011623</v>
      </c>
      <c r="O2696" s="1667"/>
    </row>
    <row r="2697" spans="11:15">
      <c r="K2697" s="1664">
        <v>44754</v>
      </c>
      <c r="L2697" s="1665" t="s">
        <v>2296</v>
      </c>
      <c r="M2697" s="1666">
        <v>4.9036999999999997E-2</v>
      </c>
      <c r="N2697" s="1667">
        <v>1.7867484139850969</v>
      </c>
      <c r="O2697" s="1667"/>
    </row>
    <row r="2698" spans="11:15">
      <c r="K2698" s="1664">
        <v>44755</v>
      </c>
      <c r="L2698" s="1665" t="s">
        <v>2296</v>
      </c>
      <c r="M2698" s="1666">
        <v>4.9036999999999997E-2</v>
      </c>
      <c r="N2698" s="1667">
        <v>1.7876245818048628</v>
      </c>
      <c r="O2698" s="1667"/>
    </row>
    <row r="2699" spans="11:15">
      <c r="K2699" s="1664">
        <v>44756</v>
      </c>
      <c r="L2699" s="1665" t="s">
        <v>2296</v>
      </c>
      <c r="M2699" s="1666">
        <v>4.9036999999999997E-2</v>
      </c>
      <c r="N2699" s="1667">
        <v>1.7885011792710426</v>
      </c>
      <c r="O2699" s="1667"/>
    </row>
    <row r="2700" spans="11:15">
      <c r="K2700" s="1664">
        <v>44757</v>
      </c>
      <c r="L2700" s="1665" t="s">
        <v>2296</v>
      </c>
      <c r="M2700" s="1666">
        <v>4.9036999999999997E-2</v>
      </c>
      <c r="N2700" s="1667">
        <v>1.7893782065943218</v>
      </c>
      <c r="O2700" s="1667"/>
    </row>
    <row r="2701" spans="11:15">
      <c r="K2701" s="1664">
        <v>44758</v>
      </c>
      <c r="L2701" s="1665"/>
      <c r="M2701" s="1666">
        <v>0</v>
      </c>
      <c r="N2701" s="1667">
        <v>1.7893782065943218</v>
      </c>
      <c r="O2701" s="1667"/>
    </row>
    <row r="2702" spans="11:15">
      <c r="K2702" s="1664">
        <v>44759</v>
      </c>
      <c r="L2702" s="1665"/>
      <c r="M2702" s="1666">
        <v>0</v>
      </c>
      <c r="N2702" s="1667">
        <v>1.7893782065943218</v>
      </c>
      <c r="O2702" s="1667"/>
    </row>
    <row r="2703" spans="11:15">
      <c r="K2703" s="1664">
        <v>44760</v>
      </c>
      <c r="L2703" s="1665" t="s">
        <v>2296</v>
      </c>
      <c r="M2703" s="1666">
        <v>4.9036999999999997E-2</v>
      </c>
      <c r="N2703" s="1667">
        <v>1.7902556639854896</v>
      </c>
      <c r="O2703" s="1667"/>
    </row>
    <row r="2704" spans="11:15">
      <c r="K2704" s="1664">
        <v>44761</v>
      </c>
      <c r="L2704" s="1665" t="s">
        <v>2296</v>
      </c>
      <c r="M2704" s="1666">
        <v>4.9036999999999997E-2</v>
      </c>
      <c r="N2704" s="1667">
        <v>1.7911335516554383</v>
      </c>
      <c r="O2704" s="1667"/>
    </row>
    <row r="2705" spans="11:15">
      <c r="K2705" s="1664">
        <v>44762</v>
      </c>
      <c r="L2705" s="1665" t="s">
        <v>2296</v>
      </c>
      <c r="M2705" s="1666">
        <v>4.9036999999999997E-2</v>
      </c>
      <c r="N2705" s="1667">
        <v>1.7920118698151637</v>
      </c>
      <c r="O2705" s="1667"/>
    </row>
    <row r="2706" spans="11:15">
      <c r="K2706" s="1664">
        <v>44763</v>
      </c>
      <c r="L2706" s="1665" t="s">
        <v>2296</v>
      </c>
      <c r="M2706" s="1666">
        <v>4.9036999999999997E-2</v>
      </c>
      <c r="N2706" s="1667">
        <v>1.7928906186757652</v>
      </c>
      <c r="O2706" s="1667"/>
    </row>
    <row r="2707" spans="11:15">
      <c r="K2707" s="1664">
        <v>44764</v>
      </c>
      <c r="L2707" s="1665" t="s">
        <v>2296</v>
      </c>
      <c r="M2707" s="1666">
        <v>4.9036999999999997E-2</v>
      </c>
      <c r="N2707" s="1667">
        <v>1.7937697984484453</v>
      </c>
      <c r="O2707" s="1667"/>
    </row>
    <row r="2708" spans="11:15">
      <c r="K2708" s="1664">
        <v>44765</v>
      </c>
      <c r="L2708" s="1665"/>
      <c r="M2708" s="1666">
        <v>0</v>
      </c>
      <c r="N2708" s="1667">
        <v>1.7937697984484453</v>
      </c>
      <c r="O2708" s="1667"/>
    </row>
    <row r="2709" spans="11:15">
      <c r="K2709" s="1664">
        <v>44766</v>
      </c>
      <c r="L2709" s="1665"/>
      <c r="M2709" s="1666">
        <v>0</v>
      </c>
      <c r="N2709" s="1667">
        <v>1.7937697984484453</v>
      </c>
      <c r="O2709" s="1667"/>
    </row>
    <row r="2710" spans="11:15">
      <c r="K2710" s="1664">
        <v>44767</v>
      </c>
      <c r="L2710" s="1665" t="s">
        <v>2296</v>
      </c>
      <c r="M2710" s="1666">
        <v>4.9036999999999997E-2</v>
      </c>
      <c r="N2710" s="1667">
        <v>1.7946494093445107</v>
      </c>
      <c r="O2710" s="1667"/>
    </row>
    <row r="2711" spans="11:15">
      <c r="K2711" s="1664">
        <v>44768</v>
      </c>
      <c r="L2711" s="1665" t="s">
        <v>2296</v>
      </c>
      <c r="M2711" s="1666">
        <v>4.9036999999999997E-2</v>
      </c>
      <c r="N2711" s="1667">
        <v>1.795529451575371</v>
      </c>
      <c r="O2711" s="1667"/>
    </row>
    <row r="2712" spans="11:15">
      <c r="K2712" s="1664">
        <v>44769</v>
      </c>
      <c r="L2712" s="1665" t="s">
        <v>2296</v>
      </c>
      <c r="M2712" s="1666">
        <v>4.9036999999999997E-2</v>
      </c>
      <c r="N2712" s="1667">
        <v>1.7964099253525401</v>
      </c>
      <c r="O2712" s="1667"/>
    </row>
    <row r="2713" spans="11:15">
      <c r="K2713" s="1664">
        <v>44770</v>
      </c>
      <c r="L2713" s="1665" t="s">
        <v>2296</v>
      </c>
      <c r="M2713" s="1666">
        <v>4.9036999999999997E-2</v>
      </c>
      <c r="N2713" s="1667">
        <v>1.7972908308876354</v>
      </c>
      <c r="O2713" s="1667"/>
    </row>
    <row r="2714" spans="11:15">
      <c r="K2714" s="1664">
        <v>44771</v>
      </c>
      <c r="L2714" s="1665" t="s">
        <v>2296</v>
      </c>
      <c r="M2714" s="1666">
        <v>4.9036999999999997E-2</v>
      </c>
      <c r="N2714" s="1667">
        <v>1.7981721683923779</v>
      </c>
      <c r="O2714" s="1667"/>
    </row>
    <row r="2715" spans="11:15">
      <c r="K2715" s="1664">
        <v>44772</v>
      </c>
      <c r="L2715" s="1665"/>
      <c r="M2715" s="1666">
        <v>0</v>
      </c>
      <c r="N2715" s="1667">
        <v>1.7981721683923779</v>
      </c>
      <c r="O2715" s="1667"/>
    </row>
    <row r="2716" spans="11:15">
      <c r="K2716" s="1664">
        <v>44773</v>
      </c>
      <c r="L2716" s="1665"/>
      <c r="M2716" s="1666">
        <v>0</v>
      </c>
      <c r="N2716" s="1667">
        <v>1.7981721683923779</v>
      </c>
      <c r="O2716" s="1667"/>
    </row>
    <row r="2717" spans="11:15">
      <c r="K2717" s="1664">
        <v>44774</v>
      </c>
      <c r="L2717" s="1665" t="s">
        <v>2296</v>
      </c>
      <c r="M2717" s="1666">
        <v>4.9036999999999997E-2</v>
      </c>
      <c r="N2717" s="1667">
        <v>1.7990539380785926</v>
      </c>
      <c r="O2717" s="1667"/>
    </row>
    <row r="2718" spans="11:15">
      <c r="K2718" s="1664">
        <v>44775</v>
      </c>
      <c r="L2718" s="1665" t="s">
        <v>2296</v>
      </c>
      <c r="M2718" s="1666">
        <v>4.9036999999999997E-2</v>
      </c>
      <c r="N2718" s="1667">
        <v>1.7999361401582084</v>
      </c>
      <c r="O2718" s="1667"/>
    </row>
    <row r="2719" spans="11:15">
      <c r="K2719" s="1664">
        <v>44776</v>
      </c>
      <c r="L2719" s="1665" t="s">
        <v>2296</v>
      </c>
      <c r="M2719" s="1666">
        <v>4.9036999999999997E-2</v>
      </c>
      <c r="N2719" s="1667">
        <v>1.8008187748432578</v>
      </c>
      <c r="O2719" s="1667"/>
    </row>
    <row r="2720" spans="11:15">
      <c r="K2720" s="1664">
        <v>44777</v>
      </c>
      <c r="L2720" s="1665" t="s">
        <v>2296</v>
      </c>
      <c r="M2720" s="1666">
        <v>4.9036999999999997E-2</v>
      </c>
      <c r="N2720" s="1667">
        <v>1.8017018423458779</v>
      </c>
      <c r="O2720" s="1667"/>
    </row>
    <row r="2721" spans="11:15">
      <c r="K2721" s="1664">
        <v>44778</v>
      </c>
      <c r="L2721" s="1665" t="s">
        <v>2296</v>
      </c>
      <c r="M2721" s="1666">
        <v>4.9036999999999997E-2</v>
      </c>
      <c r="N2721" s="1667">
        <v>1.8025853428783092</v>
      </c>
      <c r="O2721" s="1667"/>
    </row>
    <row r="2722" spans="11:15">
      <c r="K2722" s="1664">
        <v>44779</v>
      </c>
      <c r="L2722" s="1665"/>
      <c r="M2722" s="1666">
        <v>0</v>
      </c>
      <c r="N2722" s="1667">
        <v>1.8025853428783092</v>
      </c>
      <c r="O2722" s="1667"/>
    </row>
    <row r="2723" spans="11:15">
      <c r="K2723" s="1664">
        <v>44780</v>
      </c>
      <c r="L2723" s="1665"/>
      <c r="M2723" s="1666">
        <v>0</v>
      </c>
      <c r="N2723" s="1667">
        <v>1.8025853428783092</v>
      </c>
      <c r="O2723" s="1667"/>
    </row>
    <row r="2724" spans="11:15">
      <c r="K2724" s="1664">
        <v>44781</v>
      </c>
      <c r="L2724" s="1665" t="s">
        <v>2296</v>
      </c>
      <c r="M2724" s="1666">
        <v>4.9036999999999997E-2</v>
      </c>
      <c r="N2724" s="1667">
        <v>1.8034692766528966</v>
      </c>
      <c r="O2724" s="1667"/>
    </row>
    <row r="2725" spans="11:15">
      <c r="K2725" s="1664">
        <v>44782</v>
      </c>
      <c r="L2725" s="1665" t="s">
        <v>2296</v>
      </c>
      <c r="M2725" s="1666">
        <v>4.9036999999999997E-2</v>
      </c>
      <c r="N2725" s="1667">
        <v>1.8043536438820891</v>
      </c>
      <c r="O2725" s="1667"/>
    </row>
    <row r="2726" spans="11:15">
      <c r="K2726" s="1664">
        <v>44783</v>
      </c>
      <c r="L2726" s="1665" t="s">
        <v>2296</v>
      </c>
      <c r="M2726" s="1666">
        <v>4.9036999999999997E-2</v>
      </c>
      <c r="N2726" s="1667">
        <v>1.8052384447784398</v>
      </c>
      <c r="O2726" s="1667"/>
    </row>
    <row r="2727" spans="11:15">
      <c r="K2727" s="1664">
        <v>44784</v>
      </c>
      <c r="L2727" s="1665" t="s">
        <v>2296</v>
      </c>
      <c r="M2727" s="1666">
        <v>4.9036999999999997E-2</v>
      </c>
      <c r="N2727" s="1667">
        <v>1.8061236795546058</v>
      </c>
      <c r="O2727" s="1667"/>
    </row>
    <row r="2728" spans="11:15">
      <c r="K2728" s="1664">
        <v>44785</v>
      </c>
      <c r="L2728" s="1665" t="s">
        <v>2296</v>
      </c>
      <c r="M2728" s="1666">
        <v>4.9036999999999997E-2</v>
      </c>
      <c r="N2728" s="1667">
        <v>1.8070093484233491</v>
      </c>
      <c r="O2728" s="1667"/>
    </row>
    <row r="2729" spans="11:15">
      <c r="K2729" s="1664">
        <v>44786</v>
      </c>
      <c r="L2729" s="1665"/>
      <c r="M2729" s="1666">
        <v>0</v>
      </c>
      <c r="N2729" s="1667">
        <v>1.8070093484233491</v>
      </c>
      <c r="O2729" s="1667"/>
    </row>
    <row r="2730" spans="11:15">
      <c r="K2730" s="1664">
        <v>44787</v>
      </c>
      <c r="L2730" s="1665"/>
      <c r="M2730" s="1666">
        <v>0</v>
      </c>
      <c r="N2730" s="1667">
        <v>1.8070093484233491</v>
      </c>
      <c r="O2730" s="1667"/>
    </row>
    <row r="2731" spans="11:15">
      <c r="K2731" s="1664">
        <v>44788</v>
      </c>
      <c r="L2731" s="1665" t="s">
        <v>2296</v>
      </c>
      <c r="M2731" s="1666">
        <v>4.9036999999999997E-2</v>
      </c>
      <c r="N2731" s="1667">
        <v>1.8078954515975356</v>
      </c>
      <c r="O2731" s="1667"/>
    </row>
    <row r="2732" spans="11:15">
      <c r="K2732" s="1664">
        <v>44789</v>
      </c>
      <c r="L2732" s="1665" t="s">
        <v>2296</v>
      </c>
      <c r="M2732" s="1666">
        <v>4.9036999999999997E-2</v>
      </c>
      <c r="N2732" s="1667">
        <v>1.8087819892901356</v>
      </c>
      <c r="O2732" s="1667"/>
    </row>
    <row r="2733" spans="11:15">
      <c r="K2733" s="1664">
        <v>44790</v>
      </c>
      <c r="L2733" s="1665" t="s">
        <v>2296</v>
      </c>
      <c r="M2733" s="1666">
        <v>4.9036999999999997E-2</v>
      </c>
      <c r="N2733" s="1667">
        <v>1.8096689617142239</v>
      </c>
      <c r="O2733" s="1667"/>
    </row>
    <row r="2734" spans="11:15">
      <c r="K2734" s="1664">
        <v>44791</v>
      </c>
      <c r="L2734" s="1665" t="s">
        <v>2296</v>
      </c>
      <c r="M2734" s="1666">
        <v>4.9036999999999997E-2</v>
      </c>
      <c r="N2734" s="1667">
        <v>1.8105563690829798</v>
      </c>
      <c r="O2734" s="1667"/>
    </row>
    <row r="2735" spans="11:15">
      <c r="K2735" s="1664">
        <v>44792</v>
      </c>
      <c r="L2735" s="1665" t="s">
        <v>2296</v>
      </c>
      <c r="M2735" s="1666">
        <v>4.9036999999999997E-2</v>
      </c>
      <c r="N2735" s="1667">
        <v>1.8114442116096872</v>
      </c>
      <c r="O2735" s="1667"/>
    </row>
    <row r="2736" spans="11:15">
      <c r="K2736" s="1664">
        <v>44793</v>
      </c>
      <c r="L2736" s="1665"/>
      <c r="M2736" s="1666">
        <v>0</v>
      </c>
      <c r="N2736" s="1667">
        <v>1.8114442116096872</v>
      </c>
      <c r="O2736" s="1667"/>
    </row>
    <row r="2737" spans="11:15">
      <c r="K2737" s="1664">
        <v>44794</v>
      </c>
      <c r="L2737" s="1665"/>
      <c r="M2737" s="1666">
        <v>0</v>
      </c>
      <c r="N2737" s="1667">
        <v>1.8114442116096872</v>
      </c>
      <c r="O2737" s="1667"/>
    </row>
    <row r="2738" spans="11:15">
      <c r="K2738" s="1664">
        <v>44795</v>
      </c>
      <c r="L2738" s="1665" t="s">
        <v>2296</v>
      </c>
      <c r="M2738" s="1666">
        <v>4.9036999999999997E-2</v>
      </c>
      <c r="N2738" s="1667">
        <v>1.8123324895077344</v>
      </c>
      <c r="O2738" s="1667"/>
    </row>
    <row r="2739" spans="11:15">
      <c r="K2739" s="1664">
        <v>44796</v>
      </c>
      <c r="L2739" s="1665" t="s">
        <v>2296</v>
      </c>
      <c r="M2739" s="1666">
        <v>4.9036999999999997E-2</v>
      </c>
      <c r="N2739" s="1667">
        <v>1.8132212029906145</v>
      </c>
      <c r="O2739" s="1667"/>
    </row>
    <row r="2740" spans="11:15">
      <c r="K2740" s="1664">
        <v>44797</v>
      </c>
      <c r="L2740" s="1665" t="s">
        <v>2296</v>
      </c>
      <c r="M2740" s="1666">
        <v>4.9036999999999997E-2</v>
      </c>
      <c r="N2740" s="1667">
        <v>1.8141103522719251</v>
      </c>
      <c r="O2740" s="1667"/>
    </row>
    <row r="2741" spans="11:15">
      <c r="K2741" s="1664">
        <v>44798</v>
      </c>
      <c r="L2741" s="1665" t="s">
        <v>2296</v>
      </c>
      <c r="M2741" s="1666">
        <v>4.9036999999999997E-2</v>
      </c>
      <c r="N2741" s="1667">
        <v>1.8149999375653687</v>
      </c>
      <c r="O2741" s="1667"/>
    </row>
    <row r="2742" spans="11:15">
      <c r="K2742" s="1664">
        <v>44799</v>
      </c>
      <c r="L2742" s="1665" t="s">
        <v>2296</v>
      </c>
      <c r="M2742" s="1666">
        <v>4.9036999999999997E-2</v>
      </c>
      <c r="N2742" s="1667">
        <v>1.8158899590847528</v>
      </c>
      <c r="O2742" s="1667"/>
    </row>
    <row r="2743" spans="11:15">
      <c r="K2743" s="1664">
        <v>44800</v>
      </c>
      <c r="L2743" s="1665"/>
      <c r="M2743" s="1666">
        <v>0</v>
      </c>
      <c r="N2743" s="1667">
        <v>1.8158899590847528</v>
      </c>
      <c r="O2743" s="1667"/>
    </row>
    <row r="2744" spans="11:15">
      <c r="K2744" s="1664">
        <v>44801</v>
      </c>
      <c r="L2744" s="1665"/>
      <c r="M2744" s="1666">
        <v>0</v>
      </c>
      <c r="N2744" s="1667">
        <v>1.8158899590847528</v>
      </c>
      <c r="O2744" s="1667"/>
    </row>
    <row r="2745" spans="11:15">
      <c r="K2745" s="1664">
        <v>44802</v>
      </c>
      <c r="L2745" s="1665" t="s">
        <v>2296</v>
      </c>
      <c r="M2745" s="1666">
        <v>4.9036999999999997E-2</v>
      </c>
      <c r="N2745" s="1667">
        <v>1.8167804170439894</v>
      </c>
      <c r="O2745" s="1667"/>
    </row>
    <row r="2746" spans="11:15">
      <c r="K2746" s="1664">
        <v>44803</v>
      </c>
      <c r="L2746" s="1665" t="s">
        <v>2296</v>
      </c>
      <c r="M2746" s="1666">
        <v>4.9036999999999997E-2</v>
      </c>
      <c r="N2746" s="1667">
        <v>1.8176713116570955</v>
      </c>
      <c r="O2746" s="1667"/>
    </row>
    <row r="2747" spans="11:15">
      <c r="K2747" s="1664">
        <v>44804</v>
      </c>
      <c r="L2747" s="1665" t="s">
        <v>2296</v>
      </c>
      <c r="M2747" s="1666">
        <v>4.9036999999999997E-2</v>
      </c>
      <c r="N2747" s="1667">
        <v>1.8185626431381929</v>
      </c>
      <c r="O2747" s="1667"/>
    </row>
    <row r="2748" spans="11:15">
      <c r="K2748" s="1664">
        <v>44805</v>
      </c>
      <c r="L2748" s="1665" t="s">
        <v>2296</v>
      </c>
      <c r="M2748" s="1666">
        <v>4.9036999999999997E-2</v>
      </c>
      <c r="N2748" s="1667">
        <v>1.8194544117015088</v>
      </c>
      <c r="O2748" s="1667"/>
    </row>
    <row r="2749" spans="11:15">
      <c r="K2749" s="1664">
        <v>44806</v>
      </c>
      <c r="L2749" s="1665" t="s">
        <v>2296</v>
      </c>
      <c r="M2749" s="1666">
        <v>4.9036999999999997E-2</v>
      </c>
      <c r="N2749" s="1667">
        <v>1.8203466175613749</v>
      </c>
      <c r="O2749" s="1667"/>
    </row>
    <row r="2750" spans="11:15">
      <c r="K2750" s="1664">
        <v>44807</v>
      </c>
      <c r="L2750" s="1665"/>
      <c r="M2750" s="1666">
        <v>0</v>
      </c>
      <c r="N2750" s="1667">
        <v>1.8203466175613749</v>
      </c>
      <c r="O2750" s="1667"/>
    </row>
    <row r="2751" spans="11:15">
      <c r="K2751" s="1664">
        <v>44808</v>
      </c>
      <c r="L2751" s="1665"/>
      <c r="M2751" s="1666">
        <v>0</v>
      </c>
      <c r="N2751" s="1667">
        <v>1.8203466175613749</v>
      </c>
      <c r="O2751" s="1667"/>
    </row>
    <row r="2752" spans="11:15">
      <c r="K2752" s="1664">
        <v>44809</v>
      </c>
      <c r="L2752" s="1665" t="s">
        <v>2296</v>
      </c>
      <c r="M2752" s="1666">
        <v>4.9036999999999997E-2</v>
      </c>
      <c r="N2752" s="1667">
        <v>1.8212392609322285</v>
      </c>
      <c r="O2752" s="1667"/>
    </row>
    <row r="2753" spans="11:15">
      <c r="K2753" s="1664">
        <v>44810</v>
      </c>
      <c r="L2753" s="1665" t="s">
        <v>2296</v>
      </c>
      <c r="M2753" s="1666">
        <v>4.9036999999999997E-2</v>
      </c>
      <c r="N2753" s="1667">
        <v>1.822132342028612</v>
      </c>
      <c r="O2753" s="1667"/>
    </row>
    <row r="2754" spans="11:15">
      <c r="K2754" s="1664">
        <v>44811</v>
      </c>
      <c r="L2754" s="1665"/>
      <c r="M2754" s="1666">
        <v>0</v>
      </c>
      <c r="N2754" s="1667">
        <v>1.822132342028612</v>
      </c>
      <c r="O2754" s="1667"/>
    </row>
    <row r="2755" spans="11:15">
      <c r="K2755" s="1664">
        <v>44812</v>
      </c>
      <c r="L2755" s="1665" t="s">
        <v>2296</v>
      </c>
      <c r="M2755" s="1666">
        <v>4.9036999999999997E-2</v>
      </c>
      <c r="N2755" s="1667">
        <v>1.8230258610651726</v>
      </c>
      <c r="O2755" s="1667"/>
    </row>
    <row r="2756" spans="11:15">
      <c r="K2756" s="1664">
        <v>44813</v>
      </c>
      <c r="L2756" s="1665" t="s">
        <v>2296</v>
      </c>
      <c r="M2756" s="1666">
        <v>4.9036999999999997E-2</v>
      </c>
      <c r="N2756" s="1667">
        <v>1.8239198182566634</v>
      </c>
      <c r="O2756" s="1667"/>
    </row>
    <row r="2757" spans="11:15">
      <c r="K2757" s="1664">
        <v>44814</v>
      </c>
      <c r="L2757" s="1665"/>
      <c r="M2757" s="1666">
        <v>0</v>
      </c>
      <c r="N2757" s="1667">
        <v>1.8239198182566634</v>
      </c>
      <c r="O2757" s="1667"/>
    </row>
    <row r="2758" spans="11:15">
      <c r="K2758" s="1664">
        <v>44815</v>
      </c>
      <c r="L2758" s="1665"/>
      <c r="M2758" s="1666">
        <v>0</v>
      </c>
      <c r="N2758" s="1667">
        <v>1.8239198182566634</v>
      </c>
      <c r="O2758" s="1667"/>
    </row>
    <row r="2759" spans="11:15">
      <c r="K2759" s="1664">
        <v>44816</v>
      </c>
      <c r="L2759" s="1665" t="s">
        <v>2296</v>
      </c>
      <c r="M2759" s="1666">
        <v>4.9036999999999997E-2</v>
      </c>
      <c r="N2759" s="1667">
        <v>1.824814213817942</v>
      </c>
      <c r="O2759" s="1667"/>
    </row>
    <row r="2760" spans="11:15">
      <c r="K2760" s="1664">
        <v>44817</v>
      </c>
      <c r="L2760" s="1665" t="s">
        <v>2296</v>
      </c>
      <c r="M2760" s="1666">
        <v>4.9036999999999997E-2</v>
      </c>
      <c r="N2760" s="1667">
        <v>1.8257090479639719</v>
      </c>
      <c r="O2760" s="1667"/>
    </row>
    <row r="2761" spans="11:15">
      <c r="K2761" s="1664">
        <v>44818</v>
      </c>
      <c r="L2761" s="1665" t="s">
        <v>2296</v>
      </c>
      <c r="M2761" s="1666">
        <v>4.9036999999999997E-2</v>
      </c>
      <c r="N2761" s="1667">
        <v>1.8266043209098222</v>
      </c>
      <c r="O2761" s="1667"/>
    </row>
    <row r="2762" spans="11:15">
      <c r="K2762" s="1664">
        <v>44819</v>
      </c>
      <c r="L2762" s="1665" t="s">
        <v>2296</v>
      </c>
      <c r="M2762" s="1666">
        <v>4.9036999999999997E-2</v>
      </c>
      <c r="N2762" s="1667">
        <v>1.8275000328706668</v>
      </c>
      <c r="O2762" s="1667"/>
    </row>
    <row r="2763" spans="11:15">
      <c r="K2763" s="1664">
        <v>44820</v>
      </c>
      <c r="L2763" s="1665" t="s">
        <v>2296</v>
      </c>
      <c r="M2763" s="1666">
        <v>4.9036999999999997E-2</v>
      </c>
      <c r="N2763" s="1667">
        <v>1.8283961840617857</v>
      </c>
      <c r="O2763" s="1667"/>
    </row>
    <row r="2764" spans="11:15">
      <c r="K2764" s="1664">
        <v>44821</v>
      </c>
      <c r="L2764" s="1665"/>
      <c r="M2764" s="1666">
        <v>0</v>
      </c>
      <c r="N2764" s="1667">
        <v>1.8283961840617857</v>
      </c>
      <c r="O2764" s="1667"/>
    </row>
    <row r="2765" spans="11:15">
      <c r="K2765" s="1664">
        <v>44822</v>
      </c>
      <c r="L2765" s="1665"/>
      <c r="M2765" s="1666">
        <v>0</v>
      </c>
      <c r="N2765" s="1667">
        <v>1.8283961840617857</v>
      </c>
      <c r="O2765" s="1667"/>
    </row>
    <row r="2766" spans="11:15">
      <c r="K2766" s="1664">
        <v>44823</v>
      </c>
      <c r="L2766" s="1665" t="s">
        <v>2296</v>
      </c>
      <c r="M2766" s="1666">
        <v>4.9036999999999997E-2</v>
      </c>
      <c r="N2766" s="1667">
        <v>1.8292927746985643</v>
      </c>
      <c r="O2766" s="1667"/>
    </row>
    <row r="2767" spans="11:15">
      <c r="K2767" s="1664">
        <v>44824</v>
      </c>
      <c r="L2767" s="1665" t="s">
        <v>2296</v>
      </c>
      <c r="M2767" s="1666">
        <v>4.9036999999999997E-2</v>
      </c>
      <c r="N2767" s="1667">
        <v>1.8301898049964933</v>
      </c>
      <c r="O2767" s="1667"/>
    </row>
    <row r="2768" spans="11:15">
      <c r="K2768" s="1664">
        <v>44825</v>
      </c>
      <c r="L2768" s="1665" t="s">
        <v>2296</v>
      </c>
      <c r="M2768" s="1666">
        <v>4.9036999999999997E-2</v>
      </c>
      <c r="N2768" s="1667">
        <v>1.8310872751711695</v>
      </c>
      <c r="O2768" s="1667"/>
    </row>
    <row r="2769" spans="11:15">
      <c r="K2769" s="1664">
        <v>44826</v>
      </c>
      <c r="L2769" s="1665" t="s">
        <v>2296</v>
      </c>
      <c r="M2769" s="1666">
        <v>4.9036999999999997E-2</v>
      </c>
      <c r="N2769" s="1667">
        <v>1.8319851854382954</v>
      </c>
      <c r="O2769" s="1667"/>
    </row>
    <row r="2770" spans="11:15">
      <c r="K2770" s="1664">
        <v>44827</v>
      </c>
      <c r="L2770" s="1665" t="s">
        <v>2296</v>
      </c>
      <c r="M2770" s="1666">
        <v>4.9036999999999997E-2</v>
      </c>
      <c r="N2770" s="1667">
        <v>1.8328835360136788</v>
      </c>
      <c r="O2770" s="1667"/>
    </row>
    <row r="2771" spans="11:15">
      <c r="K2771" s="1664">
        <v>44828</v>
      </c>
      <c r="L2771" s="1665"/>
      <c r="M2771" s="1666">
        <v>0</v>
      </c>
      <c r="N2771" s="1667">
        <v>1.8328835360136788</v>
      </c>
      <c r="O2771" s="1667"/>
    </row>
    <row r="2772" spans="11:15">
      <c r="K2772" s="1664">
        <v>44829</v>
      </c>
      <c r="L2772" s="1665"/>
      <c r="M2772" s="1666">
        <v>0</v>
      </c>
      <c r="N2772" s="1667">
        <v>1.8328835360136788</v>
      </c>
      <c r="O2772" s="1667"/>
    </row>
    <row r="2773" spans="11:15">
      <c r="K2773" s="1664">
        <v>44830</v>
      </c>
      <c r="L2773" s="1665" t="s">
        <v>2296</v>
      </c>
      <c r="M2773" s="1666">
        <v>4.9036999999999997E-2</v>
      </c>
      <c r="N2773" s="1667">
        <v>1.8337823271132341</v>
      </c>
      <c r="O2773" s="1667"/>
    </row>
    <row r="2774" spans="11:15">
      <c r="K2774" s="1664">
        <v>44831</v>
      </c>
      <c r="L2774" s="1665" t="s">
        <v>2296</v>
      </c>
      <c r="M2774" s="1666">
        <v>4.9036999999999997E-2</v>
      </c>
      <c r="N2774" s="1667">
        <v>1.8346815589529808</v>
      </c>
      <c r="O2774" s="1667"/>
    </row>
    <row r="2775" spans="11:15">
      <c r="K2775" s="1664">
        <v>44832</v>
      </c>
      <c r="L2775" s="1665" t="s">
        <v>2296</v>
      </c>
      <c r="M2775" s="1666">
        <v>4.9036999999999997E-2</v>
      </c>
      <c r="N2775" s="1667">
        <v>1.8355812317490448</v>
      </c>
      <c r="O2775" s="1667"/>
    </row>
    <row r="2776" spans="11:15">
      <c r="K2776" s="1664">
        <v>44833</v>
      </c>
      <c r="L2776" s="1665" t="s">
        <v>2296</v>
      </c>
      <c r="M2776" s="1666">
        <v>4.9036999999999997E-2</v>
      </c>
      <c r="N2776" s="1667">
        <v>1.8364813457176576</v>
      </c>
      <c r="O2776" s="1667"/>
    </row>
    <row r="2777" spans="11:15">
      <c r="K2777" s="1664">
        <v>44834</v>
      </c>
      <c r="L2777" s="1665" t="s">
        <v>2296</v>
      </c>
      <c r="M2777" s="1666">
        <v>4.9036999999999997E-2</v>
      </c>
      <c r="N2777" s="1667">
        <v>1.8373819010751573</v>
      </c>
      <c r="O2777" s="1667"/>
    </row>
    <row r="2778" spans="11:15">
      <c r="K2778" s="1664">
        <v>44835</v>
      </c>
      <c r="L2778" s="1665"/>
      <c r="M2778" s="1666">
        <v>0</v>
      </c>
      <c r="N2778" s="1667">
        <v>1.8373819010751573</v>
      </c>
      <c r="O2778" s="1667"/>
    </row>
    <row r="2779" spans="11:15">
      <c r="K2779" s="1664">
        <v>44836</v>
      </c>
      <c r="L2779" s="1665"/>
      <c r="M2779" s="1666">
        <v>0</v>
      </c>
      <c r="N2779" s="1667">
        <v>1.8373819010751573</v>
      </c>
      <c r="O2779" s="1667"/>
    </row>
    <row r="2780" spans="11:15">
      <c r="K2780" s="1664">
        <v>44837</v>
      </c>
      <c r="L2780" s="1665" t="s">
        <v>2296</v>
      </c>
      <c r="M2780" s="1666">
        <v>4.9036999999999997E-2</v>
      </c>
      <c r="N2780" s="1667">
        <v>1.8382828980379877</v>
      </c>
      <c r="O2780" s="1667"/>
    </row>
    <row r="2781" spans="11:15">
      <c r="K2781" s="1664">
        <v>44838</v>
      </c>
      <c r="L2781" s="1665" t="s">
        <v>2296</v>
      </c>
      <c r="M2781" s="1666">
        <v>4.9036999999999997E-2</v>
      </c>
      <c r="N2781" s="1667">
        <v>1.8391843368226988</v>
      </c>
      <c r="O2781" s="1667"/>
    </row>
    <row r="2782" spans="11:15">
      <c r="K2782" s="1664">
        <v>44839</v>
      </c>
      <c r="L2782" s="1665" t="s">
        <v>2296</v>
      </c>
      <c r="M2782" s="1666">
        <v>4.9036999999999997E-2</v>
      </c>
      <c r="N2782" s="1667">
        <v>1.8400862176459467</v>
      </c>
      <c r="O2782" s="1667"/>
    </row>
    <row r="2783" spans="11:15">
      <c r="K2783" s="1664">
        <v>44840</v>
      </c>
      <c r="L2783" s="1665" t="s">
        <v>2296</v>
      </c>
      <c r="M2783" s="1666">
        <v>4.9036999999999997E-2</v>
      </c>
      <c r="N2783" s="1667">
        <v>1.8409885407244939</v>
      </c>
      <c r="O2783" s="1667"/>
    </row>
    <row r="2784" spans="11:15">
      <c r="K2784" s="1664">
        <v>44841</v>
      </c>
      <c r="L2784" s="1665" t="s">
        <v>2296</v>
      </c>
      <c r="M2784" s="1666">
        <v>4.9036999999999997E-2</v>
      </c>
      <c r="N2784" s="1667">
        <v>1.8418913062752091</v>
      </c>
      <c r="O2784" s="1667"/>
    </row>
    <row r="2785" spans="11:15">
      <c r="K2785" s="1664">
        <v>44842</v>
      </c>
      <c r="L2785" s="1665"/>
      <c r="M2785" s="1666">
        <v>0</v>
      </c>
      <c r="N2785" s="1667">
        <v>1.8418913062752091</v>
      </c>
      <c r="O2785" s="1667"/>
    </row>
    <row r="2786" spans="11:15">
      <c r="K2786" s="1664">
        <v>44843</v>
      </c>
      <c r="L2786" s="1665"/>
      <c r="M2786" s="1666">
        <v>0</v>
      </c>
      <c r="N2786" s="1667">
        <v>1.8418913062752091</v>
      </c>
      <c r="O2786" s="1667"/>
    </row>
    <row r="2787" spans="11:15">
      <c r="K2787" s="1664">
        <v>44844</v>
      </c>
      <c r="L2787" s="1665" t="s">
        <v>2296</v>
      </c>
      <c r="M2787" s="1666">
        <v>4.9036999999999997E-2</v>
      </c>
      <c r="N2787" s="1667">
        <v>1.8427945145150675</v>
      </c>
      <c r="O2787" s="1667"/>
    </row>
    <row r="2788" spans="11:15">
      <c r="K2788" s="1664">
        <v>44845</v>
      </c>
      <c r="L2788" s="1665" t="s">
        <v>2296</v>
      </c>
      <c r="M2788" s="1666">
        <v>4.9036999999999997E-2</v>
      </c>
      <c r="N2788" s="1667">
        <v>1.8436981656611504</v>
      </c>
      <c r="O2788" s="1667"/>
    </row>
    <row r="2789" spans="11:15">
      <c r="K2789" s="1664">
        <v>44846</v>
      </c>
      <c r="L2789" s="1665"/>
      <c r="M2789" s="1666">
        <v>0</v>
      </c>
      <c r="N2789" s="1667">
        <v>1.8436981656611504</v>
      </c>
      <c r="O2789" s="1667"/>
    </row>
    <row r="2790" spans="11:15">
      <c r="K2790" s="1664">
        <v>44847</v>
      </c>
      <c r="L2790" s="1665" t="s">
        <v>2296</v>
      </c>
      <c r="M2790" s="1666">
        <v>4.9036999999999997E-2</v>
      </c>
      <c r="N2790" s="1667">
        <v>1.8446022599306457</v>
      </c>
      <c r="O2790" s="1667"/>
    </row>
    <row r="2791" spans="11:15">
      <c r="K2791" s="1664">
        <v>44848</v>
      </c>
      <c r="L2791" s="1665" t="s">
        <v>2296</v>
      </c>
      <c r="M2791" s="1666">
        <v>4.9036999999999997E-2</v>
      </c>
      <c r="N2791" s="1667">
        <v>1.8455067975408481</v>
      </c>
      <c r="O2791" s="1667"/>
    </row>
    <row r="2792" spans="11:15">
      <c r="K2792" s="1664">
        <v>44849</v>
      </c>
      <c r="L2792" s="1665"/>
      <c r="M2792" s="1666">
        <v>0</v>
      </c>
      <c r="N2792" s="1667">
        <v>1.8455067975408481</v>
      </c>
      <c r="O2792" s="1667"/>
    </row>
    <row r="2793" spans="11:15">
      <c r="K2793" s="1664">
        <v>44850</v>
      </c>
      <c r="L2793" s="1665"/>
      <c r="M2793" s="1666">
        <v>0</v>
      </c>
      <c r="N2793" s="1667">
        <v>1.8455067975408481</v>
      </c>
      <c r="O2793" s="1667"/>
    </row>
    <row r="2794" spans="11:15">
      <c r="K2794" s="1664">
        <v>44851</v>
      </c>
      <c r="L2794" s="1665" t="s">
        <v>2296</v>
      </c>
      <c r="M2794" s="1666">
        <v>4.9036999999999997E-2</v>
      </c>
      <c r="N2794" s="1667">
        <v>1.8464117787091583</v>
      </c>
      <c r="O2794" s="1667"/>
    </row>
    <row r="2795" spans="11:15">
      <c r="K2795" s="1664">
        <v>44852</v>
      </c>
      <c r="L2795" s="1665" t="s">
        <v>2296</v>
      </c>
      <c r="M2795" s="1666">
        <v>4.9036999999999997E-2</v>
      </c>
      <c r="N2795" s="1667">
        <v>1.8473172036530841</v>
      </c>
      <c r="O2795" s="1667"/>
    </row>
    <row r="2796" spans="11:15">
      <c r="K2796" s="1664">
        <v>44853</v>
      </c>
      <c r="L2796" s="1665" t="s">
        <v>2296</v>
      </c>
      <c r="M2796" s="1666">
        <v>4.9036999999999997E-2</v>
      </c>
      <c r="N2796" s="1667">
        <v>1.8482230725902395</v>
      </c>
      <c r="O2796" s="1667"/>
    </row>
    <row r="2797" spans="11:15">
      <c r="K2797" s="1664">
        <v>44854</v>
      </c>
      <c r="L2797" s="1665" t="s">
        <v>2296</v>
      </c>
      <c r="M2797" s="1666">
        <v>4.9036999999999997E-2</v>
      </c>
      <c r="N2797" s="1667">
        <v>1.8491293857383457</v>
      </c>
      <c r="O2797" s="1667"/>
    </row>
    <row r="2798" spans="11:15">
      <c r="K2798" s="1664">
        <v>44855</v>
      </c>
      <c r="L2798" s="1665" t="s">
        <v>2296</v>
      </c>
      <c r="M2798" s="1666">
        <v>4.9036999999999997E-2</v>
      </c>
      <c r="N2798" s="1667">
        <v>1.8500361433152304</v>
      </c>
      <c r="O2798" s="1667"/>
    </row>
    <row r="2799" spans="11:15">
      <c r="K2799" s="1664">
        <v>44856</v>
      </c>
      <c r="L2799" s="1665"/>
      <c r="M2799" s="1666">
        <v>0</v>
      </c>
      <c r="N2799" s="1667">
        <v>1.8500361433152304</v>
      </c>
      <c r="O2799" s="1667"/>
    </row>
    <row r="2800" spans="11:15">
      <c r="K2800" s="1664">
        <v>44857</v>
      </c>
      <c r="L2800" s="1665"/>
      <c r="M2800" s="1666">
        <v>0</v>
      </c>
      <c r="N2800" s="1667">
        <v>1.8500361433152304</v>
      </c>
      <c r="O2800" s="1667"/>
    </row>
    <row r="2801" spans="11:15">
      <c r="K2801" s="1664">
        <v>44858</v>
      </c>
      <c r="L2801" s="1665" t="s">
        <v>2296</v>
      </c>
      <c r="M2801" s="1666">
        <v>4.9036999999999997E-2</v>
      </c>
      <c r="N2801" s="1667">
        <v>1.850943345538828</v>
      </c>
      <c r="O2801" s="1667"/>
    </row>
    <row r="2802" spans="11:15">
      <c r="K2802" s="1664">
        <v>44859</v>
      </c>
      <c r="L2802" s="1665" t="s">
        <v>2296</v>
      </c>
      <c r="M2802" s="1666">
        <v>4.9036999999999997E-2</v>
      </c>
      <c r="N2802" s="1667">
        <v>1.85185099262718</v>
      </c>
      <c r="O2802" s="1667"/>
    </row>
    <row r="2803" spans="11:15">
      <c r="K2803" s="1664">
        <v>44860</v>
      </c>
      <c r="L2803" s="1665" t="s">
        <v>2296</v>
      </c>
      <c r="M2803" s="1666">
        <v>4.9036999999999997E-2</v>
      </c>
      <c r="N2803" s="1667">
        <v>1.8527590847984348</v>
      </c>
      <c r="O2803" s="1667"/>
    </row>
    <row r="2804" spans="11:15">
      <c r="K2804" s="1664">
        <v>44861</v>
      </c>
      <c r="L2804" s="1665" t="s">
        <v>2296</v>
      </c>
      <c r="M2804" s="1666">
        <v>4.9036999999999997E-2</v>
      </c>
      <c r="N2804" s="1667">
        <v>1.8536676222708475</v>
      </c>
      <c r="O2804" s="1667"/>
    </row>
    <row r="2805" spans="11:15">
      <c r="K2805" s="1664">
        <v>44862</v>
      </c>
      <c r="L2805" s="1665" t="s">
        <v>2296</v>
      </c>
      <c r="M2805" s="1666">
        <v>4.9036999999999997E-2</v>
      </c>
      <c r="N2805" s="1667">
        <v>1.8545766052627806</v>
      </c>
      <c r="O2805" s="1667"/>
    </row>
    <row r="2806" spans="11:15">
      <c r="K2806" s="1664">
        <v>44863</v>
      </c>
      <c r="L2806" s="1665"/>
      <c r="M2806" s="1666">
        <v>0</v>
      </c>
      <c r="N2806" s="1667">
        <v>1.8545766052627806</v>
      </c>
      <c r="O2806" s="1667"/>
    </row>
    <row r="2807" spans="11:15">
      <c r="K2807" s="1664">
        <v>44864</v>
      </c>
      <c r="L2807" s="1665"/>
      <c r="M2807" s="1666">
        <v>0</v>
      </c>
      <c r="N2807" s="1667">
        <v>1.8545766052627806</v>
      </c>
      <c r="O2807" s="1667"/>
    </row>
    <row r="2808" spans="11:15">
      <c r="K2808" s="1664">
        <v>44865</v>
      </c>
      <c r="L2808" s="1665" t="s">
        <v>2296</v>
      </c>
      <c r="M2808" s="1666">
        <v>4.9036999999999997E-2</v>
      </c>
      <c r="N2808" s="1667">
        <v>1.8554860339927035</v>
      </c>
      <c r="O2808" s="1667"/>
    </row>
    <row r="2809" spans="11:15">
      <c r="K2809" s="1664">
        <v>44866</v>
      </c>
      <c r="L2809" s="1665" t="s">
        <v>2296</v>
      </c>
      <c r="M2809" s="1666">
        <v>4.9036999999999997E-2</v>
      </c>
      <c r="N2809" s="1667">
        <v>1.8563959086791926</v>
      </c>
      <c r="O2809" s="1667"/>
    </row>
    <row r="2810" spans="11:15">
      <c r="K2810" s="1664">
        <v>44867</v>
      </c>
      <c r="L2810" s="1665"/>
      <c r="M2810" s="1666">
        <v>0</v>
      </c>
      <c r="N2810" s="1667">
        <v>1.8563959086791926</v>
      </c>
      <c r="O2810" s="1667"/>
    </row>
    <row r="2811" spans="11:15">
      <c r="K2811" s="1664">
        <v>44868</v>
      </c>
      <c r="L2811" s="1665" t="s">
        <v>2296</v>
      </c>
      <c r="M2811" s="1666">
        <v>4.9036999999999997E-2</v>
      </c>
      <c r="N2811" s="1667">
        <v>1.8573062295409317</v>
      </c>
      <c r="O2811" s="1667"/>
    </row>
    <row r="2812" spans="11:15">
      <c r="K2812" s="1664">
        <v>44869</v>
      </c>
      <c r="L2812" s="1665" t="s">
        <v>2296</v>
      </c>
      <c r="M2812" s="1666">
        <v>4.9036999999999997E-2</v>
      </c>
      <c r="N2812" s="1667">
        <v>1.8582169967967119</v>
      </c>
      <c r="O2812" s="1667"/>
    </row>
    <row r="2813" spans="11:15">
      <c r="K2813" s="1664">
        <v>44870</v>
      </c>
      <c r="L2813" s="1665"/>
      <c r="M2813" s="1666">
        <v>0</v>
      </c>
      <c r="N2813" s="1667">
        <v>1.8582169967967119</v>
      </c>
      <c r="O2813" s="1667"/>
    </row>
    <row r="2814" spans="11:15">
      <c r="K2814" s="1664">
        <v>44871</v>
      </c>
      <c r="L2814" s="1665"/>
      <c r="M2814" s="1666">
        <v>0</v>
      </c>
      <c r="N2814" s="1667">
        <v>1.8582169967967119</v>
      </c>
      <c r="O2814" s="1667"/>
    </row>
    <row r="2815" spans="11:15">
      <c r="K2815" s="1664">
        <v>44872</v>
      </c>
      <c r="L2815" s="1665" t="s">
        <v>2296</v>
      </c>
      <c r="M2815" s="1666">
        <v>4.9036999999999997E-2</v>
      </c>
      <c r="N2815" s="1667">
        <v>1.8591282106654312</v>
      </c>
      <c r="O2815" s="1667"/>
    </row>
    <row r="2816" spans="11:15">
      <c r="K2816" s="1664">
        <v>44873</v>
      </c>
      <c r="L2816" s="1665" t="s">
        <v>2296</v>
      </c>
      <c r="M2816" s="1666">
        <v>4.9036999999999997E-2</v>
      </c>
      <c r="N2816" s="1667">
        <v>1.8600398713660953</v>
      </c>
      <c r="O2816" s="1667"/>
    </row>
    <row r="2817" spans="11:15">
      <c r="K2817" s="1664">
        <v>44874</v>
      </c>
      <c r="L2817" s="1665" t="s">
        <v>2296</v>
      </c>
      <c r="M2817" s="1666">
        <v>4.9036999999999997E-2</v>
      </c>
      <c r="N2817" s="1667">
        <v>1.8609519791178173</v>
      </c>
      <c r="O2817" s="1667"/>
    </row>
    <row r="2818" spans="11:15">
      <c r="K2818" s="1664">
        <v>44875</v>
      </c>
      <c r="L2818" s="1665" t="s">
        <v>2296</v>
      </c>
      <c r="M2818" s="1666">
        <v>4.9036999999999997E-2</v>
      </c>
      <c r="N2818" s="1667">
        <v>1.8618645341398175</v>
      </c>
      <c r="O2818" s="1667"/>
    </row>
    <row r="2819" spans="11:15">
      <c r="K2819" s="1664">
        <v>44876</v>
      </c>
      <c r="L2819" s="1665" t="s">
        <v>2296</v>
      </c>
      <c r="M2819" s="1666">
        <v>4.9036999999999997E-2</v>
      </c>
      <c r="N2819" s="1667">
        <v>1.8627775366514236</v>
      </c>
      <c r="O2819" s="1667"/>
    </row>
    <row r="2820" spans="11:15">
      <c r="K2820" s="1664">
        <v>44877</v>
      </c>
      <c r="L2820" s="1665"/>
      <c r="M2820" s="1666">
        <v>0</v>
      </c>
      <c r="N2820" s="1667">
        <v>1.8627775366514236</v>
      </c>
      <c r="O2820" s="1667"/>
    </row>
    <row r="2821" spans="11:15">
      <c r="K2821" s="1664">
        <v>44878</v>
      </c>
      <c r="L2821" s="1665"/>
      <c r="M2821" s="1666">
        <v>0</v>
      </c>
      <c r="N2821" s="1667">
        <v>1.8627775366514236</v>
      </c>
      <c r="O2821" s="1667"/>
    </row>
    <row r="2822" spans="11:15">
      <c r="K2822" s="1664">
        <v>44879</v>
      </c>
      <c r="L2822" s="1665" t="s">
        <v>2296</v>
      </c>
      <c r="M2822" s="1666">
        <v>4.9036999999999997E-2</v>
      </c>
      <c r="N2822" s="1667">
        <v>1.8636909868720715</v>
      </c>
      <c r="O2822" s="1667"/>
    </row>
    <row r="2823" spans="11:15">
      <c r="K2823" s="1664">
        <v>44880</v>
      </c>
      <c r="L2823" s="1665"/>
      <c r="M2823" s="1666">
        <v>0</v>
      </c>
      <c r="N2823" s="1667">
        <v>1.8636909868720715</v>
      </c>
      <c r="O2823" s="1667"/>
    </row>
    <row r="2824" spans="11:15">
      <c r="K2824" s="1664">
        <v>44881</v>
      </c>
      <c r="L2824" s="1665" t="s">
        <v>2296</v>
      </c>
      <c r="M2824" s="1666">
        <v>4.9036999999999997E-2</v>
      </c>
      <c r="N2824" s="1667">
        <v>1.8646048850213039</v>
      </c>
      <c r="O2824" s="1667"/>
    </row>
    <row r="2825" spans="11:15">
      <c r="K2825" s="1664">
        <v>44882</v>
      </c>
      <c r="L2825" s="1665" t="s">
        <v>2296</v>
      </c>
      <c r="M2825" s="1666">
        <v>4.9036999999999997E-2</v>
      </c>
      <c r="N2825" s="1667">
        <v>1.8655192313187721</v>
      </c>
      <c r="O2825" s="1667"/>
    </row>
    <row r="2826" spans="11:15">
      <c r="K2826" s="1664">
        <v>44883</v>
      </c>
      <c r="L2826" s="1665" t="s">
        <v>2296</v>
      </c>
      <c r="M2826" s="1666">
        <v>4.9036999999999997E-2</v>
      </c>
      <c r="N2826" s="1667">
        <v>1.866434025984234</v>
      </c>
      <c r="O2826" s="1667"/>
    </row>
    <row r="2827" spans="11:15">
      <c r="K2827" s="1664">
        <v>44884</v>
      </c>
      <c r="L2827" s="1665"/>
      <c r="M2827" s="1666">
        <v>0</v>
      </c>
      <c r="N2827" s="1667">
        <v>1.866434025984234</v>
      </c>
      <c r="O2827" s="1667"/>
    </row>
    <row r="2828" spans="11:15">
      <c r="K2828" s="1664">
        <v>44885</v>
      </c>
      <c r="L2828" s="1665"/>
      <c r="M2828" s="1666">
        <v>0</v>
      </c>
      <c r="N2828" s="1667">
        <v>1.866434025984234</v>
      </c>
      <c r="O2828" s="1667"/>
    </row>
    <row r="2829" spans="11:15">
      <c r="K2829" s="1664">
        <v>44886</v>
      </c>
      <c r="L2829" s="1665" t="s">
        <v>2296</v>
      </c>
      <c r="M2829" s="1666">
        <v>4.9036999999999997E-2</v>
      </c>
      <c r="N2829" s="1667">
        <v>1.867349269237556</v>
      </c>
      <c r="O2829" s="1667"/>
    </row>
    <row r="2830" spans="11:15">
      <c r="K2830" s="1664">
        <v>44887</v>
      </c>
      <c r="L2830" s="1665" t="s">
        <v>2296</v>
      </c>
      <c r="M2830" s="1666">
        <v>4.9036999999999997E-2</v>
      </c>
      <c r="N2830" s="1667">
        <v>1.8682649612987121</v>
      </c>
      <c r="O2830" s="1667"/>
    </row>
    <row r="2831" spans="11:15">
      <c r="K2831" s="1664">
        <v>44888</v>
      </c>
      <c r="L2831" s="1665" t="s">
        <v>2296</v>
      </c>
      <c r="M2831" s="1666">
        <v>4.9036999999999997E-2</v>
      </c>
      <c r="N2831" s="1667">
        <v>1.8691811023877842</v>
      </c>
      <c r="O2831" s="1667"/>
    </row>
    <row r="2832" spans="11:15">
      <c r="K2832" s="1664">
        <v>44889</v>
      </c>
      <c r="L2832" s="1665" t="s">
        <v>2296</v>
      </c>
      <c r="M2832" s="1666">
        <v>4.9036999999999997E-2</v>
      </c>
      <c r="N2832" s="1667">
        <v>1.8700976927249622</v>
      </c>
      <c r="O2832" s="1667"/>
    </row>
    <row r="2833" spans="11:15">
      <c r="K2833" s="1664">
        <v>44890</v>
      </c>
      <c r="L2833" s="1665" t="s">
        <v>2296</v>
      </c>
      <c r="M2833" s="1666">
        <v>4.9036999999999997E-2</v>
      </c>
      <c r="N2833" s="1667">
        <v>1.871014732530544</v>
      </c>
      <c r="O2833" s="1667"/>
    </row>
    <row r="2834" spans="11:15">
      <c r="K2834" s="1664">
        <v>44891</v>
      </c>
      <c r="L2834" s="1665"/>
      <c r="M2834" s="1666">
        <v>0</v>
      </c>
      <c r="N2834" s="1667">
        <v>1.871014732530544</v>
      </c>
      <c r="O2834" s="1667"/>
    </row>
    <row r="2835" spans="11:15">
      <c r="K2835" s="1664">
        <v>44892</v>
      </c>
      <c r="L2835" s="1665"/>
      <c r="M2835" s="1666">
        <v>0</v>
      </c>
      <c r="N2835" s="1667">
        <v>1.871014732530544</v>
      </c>
      <c r="O2835" s="1667"/>
    </row>
    <row r="2836" spans="11:15">
      <c r="K2836" s="1664">
        <v>44893</v>
      </c>
      <c r="L2836" s="1665" t="s">
        <v>2296</v>
      </c>
      <c r="M2836" s="1666">
        <v>4.9036999999999997E-2</v>
      </c>
      <c r="N2836" s="1667">
        <v>1.871932222024935</v>
      </c>
      <c r="O2836" s="1667"/>
    </row>
    <row r="2837" spans="11:15">
      <c r="K2837" s="1664">
        <v>44894</v>
      </c>
      <c r="L2837" s="1665" t="s">
        <v>2296</v>
      </c>
      <c r="M2837" s="1666">
        <v>4.9036999999999997E-2</v>
      </c>
      <c r="N2837" s="1667">
        <v>1.8728501614286495</v>
      </c>
      <c r="O2837" s="1667"/>
    </row>
    <row r="2838" spans="11:15">
      <c r="K2838" s="1664">
        <v>44895</v>
      </c>
      <c r="L2838" s="1665" t="s">
        <v>2296</v>
      </c>
      <c r="M2838" s="1666">
        <v>4.9036999999999997E-2</v>
      </c>
      <c r="N2838" s="1667">
        <v>1.8737685509623094</v>
      </c>
      <c r="O2838" s="1667"/>
    </row>
    <row r="2839" spans="11:15">
      <c r="K2839" s="1664">
        <v>44896</v>
      </c>
      <c r="L2839" s="1665" t="s">
        <v>2296</v>
      </c>
      <c r="M2839" s="1666">
        <v>4.9036999999999997E-2</v>
      </c>
      <c r="N2839" s="1667">
        <v>1.874687390846645</v>
      </c>
      <c r="O2839" s="1667"/>
    </row>
    <row r="2840" spans="11:15">
      <c r="K2840" s="1664">
        <v>44897</v>
      </c>
      <c r="L2840" s="1665" t="s">
        <v>2296</v>
      </c>
      <c r="M2840" s="1666">
        <v>4.9036999999999997E-2</v>
      </c>
      <c r="N2840" s="1667">
        <v>1.8756066813024947</v>
      </c>
      <c r="O2840" s="1667"/>
    </row>
    <row r="2841" spans="11:15">
      <c r="K2841" s="1664">
        <v>44898</v>
      </c>
      <c r="L2841" s="1665"/>
      <c r="M2841" s="1666">
        <v>0</v>
      </c>
      <c r="N2841" s="1667">
        <v>1.8756066813024947</v>
      </c>
      <c r="O2841" s="1667"/>
    </row>
    <row r="2842" spans="11:15">
      <c r="K2842" s="1664">
        <v>44899</v>
      </c>
      <c r="L2842" s="1665"/>
      <c r="M2842" s="1666">
        <v>0</v>
      </c>
      <c r="N2842" s="1667">
        <v>1.8756066813024947</v>
      </c>
      <c r="O2842" s="1667"/>
    </row>
    <row r="2843" spans="11:15">
      <c r="K2843" s="1664">
        <v>44900</v>
      </c>
      <c r="L2843" s="1665" t="s">
        <v>2296</v>
      </c>
      <c r="M2843" s="1666">
        <v>4.9036999999999997E-2</v>
      </c>
      <c r="N2843" s="1667">
        <v>1.8765264225508052</v>
      </c>
      <c r="O2843" s="1667"/>
    </row>
    <row r="2844" spans="11:15">
      <c r="K2844" s="1664">
        <v>44901</v>
      </c>
      <c r="L2844" s="1665" t="s">
        <v>2296</v>
      </c>
      <c r="M2844" s="1666">
        <v>4.9036999999999997E-2</v>
      </c>
      <c r="N2844" s="1667">
        <v>1.8774466148126314</v>
      </c>
      <c r="O2844" s="1667"/>
    </row>
    <row r="2845" spans="11:15">
      <c r="K2845" s="1664">
        <v>44902</v>
      </c>
      <c r="L2845" s="1665" t="s">
        <v>2296</v>
      </c>
      <c r="M2845" s="1666">
        <v>4.9036999999999997E-2</v>
      </c>
      <c r="N2845" s="1667">
        <v>1.8783672583091373</v>
      </c>
      <c r="O2845" s="1667"/>
    </row>
    <row r="2846" spans="11:15">
      <c r="K2846" s="1664">
        <v>44903</v>
      </c>
      <c r="L2846" s="1665" t="s">
        <v>2296</v>
      </c>
      <c r="M2846" s="1666">
        <v>4.9036999999999997E-2</v>
      </c>
      <c r="N2846" s="1667">
        <v>1.8792883532615945</v>
      </c>
      <c r="O2846" s="1667"/>
    </row>
    <row r="2847" spans="11:15">
      <c r="K2847" s="1664">
        <v>44904</v>
      </c>
      <c r="L2847" s="1665" t="s">
        <v>2296</v>
      </c>
      <c r="M2847" s="1666">
        <v>4.9036999999999997E-2</v>
      </c>
      <c r="N2847" s="1667">
        <v>1.8802098998913834</v>
      </c>
      <c r="O2847" s="1667"/>
    </row>
    <row r="2848" spans="11:15">
      <c r="K2848" s="1664">
        <v>44905</v>
      </c>
      <c r="L2848" s="1665"/>
      <c r="M2848" s="1666">
        <v>0</v>
      </c>
      <c r="N2848" s="1667">
        <v>1.8802098998913834</v>
      </c>
      <c r="O2848" s="1667"/>
    </row>
    <row r="2849" spans="11:15">
      <c r="K2849" s="1664">
        <v>44906</v>
      </c>
      <c r="L2849" s="1665"/>
      <c r="M2849" s="1666">
        <v>0</v>
      </c>
      <c r="N2849" s="1667">
        <v>1.8802098998913834</v>
      </c>
      <c r="O2849" s="1667"/>
    </row>
    <row r="2850" spans="11:15">
      <c r="K2850" s="1664">
        <v>44907</v>
      </c>
      <c r="L2850" s="1665" t="s">
        <v>2296</v>
      </c>
      <c r="M2850" s="1666">
        <v>4.9036999999999997E-2</v>
      </c>
      <c r="N2850" s="1667">
        <v>1.8811318984199934</v>
      </c>
      <c r="O2850" s="1667"/>
    </row>
    <row r="2851" spans="11:15">
      <c r="K2851" s="1664">
        <v>44908</v>
      </c>
      <c r="L2851" s="1665" t="s">
        <v>2296</v>
      </c>
      <c r="M2851" s="1666">
        <v>4.9036999999999997E-2</v>
      </c>
      <c r="N2851" s="1667">
        <v>1.8820543490690218</v>
      </c>
      <c r="O2851" s="1667"/>
    </row>
    <row r="2852" spans="11:15">
      <c r="K2852" s="1664">
        <v>44909</v>
      </c>
      <c r="L2852" s="1665" t="s">
        <v>2296</v>
      </c>
      <c r="M2852" s="1666">
        <v>4.9036999999999997E-2</v>
      </c>
      <c r="N2852" s="1667">
        <v>1.8829772520601749</v>
      </c>
      <c r="O2852" s="1667"/>
    </row>
    <row r="2853" spans="11:15">
      <c r="K2853" s="1664">
        <v>44910</v>
      </c>
      <c r="L2853" s="1665" t="s">
        <v>2296</v>
      </c>
      <c r="M2853" s="1666">
        <v>4.9036999999999997E-2</v>
      </c>
      <c r="N2853" s="1667">
        <v>1.8839006076152678</v>
      </c>
      <c r="O2853" s="1667"/>
    </row>
    <row r="2854" spans="11:15">
      <c r="K2854" s="1664">
        <v>44911</v>
      </c>
      <c r="L2854" s="1665" t="s">
        <v>2296</v>
      </c>
      <c r="M2854" s="1666">
        <v>4.9036999999999997E-2</v>
      </c>
      <c r="N2854" s="1667">
        <v>1.8848244159562242</v>
      </c>
      <c r="O2854" s="1667"/>
    </row>
    <row r="2855" spans="11:15">
      <c r="K2855" s="1664">
        <v>44912</v>
      </c>
      <c r="L2855" s="1665"/>
      <c r="M2855" s="1666">
        <v>0</v>
      </c>
      <c r="N2855" s="1667">
        <v>1.8848244159562242</v>
      </c>
      <c r="O2855" s="1667"/>
    </row>
    <row r="2856" spans="11:15">
      <c r="K2856" s="1664">
        <v>44913</v>
      </c>
      <c r="L2856" s="1665"/>
      <c r="M2856" s="1666">
        <v>0</v>
      </c>
      <c r="N2856" s="1667">
        <v>1.8848244159562242</v>
      </c>
      <c r="O2856" s="1667"/>
    </row>
    <row r="2857" spans="11:15">
      <c r="K2857" s="1664">
        <v>44914</v>
      </c>
      <c r="L2857" s="1665" t="s">
        <v>2296</v>
      </c>
      <c r="M2857" s="1666">
        <v>4.9036999999999997E-2</v>
      </c>
      <c r="N2857" s="1667">
        <v>1.8857486773050767</v>
      </c>
      <c r="O2857" s="1667"/>
    </row>
    <row r="2858" spans="11:15">
      <c r="K2858" s="1664">
        <v>44915</v>
      </c>
      <c r="L2858" s="1665" t="s">
        <v>2296</v>
      </c>
      <c r="M2858" s="1666">
        <v>4.9036999999999997E-2</v>
      </c>
      <c r="N2858" s="1667">
        <v>1.8866733918839669</v>
      </c>
      <c r="O2858" s="1667"/>
    </row>
    <row r="2859" spans="11:15">
      <c r="K2859" s="1664">
        <v>44916</v>
      </c>
      <c r="L2859" s="1665" t="s">
        <v>2296</v>
      </c>
      <c r="M2859" s="1666">
        <v>4.9036999999999997E-2</v>
      </c>
      <c r="N2859" s="1667">
        <v>1.8875985599151452</v>
      </c>
      <c r="O2859" s="1667"/>
    </row>
    <row r="2860" spans="11:15">
      <c r="K2860" s="1664">
        <v>44917</v>
      </c>
      <c r="L2860" s="1665" t="s">
        <v>2296</v>
      </c>
      <c r="M2860" s="1666">
        <v>4.9036999999999997E-2</v>
      </c>
      <c r="N2860" s="1667">
        <v>1.888524181620971</v>
      </c>
      <c r="O2860" s="1667"/>
    </row>
    <row r="2861" spans="11:15">
      <c r="K2861" s="1664">
        <v>44918</v>
      </c>
      <c r="L2861" s="1665" t="s">
        <v>2296</v>
      </c>
      <c r="M2861" s="1666">
        <v>4.9036999999999997E-2</v>
      </c>
      <c r="N2861" s="1667">
        <v>1.8894502572239127</v>
      </c>
      <c r="O2861" s="1667"/>
    </row>
    <row r="2862" spans="11:15">
      <c r="K2862" s="1664">
        <v>44919</v>
      </c>
      <c r="L2862" s="1665"/>
      <c r="M2862" s="1666">
        <v>0</v>
      </c>
      <c r="N2862" s="1667">
        <v>1.8894502572239127</v>
      </c>
      <c r="O2862" s="1667"/>
    </row>
    <row r="2863" spans="11:15">
      <c r="K2863" s="1664">
        <v>44920</v>
      </c>
      <c r="L2863" s="1665"/>
      <c r="M2863" s="1666">
        <v>0</v>
      </c>
      <c r="N2863" s="1667">
        <v>1.8894502572239127</v>
      </c>
      <c r="O2863" s="1667"/>
    </row>
    <row r="2864" spans="11:15">
      <c r="K2864" s="1664">
        <v>44921</v>
      </c>
      <c r="L2864" s="1665" t="s">
        <v>2296</v>
      </c>
      <c r="M2864" s="1666">
        <v>4.9036999999999997E-2</v>
      </c>
      <c r="N2864" s="1667">
        <v>1.8903767869465478</v>
      </c>
      <c r="O2864" s="1667"/>
    </row>
    <row r="2865" spans="11:15">
      <c r="K2865" s="1664">
        <v>44922</v>
      </c>
      <c r="L2865" s="1665" t="s">
        <v>2296</v>
      </c>
      <c r="M2865" s="1666">
        <v>4.9036999999999997E-2</v>
      </c>
      <c r="N2865" s="1667">
        <v>1.8913037710115628</v>
      </c>
      <c r="O2865" s="1667"/>
    </row>
    <row r="2866" spans="11:15">
      <c r="K2866" s="1664">
        <v>44923</v>
      </c>
      <c r="L2866" s="1665" t="s">
        <v>2296</v>
      </c>
      <c r="M2866" s="1666">
        <v>4.9036999999999997E-2</v>
      </c>
      <c r="N2866" s="1667">
        <v>1.892231209641754</v>
      </c>
      <c r="O2866" s="1667"/>
    </row>
    <row r="2867" spans="11:15">
      <c r="K2867" s="1664">
        <v>44924</v>
      </c>
      <c r="L2867" s="1665" t="s">
        <v>2296</v>
      </c>
      <c r="M2867" s="1666">
        <v>4.9036999999999997E-2</v>
      </c>
      <c r="N2867" s="1667">
        <v>1.8931591030600261</v>
      </c>
      <c r="O2867" s="1667"/>
    </row>
    <row r="2868" spans="11:15">
      <c r="K2868" s="1664">
        <v>44925</v>
      </c>
      <c r="L2868" s="1665" t="s">
        <v>2296</v>
      </c>
      <c r="M2868" s="1666">
        <v>4.9036999999999997E-2</v>
      </c>
      <c r="N2868" s="1667">
        <v>1.8940874514893937</v>
      </c>
      <c r="O2868" s="1667"/>
    </row>
    <row r="2869" spans="11:15">
      <c r="K2869" s="1664">
        <v>44926</v>
      </c>
      <c r="L2869" s="1665"/>
      <c r="M2869" s="1666">
        <v>0</v>
      </c>
      <c r="N2869" s="1667">
        <v>1.8940874514893937</v>
      </c>
      <c r="O2869" s="1667"/>
    </row>
    <row r="2870" spans="11:15">
      <c r="K2870" s="1664">
        <v>44927</v>
      </c>
      <c r="L2870" s="1665"/>
      <c r="M2870" s="1666">
        <v>0</v>
      </c>
      <c r="N2870" s="1667">
        <v>1.8940874514893937</v>
      </c>
      <c r="O2870" s="1667"/>
    </row>
    <row r="2871" spans="11:15">
      <c r="K2871" s="1664">
        <v>44928</v>
      </c>
      <c r="L2871" s="1665" t="s">
        <v>2296</v>
      </c>
      <c r="M2871" s="1666">
        <v>4.9036999999999997E-2</v>
      </c>
      <c r="N2871" s="1667">
        <v>1.8950162551529808</v>
      </c>
      <c r="O2871" s="1667"/>
    </row>
    <row r="2872" spans="11:15">
      <c r="K2872" s="1664">
        <v>44929</v>
      </c>
      <c r="L2872" s="1665" t="s">
        <v>2296</v>
      </c>
      <c r="M2872" s="1666">
        <v>4.9036999999999997E-2</v>
      </c>
      <c r="N2872" s="1667">
        <v>1.8959455142740202</v>
      </c>
      <c r="O2872" s="1667"/>
    </row>
    <row r="2873" spans="11:15">
      <c r="K2873" s="1664">
        <v>44930</v>
      </c>
      <c r="L2873" s="1665" t="s">
        <v>2296</v>
      </c>
      <c r="M2873" s="1666">
        <v>4.9036999999999997E-2</v>
      </c>
      <c r="N2873" s="1667">
        <v>1.896875229075855</v>
      </c>
      <c r="O2873" s="1667"/>
    </row>
    <row r="2874" spans="11:15">
      <c r="K2874" s="1664">
        <v>44931</v>
      </c>
      <c r="L2874" s="1665" t="s">
        <v>2296</v>
      </c>
      <c r="M2874" s="1666">
        <v>4.9036999999999997E-2</v>
      </c>
      <c r="N2874" s="1667">
        <v>1.8978053997819371</v>
      </c>
      <c r="O2874" s="1667"/>
    </row>
    <row r="2875" spans="11:15">
      <c r="K2875" s="1664">
        <v>44932</v>
      </c>
      <c r="L2875" s="1665" t="s">
        <v>2296</v>
      </c>
      <c r="M2875" s="1666">
        <v>4.9036999999999997E-2</v>
      </c>
      <c r="N2875" s="1667">
        <v>1.8987360266158282</v>
      </c>
      <c r="O2875" s="1667"/>
    </row>
    <row r="2876" spans="11:15">
      <c r="K2876" s="1664">
        <v>44933</v>
      </c>
      <c r="L2876" s="1665"/>
      <c r="M2876" s="1666">
        <v>0</v>
      </c>
      <c r="N2876" s="1667">
        <v>1.8987360266158282</v>
      </c>
      <c r="O2876" s="1667"/>
    </row>
    <row r="2877" spans="11:15">
      <c r="K2877" s="1664">
        <v>44934</v>
      </c>
      <c r="L2877" s="1665"/>
      <c r="M2877" s="1666">
        <v>0</v>
      </c>
      <c r="N2877" s="1667">
        <v>1.8987360266158282</v>
      </c>
      <c r="O2877" s="1667"/>
    </row>
    <row r="2878" spans="11:15">
      <c r="K2878" s="1664">
        <v>44935</v>
      </c>
      <c r="L2878" s="1665" t="s">
        <v>2296</v>
      </c>
      <c r="M2878" s="1666">
        <v>4.9036999999999997E-2</v>
      </c>
      <c r="N2878" s="1667">
        <v>1.8996671098011999</v>
      </c>
      <c r="O2878" s="1667"/>
    </row>
    <row r="2879" spans="11:15">
      <c r="K2879" s="1664">
        <v>44936</v>
      </c>
      <c r="L2879" s="1665" t="s">
        <v>2296</v>
      </c>
      <c r="M2879" s="1666">
        <v>4.9036999999999997E-2</v>
      </c>
      <c r="N2879" s="1667">
        <v>1.9005986495618332</v>
      </c>
      <c r="O2879" s="1667"/>
    </row>
    <row r="2880" spans="11:15">
      <c r="K2880" s="1664">
        <v>44937</v>
      </c>
      <c r="L2880" s="1665" t="s">
        <v>2296</v>
      </c>
      <c r="M2880" s="1666">
        <v>4.9036999999999997E-2</v>
      </c>
      <c r="N2880" s="1667">
        <v>1.901530646121619</v>
      </c>
      <c r="O2880" s="1667"/>
    </row>
    <row r="2881" spans="11:15">
      <c r="K2881" s="1664">
        <v>44938</v>
      </c>
      <c r="L2881" s="1665" t="s">
        <v>2296</v>
      </c>
      <c r="M2881" s="1666">
        <v>4.9036999999999997E-2</v>
      </c>
      <c r="N2881" s="1667">
        <v>1.9024630997045577</v>
      </c>
      <c r="O2881" s="1667"/>
    </row>
    <row r="2882" spans="11:15">
      <c r="K2882" s="1664">
        <v>44939</v>
      </c>
      <c r="L2882" s="1665" t="s">
        <v>2296</v>
      </c>
      <c r="M2882" s="1666">
        <v>4.9036999999999997E-2</v>
      </c>
      <c r="N2882" s="1667">
        <v>1.90339601053476</v>
      </c>
      <c r="O2882" s="1667"/>
    </row>
    <row r="2883" spans="11:15">
      <c r="K2883" s="1664">
        <v>44940</v>
      </c>
      <c r="L2883" s="1665"/>
      <c r="M2883" s="1666">
        <v>0</v>
      </c>
      <c r="N2883" s="1667">
        <v>1.90339601053476</v>
      </c>
      <c r="O2883" s="1667"/>
    </row>
    <row r="2884" spans="11:15">
      <c r="K2884" s="1664">
        <v>44941</v>
      </c>
      <c r="L2884" s="1665"/>
      <c r="M2884" s="1666">
        <v>0</v>
      </c>
      <c r="N2884" s="1667">
        <v>1.90339601053476</v>
      </c>
      <c r="O2884" s="1667"/>
    </row>
    <row r="2885" spans="11:15">
      <c r="K2885" s="1664">
        <v>44942</v>
      </c>
      <c r="L2885" s="1665" t="s">
        <v>2296</v>
      </c>
      <c r="M2885" s="1666">
        <v>4.9036999999999997E-2</v>
      </c>
      <c r="N2885" s="1667">
        <v>1.9043293788364462</v>
      </c>
      <c r="O2885" s="1667"/>
    </row>
    <row r="2886" spans="11:15">
      <c r="K2886" s="1664">
        <v>44943</v>
      </c>
      <c r="L2886" s="1665" t="s">
        <v>2296</v>
      </c>
      <c r="M2886" s="1666">
        <v>4.9036999999999997E-2</v>
      </c>
      <c r="N2886" s="1667">
        <v>1.9052632048339464</v>
      </c>
      <c r="O2886" s="1667"/>
    </row>
    <row r="2887" spans="11:15">
      <c r="K2887" s="1664">
        <v>44944</v>
      </c>
      <c r="L2887" s="1665" t="s">
        <v>2296</v>
      </c>
      <c r="M2887" s="1666">
        <v>4.9036999999999997E-2</v>
      </c>
      <c r="N2887" s="1667">
        <v>1.906197488751701</v>
      </c>
      <c r="O2887" s="1667"/>
    </row>
    <row r="2888" spans="11:15">
      <c r="K2888" s="1664">
        <v>44945</v>
      </c>
      <c r="L2888" s="1665" t="s">
        <v>2296</v>
      </c>
      <c r="M2888" s="1666">
        <v>4.9036999999999997E-2</v>
      </c>
      <c r="N2888" s="1667">
        <v>1.9071322308142604</v>
      </c>
      <c r="O2888" s="1667"/>
    </row>
    <row r="2889" spans="11:15">
      <c r="K2889" s="1664">
        <v>44946</v>
      </c>
      <c r="L2889" s="1665" t="s">
        <v>2296</v>
      </c>
      <c r="M2889" s="1666">
        <v>4.9036999999999997E-2</v>
      </c>
      <c r="N2889" s="1667">
        <v>1.9080674312462849</v>
      </c>
      <c r="O2889" s="1667"/>
    </row>
    <row r="2890" spans="11:15">
      <c r="K2890" s="1664">
        <v>44947</v>
      </c>
      <c r="L2890" s="1665"/>
      <c r="M2890" s="1666">
        <v>0</v>
      </c>
      <c r="N2890" s="1667">
        <v>1.9080674312462849</v>
      </c>
      <c r="O2890" s="1667"/>
    </row>
    <row r="2891" spans="11:15">
      <c r="K2891" s="1664">
        <v>44948</v>
      </c>
      <c r="L2891" s="1665"/>
      <c r="M2891" s="1666">
        <v>0</v>
      </c>
      <c r="N2891" s="1667">
        <v>1.9080674312462849</v>
      </c>
      <c r="O2891" s="1667"/>
    </row>
    <row r="2892" spans="11:15">
      <c r="K2892" s="1664">
        <v>44949</v>
      </c>
      <c r="L2892" s="1665" t="s">
        <v>2296</v>
      </c>
      <c r="M2892" s="1666">
        <v>4.9036999999999997E-2</v>
      </c>
      <c r="N2892" s="1667">
        <v>1.9090030902725452</v>
      </c>
      <c r="O2892" s="1667"/>
    </row>
    <row r="2893" spans="11:15">
      <c r="K2893" s="1664">
        <v>44950</v>
      </c>
      <c r="L2893" s="1665" t="s">
        <v>2296</v>
      </c>
      <c r="M2893" s="1666">
        <v>4.9036999999999997E-2</v>
      </c>
      <c r="N2893" s="1667">
        <v>1.9099392081179223</v>
      </c>
      <c r="O2893" s="1667"/>
    </row>
    <row r="2894" spans="11:15">
      <c r="K2894" s="1664">
        <v>44951</v>
      </c>
      <c r="L2894" s="1665" t="s">
        <v>2296</v>
      </c>
      <c r="M2894" s="1666">
        <v>4.9036999999999997E-2</v>
      </c>
      <c r="N2894" s="1667">
        <v>1.9108757850074072</v>
      </c>
      <c r="O2894" s="1667"/>
    </row>
    <row r="2895" spans="11:15">
      <c r="K2895" s="1664">
        <v>44952</v>
      </c>
      <c r="L2895" s="1665" t="s">
        <v>2296</v>
      </c>
      <c r="M2895" s="1666">
        <v>4.9036999999999997E-2</v>
      </c>
      <c r="N2895" s="1667">
        <v>1.9118128211661014</v>
      </c>
      <c r="O2895" s="1667"/>
    </row>
    <row r="2896" spans="11:15">
      <c r="K2896" s="1664">
        <v>44953</v>
      </c>
      <c r="L2896" s="1665" t="s">
        <v>2296</v>
      </c>
      <c r="M2896" s="1666">
        <v>4.9036999999999997E-2</v>
      </c>
      <c r="N2896" s="1667">
        <v>1.9127503168192168</v>
      </c>
      <c r="O2896" s="1667"/>
    </row>
    <row r="2897" spans="11:15">
      <c r="K2897" s="1664">
        <v>44954</v>
      </c>
      <c r="L2897" s="1665"/>
      <c r="M2897" s="1666">
        <v>0</v>
      </c>
      <c r="N2897" s="1667">
        <v>1.9127503168192168</v>
      </c>
      <c r="O2897" s="1667"/>
    </row>
    <row r="2898" spans="11:15">
      <c r="K2898" s="1664">
        <v>44955</v>
      </c>
      <c r="L2898" s="1665"/>
      <c r="M2898" s="1666">
        <v>0</v>
      </c>
      <c r="N2898" s="1667">
        <v>1.9127503168192168</v>
      </c>
      <c r="O2898" s="1667"/>
    </row>
    <row r="2899" spans="11:15">
      <c r="K2899" s="1664">
        <v>44956</v>
      </c>
      <c r="L2899" s="1665" t="s">
        <v>2296</v>
      </c>
      <c r="M2899" s="1666">
        <v>4.9036999999999997E-2</v>
      </c>
      <c r="N2899" s="1667">
        <v>1.9136882721920756</v>
      </c>
      <c r="O2899" s="1667"/>
    </row>
    <row r="2900" spans="11:15">
      <c r="K2900" s="1664">
        <v>44957</v>
      </c>
      <c r="L2900" s="1665" t="s">
        <v>2296</v>
      </c>
      <c r="M2900" s="1666">
        <v>4.9036999999999997E-2</v>
      </c>
      <c r="N2900" s="1667">
        <v>1.9146266875101106</v>
      </c>
      <c r="O2900" s="1667"/>
    </row>
    <row r="2901" spans="11:15">
      <c r="K2901" s="1664">
        <v>44958</v>
      </c>
      <c r="L2901" s="1665" t="s">
        <v>2296</v>
      </c>
      <c r="M2901" s="1666">
        <v>4.9036999999999997E-2</v>
      </c>
      <c r="N2901" s="1667">
        <v>1.915565562998865</v>
      </c>
      <c r="O2901" s="1667"/>
    </row>
    <row r="2902" spans="11:15">
      <c r="K2902" s="1664">
        <v>44959</v>
      </c>
      <c r="L2902" s="1665" t="s">
        <v>2296</v>
      </c>
      <c r="M2902" s="1666">
        <v>4.9036999999999997E-2</v>
      </c>
      <c r="N2902" s="1667">
        <v>1.916504898883993</v>
      </c>
      <c r="O2902" s="1667"/>
    </row>
    <row r="2903" spans="11:15">
      <c r="K2903" s="1664">
        <v>44960</v>
      </c>
      <c r="L2903" s="1665" t="s">
        <v>2296</v>
      </c>
      <c r="M2903" s="1666">
        <v>4.9036999999999997E-2</v>
      </c>
      <c r="N2903" s="1667">
        <v>1.9174446953912589</v>
      </c>
      <c r="O2903" s="1667"/>
    </row>
    <row r="2904" spans="11:15">
      <c r="K2904" s="1664">
        <v>44961</v>
      </c>
      <c r="L2904" s="1665"/>
      <c r="M2904" s="1666">
        <v>0</v>
      </c>
      <c r="N2904" s="1667">
        <v>1.9174446953912589</v>
      </c>
      <c r="O2904" s="1667"/>
    </row>
    <row r="2905" spans="11:15">
      <c r="K2905" s="1664">
        <v>44962</v>
      </c>
      <c r="L2905" s="1665"/>
      <c r="M2905" s="1666">
        <v>0</v>
      </c>
      <c r="N2905" s="1667">
        <v>1.9174446953912589</v>
      </c>
      <c r="O2905" s="1667"/>
    </row>
    <row r="2906" spans="11:15">
      <c r="K2906" s="1664">
        <v>44963</v>
      </c>
      <c r="L2906" s="1665" t="s">
        <v>2296</v>
      </c>
      <c r="M2906" s="1666">
        <v>4.9036999999999997E-2</v>
      </c>
      <c r="N2906" s="1667">
        <v>1.9183849527465382</v>
      </c>
      <c r="O2906" s="1667"/>
    </row>
    <row r="2907" spans="11:15">
      <c r="K2907" s="1664">
        <v>44964</v>
      </c>
      <c r="L2907" s="1665" t="s">
        <v>2296</v>
      </c>
      <c r="M2907" s="1666">
        <v>4.9036999999999997E-2</v>
      </c>
      <c r="N2907" s="1667">
        <v>1.9193256711758166</v>
      </c>
      <c r="O2907" s="1667"/>
    </row>
    <row r="2908" spans="11:15">
      <c r="K2908" s="1664">
        <v>44965</v>
      </c>
      <c r="L2908" s="1665" t="s">
        <v>2296</v>
      </c>
      <c r="M2908" s="1666">
        <v>4.9036999999999997E-2</v>
      </c>
      <c r="N2908" s="1667">
        <v>1.9202668509051912</v>
      </c>
      <c r="O2908" s="1667"/>
    </row>
    <row r="2909" spans="11:15">
      <c r="K2909" s="1664">
        <v>44966</v>
      </c>
      <c r="L2909" s="1665" t="s">
        <v>2296</v>
      </c>
      <c r="M2909" s="1666">
        <v>4.9036999999999997E-2</v>
      </c>
      <c r="N2909" s="1667">
        <v>1.9212084921608696</v>
      </c>
      <c r="O2909" s="1667"/>
    </row>
    <row r="2910" spans="11:15">
      <c r="K2910" s="1664">
        <v>44967</v>
      </c>
      <c r="L2910" s="1665" t="s">
        <v>2296</v>
      </c>
      <c r="M2910" s="1666">
        <v>4.9036999999999997E-2</v>
      </c>
      <c r="N2910" s="1667">
        <v>1.9221505951691706</v>
      </c>
      <c r="O2910" s="1667"/>
    </row>
    <row r="2911" spans="11:15">
      <c r="K2911" s="1664">
        <v>44968</v>
      </c>
      <c r="L2911" s="1665"/>
      <c r="M2911" s="1666">
        <v>0</v>
      </c>
      <c r="N2911" s="1667">
        <v>1.9221505951691706</v>
      </c>
      <c r="O2911" s="1667"/>
    </row>
    <row r="2912" spans="11:15">
      <c r="K2912" s="1664">
        <v>44969</v>
      </c>
      <c r="L2912" s="1665"/>
      <c r="M2912" s="1666">
        <v>0</v>
      </c>
      <c r="N2912" s="1667">
        <v>1.9221505951691706</v>
      </c>
      <c r="O2912" s="1667"/>
    </row>
    <row r="2913" spans="11:15">
      <c r="K2913" s="1664">
        <v>44970</v>
      </c>
      <c r="L2913" s="1665" t="s">
        <v>2296</v>
      </c>
      <c r="M2913" s="1666">
        <v>4.9036999999999997E-2</v>
      </c>
      <c r="N2913" s="1667">
        <v>1.923093160156524</v>
      </c>
      <c r="O2913" s="1667"/>
    </row>
    <row r="2914" spans="11:15">
      <c r="K2914" s="1664">
        <v>44971</v>
      </c>
      <c r="L2914" s="1665" t="s">
        <v>2296</v>
      </c>
      <c r="M2914" s="1666">
        <v>4.9036999999999997E-2</v>
      </c>
      <c r="N2914" s="1667">
        <v>1.92403618734947</v>
      </c>
      <c r="O2914" s="1667"/>
    </row>
    <row r="2915" spans="11:15">
      <c r="K2915" s="1664">
        <v>44972</v>
      </c>
      <c r="L2915" s="1665" t="s">
        <v>2296</v>
      </c>
      <c r="M2915" s="1666">
        <v>4.9036999999999997E-2</v>
      </c>
      <c r="N2915" s="1667">
        <v>1.9249796769746608</v>
      </c>
      <c r="O2915" s="1667"/>
    </row>
    <row r="2916" spans="11:15">
      <c r="K2916" s="1664">
        <v>44973</v>
      </c>
      <c r="L2916" s="1665" t="s">
        <v>2296</v>
      </c>
      <c r="M2916" s="1666">
        <v>4.9036999999999997E-2</v>
      </c>
      <c r="N2916" s="1667">
        <v>1.9259236292588591</v>
      </c>
      <c r="O2916" s="1667"/>
    </row>
    <row r="2917" spans="11:15">
      <c r="K2917" s="1664">
        <v>44974</v>
      </c>
      <c r="L2917" s="1665" t="s">
        <v>2296</v>
      </c>
      <c r="M2917" s="1666">
        <v>4.9036999999999997E-2</v>
      </c>
      <c r="N2917" s="1667">
        <v>1.9268680444289388</v>
      </c>
      <c r="O2917" s="1667"/>
    </row>
    <row r="2918" spans="11:15">
      <c r="K2918" s="1664">
        <v>44975</v>
      </c>
      <c r="L2918" s="1665"/>
      <c r="M2918" s="1666">
        <v>0</v>
      </c>
      <c r="N2918" s="1667">
        <v>1.9268680444289388</v>
      </c>
      <c r="O2918" s="1667"/>
    </row>
    <row r="2919" spans="11:15">
      <c r="K2919" s="1664">
        <v>44976</v>
      </c>
      <c r="L2919" s="1665"/>
      <c r="M2919" s="1666">
        <v>0</v>
      </c>
      <c r="N2919" s="1667">
        <v>1.9268680444289388</v>
      </c>
      <c r="O2919" s="1667"/>
    </row>
    <row r="2920" spans="11:15">
      <c r="K2920" s="1664">
        <v>44977</v>
      </c>
      <c r="L2920" s="1665"/>
      <c r="M2920" s="1666">
        <v>0</v>
      </c>
      <c r="N2920" s="1667">
        <v>1.9268680444289388</v>
      </c>
      <c r="O2920" s="1667"/>
    </row>
    <row r="2921" spans="11:15">
      <c r="K2921" s="1664">
        <v>44978</v>
      </c>
      <c r="L2921" s="1665"/>
      <c r="M2921" s="1666">
        <v>0</v>
      </c>
      <c r="N2921" s="1667">
        <v>1.9268680444289388</v>
      </c>
      <c r="O2921" s="1667"/>
    </row>
    <row r="2922" spans="11:15">
      <c r="K2922" s="1664">
        <v>44979</v>
      </c>
      <c r="L2922" s="1665" t="s">
        <v>2296</v>
      </c>
      <c r="M2922" s="1666">
        <v>4.9036999999999997E-2</v>
      </c>
      <c r="N2922" s="1667">
        <v>1.9278129227118856</v>
      </c>
      <c r="O2922" s="1667"/>
    </row>
    <row r="2923" spans="11:15">
      <c r="K2923" s="1664">
        <v>44980</v>
      </c>
      <c r="L2923" s="1665" t="s">
        <v>2296</v>
      </c>
      <c r="M2923" s="1666">
        <v>4.9036999999999997E-2</v>
      </c>
      <c r="N2923" s="1667">
        <v>1.928758264334796</v>
      </c>
      <c r="O2923" s="1667"/>
    </row>
    <row r="2924" spans="11:15">
      <c r="K2924" s="1664">
        <v>44981</v>
      </c>
      <c r="L2924" s="1665" t="s">
        <v>2296</v>
      </c>
      <c r="M2924" s="1666">
        <v>4.9036999999999997E-2</v>
      </c>
      <c r="N2924" s="1667">
        <v>1.9297040695248779</v>
      </c>
      <c r="O2924" s="1667"/>
    </row>
    <row r="2925" spans="11:15">
      <c r="K2925" s="1664">
        <v>44982</v>
      </c>
      <c r="L2925" s="1665"/>
      <c r="M2925" s="1666">
        <v>0</v>
      </c>
      <c r="N2925" s="1667">
        <v>1.9297040695248779</v>
      </c>
      <c r="O2925" s="1667"/>
    </row>
    <row r="2926" spans="11:15">
      <c r="K2926" s="1664">
        <v>44983</v>
      </c>
      <c r="L2926" s="1665"/>
      <c r="M2926" s="1666">
        <v>0</v>
      </c>
      <c r="N2926" s="1667">
        <v>1.9297040695248779</v>
      </c>
      <c r="O2926" s="1667"/>
    </row>
    <row r="2927" spans="11:15">
      <c r="K2927" s="1664">
        <v>44984</v>
      </c>
      <c r="L2927" s="1665" t="s">
        <v>2296</v>
      </c>
      <c r="M2927" s="1666">
        <v>4.9036999999999997E-2</v>
      </c>
      <c r="N2927" s="1667">
        <v>1.9306503385094509</v>
      </c>
      <c r="O2927" s="1667"/>
    </row>
    <row r="2928" spans="11:15">
      <c r="K2928" s="1664">
        <v>44985</v>
      </c>
      <c r="L2928" s="1665" t="s">
        <v>2296</v>
      </c>
      <c r="M2928" s="1666">
        <v>4.9036999999999997E-2</v>
      </c>
      <c r="N2928" s="1667">
        <v>1.9315970715159458</v>
      </c>
      <c r="O2928" s="1667"/>
    </row>
    <row r="2929" spans="11:15">
      <c r="K2929" s="1664">
        <v>44986</v>
      </c>
      <c r="L2929" s="1665" t="s">
        <v>2296</v>
      </c>
      <c r="M2929" s="1666">
        <v>4.9036999999999997E-2</v>
      </c>
      <c r="N2929" s="1667">
        <v>1.9325442687719052</v>
      </c>
      <c r="O2929" s="1667"/>
    </row>
    <row r="2930" spans="11:15">
      <c r="K2930" s="1664">
        <v>44987</v>
      </c>
      <c r="L2930" s="1668" t="s">
        <v>2296</v>
      </c>
      <c r="M2930" s="910">
        <v>4.9036999999999997E-2</v>
      </c>
      <c r="N2930" s="1668">
        <v>1.9334919305049831</v>
      </c>
      <c r="O2930" s="1668"/>
    </row>
    <row r="2931" spans="11:15">
      <c r="K2931" s="1664">
        <v>44988</v>
      </c>
      <c r="L2931" s="1668" t="s">
        <v>2296</v>
      </c>
      <c r="M2931" s="910">
        <v>4.9036999999999997E-2</v>
      </c>
      <c r="N2931" s="1668">
        <v>1.934440056942945</v>
      </c>
      <c r="O2931" s="1668"/>
    </row>
    <row r="2932" spans="11:15">
      <c r="K2932" s="1664">
        <v>44989</v>
      </c>
      <c r="L2932" s="1668"/>
      <c r="M2932" s="910">
        <v>0</v>
      </c>
      <c r="N2932" s="1668">
        <v>1.934440056942945</v>
      </c>
      <c r="O2932" s="1668"/>
    </row>
    <row r="2933" spans="11:15">
      <c r="K2933" s="1664">
        <v>44990</v>
      </c>
      <c r="L2933" s="1668"/>
      <c r="M2933" s="910">
        <v>0</v>
      </c>
      <c r="N2933" s="1668">
        <v>1.934440056942945</v>
      </c>
      <c r="O2933" s="1668"/>
    </row>
    <row r="2934" spans="11:15">
      <c r="K2934" s="1664">
        <v>44991</v>
      </c>
      <c r="L2934" s="1668" t="s">
        <v>2296</v>
      </c>
      <c r="M2934" s="910">
        <v>4.9036999999999997E-2</v>
      </c>
      <c r="N2934" s="1668">
        <v>1.9353886483136682</v>
      </c>
      <c r="O2934" s="1668"/>
    </row>
    <row r="2935" spans="11:15">
      <c r="K2935" s="1664">
        <v>44992</v>
      </c>
      <c r="L2935" s="1668" t="s">
        <v>2296</v>
      </c>
      <c r="M2935" s="910">
        <v>4.9036999999999997E-2</v>
      </c>
      <c r="N2935" s="1668">
        <v>1.936337704845142</v>
      </c>
      <c r="O2935" s="1668"/>
    </row>
    <row r="2936" spans="11:15">
      <c r="K2936" s="1664">
        <v>44993</v>
      </c>
      <c r="L2936" s="1668" t="s">
        <v>2296</v>
      </c>
      <c r="M2936" s="910">
        <v>4.9036999999999997E-2</v>
      </c>
      <c r="N2936" s="1668">
        <v>1.9372872267654671</v>
      </c>
      <c r="O2936" s="1668"/>
    </row>
    <row r="2937" spans="11:15">
      <c r="K2937" s="1664">
        <v>44994</v>
      </c>
      <c r="L2937" s="1668" t="s">
        <v>2296</v>
      </c>
      <c r="M2937" s="910">
        <v>4.9036999999999997E-2</v>
      </c>
      <c r="N2937" s="1668">
        <v>1.9382372143028561</v>
      </c>
      <c r="O2937" s="1668"/>
    </row>
    <row r="2938" spans="11:15">
      <c r="K2938" s="1664">
        <v>44995</v>
      </c>
      <c r="L2938" s="1668" t="s">
        <v>2296</v>
      </c>
      <c r="M2938" s="910">
        <v>4.9036999999999997E-2</v>
      </c>
      <c r="N2938" s="1668">
        <v>1.9391876676856339</v>
      </c>
      <c r="O2938" s="1668"/>
    </row>
    <row r="2939" spans="11:15">
      <c r="K2939" s="1664">
        <v>44996</v>
      </c>
      <c r="L2939" s="1668"/>
      <c r="M2939" s="910">
        <v>0</v>
      </c>
      <c r="N2939" s="1668">
        <v>1.9391876676856339</v>
      </c>
      <c r="O2939" s="1668"/>
    </row>
    <row r="2940" spans="11:15">
      <c r="K2940" s="1664">
        <v>44997</v>
      </c>
      <c r="L2940" s="1668"/>
      <c r="M2940" s="910">
        <v>0</v>
      </c>
      <c r="N2940" s="1668">
        <v>1.9391876676856339</v>
      </c>
      <c r="O2940" s="1668"/>
    </row>
    <row r="2941" spans="11:15">
      <c r="K2941" s="1664">
        <v>44998</v>
      </c>
      <c r="L2941" s="1668" t="s">
        <v>2296</v>
      </c>
      <c r="M2941" s="910">
        <v>4.9036999999999997E-2</v>
      </c>
      <c r="N2941" s="1668">
        <v>1.940138587142237</v>
      </c>
      <c r="O2941" s="1668"/>
    </row>
    <row r="2942" spans="11:15">
      <c r="K2942" s="1664">
        <v>44999</v>
      </c>
      <c r="L2942" s="1668" t="s">
        <v>2296</v>
      </c>
      <c r="M2942" s="910">
        <v>4.9036999999999997E-2</v>
      </c>
      <c r="N2942" s="1668">
        <v>1.9410899729012141</v>
      </c>
      <c r="O2942" s="1668"/>
    </row>
    <row r="2943" spans="11:15">
      <c r="K2943" s="1664">
        <v>45000</v>
      </c>
      <c r="L2943" s="1668" t="s">
        <v>2296</v>
      </c>
      <c r="M2943" s="910">
        <v>4.9036999999999997E-2</v>
      </c>
      <c r="N2943" s="1668">
        <v>1.9420418251912257</v>
      </c>
      <c r="O2943" s="1668"/>
    </row>
    <row r="2944" spans="11:15">
      <c r="K2944" s="1664">
        <v>45001</v>
      </c>
      <c r="L2944" s="1668" t="s">
        <v>2296</v>
      </c>
      <c r="M2944" s="910">
        <v>4.9036999999999997E-2</v>
      </c>
      <c r="N2944" s="1668">
        <v>1.9429941442410448</v>
      </c>
      <c r="O2944" s="1668"/>
    </row>
    <row r="2945" spans="11:15">
      <c r="K2945" s="1664">
        <v>45002</v>
      </c>
      <c r="L2945" s="1668" t="s">
        <v>2296</v>
      </c>
      <c r="M2945" s="910">
        <v>4.9036999999999997E-2</v>
      </c>
      <c r="N2945" s="1668">
        <v>1.9439469302795565</v>
      </c>
      <c r="O2945" s="1668"/>
    </row>
    <row r="2946" spans="11:15">
      <c r="K2946" s="1664">
        <v>45003</v>
      </c>
      <c r="L2946" s="1668"/>
      <c r="M2946" s="910">
        <v>0</v>
      </c>
      <c r="N2946" s="1668">
        <v>1.9439469302795565</v>
      </c>
      <c r="O2946" s="1668"/>
    </row>
    <row r="2947" spans="11:15">
      <c r="K2947" s="1664">
        <v>45004</v>
      </c>
      <c r="L2947" s="1668"/>
      <c r="M2947" s="910">
        <v>0</v>
      </c>
      <c r="N2947" s="1668">
        <v>1.9439469302795565</v>
      </c>
      <c r="O2947" s="1668"/>
    </row>
    <row r="2948" spans="11:15">
      <c r="K2948" s="1664">
        <v>45005</v>
      </c>
      <c r="L2948" s="1668" t="s">
        <v>2296</v>
      </c>
      <c r="M2948" s="910">
        <v>4.9036999999999997E-2</v>
      </c>
      <c r="N2948" s="1668">
        <v>1.9449001835357578</v>
      </c>
      <c r="O2948" s="1668"/>
    </row>
    <row r="2949" spans="11:15">
      <c r="K2949" s="1664">
        <v>45006</v>
      </c>
      <c r="L2949" s="1668" t="s">
        <v>2296</v>
      </c>
      <c r="M2949" s="910">
        <v>4.9036999999999997E-2</v>
      </c>
      <c r="N2949" s="1668">
        <v>1.9458539042387584</v>
      </c>
      <c r="O2949" s="1668"/>
    </row>
    <row r="2950" spans="11:15">
      <c r="K2950" s="1664">
        <v>45007</v>
      </c>
      <c r="L2950" s="1668" t="s">
        <v>2296</v>
      </c>
      <c r="M2950" s="910">
        <v>4.9036999999999997E-2</v>
      </c>
      <c r="N2950" s="1668">
        <v>1.94680809261778</v>
      </c>
      <c r="O2950" s="1668"/>
    </row>
    <row r="2951" spans="11:15">
      <c r="K2951" s="1664">
        <v>45008</v>
      </c>
      <c r="L2951" s="1668" t="s">
        <v>2296</v>
      </c>
      <c r="M2951" s="910">
        <v>4.9036999999999997E-2</v>
      </c>
      <c r="N2951" s="1668">
        <v>1.9477627489021572</v>
      </c>
      <c r="O2951" s="1668"/>
    </row>
    <row r="2952" spans="11:15">
      <c r="K2952" s="1664">
        <v>45009</v>
      </c>
      <c r="L2952" s="1668" t="s">
        <v>2296</v>
      </c>
      <c r="M2952" s="910">
        <v>4.9036999999999997E-2</v>
      </c>
      <c r="N2952" s="1668">
        <v>1.9487178733213364</v>
      </c>
      <c r="O2952" s="1668"/>
    </row>
    <row r="2953" spans="11:15">
      <c r="K2953" s="1664">
        <v>45010</v>
      </c>
      <c r="L2953" s="1668"/>
      <c r="M2953" s="910">
        <v>0</v>
      </c>
      <c r="N2953" s="1668">
        <v>1.9487178733213364</v>
      </c>
      <c r="O2953" s="1668"/>
    </row>
    <row r="2954" spans="11:15">
      <c r="K2954" s="1664">
        <v>45011</v>
      </c>
      <c r="L2954" s="1668"/>
      <c r="M2954" s="910">
        <v>0</v>
      </c>
      <c r="N2954" s="1668">
        <v>1.9487178733213364</v>
      </c>
      <c r="O2954" s="1668"/>
    </row>
    <row r="2955" spans="11:15">
      <c r="K2955" s="1664">
        <v>45012</v>
      </c>
      <c r="L2955" s="1668" t="s">
        <v>2296</v>
      </c>
      <c r="M2955" s="910">
        <v>4.9036999999999997E-2</v>
      </c>
      <c r="N2955" s="1668">
        <v>1.9496734661048771</v>
      </c>
      <c r="O2955" s="1668"/>
    </row>
    <row r="2956" spans="11:15">
      <c r="K2956" s="1664">
        <v>45013</v>
      </c>
      <c r="L2956" s="1668" t="s">
        <v>2296</v>
      </c>
      <c r="M2956" s="910">
        <v>4.9036999999999997E-2</v>
      </c>
      <c r="N2956" s="1668">
        <v>1.9506295274824512</v>
      </c>
      <c r="O2956" s="1668"/>
    </row>
    <row r="2957" spans="11:15">
      <c r="K2957" s="1664">
        <v>45014</v>
      </c>
      <c r="L2957" s="1668" t="s">
        <v>2296</v>
      </c>
      <c r="M2957" s="910">
        <v>4.9036999999999997E-2</v>
      </c>
      <c r="N2957" s="1668">
        <v>1.9515860576838429</v>
      </c>
      <c r="O2957" s="1668"/>
    </row>
    <row r="2958" spans="11:15">
      <c r="K2958" s="1664">
        <v>45015</v>
      </c>
      <c r="L2958" s="1668" t="s">
        <v>2296</v>
      </c>
      <c r="M2958" s="910">
        <v>4.9036999999999997E-2</v>
      </c>
      <c r="N2958" s="1668">
        <v>1.9525430569389495</v>
      </c>
      <c r="O2958" s="1668"/>
    </row>
    <row r="2959" spans="11:15">
      <c r="K2959" s="1664">
        <v>45016</v>
      </c>
      <c r="L2959" s="1668" t="s">
        <v>2296</v>
      </c>
      <c r="M2959" s="910">
        <v>4.9036999999999997E-2</v>
      </c>
      <c r="N2959" s="1668">
        <v>1.9535005254777809</v>
      </c>
      <c r="O2959" s="1668"/>
    </row>
    <row r="2960" spans="11:15">
      <c r="K2960" s="1664">
        <v>45017</v>
      </c>
      <c r="L2960" s="1668"/>
      <c r="M2960" s="910">
        <v>0</v>
      </c>
      <c r="N2960" s="1668">
        <v>1.9535005254777809</v>
      </c>
      <c r="O2960" s="1668"/>
    </row>
    <row r="2961" spans="11:15">
      <c r="K2961" s="1664">
        <v>45018</v>
      </c>
      <c r="L2961" s="1668"/>
      <c r="M2961" s="910">
        <v>0</v>
      </c>
      <c r="N2961" s="1668">
        <v>1.9535005254777809</v>
      </c>
      <c r="O2961" s="1668"/>
    </row>
    <row r="2962" spans="11:15">
      <c r="K2962" s="1664">
        <v>45019</v>
      </c>
      <c r="L2962" s="1668" t="s">
        <v>2296</v>
      </c>
      <c r="M2962" s="910">
        <v>4.9036999999999997E-2</v>
      </c>
      <c r="N2962" s="1668">
        <v>1.9544584635304596</v>
      </c>
      <c r="O2962" s="1668"/>
    </row>
    <row r="2963" spans="11:15">
      <c r="K2963" s="1664">
        <v>45020</v>
      </c>
      <c r="L2963" s="1668" t="s">
        <v>2296</v>
      </c>
      <c r="M2963" s="910">
        <v>4.9036999999999997E-2</v>
      </c>
      <c r="N2963" s="1668">
        <v>1.9554168713272211</v>
      </c>
      <c r="O2963" s="1668"/>
    </row>
    <row r="2964" spans="11:15">
      <c r="K2964" s="1664">
        <v>45021</v>
      </c>
      <c r="L2964" s="1668" t="s">
        <v>2296</v>
      </c>
      <c r="M2964" s="910">
        <v>4.9036999999999997E-2</v>
      </c>
      <c r="N2964" s="1668">
        <v>1.9563757490984139</v>
      </c>
      <c r="O2964" s="1668"/>
    </row>
    <row r="2965" spans="11:15">
      <c r="K2965" s="1664">
        <v>45022</v>
      </c>
      <c r="L2965" s="1668" t="s">
        <v>2296</v>
      </c>
      <c r="M2965" s="910">
        <v>4.9036999999999997E-2</v>
      </c>
      <c r="N2965" s="1668">
        <v>1.9573350970744994</v>
      </c>
      <c r="O2965" s="1668"/>
    </row>
    <row r="2966" spans="11:15">
      <c r="K2966" s="1664">
        <v>45023</v>
      </c>
      <c r="L2966" s="1668"/>
      <c r="M2966" s="910">
        <v>0</v>
      </c>
      <c r="N2966" s="1668">
        <v>1.9573350970744994</v>
      </c>
      <c r="O2966" s="1668"/>
    </row>
    <row r="2967" spans="11:15">
      <c r="K2967" s="1664">
        <v>45024</v>
      </c>
      <c r="L2967" s="1668"/>
      <c r="M2967" s="910">
        <v>0</v>
      </c>
      <c r="N2967" s="1668">
        <v>1.9573350970744994</v>
      </c>
      <c r="O2967" s="1668"/>
    </row>
    <row r="2968" spans="11:15">
      <c r="K2968" s="1664">
        <v>45025</v>
      </c>
      <c r="L2968" s="1668"/>
      <c r="M2968" s="910">
        <v>0</v>
      </c>
      <c r="N2968" s="1668">
        <v>1.9573350970744994</v>
      </c>
      <c r="O2968" s="1668"/>
    </row>
    <row r="2969" spans="11:15">
      <c r="K2969" s="1664">
        <v>45026</v>
      </c>
      <c r="L2969" s="1668" t="s">
        <v>2296</v>
      </c>
      <c r="M2969" s="910">
        <v>4.9036999999999997E-2</v>
      </c>
      <c r="N2969" s="1668">
        <v>1.9582949154860518</v>
      </c>
      <c r="O2969" s="1668"/>
    </row>
    <row r="2970" spans="11:15">
      <c r="K2970" s="1664">
        <v>45027</v>
      </c>
      <c r="L2970" s="1668" t="s">
        <v>2296</v>
      </c>
      <c r="M2970" s="910">
        <v>4.9036999999999997E-2</v>
      </c>
      <c r="N2970" s="1668">
        <v>1.9592552045637588</v>
      </c>
      <c r="O2970" s="1668"/>
    </row>
    <row r="2971" spans="11:15">
      <c r="K2971" s="1664">
        <v>45028</v>
      </c>
      <c r="L2971" s="1668" t="s">
        <v>2296</v>
      </c>
      <c r="M2971" s="910">
        <v>4.9036999999999997E-2</v>
      </c>
      <c r="N2971" s="1668">
        <v>1.960215964538421</v>
      </c>
      <c r="O2971" s="1668"/>
    </row>
    <row r="2972" spans="11:15">
      <c r="K2972" s="1664">
        <v>45029</v>
      </c>
      <c r="L2972" s="1668" t="s">
        <v>2296</v>
      </c>
      <c r="M2972" s="910">
        <v>4.9036999999999997E-2</v>
      </c>
      <c r="N2972" s="1668">
        <v>1.9611771956409518</v>
      </c>
      <c r="O2972" s="1668"/>
    </row>
    <row r="2973" spans="11:15">
      <c r="K2973" s="1664">
        <v>45030</v>
      </c>
      <c r="L2973" s="1668" t="s">
        <v>2296</v>
      </c>
      <c r="M2973" s="910">
        <v>4.9036999999999997E-2</v>
      </c>
      <c r="N2973" s="1668">
        <v>1.9621388981023784</v>
      </c>
      <c r="O2973" s="1668"/>
    </row>
    <row r="2974" spans="11:15">
      <c r="K2974" s="1664">
        <v>45031</v>
      </c>
      <c r="L2974" s="1668"/>
      <c r="M2974" s="910">
        <v>0</v>
      </c>
      <c r="N2974" s="1668">
        <v>1.9621388981023784</v>
      </c>
      <c r="O2974" s="1668"/>
    </row>
    <row r="2975" spans="11:15">
      <c r="K2975" s="1664">
        <v>45032</v>
      </c>
      <c r="L2975" s="1668"/>
      <c r="M2975" s="910">
        <v>0</v>
      </c>
      <c r="N2975" s="1668">
        <v>1.9621388981023784</v>
      </c>
      <c r="O2975" s="1668"/>
    </row>
    <row r="2976" spans="11:15">
      <c r="K2976" s="1664">
        <v>45033</v>
      </c>
      <c r="L2976" s="1668" t="s">
        <v>2296</v>
      </c>
      <c r="M2976" s="910">
        <v>4.9036999999999997E-2</v>
      </c>
      <c r="N2976" s="1668">
        <v>1.9631010721538411</v>
      </c>
      <c r="O2976" s="1668"/>
    </row>
    <row r="2977" spans="11:15">
      <c r="K2977" s="1664">
        <v>45034</v>
      </c>
      <c r="L2977" s="1668" t="s">
        <v>2296</v>
      </c>
      <c r="M2977" s="910">
        <v>4.9036999999999997E-2</v>
      </c>
      <c r="N2977" s="1668">
        <v>1.9640637180265934</v>
      </c>
      <c r="O2977" s="1668"/>
    </row>
    <row r="2978" spans="11:15">
      <c r="K2978" s="1664">
        <v>45035</v>
      </c>
      <c r="L2978" s="1668" t="s">
        <v>2296</v>
      </c>
      <c r="M2978" s="910">
        <v>4.9036999999999997E-2</v>
      </c>
      <c r="N2978" s="1668">
        <v>1.9650268359520022</v>
      </c>
      <c r="O2978" s="1668"/>
    </row>
    <row r="2979" spans="11:15">
      <c r="K2979" s="1664">
        <v>45036</v>
      </c>
      <c r="L2979" s="1668" t="s">
        <v>2296</v>
      </c>
      <c r="M2979" s="910">
        <v>4.9036999999999997E-2</v>
      </c>
      <c r="N2979" s="1668">
        <v>1.9659904261615482</v>
      </c>
      <c r="O2979" s="1668"/>
    </row>
    <row r="2980" spans="11:15">
      <c r="K2980" s="1664">
        <v>45037</v>
      </c>
      <c r="L2980" s="1668"/>
      <c r="M2980" s="910">
        <v>0</v>
      </c>
      <c r="N2980" s="1668">
        <v>1.9659904261615482</v>
      </c>
      <c r="O2980" s="1668"/>
    </row>
    <row r="2981" spans="11:15">
      <c r="K2981" s="1664">
        <v>45038</v>
      </c>
      <c r="L2981" s="1668"/>
      <c r="M2981" s="910">
        <v>0</v>
      </c>
      <c r="N2981" s="1668">
        <v>1.9659904261615482</v>
      </c>
      <c r="O2981" s="1668"/>
    </row>
    <row r="2982" spans="11:15">
      <c r="K2982" s="1664">
        <v>45039</v>
      </c>
      <c r="L2982" s="1668"/>
      <c r="M2982" s="910">
        <v>0</v>
      </c>
      <c r="N2982" s="1668">
        <v>1.9659904261615482</v>
      </c>
      <c r="O2982" s="1668"/>
    </row>
    <row r="2983" spans="11:15">
      <c r="K2983" s="1664">
        <v>45040</v>
      </c>
      <c r="L2983" s="1668" t="s">
        <v>2296</v>
      </c>
      <c r="M2983" s="910">
        <v>4.9036999999999997E-2</v>
      </c>
      <c r="N2983" s="1668">
        <v>1.9669544888868251</v>
      </c>
      <c r="O2983" s="1668"/>
    </row>
    <row r="2984" spans="11:15">
      <c r="K2984" s="1664">
        <v>45041</v>
      </c>
      <c r="L2984" s="1668" t="s">
        <v>2296</v>
      </c>
      <c r="M2984" s="910">
        <v>4.9036999999999997E-2</v>
      </c>
      <c r="N2984" s="1668">
        <v>1.9679190243595406</v>
      </c>
      <c r="O2984" s="1668"/>
    </row>
    <row r="2985" spans="11:15">
      <c r="K2985" s="1664">
        <v>45042</v>
      </c>
      <c r="L2985" s="1668" t="s">
        <v>2296</v>
      </c>
      <c r="M2985" s="910">
        <v>4.9036999999999997E-2</v>
      </c>
      <c r="N2985" s="1668">
        <v>1.9688840328115158</v>
      </c>
      <c r="O2985" s="1668"/>
    </row>
    <row r="2986" spans="11:15">
      <c r="K2986" s="1664">
        <v>45043</v>
      </c>
      <c r="L2986" s="1668" t="s">
        <v>2296</v>
      </c>
      <c r="M2986" s="910">
        <v>4.9036999999999997E-2</v>
      </c>
      <c r="N2986" s="1668">
        <v>1.9698495144746857</v>
      </c>
      <c r="O2986" s="1668"/>
    </row>
    <row r="2987" spans="11:15">
      <c r="K2987" s="1664">
        <v>45044</v>
      </c>
      <c r="L2987" s="1668" t="s">
        <v>2296</v>
      </c>
      <c r="M2987" s="910">
        <v>4.9036999999999997E-2</v>
      </c>
      <c r="N2987" s="1668">
        <v>1.9708154695810989</v>
      </c>
      <c r="O2987" s="1668"/>
    </row>
    <row r="2988" spans="11:15">
      <c r="K2988" s="1664">
        <v>45045</v>
      </c>
      <c r="L2988" s="1668"/>
      <c r="M2988" s="910">
        <v>0</v>
      </c>
      <c r="N2988" s="1668">
        <v>1.9708154695810989</v>
      </c>
      <c r="O2988" s="1668"/>
    </row>
    <row r="2989" spans="11:15">
      <c r="K2989" s="1664">
        <v>45046</v>
      </c>
      <c r="L2989" s="1668"/>
      <c r="M2989" s="910">
        <v>0</v>
      </c>
      <c r="N2989" s="1668">
        <v>1.9708154695810989</v>
      </c>
      <c r="O2989" s="1668"/>
    </row>
    <row r="2990" spans="11:15">
      <c r="K2990" s="1664">
        <v>45047</v>
      </c>
      <c r="L2990" s="1668"/>
      <c r="M2990" s="910">
        <v>0</v>
      </c>
      <c r="N2990" s="1668">
        <v>1.9708154695810989</v>
      </c>
      <c r="O2990" s="1668"/>
    </row>
    <row r="2991" spans="11:15">
      <c r="K2991" s="1664">
        <v>45048</v>
      </c>
      <c r="L2991" s="1668" t="s">
        <v>2296</v>
      </c>
      <c r="M2991" s="910">
        <v>4.9036999999999997E-2</v>
      </c>
      <c r="N2991" s="1668">
        <v>1.9717818983629174</v>
      </c>
      <c r="O2991" s="1668"/>
    </row>
    <row r="2992" spans="11:15">
      <c r="K2992" s="1664">
        <v>45049</v>
      </c>
      <c r="L2992" s="1668" t="s">
        <v>2296</v>
      </c>
      <c r="M2992" s="910">
        <v>4.9036999999999997E-2</v>
      </c>
      <c r="N2992" s="1668">
        <v>1.9727488010524177</v>
      </c>
      <c r="O2992" s="1668"/>
    </row>
    <row r="2993" spans="11:15">
      <c r="K2993" s="1664">
        <v>45050</v>
      </c>
      <c r="L2993" s="1668" t="s">
        <v>2296</v>
      </c>
      <c r="M2993" s="910">
        <v>4.9036999999999997E-2</v>
      </c>
      <c r="N2993" s="1668">
        <v>1.9737161778819898</v>
      </c>
      <c r="O2993" s="1668"/>
    </row>
    <row r="2994" spans="11:15">
      <c r="K2994" s="1664">
        <v>45051</v>
      </c>
      <c r="L2994" s="1668" t="s">
        <v>2296</v>
      </c>
      <c r="M2994" s="910">
        <v>4.9036999999999997E-2</v>
      </c>
      <c r="N2994" s="1668">
        <v>1.9746840290841379</v>
      </c>
      <c r="O2994" s="1668"/>
    </row>
    <row r="2995" spans="11:15">
      <c r="K2995" s="1664">
        <v>45052</v>
      </c>
      <c r="L2995" s="1668"/>
      <c r="M2995" s="910">
        <v>0</v>
      </c>
      <c r="N2995" s="1668">
        <v>1.9746840290841379</v>
      </c>
      <c r="O2995" s="1668"/>
    </row>
    <row r="2996" spans="11:15">
      <c r="K2996" s="1664">
        <v>45053</v>
      </c>
      <c r="L2996" s="1668"/>
      <c r="M2996" s="910">
        <v>0</v>
      </c>
      <c r="N2996" s="1668">
        <v>1.9746840290841379</v>
      </c>
      <c r="O2996" s="1668"/>
    </row>
    <row r="2997" spans="11:15">
      <c r="K2997" s="1664">
        <v>45054</v>
      </c>
      <c r="L2997" s="1668" t="s">
        <v>2296</v>
      </c>
      <c r="M2997" s="910">
        <v>4.9036999999999997E-2</v>
      </c>
      <c r="N2997" s="1668">
        <v>1.9756523548914799</v>
      </c>
      <c r="O2997" s="1668"/>
    </row>
    <row r="2998" spans="11:15">
      <c r="K2998" s="1664">
        <v>45055</v>
      </c>
      <c r="L2998" s="1668" t="s">
        <v>2296</v>
      </c>
      <c r="M2998" s="910">
        <v>4.9036999999999997E-2</v>
      </c>
      <c r="N2998" s="1668">
        <v>1.9766211555367483</v>
      </c>
      <c r="O2998" s="1668"/>
    </row>
    <row r="2999" spans="11:15">
      <c r="K2999" s="1664">
        <v>45056</v>
      </c>
      <c r="L2999" s="1668" t="s">
        <v>2296</v>
      </c>
      <c r="M2999" s="910">
        <v>4.9036999999999997E-2</v>
      </c>
      <c r="N2999" s="1668">
        <v>1.977590431252789</v>
      </c>
      <c r="O2999" s="1668"/>
    </row>
    <row r="3000" spans="11:15">
      <c r="K3000" s="1664">
        <v>45057</v>
      </c>
      <c r="L3000" s="1668" t="s">
        <v>2296</v>
      </c>
      <c r="M3000" s="910">
        <v>4.9036999999999997E-2</v>
      </c>
      <c r="N3000" s="1668">
        <v>1.9785601822725625</v>
      </c>
      <c r="O3000" s="1668"/>
    </row>
    <row r="3001" spans="11:15">
      <c r="K3001" s="1664">
        <v>45058</v>
      </c>
      <c r="L3001" s="1668" t="s">
        <v>2296</v>
      </c>
      <c r="M3001" s="910">
        <v>4.9036999999999997E-2</v>
      </c>
      <c r="N3001" s="1668">
        <v>1.9795304088291437</v>
      </c>
      <c r="O3001" s="1668"/>
    </row>
    <row r="3002" spans="11:15">
      <c r="K3002" s="1664">
        <v>45059</v>
      </c>
      <c r="L3002" s="1668"/>
      <c r="M3002" s="910">
        <v>0</v>
      </c>
      <c r="N3002" s="1668">
        <v>1.9795304088291437</v>
      </c>
      <c r="O3002" s="1668"/>
    </row>
    <row r="3003" spans="11:15">
      <c r="K3003" s="1664">
        <v>45060</v>
      </c>
      <c r="L3003" s="1668"/>
      <c r="M3003" s="910">
        <v>0</v>
      </c>
      <c r="N3003" s="1668">
        <v>1.9795304088291437</v>
      </c>
      <c r="O3003" s="1668"/>
    </row>
    <row r="3004" spans="11:15">
      <c r="K3004" s="1664">
        <v>45061</v>
      </c>
      <c r="L3004" s="1668" t="s">
        <v>2296</v>
      </c>
      <c r="M3004" s="910">
        <v>4.9036999999999997E-2</v>
      </c>
      <c r="N3004" s="1668">
        <v>1.9805011111557214</v>
      </c>
      <c r="O3004" s="1668"/>
    </row>
    <row r="3005" spans="11:15">
      <c r="K3005" s="1664">
        <v>45062</v>
      </c>
      <c r="L3005" s="1668" t="s">
        <v>2296</v>
      </c>
      <c r="M3005" s="910">
        <v>4.9036999999999997E-2</v>
      </c>
      <c r="N3005" s="1668">
        <v>1.9814722894855989</v>
      </c>
      <c r="O3005" s="1668"/>
    </row>
    <row r="3006" spans="11:15">
      <c r="K3006" s="1664">
        <v>45063</v>
      </c>
      <c r="L3006" s="1668" t="s">
        <v>2296</v>
      </c>
      <c r="M3006" s="910">
        <v>4.9036999999999997E-2</v>
      </c>
      <c r="N3006" s="1668">
        <v>1.9824439440521942</v>
      </c>
      <c r="O3006" s="1668"/>
    </row>
    <row r="3007" spans="11:15">
      <c r="K3007" s="1664">
        <v>45064</v>
      </c>
      <c r="L3007" s="1668" t="s">
        <v>2296</v>
      </c>
      <c r="M3007" s="910">
        <v>4.9036999999999997E-2</v>
      </c>
      <c r="N3007" s="1668">
        <v>1.9834160750890393</v>
      </c>
      <c r="O3007" s="1668"/>
    </row>
    <row r="3008" spans="11:15">
      <c r="K3008" s="1664">
        <v>45065</v>
      </c>
      <c r="L3008" s="1668" t="s">
        <v>2296</v>
      </c>
      <c r="M3008" s="910">
        <v>4.9036999999999997E-2</v>
      </c>
      <c r="N3008" s="1668">
        <v>1.9843886828297808</v>
      </c>
      <c r="O3008" s="1668"/>
    </row>
    <row r="3009" spans="11:15">
      <c r="K3009" s="1664">
        <v>45066</v>
      </c>
      <c r="L3009" s="1668"/>
      <c r="M3009" s="910">
        <v>0</v>
      </c>
      <c r="N3009" s="1668">
        <v>1.9843886828297808</v>
      </c>
      <c r="O3009" s="1668"/>
    </row>
    <row r="3010" spans="11:15">
      <c r="K3010" s="1664">
        <v>45067</v>
      </c>
      <c r="L3010" s="1668"/>
      <c r="M3010" s="910">
        <v>0</v>
      </c>
      <c r="N3010" s="1668">
        <v>1.9843886828297808</v>
      </c>
      <c r="O3010" s="1668"/>
    </row>
    <row r="3011" spans="11:15">
      <c r="K3011" s="1664">
        <v>45068</v>
      </c>
      <c r="L3011" s="1668" t="s">
        <v>2296</v>
      </c>
      <c r="M3011" s="910">
        <v>4.9036999999999997E-2</v>
      </c>
      <c r="N3011" s="1668">
        <v>1.9853617675081801</v>
      </c>
      <c r="O3011" s="1668"/>
    </row>
    <row r="3012" spans="11:15">
      <c r="K3012" s="1664">
        <v>45069</v>
      </c>
      <c r="L3012" s="1668" t="s">
        <v>2296</v>
      </c>
      <c r="M3012" s="910">
        <v>4.9036999999999997E-2</v>
      </c>
      <c r="N3012" s="1668">
        <v>1.9863353293581132</v>
      </c>
      <c r="O3012" s="1668"/>
    </row>
    <row r="3013" spans="11:15">
      <c r="K3013" s="1664">
        <v>45070</v>
      </c>
      <c r="L3013" s="1668" t="s">
        <v>2296</v>
      </c>
      <c r="M3013" s="910">
        <v>4.9036999999999997E-2</v>
      </c>
      <c r="N3013" s="1668">
        <v>1.9873093686135708</v>
      </c>
      <c r="O3013" s="1668"/>
    </row>
    <row r="3014" spans="11:15">
      <c r="K3014" s="1664">
        <v>45071</v>
      </c>
      <c r="L3014" s="1668" t="s">
        <v>2296</v>
      </c>
      <c r="M3014" s="910">
        <v>4.9036999999999997E-2</v>
      </c>
      <c r="N3014" s="1668">
        <v>1.988283885508658</v>
      </c>
      <c r="O3014" s="1668"/>
    </row>
    <row r="3015" spans="11:15">
      <c r="K3015" s="1664">
        <v>45072</v>
      </c>
      <c r="L3015" s="1668" t="s">
        <v>2296</v>
      </c>
      <c r="M3015" s="910">
        <v>4.9036999999999997E-2</v>
      </c>
      <c r="N3015" s="1668">
        <v>1.989258880277595</v>
      </c>
      <c r="O3015" s="1668"/>
    </row>
    <row r="3016" spans="11:15">
      <c r="K3016" s="1664">
        <v>45073</v>
      </c>
      <c r="L3016" s="1668"/>
      <c r="M3016" s="910">
        <v>0</v>
      </c>
      <c r="N3016" s="1668">
        <v>1.989258880277595</v>
      </c>
      <c r="O3016" s="1668"/>
    </row>
    <row r="3017" spans="11:15">
      <c r="K3017" s="1664">
        <v>45074</v>
      </c>
      <c r="L3017" s="1668"/>
      <c r="M3017" s="910">
        <v>0</v>
      </c>
      <c r="N3017" s="1668">
        <v>1.989258880277595</v>
      </c>
      <c r="O3017" s="1668"/>
    </row>
    <row r="3018" spans="11:15">
      <c r="K3018" s="1664">
        <v>45075</v>
      </c>
      <c r="L3018" s="1668" t="s">
        <v>2296</v>
      </c>
      <c r="M3018" s="910">
        <v>4.9036999999999997E-2</v>
      </c>
      <c r="N3018" s="1668">
        <v>1.9902343531547169</v>
      </c>
      <c r="O3018" s="1668"/>
    </row>
    <row r="3019" spans="11:15">
      <c r="K3019" s="1664">
        <v>45076</v>
      </c>
      <c r="L3019" s="1668" t="s">
        <v>2296</v>
      </c>
      <c r="M3019" s="910">
        <v>4.9036999999999997E-2</v>
      </c>
      <c r="N3019" s="1668">
        <v>1.9912103043744735</v>
      </c>
      <c r="O3019" s="1668"/>
    </row>
    <row r="3020" spans="11:15">
      <c r="K3020" s="1664">
        <v>45077</v>
      </c>
      <c r="L3020" s="1668" t="s">
        <v>2296</v>
      </c>
      <c r="M3020" s="910">
        <v>4.9036999999999997E-2</v>
      </c>
      <c r="N3020" s="1668">
        <v>1.9921867341714299</v>
      </c>
      <c r="O3020" s="1668"/>
    </row>
    <row r="3021" spans="11:15">
      <c r="K3021" s="1664">
        <v>45078</v>
      </c>
      <c r="L3021" s="1668" t="s">
        <v>2296</v>
      </c>
      <c r="M3021" s="910">
        <v>4.9036999999999997E-2</v>
      </c>
      <c r="N3021" s="1668">
        <v>1.9931636427802657</v>
      </c>
      <c r="O3021" s="1668"/>
    </row>
    <row r="3022" spans="11:15">
      <c r="K3022" s="1664">
        <v>45079</v>
      </c>
      <c r="L3022" s="1668" t="s">
        <v>2296</v>
      </c>
      <c r="M3022" s="910">
        <v>4.9036999999999997E-2</v>
      </c>
      <c r="N3022" s="1668">
        <v>1.9941410304357761</v>
      </c>
      <c r="O3022" s="1668"/>
    </row>
    <row r="3023" spans="11:15">
      <c r="K3023" s="1664">
        <v>45080</v>
      </c>
      <c r="L3023" s="1668"/>
      <c r="M3023" s="910">
        <v>0</v>
      </c>
      <c r="N3023" s="1668">
        <v>1.9941410304357761</v>
      </c>
      <c r="O3023" s="1668"/>
    </row>
    <row r="3024" spans="11:15">
      <c r="K3024" s="1664">
        <v>45081</v>
      </c>
      <c r="L3024" s="1668"/>
      <c r="M3024" s="910">
        <v>0</v>
      </c>
      <c r="N3024" s="1668">
        <v>1.9941410304357761</v>
      </c>
      <c r="O3024" s="1668"/>
    </row>
    <row r="3025" spans="11:15">
      <c r="K3025" s="1664">
        <v>45082</v>
      </c>
      <c r="L3025" s="1668" t="s">
        <v>2296</v>
      </c>
      <c r="M3025" s="910">
        <v>4.9036999999999997E-2</v>
      </c>
      <c r="N3025" s="1668">
        <v>1.9951188973728711</v>
      </c>
      <c r="O3025" s="1668"/>
    </row>
    <row r="3026" spans="11:15">
      <c r="K3026" s="1664">
        <v>45083</v>
      </c>
      <c r="L3026" s="1668" t="s">
        <v>2296</v>
      </c>
      <c r="M3026" s="910">
        <v>4.9036999999999997E-2</v>
      </c>
      <c r="N3026" s="1668">
        <v>1.9960972438265761</v>
      </c>
      <c r="O3026" s="1668"/>
    </row>
    <row r="3027" spans="11:15">
      <c r="K3027" s="1664">
        <v>45084</v>
      </c>
      <c r="L3027" s="1668" t="s">
        <v>2296</v>
      </c>
      <c r="M3027" s="910">
        <v>4.9036999999999997E-2</v>
      </c>
      <c r="N3027" s="1668">
        <v>1.9970760700320314</v>
      </c>
      <c r="O3027" s="1668"/>
    </row>
    <row r="3028" spans="11:15">
      <c r="K3028" s="1664">
        <v>45085</v>
      </c>
      <c r="L3028" s="1668"/>
      <c r="M3028" s="910">
        <v>0</v>
      </c>
      <c r="N3028" s="1668">
        <v>1.9970760700320314</v>
      </c>
      <c r="O3028" s="1668"/>
    </row>
    <row r="3029" spans="11:15">
      <c r="K3029" s="1664">
        <v>45086</v>
      </c>
      <c r="L3029" s="1668" t="s">
        <v>2296</v>
      </c>
      <c r="M3029" s="910">
        <v>4.9036999999999997E-2</v>
      </c>
      <c r="N3029" s="1668">
        <v>1.998055376224493</v>
      </c>
      <c r="O3029" s="1668"/>
    </row>
    <row r="3030" spans="11:15">
      <c r="K3030" s="1664">
        <v>45087</v>
      </c>
      <c r="L3030" s="1668"/>
      <c r="M3030" s="910">
        <v>0</v>
      </c>
      <c r="N3030" s="1668">
        <v>1.998055376224493</v>
      </c>
      <c r="O3030" s="1668"/>
    </row>
    <row r="3031" spans="11:15">
      <c r="K3031" s="1664">
        <v>45088</v>
      </c>
      <c r="L3031" s="1668"/>
      <c r="M3031" s="910">
        <v>0</v>
      </c>
      <c r="N3031" s="1668">
        <v>1.998055376224493</v>
      </c>
      <c r="O3031" s="1668"/>
    </row>
    <row r="3032" spans="11:15">
      <c r="K3032" s="1664">
        <v>45089</v>
      </c>
      <c r="L3032" s="1668" t="s">
        <v>2296</v>
      </c>
      <c r="M3032" s="910">
        <v>4.9036999999999997E-2</v>
      </c>
      <c r="N3032" s="1668">
        <v>1.9990351626393323</v>
      </c>
      <c r="O3032" s="1668"/>
    </row>
    <row r="3033" spans="11:15">
      <c r="K3033" s="1664">
        <v>45090</v>
      </c>
      <c r="L3033" s="1668" t="s">
        <v>2296</v>
      </c>
      <c r="M3033" s="910">
        <v>4.9036999999999997E-2</v>
      </c>
      <c r="N3033" s="1668">
        <v>2.000015429512036</v>
      </c>
      <c r="O3033" s="1668"/>
    </row>
    <row r="3034" spans="11:15">
      <c r="K3034" s="1664">
        <v>45091</v>
      </c>
      <c r="L3034" s="1668" t="s">
        <v>2296</v>
      </c>
      <c r="M3034" s="910">
        <v>4.9036999999999997E-2</v>
      </c>
      <c r="N3034" s="1668">
        <v>2.0009961770782061</v>
      </c>
      <c r="O3034" s="1668"/>
    </row>
    <row r="3035" spans="11:15">
      <c r="K3035" s="1664">
        <v>45092</v>
      </c>
      <c r="L3035" s="1668" t="s">
        <v>2296</v>
      </c>
      <c r="M3035" s="910">
        <v>4.9036999999999997E-2</v>
      </c>
      <c r="N3035" s="1668">
        <v>2.0019774055735602</v>
      </c>
      <c r="O3035" s="1668"/>
    </row>
    <row r="3036" spans="11:15">
      <c r="K3036" s="1664">
        <v>45093</v>
      </c>
      <c r="L3036" s="1668" t="s">
        <v>2296</v>
      </c>
      <c r="M3036" s="910">
        <v>4.9036999999999997E-2</v>
      </c>
      <c r="N3036" s="1668">
        <v>2.0029591152339314</v>
      </c>
      <c r="O3036" s="1668"/>
    </row>
    <row r="3037" spans="11:15">
      <c r="K3037" s="1664">
        <v>45094</v>
      </c>
      <c r="L3037" s="1668"/>
      <c r="M3037" s="910">
        <v>0</v>
      </c>
      <c r="N3037" s="1668">
        <v>2.0029591152339314</v>
      </c>
      <c r="O3037" s="1668"/>
    </row>
    <row r="3038" spans="11:15">
      <c r="K3038" s="1664">
        <v>45095</v>
      </c>
      <c r="L3038" s="1668"/>
      <c r="M3038" s="910">
        <v>0</v>
      </c>
      <c r="N3038" s="1668">
        <v>2.0029591152339314</v>
      </c>
      <c r="O3038" s="1668"/>
    </row>
    <row r="3039" spans="11:15">
      <c r="K3039" s="1664">
        <v>45096</v>
      </c>
      <c r="L3039" s="1668" t="s">
        <v>2296</v>
      </c>
      <c r="M3039" s="910">
        <v>4.9036999999999997E-2</v>
      </c>
      <c r="N3039" s="1668">
        <v>2.0039413062952689</v>
      </c>
      <c r="O3039" s="1668"/>
    </row>
    <row r="3040" spans="11:15">
      <c r="K3040" s="1664">
        <v>45097</v>
      </c>
      <c r="L3040" s="1668" t="s">
        <v>2296</v>
      </c>
      <c r="M3040" s="910">
        <v>4.9036999999999997E-2</v>
      </c>
      <c r="N3040" s="1668">
        <v>2.0049239789936371</v>
      </c>
      <c r="O3040" s="1668"/>
    </row>
    <row r="3041" spans="11:15">
      <c r="K3041" s="1664">
        <v>45098</v>
      </c>
      <c r="L3041" s="1668" t="s">
        <v>2296</v>
      </c>
      <c r="M3041" s="910">
        <v>4.9036999999999997E-2</v>
      </c>
      <c r="N3041" s="1668">
        <v>2.0059071335652163</v>
      </c>
      <c r="O3041" s="1668"/>
    </row>
    <row r="3042" spans="11:15">
      <c r="K3042" s="1664">
        <v>45099</v>
      </c>
      <c r="L3042" s="1668" t="s">
        <v>2296</v>
      </c>
      <c r="M3042" s="910">
        <v>4.9036999999999997E-2</v>
      </c>
      <c r="N3042" s="1668">
        <v>2.006890770246303</v>
      </c>
      <c r="O3042" s="1668"/>
    </row>
    <row r="3043" spans="11:15">
      <c r="K3043" s="1664">
        <v>45100</v>
      </c>
      <c r="L3043" s="1668" t="s">
        <v>2296</v>
      </c>
      <c r="M3043" s="910">
        <v>4.9036999999999997E-2</v>
      </c>
      <c r="N3043" s="1668">
        <v>2.0078748892733089</v>
      </c>
      <c r="O3043" s="1668"/>
    </row>
    <row r="3044" spans="11:15">
      <c r="K3044" s="1664">
        <v>45101</v>
      </c>
      <c r="L3044" s="1668"/>
      <c r="M3044" s="910">
        <v>0</v>
      </c>
      <c r="N3044" s="1668">
        <v>2.0078748892733089</v>
      </c>
      <c r="O3044" s="1668"/>
    </row>
    <row r="3045" spans="11:15">
      <c r="K3045" s="1664">
        <v>45102</v>
      </c>
      <c r="L3045" s="1668"/>
      <c r="M3045" s="910">
        <v>0</v>
      </c>
      <c r="N3045" s="1668">
        <v>2.0078748892733089</v>
      </c>
      <c r="O3045" s="1668"/>
    </row>
    <row r="3046" spans="11:15">
      <c r="K3046" s="1664">
        <v>45103</v>
      </c>
      <c r="L3046" s="1668" t="s">
        <v>2296</v>
      </c>
      <c r="M3046" s="910">
        <v>4.9036999999999997E-2</v>
      </c>
      <c r="N3046" s="1668">
        <v>2.0088594908827622</v>
      </c>
      <c r="O3046" s="1668"/>
    </row>
    <row r="3047" spans="11:15">
      <c r="K3047" s="1664">
        <v>45104</v>
      </c>
      <c r="L3047" s="1668" t="s">
        <v>2296</v>
      </c>
      <c r="M3047" s="910">
        <v>4.9036999999999997E-2</v>
      </c>
      <c r="N3047" s="1668">
        <v>2.0098445753113063</v>
      </c>
      <c r="O3047" s="1668"/>
    </row>
    <row r="3048" spans="11:15">
      <c r="K3048" s="1664">
        <v>45105</v>
      </c>
      <c r="L3048" s="1668" t="s">
        <v>2296</v>
      </c>
      <c r="M3048" s="910">
        <v>4.9036999999999997E-2</v>
      </c>
      <c r="N3048" s="1668">
        <v>2.0108301427957018</v>
      </c>
      <c r="O3048" s="1668"/>
    </row>
    <row r="3049" spans="11:15">
      <c r="K3049" s="1664">
        <v>45106</v>
      </c>
      <c r="L3049" s="1668" t="s">
        <v>2296</v>
      </c>
      <c r="M3049" s="910">
        <v>4.9036999999999997E-2</v>
      </c>
      <c r="N3049" s="1668">
        <v>2.0118161935728245</v>
      </c>
      <c r="O3049" s="1668"/>
    </row>
    <row r="3050" spans="11:15">
      <c r="K3050" s="1664">
        <v>45107</v>
      </c>
      <c r="L3050" s="1668" t="s">
        <v>2296</v>
      </c>
      <c r="M3050" s="910">
        <v>4.9036999999999997E-2</v>
      </c>
      <c r="N3050" s="1668">
        <v>2.012802727879667</v>
      </c>
      <c r="O3050" s="1668"/>
    </row>
    <row r="3051" spans="11:15">
      <c r="K3051" s="1664">
        <v>45108</v>
      </c>
      <c r="L3051" s="1668"/>
      <c r="M3051" s="910">
        <v>0</v>
      </c>
      <c r="N3051" s="1668">
        <v>2.012802727879667</v>
      </c>
      <c r="O3051" s="1668"/>
    </row>
    <row r="3052" spans="11:15">
      <c r="K3052" s="1664">
        <v>45109</v>
      </c>
      <c r="L3052" s="1668"/>
      <c r="M3052" s="910">
        <v>0</v>
      </c>
      <c r="N3052" s="1668">
        <v>2.012802727879667</v>
      </c>
      <c r="O3052" s="1668"/>
    </row>
    <row r="3053" spans="11:15">
      <c r="K3053" s="1664">
        <v>45110</v>
      </c>
      <c r="L3053" s="1668" t="s">
        <v>2296</v>
      </c>
      <c r="M3053" s="910">
        <v>4.9036999999999997E-2</v>
      </c>
      <c r="N3053" s="1668">
        <v>2.0137897459533374</v>
      </c>
      <c r="O3053" s="1668"/>
    </row>
    <row r="3054" spans="11:15">
      <c r="K3054" s="1664">
        <v>45111</v>
      </c>
      <c r="L3054" s="1668" t="s">
        <v>2296</v>
      </c>
      <c r="M3054" s="910">
        <v>4.9036999999999997E-2</v>
      </c>
      <c r="N3054" s="1668">
        <v>2.0147772480310606</v>
      </c>
      <c r="O3054" s="1668"/>
    </row>
    <row r="3055" spans="11:15">
      <c r="K3055" s="1664">
        <v>45112</v>
      </c>
      <c r="L3055" s="1668" t="s">
        <v>2296</v>
      </c>
      <c r="M3055" s="910">
        <v>4.9036999999999997E-2</v>
      </c>
      <c r="N3055" s="1668">
        <v>2.015765234350178</v>
      </c>
      <c r="O3055" s="1668"/>
    </row>
    <row r="3056" spans="11:15">
      <c r="K3056" s="1664">
        <v>45113</v>
      </c>
      <c r="L3056" s="1668" t="s">
        <v>2296</v>
      </c>
      <c r="M3056" s="910">
        <v>4.9036999999999997E-2</v>
      </c>
      <c r="N3056" s="1668">
        <v>2.0167537051481466</v>
      </c>
      <c r="O3056" s="1668"/>
    </row>
    <row r="3057" spans="11:15">
      <c r="K3057" s="1664">
        <v>45114</v>
      </c>
      <c r="L3057" s="1668" t="s">
        <v>2296</v>
      </c>
      <c r="M3057" s="910">
        <v>4.9036999999999997E-2</v>
      </c>
      <c r="N3057" s="1668">
        <v>2.0177426606625404</v>
      </c>
      <c r="O3057" s="1668"/>
    </row>
    <row r="3058" spans="11:15">
      <c r="K3058" s="1664">
        <v>45115</v>
      </c>
      <c r="L3058" s="1668"/>
      <c r="M3058" s="910">
        <v>0</v>
      </c>
      <c r="N3058" s="1668">
        <v>2.0177426606625404</v>
      </c>
      <c r="O3058" s="1668"/>
    </row>
    <row r="3059" spans="11:15">
      <c r="K3059" s="1664">
        <v>45116</v>
      </c>
      <c r="L3059" s="1668"/>
      <c r="M3059" s="910">
        <v>0</v>
      </c>
      <c r="N3059" s="1668">
        <v>2.0177426606625404</v>
      </c>
      <c r="O3059" s="1668"/>
    </row>
    <row r="3060" spans="11:15">
      <c r="K3060" s="1664">
        <v>45117</v>
      </c>
      <c r="L3060" s="1668" t="s">
        <v>2296</v>
      </c>
      <c r="M3060" s="910">
        <v>4.9036999999999997E-2</v>
      </c>
      <c r="N3060" s="1668">
        <v>2.0187321011310497</v>
      </c>
      <c r="O3060" s="1668"/>
    </row>
    <row r="3061" spans="11:15">
      <c r="K3061" s="1664">
        <v>45118</v>
      </c>
      <c r="L3061" s="1668" t="s">
        <v>2296</v>
      </c>
      <c r="M3061" s="910">
        <v>4.9036999999999997E-2</v>
      </c>
      <c r="N3061" s="1668">
        <v>2.0197220267914817</v>
      </c>
      <c r="O3061" s="1668"/>
    </row>
    <row r="3062" spans="11:15">
      <c r="K3062" s="1664">
        <v>45119</v>
      </c>
      <c r="L3062" s="1668" t="s">
        <v>2296</v>
      </c>
      <c r="M3062" s="910">
        <v>4.9036999999999997E-2</v>
      </c>
      <c r="N3062" s="1668">
        <v>2.0207124378817598</v>
      </c>
      <c r="O3062" s="1668"/>
    </row>
    <row r="3063" spans="11:15">
      <c r="K3063" s="1664">
        <v>45120</v>
      </c>
      <c r="L3063" s="1668" t="s">
        <v>2296</v>
      </c>
      <c r="M3063" s="910">
        <v>4.9036999999999997E-2</v>
      </c>
      <c r="N3063" s="1668">
        <v>2.0217033346399242</v>
      </c>
      <c r="O3063" s="1668"/>
    </row>
    <row r="3064" spans="11:15">
      <c r="K3064" s="1664">
        <v>45121</v>
      </c>
      <c r="L3064" s="1668" t="s">
        <v>2296</v>
      </c>
      <c r="M3064" s="910">
        <v>4.9036999999999997E-2</v>
      </c>
      <c r="N3064" s="1668">
        <v>2.0226947173041316</v>
      </c>
      <c r="O3064" s="1668"/>
    </row>
    <row r="3065" spans="11:15">
      <c r="K3065" s="1664">
        <v>45122</v>
      </c>
      <c r="L3065" s="1668"/>
      <c r="M3065" s="910">
        <v>0</v>
      </c>
      <c r="N3065" s="1668">
        <v>2.0226947173041316</v>
      </c>
      <c r="O3065" s="1668"/>
    </row>
    <row r="3066" spans="11:15">
      <c r="K3066" s="1664">
        <v>45123</v>
      </c>
      <c r="L3066" s="1668"/>
      <c r="M3066" s="910">
        <v>0</v>
      </c>
      <c r="N3066" s="1668">
        <v>2.0226947173041316</v>
      </c>
      <c r="O3066" s="1668"/>
    </row>
    <row r="3067" spans="11:15">
      <c r="K3067" s="1664">
        <v>45124</v>
      </c>
      <c r="L3067" s="1668" t="s">
        <v>2296</v>
      </c>
      <c r="M3067" s="910">
        <v>4.9036999999999997E-2</v>
      </c>
      <c r="N3067" s="1668">
        <v>2.0236865861126563</v>
      </c>
      <c r="O3067" s="1668"/>
    </row>
    <row r="3068" spans="11:15">
      <c r="K3068" s="1664">
        <v>45125</v>
      </c>
      <c r="L3068" s="1668" t="s">
        <v>2296</v>
      </c>
      <c r="M3068" s="910">
        <v>4.9036999999999997E-2</v>
      </c>
      <c r="N3068" s="1668">
        <v>2.0246789413038884</v>
      </c>
      <c r="O3068" s="1668"/>
    </row>
    <row r="3069" spans="11:15">
      <c r="K3069" s="1664">
        <v>45126</v>
      </c>
      <c r="L3069" s="1668" t="s">
        <v>2296</v>
      </c>
      <c r="M3069" s="910">
        <v>4.9036999999999997E-2</v>
      </c>
      <c r="N3069" s="1668">
        <v>2.0256717831163358</v>
      </c>
      <c r="O3069" s="1668"/>
    </row>
    <row r="3070" spans="11:15">
      <c r="K3070" s="1664">
        <v>45127</v>
      </c>
      <c r="L3070" s="1668" t="s">
        <v>2296</v>
      </c>
      <c r="M3070" s="910">
        <v>4.9036999999999997E-2</v>
      </c>
      <c r="N3070" s="1668">
        <v>2.0266651117886227</v>
      </c>
      <c r="O3070" s="1668"/>
    </row>
    <row r="3071" spans="11:15">
      <c r="K3071" s="1664">
        <v>45128</v>
      </c>
      <c r="L3071" s="1668" t="s">
        <v>2296</v>
      </c>
      <c r="M3071" s="910">
        <v>4.9036999999999997E-2</v>
      </c>
      <c r="N3071" s="1668">
        <v>2.0276589275594907</v>
      </c>
      <c r="O3071" s="1668"/>
    </row>
    <row r="3072" spans="11:15">
      <c r="K3072" s="1664">
        <v>45129</v>
      </c>
      <c r="L3072" s="1668"/>
      <c r="M3072" s="910">
        <v>0</v>
      </c>
      <c r="N3072" s="1668">
        <v>2.0276589275594907</v>
      </c>
      <c r="O3072" s="1668"/>
    </row>
    <row r="3073" spans="11:15">
      <c r="K3073" s="1664">
        <v>45130</v>
      </c>
      <c r="L3073" s="1668"/>
      <c r="M3073" s="910">
        <v>0</v>
      </c>
      <c r="N3073" s="1668">
        <v>2.0276589275594907</v>
      </c>
      <c r="O3073" s="1668"/>
    </row>
    <row r="3074" spans="11:15">
      <c r="K3074" s="1664">
        <v>45131</v>
      </c>
      <c r="L3074" s="1668" t="s">
        <v>2296</v>
      </c>
      <c r="M3074" s="910">
        <v>4.9036999999999997E-2</v>
      </c>
      <c r="N3074" s="1668">
        <v>2.028653230667798</v>
      </c>
      <c r="O3074" s="1668"/>
    </row>
    <row r="3075" spans="11:15">
      <c r="K3075" s="1664">
        <v>45132</v>
      </c>
      <c r="L3075" s="1668" t="s">
        <v>2296</v>
      </c>
      <c r="M3075" s="910">
        <v>4.9036999999999997E-2</v>
      </c>
      <c r="N3075" s="1668">
        <v>2.0296480213525205</v>
      </c>
      <c r="O3075" s="1668"/>
    </row>
    <row r="3076" spans="11:15">
      <c r="K3076" s="1664">
        <v>45133</v>
      </c>
      <c r="L3076" s="1668" t="s">
        <v>2296</v>
      </c>
      <c r="M3076" s="910">
        <v>4.9036999999999997E-2</v>
      </c>
      <c r="N3076" s="1668">
        <v>2.0306432998527515</v>
      </c>
      <c r="O3076" s="1668"/>
    </row>
    <row r="3077" spans="11:15">
      <c r="K3077" s="1664">
        <v>45134</v>
      </c>
      <c r="L3077" s="1668" t="s">
        <v>2296</v>
      </c>
      <c r="M3077" s="910">
        <v>4.9036999999999997E-2</v>
      </c>
      <c r="N3077" s="1668">
        <v>2.0316390664077004</v>
      </c>
      <c r="O3077" s="1668"/>
    </row>
    <row r="3078" spans="11:15">
      <c r="K3078" s="1664">
        <v>45135</v>
      </c>
      <c r="L3078" s="1668" t="s">
        <v>2296</v>
      </c>
      <c r="M3078" s="910">
        <v>4.9036999999999997E-2</v>
      </c>
      <c r="N3078" s="1668">
        <v>2.032635321256695</v>
      </c>
      <c r="O3078" s="1668"/>
    </row>
    <row r="3079" spans="11:15">
      <c r="K3079" s="1664">
        <v>45136</v>
      </c>
      <c r="L3079" s="1668"/>
      <c r="M3079" s="910">
        <v>0</v>
      </c>
      <c r="N3079" s="1668">
        <v>2.032635321256695</v>
      </c>
      <c r="O3079" s="1668"/>
    </row>
    <row r="3080" spans="11:15">
      <c r="K3080" s="1664">
        <v>45137</v>
      </c>
      <c r="L3080" s="1668"/>
      <c r="M3080" s="910">
        <v>0</v>
      </c>
      <c r="N3080" s="1668">
        <v>2.032635321256695</v>
      </c>
      <c r="O3080" s="1668"/>
    </row>
    <row r="3081" spans="11:15">
      <c r="K3081" s="1664">
        <v>45138</v>
      </c>
      <c r="L3081" s="1668" t="s">
        <v>2296</v>
      </c>
      <c r="M3081" s="910">
        <v>4.9036999999999997E-2</v>
      </c>
      <c r="N3081" s="1668">
        <v>2.0336320646391797</v>
      </c>
      <c r="O3081" s="1668"/>
    </row>
    <row r="3082" spans="11:15">
      <c r="K3082" s="1664">
        <v>45139</v>
      </c>
      <c r="L3082" s="1668" t="s">
        <v>2296</v>
      </c>
      <c r="M3082" s="910">
        <v>4.9036999999999997E-2</v>
      </c>
      <c r="N3082" s="1668">
        <v>2.034629296794717</v>
      </c>
      <c r="O3082" s="1668"/>
    </row>
    <row r="3083" spans="11:15">
      <c r="K3083" s="1664">
        <v>45140</v>
      </c>
      <c r="L3083" s="1668" t="s">
        <v>2296</v>
      </c>
      <c r="M3083" s="910">
        <v>4.9036999999999997E-2</v>
      </c>
      <c r="N3083" s="1668">
        <v>2.0356270179629865</v>
      </c>
      <c r="O3083" s="1668"/>
    </row>
    <row r="3084" spans="11:15">
      <c r="K3084" s="1664">
        <v>45141</v>
      </c>
      <c r="L3084" s="1668" t="s">
        <v>2296</v>
      </c>
      <c r="M3084" s="910">
        <v>4.9036999999999997E-2</v>
      </c>
      <c r="N3084" s="1668">
        <v>2.0366252283837851</v>
      </c>
      <c r="O3084" s="1668"/>
    </row>
    <row r="3085" spans="11:15">
      <c r="K3085" s="1664">
        <v>45142</v>
      </c>
      <c r="L3085" s="1668" t="s">
        <v>2296</v>
      </c>
      <c r="M3085" s="910">
        <v>4.9036999999999997E-2</v>
      </c>
      <c r="N3085" s="1668">
        <v>2.0376239282970277</v>
      </c>
      <c r="O3085" s="1668"/>
    </row>
    <row r="3086" spans="11:15">
      <c r="K3086" s="1664">
        <v>45143</v>
      </c>
      <c r="L3086" s="1668"/>
      <c r="M3086" s="910">
        <v>0</v>
      </c>
      <c r="N3086" s="1668">
        <v>2.0376239282970277</v>
      </c>
      <c r="O3086" s="1668"/>
    </row>
    <row r="3087" spans="11:15">
      <c r="K3087" s="1664">
        <v>45144</v>
      </c>
      <c r="L3087" s="1668"/>
      <c r="M3087" s="910">
        <v>0</v>
      </c>
      <c r="N3087" s="1668">
        <v>2.0376239282970277</v>
      </c>
      <c r="O3087" s="1668"/>
    </row>
    <row r="3088" spans="11:15">
      <c r="K3088" s="1664">
        <v>45145</v>
      </c>
      <c r="L3088" s="1668" t="s">
        <v>2296</v>
      </c>
      <c r="M3088" s="910">
        <v>4.9036999999999997E-2</v>
      </c>
      <c r="N3088" s="1668">
        <v>2.038623117942747</v>
      </c>
      <c r="O3088" s="1668"/>
    </row>
    <row r="3089" spans="11:15">
      <c r="K3089" s="1664">
        <v>45146</v>
      </c>
      <c r="L3089" s="1668" t="s">
        <v>2296</v>
      </c>
      <c r="M3089" s="910">
        <v>4.9036999999999997E-2</v>
      </c>
      <c r="N3089" s="1668">
        <v>2.0396227975610928</v>
      </c>
      <c r="O3089" s="1668"/>
    </row>
    <row r="3090" spans="11:15">
      <c r="K3090" s="1664">
        <v>45147</v>
      </c>
      <c r="L3090" s="1668" t="s">
        <v>2296</v>
      </c>
      <c r="M3090" s="910">
        <v>4.9036999999999997E-2</v>
      </c>
      <c r="N3090" s="1668">
        <v>2.0406229673923328</v>
      </c>
      <c r="O3090" s="1668"/>
    </row>
    <row r="3091" spans="11:15">
      <c r="K3091" s="1664">
        <v>45148</v>
      </c>
      <c r="L3091" s="1668" t="s">
        <v>2296</v>
      </c>
      <c r="M3091" s="910">
        <v>4.9036999999999997E-2</v>
      </c>
      <c r="N3091" s="1668">
        <v>2.0416236276768531</v>
      </c>
      <c r="O3091" s="1668"/>
    </row>
    <row r="3092" spans="11:15">
      <c r="K3092" s="1664">
        <v>45149</v>
      </c>
      <c r="L3092" s="1668" t="s">
        <v>2296</v>
      </c>
      <c r="M3092" s="910">
        <v>4.9036999999999997E-2</v>
      </c>
      <c r="N3092" s="1668">
        <v>2.0426247786551572</v>
      </c>
      <c r="O3092" s="1668"/>
    </row>
    <row r="3093" spans="11:15">
      <c r="K3093" s="1664">
        <v>45150</v>
      </c>
      <c r="L3093" s="1668"/>
      <c r="M3093" s="910">
        <v>0</v>
      </c>
      <c r="N3093" s="1668">
        <v>2.0426247786551572</v>
      </c>
      <c r="O3093" s="1668"/>
    </row>
    <row r="3094" spans="11:15">
      <c r="K3094" s="1664">
        <v>45151</v>
      </c>
      <c r="L3094" s="1668"/>
      <c r="M3094" s="910">
        <v>0</v>
      </c>
      <c r="N3094" s="1668">
        <v>2.0426247786551572</v>
      </c>
      <c r="O3094" s="1668"/>
    </row>
    <row r="3095" spans="11:15">
      <c r="K3095" s="1664">
        <v>45152</v>
      </c>
      <c r="L3095" s="1668" t="s">
        <v>2296</v>
      </c>
      <c r="M3095" s="910">
        <v>4.9036999999999997E-2</v>
      </c>
      <c r="N3095" s="1668">
        <v>2.0436264205678665</v>
      </c>
      <c r="O3095" s="1668"/>
    </row>
    <row r="3096" spans="11:15">
      <c r="K3096" s="1664">
        <v>45153</v>
      </c>
      <c r="L3096" s="1668" t="s">
        <v>2296</v>
      </c>
      <c r="M3096" s="910">
        <v>4.9036999999999997E-2</v>
      </c>
      <c r="N3096" s="1668">
        <v>2.0446285536557203</v>
      </c>
      <c r="O3096" s="1668"/>
    </row>
    <row r="3097" spans="11:15">
      <c r="K3097" s="1664">
        <v>45154</v>
      </c>
      <c r="L3097" s="1668" t="s">
        <v>2296</v>
      </c>
      <c r="M3097" s="910">
        <v>4.9036999999999997E-2</v>
      </c>
      <c r="N3097" s="1668">
        <v>2.0456311781595766</v>
      </c>
      <c r="O3097" s="1668"/>
    </row>
    <row r="3098" spans="11:15">
      <c r="K3098" s="1664">
        <v>45155</v>
      </c>
      <c r="L3098" s="1668" t="s">
        <v>2296</v>
      </c>
      <c r="M3098" s="910">
        <v>4.9036999999999997E-2</v>
      </c>
      <c r="N3098" s="1668">
        <v>2.0466342943204108</v>
      </c>
      <c r="O3098" s="1668"/>
    </row>
    <row r="3099" spans="11:15">
      <c r="K3099" s="1664">
        <v>45156</v>
      </c>
      <c r="L3099" s="1668" t="s">
        <v>2296</v>
      </c>
      <c r="M3099" s="910">
        <v>4.9036999999999997E-2</v>
      </c>
      <c r="N3099" s="1668">
        <v>2.047637902379317</v>
      </c>
      <c r="O3099" s="1668"/>
    </row>
    <row r="3100" spans="11:15">
      <c r="K3100" s="1664">
        <v>45157</v>
      </c>
      <c r="L3100" s="1668"/>
      <c r="M3100" s="910">
        <v>0</v>
      </c>
      <c r="N3100" s="1668">
        <v>2.047637902379317</v>
      </c>
      <c r="O3100" s="1668"/>
    </row>
    <row r="3101" spans="11:15">
      <c r="K3101" s="1664">
        <v>45158</v>
      </c>
      <c r="L3101" s="1668"/>
      <c r="M3101" s="910">
        <v>0</v>
      </c>
      <c r="N3101" s="1668">
        <v>2.047637902379317</v>
      </c>
      <c r="O3101" s="1668"/>
    </row>
    <row r="3102" spans="11:15">
      <c r="K3102" s="1664">
        <v>45159</v>
      </c>
      <c r="L3102" s="1668" t="s">
        <v>2296</v>
      </c>
      <c r="M3102" s="910">
        <v>4.9036999999999997E-2</v>
      </c>
      <c r="N3102" s="1668">
        <v>2.0486420025775067</v>
      </c>
      <c r="O3102" s="1668"/>
    </row>
    <row r="3103" spans="11:15">
      <c r="K3103" s="1664">
        <v>45160</v>
      </c>
      <c r="L3103" s="1668" t="s">
        <v>2296</v>
      </c>
      <c r="M3103" s="910">
        <v>4.9036999999999997E-2</v>
      </c>
      <c r="N3103" s="1668">
        <v>2.049646595156311</v>
      </c>
      <c r="O3103" s="1668"/>
    </row>
    <row r="3104" spans="11:15">
      <c r="K3104" s="1664">
        <v>45161</v>
      </c>
      <c r="L3104" s="1668" t="s">
        <v>2296</v>
      </c>
      <c r="M3104" s="910">
        <v>4.9036999999999997E-2</v>
      </c>
      <c r="N3104" s="1668">
        <v>2.0506516803571779</v>
      </c>
      <c r="O3104" s="1668"/>
    </row>
    <row r="3105" spans="11:15">
      <c r="K3105" s="1664">
        <v>45162</v>
      </c>
      <c r="L3105" s="1668" t="s">
        <v>2296</v>
      </c>
      <c r="M3105" s="910">
        <v>4.9036999999999997E-2</v>
      </c>
      <c r="N3105" s="1668">
        <v>2.0516572584216748</v>
      </c>
      <c r="O3105" s="1668"/>
    </row>
    <row r="3106" spans="11:15">
      <c r="K3106" s="1664">
        <v>45163</v>
      </c>
      <c r="L3106" s="1668" t="s">
        <v>2296</v>
      </c>
      <c r="M3106" s="910">
        <v>4.9036999999999997E-2</v>
      </c>
      <c r="N3106" s="1668">
        <v>2.0526633295914873</v>
      </c>
      <c r="O3106" s="1668"/>
    </row>
    <row r="3107" spans="11:15">
      <c r="K3107" s="1664">
        <v>45164</v>
      </c>
      <c r="L3107" s="1668"/>
      <c r="M3107" s="910">
        <v>0</v>
      </c>
      <c r="N3107" s="1668">
        <v>2.0526633295914873</v>
      </c>
      <c r="O3107" s="1668"/>
    </row>
    <row r="3108" spans="11:15">
      <c r="K3108" s="1664">
        <v>45165</v>
      </c>
      <c r="L3108" s="1668"/>
      <c r="M3108" s="910">
        <v>0</v>
      </c>
      <c r="N3108" s="1668">
        <v>2.0526633295914873</v>
      </c>
      <c r="O3108" s="1668"/>
    </row>
    <row r="3109" spans="11:15">
      <c r="K3109" s="1664">
        <v>45166</v>
      </c>
      <c r="L3109" s="1668" t="s">
        <v>2296</v>
      </c>
      <c r="M3109" s="910">
        <v>4.9036999999999997E-2</v>
      </c>
      <c r="N3109" s="1668">
        <v>2.053669894108419</v>
      </c>
      <c r="O3109" s="1668"/>
    </row>
    <row r="3110" spans="11:15">
      <c r="K3110" s="1664">
        <v>45167</v>
      </c>
      <c r="L3110" s="1668" t="s">
        <v>2296</v>
      </c>
      <c r="M3110" s="910">
        <v>4.9036999999999997E-2</v>
      </c>
      <c r="N3110" s="1668">
        <v>2.0546769522143933</v>
      </c>
      <c r="O3110" s="1668"/>
    </row>
    <row r="3111" spans="11:15">
      <c r="K3111" s="1664">
        <v>45168</v>
      </c>
      <c r="L3111" s="1668" t="s">
        <v>2296</v>
      </c>
      <c r="M3111" s="910">
        <v>4.9036999999999997E-2</v>
      </c>
      <c r="N3111" s="1668">
        <v>2.0556845041514507</v>
      </c>
      <c r="O3111" s="1668"/>
    </row>
    <row r="3112" spans="11:15">
      <c r="K3112" s="1664">
        <v>45169</v>
      </c>
      <c r="L3112" s="1668" t="s">
        <v>2296</v>
      </c>
      <c r="M3112" s="910">
        <v>4.9036999999999997E-2</v>
      </c>
      <c r="N3112" s="1668">
        <v>2.0566925501617517</v>
      </c>
      <c r="O3112" s="1668"/>
    </row>
    <row r="3113" spans="11:15">
      <c r="K3113" s="1664">
        <v>45170</v>
      </c>
      <c r="L3113" s="1668" t="s">
        <v>2296</v>
      </c>
      <c r="M3113" s="910">
        <v>4.9036999999999997E-2</v>
      </c>
      <c r="N3113" s="1668">
        <v>2.0577010904875745</v>
      </c>
      <c r="O3113" s="1668"/>
    </row>
    <row r="3114" spans="11:15">
      <c r="K3114" s="1664">
        <v>45171</v>
      </c>
      <c r="L3114" s="1668"/>
      <c r="M3114" s="910">
        <v>0</v>
      </c>
      <c r="N3114" s="1668">
        <v>2.0577010904875745</v>
      </c>
      <c r="O3114" s="1668"/>
    </row>
    <row r="3115" spans="11:15">
      <c r="K3115" s="1664">
        <v>45172</v>
      </c>
      <c r="L3115" s="1668"/>
      <c r="M3115" s="910">
        <v>0</v>
      </c>
      <c r="N3115" s="1668">
        <v>2.0577010904875745</v>
      </c>
      <c r="O3115" s="1668"/>
    </row>
    <row r="3116" spans="11:15">
      <c r="K3116" s="1664">
        <v>45173</v>
      </c>
      <c r="L3116" s="1668" t="s">
        <v>2296</v>
      </c>
      <c r="M3116" s="910">
        <v>4.9036999999999997E-2</v>
      </c>
      <c r="N3116" s="1668">
        <v>2.0587101253713169</v>
      </c>
      <c r="O3116" s="1668"/>
    </row>
    <row r="3117" spans="11:15">
      <c r="K3117" s="1664">
        <v>45174</v>
      </c>
      <c r="L3117" s="1668" t="s">
        <v>2296</v>
      </c>
      <c r="M3117" s="910">
        <v>4.9036999999999997E-2</v>
      </c>
      <c r="N3117" s="1668">
        <v>2.0597196550554955</v>
      </c>
      <c r="O3117" s="1668"/>
    </row>
    <row r="3118" spans="11:15">
      <c r="K3118" s="1664">
        <v>45175</v>
      </c>
      <c r="L3118" s="1668" t="s">
        <v>2296</v>
      </c>
      <c r="M3118" s="910">
        <v>4.9036999999999997E-2</v>
      </c>
      <c r="N3118" s="1668">
        <v>2.060729679782745</v>
      </c>
      <c r="O3118" s="1668"/>
    </row>
    <row r="3119" spans="11:15">
      <c r="K3119" s="1664">
        <v>45176</v>
      </c>
      <c r="L3119" s="1668"/>
      <c r="M3119" s="910">
        <v>0</v>
      </c>
      <c r="N3119" s="1668">
        <v>2.060729679782745</v>
      </c>
      <c r="O3119" s="1668"/>
    </row>
    <row r="3120" spans="11:15">
      <c r="K3120" s="1664">
        <v>45177</v>
      </c>
      <c r="L3120" s="1668" t="s">
        <v>2296</v>
      </c>
      <c r="M3120" s="910">
        <v>4.9036999999999997E-2</v>
      </c>
      <c r="N3120" s="1668">
        <v>2.0617401997958202</v>
      </c>
      <c r="O3120" s="1668"/>
    </row>
    <row r="3121" spans="11:15">
      <c r="K3121" s="1664">
        <v>45178</v>
      </c>
      <c r="L3121" s="1668"/>
      <c r="M3121" s="910">
        <v>0</v>
      </c>
      <c r="N3121" s="1668">
        <v>2.0617401997958202</v>
      </c>
      <c r="O3121" s="1668"/>
    </row>
    <row r="3122" spans="11:15">
      <c r="K3122" s="1664">
        <v>45179</v>
      </c>
      <c r="L3122" s="1668"/>
      <c r="M3122" s="910">
        <v>0</v>
      </c>
      <c r="N3122" s="1668">
        <v>2.0617401997958202</v>
      </c>
      <c r="O3122" s="1668"/>
    </row>
    <row r="3123" spans="11:15">
      <c r="K3123" s="1664">
        <v>45180</v>
      </c>
      <c r="L3123" s="1668" t="s">
        <v>2296</v>
      </c>
      <c r="M3123" s="910">
        <v>4.9036999999999997E-2</v>
      </c>
      <c r="N3123" s="1668">
        <v>2.0627512153375944</v>
      </c>
      <c r="O3123" s="1668"/>
    </row>
    <row r="3124" spans="11:15">
      <c r="K3124" s="1664">
        <v>45181</v>
      </c>
      <c r="L3124" s="1668" t="s">
        <v>2296</v>
      </c>
      <c r="M3124" s="910">
        <v>4.9036999999999997E-2</v>
      </c>
      <c r="N3124" s="1668">
        <v>2.0637627266510599</v>
      </c>
      <c r="O3124" s="1668"/>
    </row>
    <row r="3125" spans="11:15">
      <c r="K3125" s="1664">
        <v>45182</v>
      </c>
      <c r="L3125" s="1668" t="s">
        <v>2296</v>
      </c>
      <c r="M3125" s="910">
        <v>4.9036999999999997E-2</v>
      </c>
      <c r="N3125" s="1668">
        <v>2.0647747339793279</v>
      </c>
      <c r="O3125" s="1668"/>
    </row>
    <row r="3126" spans="11:15">
      <c r="K3126" s="1664">
        <v>45183</v>
      </c>
      <c r="L3126" s="1668" t="s">
        <v>2296</v>
      </c>
      <c r="M3126" s="910">
        <v>4.9036999999999997E-2</v>
      </c>
      <c r="N3126" s="1668">
        <v>2.0657872375656297</v>
      </c>
      <c r="O3126" s="1668"/>
    </row>
    <row r="3127" spans="11:15">
      <c r="K3127" s="1664">
        <v>45184</v>
      </c>
      <c r="L3127" s="1668" t="s">
        <v>2296</v>
      </c>
      <c r="M3127" s="910">
        <v>4.9036999999999997E-2</v>
      </c>
      <c r="N3127" s="1668">
        <v>2.066800237653315</v>
      </c>
      <c r="O3127" s="1668"/>
    </row>
    <row r="3128" spans="11:15">
      <c r="K3128" s="1664">
        <v>45185</v>
      </c>
      <c r="L3128" s="1668"/>
      <c r="M3128" s="910">
        <v>0</v>
      </c>
      <c r="N3128" s="1668">
        <v>2.066800237653315</v>
      </c>
      <c r="O3128" s="1668"/>
    </row>
    <row r="3129" spans="11:15">
      <c r="K3129" s="1664">
        <v>45186</v>
      </c>
      <c r="L3129" s="1668"/>
      <c r="M3129" s="910">
        <v>0</v>
      </c>
      <c r="N3129" s="1668">
        <v>2.066800237653315</v>
      </c>
      <c r="O3129" s="1668"/>
    </row>
    <row r="3130" spans="11:15">
      <c r="K3130" s="1664">
        <v>45187</v>
      </c>
      <c r="L3130" s="1668" t="s">
        <v>2296</v>
      </c>
      <c r="M3130" s="910">
        <v>4.9036999999999997E-2</v>
      </c>
      <c r="N3130" s="1668">
        <v>2.0678137344858531</v>
      </c>
      <c r="O3130" s="1668"/>
    </row>
    <row r="3131" spans="11:15">
      <c r="K3131" s="1664">
        <v>45188</v>
      </c>
      <c r="L3131" s="1668" t="s">
        <v>2296</v>
      </c>
      <c r="M3131" s="910">
        <v>4.9036999999999997E-2</v>
      </c>
      <c r="N3131" s="1668">
        <v>2.0688277283068333</v>
      </c>
      <c r="O3131" s="1668"/>
    </row>
    <row r="3132" spans="11:15">
      <c r="K3132" s="1664">
        <v>45189</v>
      </c>
      <c r="L3132" s="1668" t="s">
        <v>2296</v>
      </c>
      <c r="M3132" s="910">
        <v>4.9036999999999997E-2</v>
      </c>
      <c r="N3132" s="1668">
        <v>2.069842219359963</v>
      </c>
      <c r="O3132" s="1668"/>
    </row>
    <row r="3133" spans="11:15">
      <c r="K3133" s="1664">
        <v>45190</v>
      </c>
      <c r="L3133" s="1668" t="s">
        <v>2296</v>
      </c>
      <c r="M3133" s="910">
        <v>4.9036999999999997E-2</v>
      </c>
      <c r="N3133" s="1668">
        <v>2.0708572078890706</v>
      </c>
      <c r="O3133" s="1668"/>
    </row>
    <row r="3134" spans="11:15">
      <c r="K3134" s="1664">
        <v>45191</v>
      </c>
      <c r="L3134" s="1668" t="s">
        <v>2296</v>
      </c>
      <c r="M3134" s="910">
        <v>4.9036999999999997E-2</v>
      </c>
      <c r="N3134" s="1668">
        <v>2.0718726941381034</v>
      </c>
      <c r="O3134" s="1668"/>
    </row>
    <row r="3135" spans="11:15">
      <c r="K3135" s="1664">
        <v>45192</v>
      </c>
      <c r="L3135" s="1668"/>
      <c r="M3135" s="910">
        <v>0</v>
      </c>
      <c r="N3135" s="1668">
        <v>2.0718726941381034</v>
      </c>
      <c r="O3135" s="1668"/>
    </row>
    <row r="3136" spans="11:15">
      <c r="K3136" s="1664">
        <v>45193</v>
      </c>
      <c r="L3136" s="1668"/>
      <c r="M3136" s="910">
        <v>0</v>
      </c>
      <c r="N3136" s="1668">
        <v>2.0718726941381034</v>
      </c>
      <c r="O3136" s="1668"/>
    </row>
    <row r="3137" spans="11:15">
      <c r="K3137" s="1664">
        <v>45194</v>
      </c>
      <c r="L3137" s="1668" t="s">
        <v>2296</v>
      </c>
      <c r="M3137" s="910">
        <v>4.9036999999999997E-2</v>
      </c>
      <c r="N3137" s="1668">
        <v>2.072888678351128</v>
      </c>
      <c r="O3137" s="1668"/>
    </row>
    <row r="3138" spans="11:15">
      <c r="K3138" s="1664">
        <v>45195</v>
      </c>
      <c r="L3138" s="1668" t="s">
        <v>2296</v>
      </c>
      <c r="M3138" s="910">
        <v>4.9036999999999997E-2</v>
      </c>
      <c r="N3138" s="1668">
        <v>2.0739051607723313</v>
      </c>
      <c r="O3138" s="1668"/>
    </row>
    <row r="3139" spans="11:15">
      <c r="K3139" s="1664">
        <v>45196</v>
      </c>
      <c r="L3139" s="1668" t="s">
        <v>2296</v>
      </c>
      <c r="M3139" s="910">
        <v>4.9036999999999997E-2</v>
      </c>
      <c r="N3139" s="1668">
        <v>2.0749221416460193</v>
      </c>
      <c r="O3139" s="1668"/>
    </row>
    <row r="3140" spans="11:15">
      <c r="K3140" s="1664">
        <v>45197</v>
      </c>
      <c r="L3140" s="1668" t="s">
        <v>2296</v>
      </c>
      <c r="M3140" s="910">
        <v>4.9036999999999997E-2</v>
      </c>
      <c r="N3140" s="1668">
        <v>2.0759396212166186</v>
      </c>
      <c r="O3140" s="1668"/>
    </row>
    <row r="3141" spans="11:15">
      <c r="K3141" s="1664">
        <v>45198</v>
      </c>
      <c r="L3141" s="1668" t="s">
        <v>2296</v>
      </c>
      <c r="M3141" s="910">
        <v>4.9036999999999997E-2</v>
      </c>
      <c r="N3141" s="1668">
        <v>2.0769575997286749</v>
      </c>
      <c r="O3141" s="1668"/>
    </row>
    <row r="3142" spans="11:15">
      <c r="K3142" s="1664">
        <v>45199</v>
      </c>
      <c r="L3142" s="1668"/>
      <c r="M3142" s="910">
        <v>0</v>
      </c>
      <c r="N3142" s="1668">
        <v>2.0769575997286749</v>
      </c>
      <c r="O3142" s="1668"/>
    </row>
    <row r="3143" spans="11:15">
      <c r="K3143" s="1664">
        <v>45200</v>
      </c>
      <c r="L3143" s="1668"/>
      <c r="M3143" s="910">
        <v>0</v>
      </c>
      <c r="N3143" s="1668">
        <v>2.0769575997286749</v>
      </c>
      <c r="O3143" s="1668"/>
    </row>
    <row r="3144" spans="11:15">
      <c r="K3144" s="1664">
        <v>45201</v>
      </c>
      <c r="L3144" s="1668" t="s">
        <v>2296</v>
      </c>
      <c r="M3144" s="910">
        <v>4.9036999999999997E-2</v>
      </c>
      <c r="N3144" s="1668">
        <v>2.0779760774268539</v>
      </c>
      <c r="O3144" s="1668"/>
    </row>
    <row r="3145" spans="11:15">
      <c r="K3145" s="1664">
        <v>45202</v>
      </c>
      <c r="L3145" s="1668" t="s">
        <v>2296</v>
      </c>
      <c r="M3145" s="910">
        <v>4.9036999999999997E-2</v>
      </c>
      <c r="N3145" s="1668">
        <v>2.0789950545559419</v>
      </c>
      <c r="O3145" s="1668"/>
    </row>
    <row r="3146" spans="11:15">
      <c r="K3146" s="1664">
        <v>45203</v>
      </c>
      <c r="L3146" s="1668" t="s">
        <v>2296</v>
      </c>
      <c r="M3146" s="910">
        <v>4.9036999999999997E-2</v>
      </c>
      <c r="N3146" s="1668">
        <v>2.0800145313608445</v>
      </c>
      <c r="O3146" s="1668"/>
    </row>
    <row r="3147" spans="11:15">
      <c r="K3147" s="1664">
        <v>45204</v>
      </c>
      <c r="L3147" s="1668" t="s">
        <v>2296</v>
      </c>
      <c r="M3147" s="910">
        <v>4.9036999999999997E-2</v>
      </c>
      <c r="N3147" s="1668">
        <v>2.0810345080865882</v>
      </c>
      <c r="O3147" s="1668"/>
    </row>
    <row r="3148" spans="11:15">
      <c r="K3148" s="1664">
        <v>45205</v>
      </c>
      <c r="L3148" s="1668" t="s">
        <v>2296</v>
      </c>
      <c r="M3148" s="910">
        <v>4.9036999999999997E-2</v>
      </c>
      <c r="N3148" s="1668">
        <v>2.0820549849783188</v>
      </c>
      <c r="O3148" s="1668"/>
    </row>
    <row r="3149" spans="11:15">
      <c r="K3149" s="1664">
        <v>45206</v>
      </c>
      <c r="L3149" s="1668"/>
      <c r="M3149" s="910">
        <v>0</v>
      </c>
      <c r="N3149" s="1668">
        <v>2.0820549849783188</v>
      </c>
      <c r="O3149" s="1668"/>
    </row>
    <row r="3150" spans="11:15">
      <c r="K3150" s="1664">
        <v>45207</v>
      </c>
      <c r="L3150" s="1668"/>
      <c r="M3150" s="910">
        <v>0</v>
      </c>
      <c r="N3150" s="1668">
        <v>2.0820549849783188</v>
      </c>
      <c r="O3150" s="1668"/>
    </row>
    <row r="3151" spans="11:15">
      <c r="K3151" s="1664">
        <v>45208</v>
      </c>
      <c r="L3151" s="1668" t="s">
        <v>2296</v>
      </c>
      <c r="M3151" s="910">
        <v>4.9036999999999997E-2</v>
      </c>
      <c r="N3151" s="1668">
        <v>2.0830759622813027</v>
      </c>
      <c r="O3151" s="1668"/>
    </row>
    <row r="3152" spans="11:15">
      <c r="K3152" s="1664">
        <v>45209</v>
      </c>
      <c r="L3152" s="1668" t="s">
        <v>2296</v>
      </c>
      <c r="M3152" s="910">
        <v>4.9036999999999997E-2</v>
      </c>
      <c r="N3152" s="1668">
        <v>2.0840974402409267</v>
      </c>
      <c r="O3152" s="1668"/>
    </row>
    <row r="3153" spans="11:15">
      <c r="K3153" s="1664">
        <v>45210</v>
      </c>
      <c r="L3153" s="1668" t="s">
        <v>2296</v>
      </c>
      <c r="M3153" s="910">
        <v>4.9036999999999997E-2</v>
      </c>
      <c r="N3153" s="1668">
        <v>2.0851194191026976</v>
      </c>
      <c r="O3153" s="1668"/>
    </row>
    <row r="3154" spans="11:15">
      <c r="K3154" s="1664">
        <v>45211</v>
      </c>
      <c r="L3154" s="1668"/>
      <c r="M3154" s="910">
        <v>0</v>
      </c>
      <c r="N3154" s="1668">
        <v>2.0851194191026976</v>
      </c>
      <c r="O3154" s="1668"/>
    </row>
    <row r="3155" spans="11:15">
      <c r="K3155" s="1664">
        <v>45212</v>
      </c>
      <c r="L3155" s="1668" t="s">
        <v>2296</v>
      </c>
      <c r="M3155" s="910">
        <v>4.9036999999999997E-2</v>
      </c>
      <c r="N3155" s="1668">
        <v>2.0861418991122433</v>
      </c>
      <c r="O3155" s="1668"/>
    </row>
    <row r="3156" spans="11:15">
      <c r="K3156" s="1664">
        <v>45213</v>
      </c>
      <c r="L3156" s="1668"/>
      <c r="M3156" s="910">
        <v>0</v>
      </c>
      <c r="N3156" s="1668">
        <v>2.0861418991122433</v>
      </c>
      <c r="O3156" s="1668"/>
    </row>
    <row r="3157" spans="11:15">
      <c r="K3157" s="1664">
        <v>45214</v>
      </c>
      <c r="L3157" s="1668"/>
      <c r="M3157" s="910">
        <v>0</v>
      </c>
      <c r="N3157" s="1668">
        <v>2.0861418991122433</v>
      </c>
      <c r="O3157" s="1668"/>
    </row>
    <row r="3158" spans="11:15">
      <c r="K3158" s="1664">
        <v>45215</v>
      </c>
      <c r="L3158" s="1668" t="s">
        <v>2296</v>
      </c>
      <c r="M3158" s="910">
        <v>4.9036999999999997E-2</v>
      </c>
      <c r="N3158" s="1668">
        <v>2.0871648805153113</v>
      </c>
      <c r="O3158" s="1668"/>
    </row>
    <row r="3159" spans="11:15">
      <c r="K3159" s="1664">
        <v>45216</v>
      </c>
      <c r="L3159" s="1668" t="s">
        <v>2296</v>
      </c>
      <c r="M3159" s="910">
        <v>4.9036999999999997E-2</v>
      </c>
      <c r="N3159" s="1668">
        <v>2.0881883635577698</v>
      </c>
      <c r="O3159" s="1668"/>
    </row>
    <row r="3160" spans="11:15">
      <c r="K3160" s="1664">
        <v>45217</v>
      </c>
      <c r="L3160" s="1668" t="s">
        <v>2296</v>
      </c>
      <c r="M3160" s="910">
        <v>4.9036999999999997E-2</v>
      </c>
      <c r="N3160" s="1668">
        <v>2.0892123484856078</v>
      </c>
      <c r="O3160" s="1668"/>
    </row>
    <row r="3161" spans="11:15">
      <c r="K3161" s="1664">
        <v>45218</v>
      </c>
      <c r="L3161" s="1668" t="s">
        <v>2296</v>
      </c>
      <c r="M3161" s="910">
        <v>4.9036999999999997E-2</v>
      </c>
      <c r="N3161" s="1668">
        <v>2.090236835544935</v>
      </c>
      <c r="O3161" s="1668"/>
    </row>
    <row r="3162" spans="11:15">
      <c r="K3162" s="1664">
        <v>45219</v>
      </c>
      <c r="L3162" s="1668" t="s">
        <v>2296</v>
      </c>
      <c r="M3162" s="910">
        <v>4.9036999999999997E-2</v>
      </c>
      <c r="N3162" s="1668">
        <v>2.0912618249819812</v>
      </c>
      <c r="O3162" s="1668"/>
    </row>
    <row r="3163" spans="11:15">
      <c r="K3163" s="1664">
        <v>45220</v>
      </c>
      <c r="L3163" s="1668"/>
      <c r="M3163" s="910">
        <v>0</v>
      </c>
      <c r="N3163" s="1668">
        <v>2.0912618249819812</v>
      </c>
      <c r="O3163" s="1668"/>
    </row>
    <row r="3164" spans="11:15">
      <c r="K3164" s="1664">
        <v>45221</v>
      </c>
      <c r="L3164" s="1668"/>
      <c r="M3164" s="910">
        <v>0</v>
      </c>
      <c r="N3164" s="1668">
        <v>2.0912618249819812</v>
      </c>
      <c r="O3164" s="1668"/>
    </row>
    <row r="3165" spans="11:15">
      <c r="K3165" s="1664">
        <v>45222</v>
      </c>
      <c r="L3165" s="1668" t="s">
        <v>2296</v>
      </c>
      <c r="M3165" s="910">
        <v>4.9036999999999997E-2</v>
      </c>
      <c r="N3165" s="1668">
        <v>2.0922873170430978</v>
      </c>
      <c r="O3165" s="1668"/>
    </row>
    <row r="3166" spans="11:15">
      <c r="K3166" s="1664">
        <v>45223</v>
      </c>
      <c r="L3166" s="1668" t="s">
        <v>2296</v>
      </c>
      <c r="M3166" s="910">
        <v>4.9036999999999997E-2</v>
      </c>
      <c r="N3166" s="1668">
        <v>2.0933133119747565</v>
      </c>
      <c r="O3166" s="1668"/>
    </row>
    <row r="3167" spans="11:15">
      <c r="K3167" s="1664">
        <v>45224</v>
      </c>
      <c r="L3167" s="1668" t="s">
        <v>2296</v>
      </c>
      <c r="M3167" s="910">
        <v>4.9036999999999997E-2</v>
      </c>
      <c r="N3167" s="1668">
        <v>2.0943398100235497</v>
      </c>
      <c r="O3167" s="1668"/>
    </row>
    <row r="3168" spans="11:15">
      <c r="K3168" s="1664">
        <v>45225</v>
      </c>
      <c r="L3168" s="1668" t="s">
        <v>2296</v>
      </c>
      <c r="M3168" s="910">
        <v>4.9036999999999997E-2</v>
      </c>
      <c r="N3168" s="1668">
        <v>2.095366811436191</v>
      </c>
      <c r="O3168" s="1668"/>
    </row>
    <row r="3169" spans="11:15">
      <c r="K3169" s="1664">
        <v>45226</v>
      </c>
      <c r="L3169" s="1668" t="s">
        <v>2296</v>
      </c>
      <c r="M3169" s="910">
        <v>4.9036999999999997E-2</v>
      </c>
      <c r="N3169" s="1668">
        <v>2.0963943164595151</v>
      </c>
      <c r="O3169" s="1668"/>
    </row>
    <row r="3170" spans="11:15">
      <c r="K3170" s="1664">
        <v>45227</v>
      </c>
      <c r="L3170" s="1668"/>
      <c r="M3170" s="910">
        <v>0</v>
      </c>
      <c r="N3170" s="1668">
        <v>2.0963943164595151</v>
      </c>
      <c r="O3170" s="1668"/>
    </row>
    <row r="3171" spans="11:15">
      <c r="K3171" s="1664">
        <v>45228</v>
      </c>
      <c r="L3171" s="1668"/>
      <c r="M3171" s="910">
        <v>0</v>
      </c>
      <c r="N3171" s="1668">
        <v>2.0963943164595151</v>
      </c>
      <c r="O3171" s="1668"/>
    </row>
    <row r="3172" spans="11:15">
      <c r="K3172" s="1664">
        <v>45229</v>
      </c>
      <c r="L3172" s="1668" t="s">
        <v>2296</v>
      </c>
      <c r="M3172" s="910">
        <v>4.9036999999999997E-2</v>
      </c>
      <c r="N3172" s="1668">
        <v>2.0974223253404776</v>
      </c>
      <c r="O3172" s="1668"/>
    </row>
    <row r="3173" spans="11:15">
      <c r="K3173" s="1664">
        <v>45230</v>
      </c>
      <c r="L3173" s="1668" t="s">
        <v>2296</v>
      </c>
      <c r="M3173" s="910">
        <v>4.9036999999999997E-2</v>
      </c>
      <c r="N3173" s="1668">
        <v>2.0984508383261549</v>
      </c>
      <c r="O3173" s="1668"/>
    </row>
    <row r="3174" spans="11:15">
      <c r="K3174" s="1664">
        <v>45231</v>
      </c>
      <c r="L3174" s="1668" t="s">
        <v>2296</v>
      </c>
      <c r="M3174" s="910">
        <v>4.9036999999999997E-2</v>
      </c>
      <c r="N3174" s="1668">
        <v>2.0994798556637448</v>
      </c>
      <c r="O3174" s="1668"/>
    </row>
    <row r="3175" spans="11:15">
      <c r="K3175" s="1664">
        <v>45232</v>
      </c>
      <c r="L3175" s="1668"/>
      <c r="M3175" s="910">
        <v>0</v>
      </c>
      <c r="N3175" s="1668">
        <v>2.0994798556637448</v>
      </c>
      <c r="O3175" s="1668"/>
    </row>
    <row r="3176" spans="11:15">
      <c r="K3176" s="1664">
        <v>45233</v>
      </c>
      <c r="L3176" s="1668" t="s">
        <v>2296</v>
      </c>
      <c r="M3176" s="910">
        <v>4.9036999999999997E-2</v>
      </c>
      <c r="N3176" s="1668">
        <v>2.100509377600567</v>
      </c>
      <c r="O3176" s="1668"/>
    </row>
    <row r="3177" spans="11:15">
      <c r="K3177" s="1664">
        <v>45234</v>
      </c>
      <c r="L3177" s="1668"/>
      <c r="M3177" s="910">
        <v>0</v>
      </c>
      <c r="N3177" s="1668">
        <v>2.100509377600567</v>
      </c>
      <c r="O3177" s="1668"/>
    </row>
    <row r="3178" spans="11:15">
      <c r="K3178" s="1664">
        <v>45235</v>
      </c>
      <c r="L3178" s="1668"/>
      <c r="M3178" s="910">
        <v>0</v>
      </c>
      <c r="N3178" s="1668">
        <v>2.100509377600567</v>
      </c>
      <c r="O3178" s="1668"/>
    </row>
    <row r="3179" spans="11:15">
      <c r="K3179" s="1664">
        <v>45236</v>
      </c>
      <c r="L3179" s="1668" t="s">
        <v>2296</v>
      </c>
      <c r="M3179" s="910">
        <v>4.9036999999999997E-2</v>
      </c>
      <c r="N3179" s="1668">
        <v>2.1015394043840612</v>
      </c>
      <c r="O3179" s="1668"/>
    </row>
    <row r="3180" spans="11:15">
      <c r="K3180" s="1664">
        <v>45237</v>
      </c>
      <c r="L3180" s="1668" t="s">
        <v>2296</v>
      </c>
      <c r="M3180" s="910">
        <v>4.9036999999999997E-2</v>
      </c>
      <c r="N3180" s="1668">
        <v>2.1025699362617893</v>
      </c>
      <c r="O3180" s="1668"/>
    </row>
    <row r="3181" spans="11:15">
      <c r="K3181" s="1664">
        <v>45238</v>
      </c>
      <c r="L3181" s="1668" t="s">
        <v>2296</v>
      </c>
      <c r="M3181" s="910">
        <v>4.9036999999999997E-2</v>
      </c>
      <c r="N3181" s="1668">
        <v>2.1036009734814343</v>
      </c>
      <c r="O3181" s="1668"/>
    </row>
    <row r="3182" spans="11:15">
      <c r="K3182" s="1664">
        <v>45239</v>
      </c>
      <c r="L3182" s="1668" t="s">
        <v>2296</v>
      </c>
      <c r="M3182" s="910">
        <v>4.9036999999999997E-2</v>
      </c>
      <c r="N3182" s="1668">
        <v>2.1046325162908004</v>
      </c>
      <c r="O3182" s="1668"/>
    </row>
    <row r="3183" spans="11:15">
      <c r="K3183" s="1664">
        <v>45240</v>
      </c>
      <c r="L3183" s="1668" t="s">
        <v>2296</v>
      </c>
      <c r="M3183" s="910">
        <v>4.9036999999999997E-2</v>
      </c>
      <c r="N3183" s="1668">
        <v>2.1056645649378143</v>
      </c>
      <c r="O3183" s="1668"/>
    </row>
    <row r="3184" spans="11:15">
      <c r="K3184" s="1664">
        <v>45241</v>
      </c>
      <c r="L3184" s="1668"/>
      <c r="M3184" s="910">
        <v>0</v>
      </c>
      <c r="N3184" s="1668">
        <v>2.1056645649378143</v>
      </c>
      <c r="O3184" s="1668"/>
    </row>
    <row r="3185" spans="11:15">
      <c r="K3185" s="1664">
        <v>45242</v>
      </c>
      <c r="L3185" s="1668"/>
      <c r="M3185" s="910">
        <v>0</v>
      </c>
      <c r="N3185" s="1668">
        <v>2.1056645649378143</v>
      </c>
      <c r="O3185" s="1668"/>
    </row>
    <row r="3186" spans="11:15">
      <c r="K3186" s="1664">
        <v>45243</v>
      </c>
      <c r="L3186" s="1668" t="s">
        <v>2296</v>
      </c>
      <c r="M3186" s="910">
        <v>4.9036999999999997E-2</v>
      </c>
      <c r="N3186" s="1668">
        <v>2.1066971196705229</v>
      </c>
      <c r="O3186" s="1668"/>
    </row>
    <row r="3187" spans="11:15">
      <c r="K3187" s="1664">
        <v>45244</v>
      </c>
      <c r="L3187" s="1668" t="s">
        <v>2296</v>
      </c>
      <c r="M3187" s="910">
        <v>4.9036999999999997E-2</v>
      </c>
      <c r="N3187" s="1668">
        <v>2.1077301807370961</v>
      </c>
      <c r="O3187" s="1668"/>
    </row>
    <row r="3188" spans="11:15">
      <c r="K3188" s="1664">
        <v>45245</v>
      </c>
      <c r="L3188" s="1668"/>
      <c r="M3188" s="910">
        <v>0</v>
      </c>
      <c r="N3188" s="1668">
        <v>2.1077301807370961</v>
      </c>
      <c r="O3188" s="1668"/>
    </row>
    <row r="3189" spans="11:15">
      <c r="K3189" s="1664">
        <v>45246</v>
      </c>
      <c r="L3189" s="1668" t="s">
        <v>2296</v>
      </c>
      <c r="M3189" s="910">
        <v>4.9036999999999997E-2</v>
      </c>
      <c r="N3189" s="1668">
        <v>2.1087637483858241</v>
      </c>
      <c r="O3189" s="1668"/>
    </row>
    <row r="3190" spans="11:15">
      <c r="K3190" s="1664">
        <v>45247</v>
      </c>
      <c r="L3190" s="1668" t="s">
        <v>2296</v>
      </c>
      <c r="M3190" s="910">
        <v>4.9036999999999997E-2</v>
      </c>
      <c r="N3190" s="1668">
        <v>2.1097978228651204</v>
      </c>
      <c r="O3190" s="1668"/>
    </row>
    <row r="3191" spans="11:15">
      <c r="K3191" s="1664">
        <v>45248</v>
      </c>
      <c r="L3191" s="1668"/>
      <c r="M3191" s="910">
        <v>0</v>
      </c>
      <c r="N3191" s="1668">
        <v>2.1097978228651204</v>
      </c>
      <c r="O3191" s="1668"/>
    </row>
    <row r="3192" spans="11:15">
      <c r="K3192" s="1664">
        <v>45249</v>
      </c>
      <c r="L3192" s="1668"/>
      <c r="M3192" s="910">
        <v>0</v>
      </c>
      <c r="N3192" s="1668">
        <v>2.1097978228651204</v>
      </c>
      <c r="O3192" s="1668"/>
    </row>
    <row r="3193" spans="11:15">
      <c r="K3193" s="1664">
        <v>45250</v>
      </c>
      <c r="L3193" s="1668" t="s">
        <v>2296</v>
      </c>
      <c r="M3193" s="910">
        <v>4.9036999999999997E-2</v>
      </c>
      <c r="N3193" s="1668">
        <v>2.1108324044235189</v>
      </c>
      <c r="O3193" s="1668"/>
    </row>
    <row r="3194" spans="11:15">
      <c r="K3194" s="1664">
        <v>45251</v>
      </c>
      <c r="L3194" s="1668" t="s">
        <v>2296</v>
      </c>
      <c r="M3194" s="910">
        <v>4.9036999999999997E-2</v>
      </c>
      <c r="N3194" s="1668">
        <v>2.1118674933096764</v>
      </c>
      <c r="O3194" s="1668"/>
    </row>
    <row r="3195" spans="11:15">
      <c r="K3195" s="1664">
        <v>45252</v>
      </c>
      <c r="L3195" s="1668" t="s">
        <v>2296</v>
      </c>
      <c r="M3195" s="910">
        <v>4.9036999999999997E-2</v>
      </c>
      <c r="N3195" s="1668">
        <v>2.1129030897723706</v>
      </c>
      <c r="O3195" s="1668"/>
    </row>
    <row r="3196" spans="11:15">
      <c r="K3196" s="1664">
        <v>45253</v>
      </c>
      <c r="L3196" s="1668" t="s">
        <v>2296</v>
      </c>
      <c r="M3196" s="910">
        <v>4.9036999999999997E-2</v>
      </c>
      <c r="N3196" s="1668">
        <v>2.1139391940605026</v>
      </c>
      <c r="O3196" s="1668"/>
    </row>
    <row r="3197" spans="11:15">
      <c r="K3197" s="1664">
        <v>45254</v>
      </c>
      <c r="L3197" s="1668" t="s">
        <v>2296</v>
      </c>
      <c r="M3197" s="910">
        <v>4.9036999999999997E-2</v>
      </c>
      <c r="N3197" s="1668">
        <v>2.1149758064230944</v>
      </c>
      <c r="O3197" s="1668"/>
    </row>
    <row r="3198" spans="11:15">
      <c r="K3198" s="1664">
        <v>45255</v>
      </c>
      <c r="L3198" s="1668"/>
      <c r="M3198" s="910">
        <v>0</v>
      </c>
      <c r="N3198" s="1668">
        <v>2.1149758064230944</v>
      </c>
      <c r="O3198" s="1668"/>
    </row>
    <row r="3199" spans="11:15">
      <c r="K3199" s="1664">
        <v>45256</v>
      </c>
      <c r="L3199" s="1668"/>
      <c r="M3199" s="910">
        <v>0</v>
      </c>
      <c r="N3199" s="1668">
        <v>2.1149758064230944</v>
      </c>
      <c r="O3199" s="1668"/>
    </row>
    <row r="3200" spans="11:15">
      <c r="K3200" s="1664">
        <v>45257</v>
      </c>
      <c r="L3200" s="1668" t="s">
        <v>2296</v>
      </c>
      <c r="M3200" s="910">
        <v>4.9036999999999997E-2</v>
      </c>
      <c r="N3200" s="1668">
        <v>2.1160129271092902</v>
      </c>
      <c r="O3200" s="1668"/>
    </row>
    <row r="3201" spans="11:15">
      <c r="K3201" s="1664">
        <v>45258</v>
      </c>
      <c r="L3201" s="1668" t="s">
        <v>2296</v>
      </c>
      <c r="M3201" s="910">
        <v>4.9036999999999997E-2</v>
      </c>
      <c r="N3201" s="1668">
        <v>2.117050556368357</v>
      </c>
      <c r="O3201" s="1668"/>
    </row>
    <row r="3202" spans="11:15">
      <c r="K3202" s="1664">
        <v>45259</v>
      </c>
      <c r="L3202" s="1668" t="s">
        <v>2296</v>
      </c>
      <c r="M3202" s="910">
        <v>4.9036999999999997E-2</v>
      </c>
      <c r="N3202" s="1668">
        <v>2.1180886944496837</v>
      </c>
      <c r="O3202" s="1668"/>
    </row>
    <row r="3203" spans="11:15">
      <c r="K3203" s="1664">
        <v>45260</v>
      </c>
      <c r="L3203" s="1668" t="s">
        <v>2296</v>
      </c>
      <c r="M3203" s="910">
        <v>4.9036999999999997E-2</v>
      </c>
      <c r="N3203" s="1668">
        <v>2.1191273416027814</v>
      </c>
      <c r="O3203" s="1668"/>
    </row>
    <row r="3204" spans="11:15">
      <c r="K3204" s="1664">
        <v>45261</v>
      </c>
      <c r="L3204" s="1668" t="s">
        <v>2296</v>
      </c>
      <c r="M3204" s="910">
        <v>4.9036999999999997E-2</v>
      </c>
      <c r="N3204" s="1668">
        <v>2.1201664980772832</v>
      </c>
      <c r="O3204" s="1668"/>
    </row>
    <row r="3205" spans="11:15">
      <c r="K3205" s="1664">
        <v>45262</v>
      </c>
      <c r="L3205" s="1668"/>
      <c r="M3205" s="910">
        <v>0</v>
      </c>
      <c r="N3205" s="1668">
        <v>2.1201664980772832</v>
      </c>
      <c r="O3205" s="1668"/>
    </row>
    <row r="3206" spans="11:15">
      <c r="K3206" s="1664">
        <v>45263</v>
      </c>
      <c r="L3206" s="1668"/>
      <c r="M3206" s="910">
        <v>0</v>
      </c>
      <c r="N3206" s="1668">
        <v>2.1201664980772832</v>
      </c>
      <c r="O3206" s="1668"/>
    </row>
    <row r="3207" spans="11:15">
      <c r="K3207" s="1664">
        <v>45264</v>
      </c>
      <c r="L3207" s="1668" t="s">
        <v>2296</v>
      </c>
      <c r="M3207" s="910">
        <v>4.9036999999999997E-2</v>
      </c>
      <c r="N3207" s="1668">
        <v>2.1212061641229454</v>
      </c>
      <c r="O3207" s="1668"/>
    </row>
    <row r="3208" spans="11:15">
      <c r="K3208" s="1664">
        <v>45265</v>
      </c>
      <c r="L3208" s="1668" t="s">
        <v>2296</v>
      </c>
      <c r="M3208" s="910">
        <v>4.9036999999999997E-2</v>
      </c>
      <c r="N3208" s="1668">
        <v>2.1222463399896463</v>
      </c>
      <c r="O3208" s="1668"/>
    </row>
    <row r="3209" spans="11:15">
      <c r="K3209" s="1664">
        <v>45266</v>
      </c>
      <c r="L3209" s="1668" t="s">
        <v>2296</v>
      </c>
      <c r="M3209" s="910">
        <v>4.9036999999999997E-2</v>
      </c>
      <c r="N3209" s="1668">
        <v>2.1232870259273873</v>
      </c>
      <c r="O3209" s="1668"/>
    </row>
    <row r="3210" spans="11:15">
      <c r="K3210" s="1664">
        <v>45267</v>
      </c>
      <c r="L3210" s="1668" t="s">
        <v>2296</v>
      </c>
      <c r="M3210" s="910">
        <v>4.9036999999999997E-2</v>
      </c>
      <c r="N3210" s="1668">
        <v>2.1243282221862914</v>
      </c>
      <c r="O3210" s="1668"/>
    </row>
    <row r="3211" spans="11:15">
      <c r="K3211" s="1664">
        <v>45268</v>
      </c>
      <c r="L3211" s="1668" t="s">
        <v>2296</v>
      </c>
      <c r="M3211" s="910">
        <v>4.9036999999999997E-2</v>
      </c>
      <c r="N3211" s="1668">
        <v>2.125369929016605</v>
      </c>
      <c r="O3211" s="1668"/>
    </row>
    <row r="3212" spans="11:15">
      <c r="K3212" s="1664">
        <v>45269</v>
      </c>
      <c r="L3212" s="1668"/>
      <c r="M3212" s="910">
        <v>0</v>
      </c>
      <c r="N3212" s="1668">
        <v>2.125369929016605</v>
      </c>
      <c r="O3212" s="1668"/>
    </row>
    <row r="3213" spans="11:15">
      <c r="K3213" s="1664">
        <v>45270</v>
      </c>
      <c r="L3213" s="1668"/>
      <c r="M3213" s="910">
        <v>0</v>
      </c>
      <c r="N3213" s="1668">
        <v>2.125369929016605</v>
      </c>
      <c r="O3213" s="1668"/>
    </row>
    <row r="3214" spans="11:15">
      <c r="K3214" s="1664">
        <v>45271</v>
      </c>
      <c r="L3214" s="1668" t="s">
        <v>2296</v>
      </c>
      <c r="M3214" s="910">
        <v>4.9036999999999997E-2</v>
      </c>
      <c r="N3214" s="1668">
        <v>2.1264121466686969</v>
      </c>
      <c r="O3214" s="1668"/>
    </row>
    <row r="3215" spans="11:15">
      <c r="K3215" s="1664">
        <v>45272</v>
      </c>
      <c r="L3215" s="1" t="s">
        <v>2296</v>
      </c>
      <c r="M3215" s="1">
        <v>4.9036999999999997E-2</v>
      </c>
      <c r="N3215" s="1">
        <v>2.1274548753930591</v>
      </c>
    </row>
    <row r="3216" spans="11:15">
      <c r="K3216" s="1664">
        <v>45273</v>
      </c>
      <c r="L3216" s="1" t="s">
        <v>2296</v>
      </c>
      <c r="M3216" s="1">
        <v>4.9036999999999997E-2</v>
      </c>
      <c r="N3216" s="1">
        <v>2.1284981154403058</v>
      </c>
    </row>
    <row r="3217" spans="11:14">
      <c r="K3217" s="1664">
        <v>45274</v>
      </c>
      <c r="L3217" s="1" t="s">
        <v>2296</v>
      </c>
      <c r="M3217" s="1">
        <v>4.9036999999999997E-2</v>
      </c>
      <c r="N3217" s="1">
        <v>2.1295418670611745</v>
      </c>
    </row>
    <row r="3218" spans="11:14">
      <c r="K3218" s="1664">
        <v>45275</v>
      </c>
      <c r="L3218" s="1" t="s">
        <v>2296</v>
      </c>
      <c r="M3218" s="1">
        <v>4.9036999999999997E-2</v>
      </c>
      <c r="N3218" s="1">
        <v>2.1305861305065257</v>
      </c>
    </row>
    <row r="3219" spans="11:14">
      <c r="K3219" s="1664">
        <v>45276</v>
      </c>
      <c r="M3219" s="1">
        <v>0</v>
      </c>
      <c r="N3219" s="1">
        <v>2.1305861305065257</v>
      </c>
    </row>
    <row r="3220" spans="11:14">
      <c r="K3220" s="1664">
        <v>45277</v>
      </c>
      <c r="M3220" s="1">
        <v>0</v>
      </c>
      <c r="N3220" s="1">
        <v>2.1305861305065257</v>
      </c>
    </row>
    <row r="3221" spans="11:14">
      <c r="K3221" s="1664">
        <v>45278</v>
      </c>
      <c r="L3221" s="1" t="s">
        <v>2296</v>
      </c>
      <c r="M3221" s="1">
        <v>4.9036999999999997E-2</v>
      </c>
      <c r="N3221" s="1">
        <v>2.1316309060273424</v>
      </c>
    </row>
    <row r="3222" spans="11:14">
      <c r="K3222" s="1664">
        <v>45279</v>
      </c>
      <c r="L3222" s="1" t="s">
        <v>2296</v>
      </c>
      <c r="M3222" s="1">
        <v>4.9036999999999997E-2</v>
      </c>
      <c r="N3222" s="1">
        <v>2.1326761938747314</v>
      </c>
    </row>
    <row r="3223" spans="11:14">
      <c r="K3223" s="1664">
        <v>45280</v>
      </c>
      <c r="L3223" s="1" t="s">
        <v>2296</v>
      </c>
      <c r="M3223" s="1">
        <v>4.9036999999999997E-2</v>
      </c>
      <c r="N3223" s="1">
        <v>2.1337219942999219</v>
      </c>
    </row>
    <row r="3224" spans="11:14">
      <c r="K3224" s="1664">
        <v>45281</v>
      </c>
      <c r="L3224" s="1" t="s">
        <v>2296</v>
      </c>
      <c r="M3224" s="1">
        <v>4.9036999999999997E-2</v>
      </c>
      <c r="N3224" s="1">
        <v>2.1347683075542667</v>
      </c>
    </row>
    <row r="3225" spans="11:14">
      <c r="K3225" s="1664">
        <v>45282</v>
      </c>
      <c r="L3225" s="1" t="s">
        <v>2296</v>
      </c>
      <c r="M3225" s="1">
        <v>4.9036999999999997E-2</v>
      </c>
      <c r="N3225" s="1">
        <v>2.1358151338892424</v>
      </c>
    </row>
    <row r="3226" spans="11:14">
      <c r="K3226" s="1664">
        <v>45283</v>
      </c>
      <c r="M3226" s="1">
        <v>0</v>
      </c>
      <c r="N3226" s="1">
        <v>2.1358151338892424</v>
      </c>
    </row>
    <row r="3227" spans="11:14">
      <c r="K3227" s="1664">
        <v>45284</v>
      </c>
      <c r="M3227" s="1">
        <v>0</v>
      </c>
      <c r="N3227" s="1">
        <v>2.1358151338892424</v>
      </c>
    </row>
    <row r="3228" spans="11:14">
      <c r="K3228" s="1664">
        <v>45285</v>
      </c>
      <c r="M3228" s="1">
        <v>0</v>
      </c>
      <c r="N3228" s="1">
        <v>2.1358151338892424</v>
      </c>
    </row>
    <row r="3229" spans="11:14">
      <c r="K3229" s="1664">
        <v>45286</v>
      </c>
      <c r="L3229" s="1" t="s">
        <v>2296</v>
      </c>
      <c r="M3229" s="1">
        <v>4.9036999999999997E-2</v>
      </c>
      <c r="N3229" s="1">
        <v>2.1368624735564477</v>
      </c>
    </row>
    <row r="3230" spans="11:14">
      <c r="K3230" s="1664">
        <v>45287</v>
      </c>
      <c r="L3230" s="1" t="s">
        <v>2296</v>
      </c>
      <c r="M3230" s="1">
        <v>4.9036999999999997E-2</v>
      </c>
      <c r="N3230" s="1">
        <v>2.1379103268076056</v>
      </c>
    </row>
    <row r="3231" spans="11:14">
      <c r="K3231" s="1664">
        <v>45288</v>
      </c>
      <c r="L3231" s="1" t="s">
        <v>2296</v>
      </c>
      <c r="M3231" s="1">
        <v>4.9036999999999997E-2</v>
      </c>
      <c r="N3231" s="1">
        <v>2.1389586938945624</v>
      </c>
    </row>
    <row r="3232" spans="11:14">
      <c r="K3232" s="1664">
        <v>45289</v>
      </c>
      <c r="L3232" s="1" t="s">
        <v>2296</v>
      </c>
      <c r="M3232" s="1">
        <v>4.9036999999999997E-2</v>
      </c>
      <c r="N3232" s="1">
        <v>2.1400075750692875</v>
      </c>
    </row>
    <row r="3233" spans="11:14">
      <c r="K3233" s="1664">
        <v>45290</v>
      </c>
      <c r="M3233" s="1">
        <v>0</v>
      </c>
      <c r="N3233" s="1">
        <v>2.1400075750692875</v>
      </c>
    </row>
    <row r="3234" spans="11:14">
      <c r="K3234" s="1664">
        <v>45291</v>
      </c>
      <c r="M3234" s="1">
        <v>0</v>
      </c>
      <c r="N3234" s="1">
        <v>2.1400075750692875</v>
      </c>
    </row>
    <row r="3235" spans="11:14">
      <c r="K3235" s="1664">
        <v>45292</v>
      </c>
      <c r="M3235" s="1">
        <v>0</v>
      </c>
      <c r="N3235" s="1">
        <v>2.1400075750692875</v>
      </c>
    </row>
    <row r="3236" spans="11:14">
      <c r="K3236" s="1664">
        <v>45293</v>
      </c>
      <c r="L3236" s="1" t="s">
        <v>2296</v>
      </c>
      <c r="M3236" s="1">
        <v>4.9036999999999997E-2</v>
      </c>
      <c r="N3236" s="1">
        <v>2.1410569705838745</v>
      </c>
    </row>
    <row r="3237" spans="11:14">
      <c r="K3237" s="1664">
        <v>45294</v>
      </c>
      <c r="L3237" s="1" t="s">
        <v>2296</v>
      </c>
      <c r="M3237" s="1">
        <v>4.9036999999999997E-2</v>
      </c>
      <c r="N3237" s="1">
        <v>2.1421068806905397</v>
      </c>
    </row>
    <row r="3238" spans="11:14">
      <c r="K3238" s="1664">
        <v>45295</v>
      </c>
      <c r="L3238" s="1" t="s">
        <v>2296</v>
      </c>
      <c r="M3238" s="1">
        <v>4.9036999999999997E-2</v>
      </c>
      <c r="N3238" s="1">
        <v>2.143157305641624</v>
      </c>
    </row>
    <row r="3239" spans="11:14">
      <c r="K3239" s="1664">
        <v>45296</v>
      </c>
      <c r="L3239" s="1" t="s">
        <v>2296</v>
      </c>
      <c r="M3239" s="1">
        <v>4.9036999999999997E-2</v>
      </c>
      <c r="N3239" s="1">
        <v>2.1442082456895917</v>
      </c>
    </row>
    <row r="3240" spans="11:14">
      <c r="K3240" s="1664">
        <v>45297</v>
      </c>
      <c r="M3240" s="1">
        <v>0</v>
      </c>
      <c r="N3240" s="1">
        <v>2.1442082456895917</v>
      </c>
    </row>
    <row r="3241" spans="11:14">
      <c r="K3241" s="1664">
        <v>45298</v>
      </c>
      <c r="M3241" s="1">
        <v>0</v>
      </c>
      <c r="N3241" s="1">
        <v>2.1442082456895917</v>
      </c>
    </row>
    <row r="3242" spans="11:14">
      <c r="K3242" s="1664">
        <v>45299</v>
      </c>
      <c r="L3242" s="1" t="s">
        <v>2296</v>
      </c>
      <c r="M3242" s="1">
        <v>4.9036999999999997E-2</v>
      </c>
      <c r="N3242" s="1">
        <v>2.1452597010870305</v>
      </c>
    </row>
    <row r="3243" spans="11:14">
      <c r="K3243" s="1664">
        <v>45300</v>
      </c>
      <c r="L3243" s="1" t="s">
        <v>2296</v>
      </c>
      <c r="M3243" s="1">
        <v>4.9036999999999997E-2</v>
      </c>
      <c r="N3243" s="1">
        <v>2.1463116720866529</v>
      </c>
    </row>
    <row r="3244" spans="11:14">
      <c r="K3244" s="1664">
        <v>45301</v>
      </c>
      <c r="L3244" s="1" t="s">
        <v>2296</v>
      </c>
      <c r="M3244" s="1">
        <v>4.9036999999999997E-2</v>
      </c>
      <c r="N3244" s="1">
        <v>2.147364158941294</v>
      </c>
    </row>
    <row r="3245" spans="11:14">
      <c r="K3245" s="1664">
        <v>45302</v>
      </c>
      <c r="L3245" s="1" t="s">
        <v>2296</v>
      </c>
      <c r="M3245" s="1">
        <v>4.9036999999999997E-2</v>
      </c>
      <c r="N3245" s="1">
        <v>2.1484171619039141</v>
      </c>
    </row>
    <row r="3246" spans="11:14">
      <c r="K3246" s="1664">
        <v>45303</v>
      </c>
      <c r="L3246" s="1" t="s">
        <v>2296</v>
      </c>
      <c r="M3246" s="1">
        <v>4.9036999999999997E-2</v>
      </c>
      <c r="N3246" s="1">
        <v>2.149470681227597</v>
      </c>
    </row>
    <row r="3247" spans="11:14">
      <c r="K3247" s="1664">
        <v>45304</v>
      </c>
      <c r="M3247" s="1">
        <v>0</v>
      </c>
      <c r="N3247" s="1">
        <v>2.149470681227597</v>
      </c>
    </row>
    <row r="3248" spans="11:14">
      <c r="K3248" s="1664">
        <v>45305</v>
      </c>
      <c r="M3248" s="1">
        <v>0</v>
      </c>
      <c r="N3248" s="1">
        <v>2.149470681227597</v>
      </c>
    </row>
    <row r="3249" spans="11:14">
      <c r="K3249" s="1664">
        <v>45306</v>
      </c>
      <c r="L3249" s="1" t="s">
        <v>2296</v>
      </c>
      <c r="M3249" s="1">
        <v>4.9036999999999997E-2</v>
      </c>
      <c r="N3249" s="1">
        <v>2.1505247171655508</v>
      </c>
    </row>
    <row r="3250" spans="11:14">
      <c r="K3250" s="1664">
        <v>45307</v>
      </c>
      <c r="L3250" s="1" t="s">
        <v>2296</v>
      </c>
      <c r="M3250" s="1">
        <v>4.9036999999999997E-2</v>
      </c>
      <c r="N3250" s="1">
        <v>2.1515792699711076</v>
      </c>
    </row>
    <row r="3251" spans="11:14">
      <c r="K3251" s="1664">
        <v>45308</v>
      </c>
      <c r="L3251" s="1" t="s">
        <v>2296</v>
      </c>
      <c r="M3251" s="1">
        <v>4.9036999999999997E-2</v>
      </c>
      <c r="N3251" s="1">
        <v>2.1526343398977237</v>
      </c>
    </row>
    <row r="3252" spans="11:14">
      <c r="K3252" s="1664">
        <v>45309</v>
      </c>
      <c r="L3252" s="1" t="s">
        <v>2296</v>
      </c>
      <c r="M3252" s="1">
        <v>4.9036999999999997E-2</v>
      </c>
      <c r="N3252" s="1">
        <v>2.1536899271989793</v>
      </c>
    </row>
    <row r="3253" spans="11:14">
      <c r="K3253" s="1664">
        <v>45310</v>
      </c>
      <c r="L3253" s="1" t="s">
        <v>2296</v>
      </c>
      <c r="M3253" s="1">
        <v>4.9036999999999997E-2</v>
      </c>
      <c r="N3253" s="1">
        <v>2.1547460321285801</v>
      </c>
    </row>
    <row r="3254" spans="11:14">
      <c r="K3254" s="1664"/>
    </row>
    <row r="3255" spans="11:14">
      <c r="K3255" s="1664"/>
    </row>
    <row r="3256" spans="11:14">
      <c r="K3256" s="1664"/>
    </row>
    <row r="3257" spans="11:14">
      <c r="K3257" s="1664"/>
    </row>
    <row r="3258" spans="11:14">
      <c r="K3258" s="1664"/>
    </row>
    <row r="3259" spans="11:14">
      <c r="K3259" s="1664"/>
    </row>
    <row r="3260" spans="11:14">
      <c r="K3260" s="1664"/>
    </row>
    <row r="3261" spans="11:14">
      <c r="K3261" s="1664"/>
    </row>
    <row r="3262" spans="11:14">
      <c r="K3262" s="1664"/>
    </row>
    <row r="3263" spans="11:14">
      <c r="K3263" s="1664"/>
    </row>
    <row r="3264" spans="11:14">
      <c r="K3264" s="1664"/>
    </row>
    <row r="3265" spans="11:11">
      <c r="K3265" s="1664"/>
    </row>
    <row r="3266" spans="11:11">
      <c r="K3266" s="1664"/>
    </row>
    <row r="3267" spans="11:11">
      <c r="K3267" s="1664"/>
    </row>
    <row r="3268" spans="11:11">
      <c r="K3268" s="1664"/>
    </row>
    <row r="3269" spans="11:11">
      <c r="K3269" s="1664"/>
    </row>
    <row r="3270" spans="11:11">
      <c r="K3270" s="1664"/>
    </row>
    <row r="3271" spans="11:11">
      <c r="K3271" s="1664"/>
    </row>
    <row r="3272" spans="11:11">
      <c r="K3272" s="1664"/>
    </row>
    <row r="3273" spans="11:11">
      <c r="K3273" s="1664"/>
    </row>
    <row r="3274" spans="11:11">
      <c r="K3274" s="1664"/>
    </row>
    <row r="3275" spans="11:11">
      <c r="K3275" s="1664"/>
    </row>
    <row r="3276" spans="11:11">
      <c r="K3276" s="1664"/>
    </row>
    <row r="3277" spans="11:11">
      <c r="K3277" s="1664"/>
    </row>
    <row r="3278" spans="11:11">
      <c r="K3278" s="1664"/>
    </row>
    <row r="3279" spans="11:11">
      <c r="K3279" s="1664"/>
    </row>
    <row r="3280" spans="11:11">
      <c r="K3280" s="1664"/>
    </row>
    <row r="3281" spans="11:11">
      <c r="K3281" s="1664"/>
    </row>
    <row r="3282" spans="11:11">
      <c r="K3282" s="1664"/>
    </row>
    <row r="3283" spans="11:11">
      <c r="K3283" s="1664"/>
    </row>
    <row r="3284" spans="11:11">
      <c r="K3284" s="1664"/>
    </row>
    <row r="3285" spans="11:11">
      <c r="K3285" s="1664"/>
    </row>
    <row r="3286" spans="11:11">
      <c r="K3286" s="1664"/>
    </row>
    <row r="3287" spans="11:11">
      <c r="K3287" s="1664"/>
    </row>
    <row r="3288" spans="11:11">
      <c r="K3288" s="1664"/>
    </row>
    <row r="3289" spans="11:11">
      <c r="K3289" s="1664"/>
    </row>
    <row r="3290" spans="11:11">
      <c r="K3290" s="1664"/>
    </row>
    <row r="3291" spans="11:11">
      <c r="K3291" s="1664"/>
    </row>
    <row r="3292" spans="11:11">
      <c r="K3292" s="1664"/>
    </row>
    <row r="3293" spans="11:11">
      <c r="K3293" s="1664"/>
    </row>
    <row r="3294" spans="11:11">
      <c r="K3294" s="1664"/>
    </row>
    <row r="3295" spans="11:11">
      <c r="K3295" s="1664"/>
    </row>
    <row r="3296" spans="11:11">
      <c r="K3296" s="1664"/>
    </row>
    <row r="3297" spans="11:11">
      <c r="K3297" s="1664"/>
    </row>
    <row r="3298" spans="11:11">
      <c r="K3298" s="1664"/>
    </row>
    <row r="3299" spans="11:11">
      <c r="K3299" s="1664"/>
    </row>
    <row r="3300" spans="11:11">
      <c r="K3300" s="1664"/>
    </row>
    <row r="3301" spans="11:11">
      <c r="K3301" s="1664"/>
    </row>
    <row r="3302" spans="11:11">
      <c r="K3302" s="1664"/>
    </row>
    <row r="3303" spans="11:11">
      <c r="K3303" s="1664"/>
    </row>
    <row r="3304" spans="11:11">
      <c r="K3304" s="1664"/>
    </row>
    <row r="3305" spans="11:11">
      <c r="K3305" s="1664"/>
    </row>
    <row r="3306" spans="11:11">
      <c r="K3306" s="1664"/>
    </row>
    <row r="3307" spans="11:11">
      <c r="K3307" s="1664"/>
    </row>
    <row r="3308" spans="11:11">
      <c r="K3308" s="1664"/>
    </row>
    <row r="3309" spans="11:11">
      <c r="K3309" s="1664"/>
    </row>
    <row r="3310" spans="11:11">
      <c r="K3310" s="1664"/>
    </row>
    <row r="3311" spans="11:11">
      <c r="K3311" s="1664"/>
    </row>
    <row r="3312" spans="11:11">
      <c r="K3312" s="1664"/>
    </row>
    <row r="3313" spans="11:11">
      <c r="K3313" s="1664"/>
    </row>
    <row r="3314" spans="11:11">
      <c r="K3314" s="1664"/>
    </row>
    <row r="3315" spans="11:11">
      <c r="K3315" s="1664"/>
    </row>
    <row r="3316" spans="11:11">
      <c r="K3316" s="1664"/>
    </row>
    <row r="3317" spans="11:11">
      <c r="K3317" s="1664"/>
    </row>
    <row r="3318" spans="11:11">
      <c r="K3318" s="1664"/>
    </row>
    <row r="3319" spans="11:11">
      <c r="K3319" s="1664"/>
    </row>
    <row r="3320" spans="11:11">
      <c r="K3320" s="1664"/>
    </row>
    <row r="3321" spans="11:11">
      <c r="K3321" s="1664"/>
    </row>
    <row r="3322" spans="11:11">
      <c r="K3322" s="1664"/>
    </row>
    <row r="3323" spans="11:11">
      <c r="K3323" s="1664"/>
    </row>
    <row r="3324" spans="11:11">
      <c r="K3324" s="1664"/>
    </row>
    <row r="3325" spans="11:11">
      <c r="K3325" s="1664"/>
    </row>
    <row r="3326" spans="11:11">
      <c r="K3326" s="1664"/>
    </row>
    <row r="3327" spans="11:11">
      <c r="K3327" s="1664"/>
    </row>
    <row r="3328" spans="11:11">
      <c r="K3328" s="1664"/>
    </row>
    <row r="3329" spans="11:11">
      <c r="K3329" s="1664"/>
    </row>
    <row r="3330" spans="11:11">
      <c r="K3330" s="1664"/>
    </row>
    <row r="3331" spans="11:11">
      <c r="K3331" s="1664"/>
    </row>
    <row r="3332" spans="11:11">
      <c r="K3332" s="1664"/>
    </row>
    <row r="3333" spans="11:11">
      <c r="K3333" s="1664"/>
    </row>
    <row r="3334" spans="11:11">
      <c r="K3334" s="1664"/>
    </row>
    <row r="3335" spans="11:11">
      <c r="K3335" s="1664"/>
    </row>
    <row r="3336" spans="11:11">
      <c r="K3336" s="1664"/>
    </row>
    <row r="3337" spans="11:11">
      <c r="K3337" s="1664"/>
    </row>
    <row r="3338" spans="11:11">
      <c r="K3338" s="1664"/>
    </row>
    <row r="3339" spans="11:11">
      <c r="K3339" s="1664"/>
    </row>
    <row r="3340" spans="11:11">
      <c r="K3340" s="1664"/>
    </row>
    <row r="3341" spans="11:11">
      <c r="K3341" s="1664"/>
    </row>
    <row r="3342" spans="11:11">
      <c r="K3342" s="1664"/>
    </row>
    <row r="3343" spans="11:11">
      <c r="K3343" s="1664"/>
    </row>
    <row r="3344" spans="11:11">
      <c r="K3344" s="1664"/>
    </row>
    <row r="3345" spans="11:11">
      <c r="K3345" s="1664"/>
    </row>
    <row r="3346" spans="11:11">
      <c r="K3346" s="1664"/>
    </row>
    <row r="3347" spans="11:11">
      <c r="K3347" s="1664"/>
    </row>
    <row r="3348" spans="11:11">
      <c r="K3348" s="1664"/>
    </row>
    <row r="3349" spans="11:11">
      <c r="K3349" s="1664"/>
    </row>
    <row r="3350" spans="11:11">
      <c r="K3350" s="1664"/>
    </row>
    <row r="3351" spans="11:11">
      <c r="K3351" s="1664"/>
    </row>
    <row r="3352" spans="11:11">
      <c r="K3352" s="1664"/>
    </row>
    <row r="3353" spans="11:11">
      <c r="K3353" s="1664"/>
    </row>
    <row r="3354" spans="11:11">
      <c r="K3354" s="1664"/>
    </row>
    <row r="3355" spans="11:11">
      <c r="K3355" s="1664"/>
    </row>
    <row r="3356" spans="11:11">
      <c r="K3356" s="1664"/>
    </row>
    <row r="3357" spans="11:11">
      <c r="K3357" s="1664"/>
    </row>
    <row r="3358" spans="11:11">
      <c r="K3358" s="1664"/>
    </row>
    <row r="3359" spans="11:11">
      <c r="K3359" s="1664"/>
    </row>
    <row r="3360" spans="11:11">
      <c r="K3360" s="1664"/>
    </row>
    <row r="3361" spans="11:11">
      <c r="K3361" s="1664"/>
    </row>
    <row r="3362" spans="11:11">
      <c r="K3362" s="1664"/>
    </row>
    <row r="3363" spans="11:11">
      <c r="K3363" s="1664"/>
    </row>
    <row r="3364" spans="11:11">
      <c r="K3364" s="1664"/>
    </row>
    <row r="3365" spans="11:11">
      <c r="K3365" s="1664"/>
    </row>
    <row r="3366" spans="11:11">
      <c r="K3366" s="1664"/>
    </row>
    <row r="3367" spans="11:11">
      <c r="K3367" s="1664"/>
    </row>
    <row r="3368" spans="11:11">
      <c r="K3368" s="1664"/>
    </row>
    <row r="3369" spans="11:11">
      <c r="K3369" s="1664"/>
    </row>
    <row r="3370" spans="11:11">
      <c r="K3370" s="1664"/>
    </row>
    <row r="3371" spans="11:11">
      <c r="K3371" s="1664"/>
    </row>
    <row r="3372" spans="11:11">
      <c r="K3372" s="1664"/>
    </row>
    <row r="3373" spans="11:11">
      <c r="K3373" s="1664"/>
    </row>
    <row r="3374" spans="11:11">
      <c r="K3374" s="1664"/>
    </row>
    <row r="3375" spans="11:11">
      <c r="K3375" s="1664"/>
    </row>
    <row r="3376" spans="11:11">
      <c r="K3376" s="1664"/>
    </row>
    <row r="3377" spans="11:11">
      <c r="K3377" s="1664"/>
    </row>
    <row r="3378" spans="11:11">
      <c r="K3378" s="1664"/>
    </row>
    <row r="3379" spans="11:11">
      <c r="K3379" s="1664"/>
    </row>
    <row r="3380" spans="11:11">
      <c r="K3380" s="1664"/>
    </row>
    <row r="3381" spans="11:11">
      <c r="K3381" s="1664"/>
    </row>
    <row r="3382" spans="11:11">
      <c r="K3382" s="1664"/>
    </row>
    <row r="3383" spans="11:11">
      <c r="K3383" s="1664"/>
    </row>
    <row r="3384" spans="11:11">
      <c r="K3384" s="1664"/>
    </row>
    <row r="3385" spans="11:11">
      <c r="K3385" s="1664"/>
    </row>
    <row r="3386" spans="11:11">
      <c r="K3386" s="1664"/>
    </row>
    <row r="3387" spans="11:11">
      <c r="K3387" s="1664"/>
    </row>
    <row r="3388" spans="11:11">
      <c r="K3388" s="1664"/>
    </row>
    <row r="3389" spans="11:11">
      <c r="K3389" s="1664"/>
    </row>
    <row r="3390" spans="11:11">
      <c r="K3390" s="1664"/>
    </row>
    <row r="3391" spans="11:11">
      <c r="K3391" s="1664"/>
    </row>
    <row r="3392" spans="11:11">
      <c r="K3392" s="1664"/>
    </row>
    <row r="3393" spans="11:11">
      <c r="K3393" s="1664"/>
    </row>
    <row r="3394" spans="11:11">
      <c r="K3394" s="1664"/>
    </row>
    <row r="3395" spans="11:11">
      <c r="K3395" s="1664"/>
    </row>
    <row r="3396" spans="11:11">
      <c r="K3396" s="1664"/>
    </row>
    <row r="3397" spans="11:11">
      <c r="K3397" s="1664"/>
    </row>
    <row r="3398" spans="11:11">
      <c r="K3398" s="1664"/>
    </row>
    <row r="3399" spans="11:11">
      <c r="K3399" s="1664"/>
    </row>
    <row r="3400" spans="11:11">
      <c r="K3400" s="1664"/>
    </row>
    <row r="3401" spans="11:11">
      <c r="K3401" s="1664"/>
    </row>
    <row r="3402" spans="11:11">
      <c r="K3402" s="1664"/>
    </row>
    <row r="3403" spans="11:11">
      <c r="K3403" s="1664"/>
    </row>
    <row r="3404" spans="11:11">
      <c r="K3404" s="1664"/>
    </row>
    <row r="3405" spans="11:11">
      <c r="K3405" s="1664"/>
    </row>
    <row r="3406" spans="11:11">
      <c r="K3406" s="1664"/>
    </row>
    <row r="3407" spans="11:11">
      <c r="K3407" s="1664"/>
    </row>
    <row r="3408" spans="11:11">
      <c r="K3408" s="1664"/>
    </row>
    <row r="3409" spans="11:11">
      <c r="K3409" s="1664"/>
    </row>
    <row r="3410" spans="11:11">
      <c r="K3410" s="1664"/>
    </row>
    <row r="3411" spans="11:11">
      <c r="K3411" s="1664"/>
    </row>
    <row r="3412" spans="11:11">
      <c r="K3412" s="1664"/>
    </row>
    <row r="3413" spans="11:11">
      <c r="K3413" s="1664"/>
    </row>
    <row r="3414" spans="11:11">
      <c r="K3414" s="1664"/>
    </row>
    <row r="3415" spans="11:11">
      <c r="K3415" s="1664"/>
    </row>
    <row r="3416" spans="11:11">
      <c r="K3416" s="1664"/>
    </row>
    <row r="3417" spans="11:11">
      <c r="K3417" s="1664"/>
    </row>
    <row r="3418" spans="11:11">
      <c r="K3418" s="1664"/>
    </row>
    <row r="3419" spans="11:11">
      <c r="K3419" s="1664"/>
    </row>
    <row r="3420" spans="11:11">
      <c r="K3420" s="1664"/>
    </row>
    <row r="3421" spans="11:11">
      <c r="K3421" s="1664"/>
    </row>
    <row r="3422" spans="11:11">
      <c r="K3422" s="1664"/>
    </row>
    <row r="3423" spans="11:11">
      <c r="K3423" s="1664"/>
    </row>
    <row r="3424" spans="11:11">
      <c r="K3424" s="1664"/>
    </row>
    <row r="3425" spans="11:11">
      <c r="K3425" s="1664"/>
    </row>
    <row r="3426" spans="11:11">
      <c r="K3426" s="1664"/>
    </row>
    <row r="3427" spans="11:11">
      <c r="K3427" s="1664"/>
    </row>
    <row r="3428" spans="11:11">
      <c r="K3428" s="1664"/>
    </row>
    <row r="3429" spans="11:11">
      <c r="K3429" s="1664"/>
    </row>
    <row r="3430" spans="11:11">
      <c r="K3430" s="1664"/>
    </row>
    <row r="3431" spans="11:11">
      <c r="K3431" s="1664"/>
    </row>
    <row r="3432" spans="11:11">
      <c r="K3432" s="1664"/>
    </row>
    <row r="3433" spans="11:11">
      <c r="K3433" s="1664"/>
    </row>
    <row r="3434" spans="11:11">
      <c r="K3434" s="1664"/>
    </row>
    <row r="3435" spans="11:11">
      <c r="K3435" s="1664"/>
    </row>
    <row r="3436" spans="11:11">
      <c r="K3436" s="1664"/>
    </row>
    <row r="3437" spans="11:11">
      <c r="K3437" s="1664"/>
    </row>
    <row r="3438" spans="11:11">
      <c r="K3438" s="1664"/>
    </row>
    <row r="3439" spans="11:11">
      <c r="K3439" s="1664"/>
    </row>
    <row r="3440" spans="11:11">
      <c r="K3440" s="1664"/>
    </row>
    <row r="3441" spans="11:11">
      <c r="K3441" s="1664"/>
    </row>
    <row r="3442" spans="11:11">
      <c r="K3442" s="1664"/>
    </row>
    <row r="3443" spans="11:11">
      <c r="K3443" s="1664"/>
    </row>
    <row r="3444" spans="11:11">
      <c r="K3444" s="1664"/>
    </row>
    <row r="3445" spans="11:11">
      <c r="K3445" s="1664"/>
    </row>
    <row r="3446" spans="11:11">
      <c r="K3446" s="1664"/>
    </row>
    <row r="3447" spans="11:11">
      <c r="K3447" s="1664"/>
    </row>
    <row r="3448" spans="11:11">
      <c r="K3448" s="1664"/>
    </row>
    <row r="3449" spans="11:11">
      <c r="K3449" s="1664"/>
    </row>
    <row r="3450" spans="11:11">
      <c r="K3450" s="1664"/>
    </row>
    <row r="3451" spans="11:11">
      <c r="K3451" s="1664"/>
    </row>
    <row r="3452" spans="11:11">
      <c r="K3452" s="1664"/>
    </row>
    <row r="3453" spans="11:11">
      <c r="K3453" s="1664"/>
    </row>
    <row r="3454" spans="11:11">
      <c r="K3454" s="1664"/>
    </row>
    <row r="3455" spans="11:11">
      <c r="K3455" s="1664"/>
    </row>
    <row r="3456" spans="11:11">
      <c r="K3456" s="1664"/>
    </row>
    <row r="3457" spans="11:11">
      <c r="K3457" s="1664"/>
    </row>
    <row r="3458" spans="11:11">
      <c r="K3458" s="1664"/>
    </row>
    <row r="3459" spans="11:11">
      <c r="K3459" s="1664"/>
    </row>
    <row r="3460" spans="11:11">
      <c r="K3460" s="1664"/>
    </row>
    <row r="3461" spans="11:11">
      <c r="K3461" s="1664"/>
    </row>
    <row r="3462" spans="11:11">
      <c r="K3462" s="1664"/>
    </row>
    <row r="3463" spans="11:11">
      <c r="K3463" s="1664"/>
    </row>
    <row r="3464" spans="11:11">
      <c r="K3464" s="1664"/>
    </row>
    <row r="3465" spans="11:11">
      <c r="K3465" s="1664"/>
    </row>
    <row r="3466" spans="11:11">
      <c r="K3466" s="1664"/>
    </row>
    <row r="3467" spans="11:11">
      <c r="K3467" s="1664"/>
    </row>
    <row r="3468" spans="11:11">
      <c r="K3468" s="1664"/>
    </row>
    <row r="3469" spans="11:11">
      <c r="K3469" s="1664"/>
    </row>
    <row r="3470" spans="11:11">
      <c r="K3470" s="1664"/>
    </row>
    <row r="3471" spans="11:11">
      <c r="K3471" s="1664"/>
    </row>
    <row r="3472" spans="11:11">
      <c r="K3472" s="1664"/>
    </row>
    <row r="3473" spans="11:11">
      <c r="K3473" s="1664"/>
    </row>
    <row r="3474" spans="11:11">
      <c r="K3474" s="1664"/>
    </row>
    <row r="3475" spans="11:11">
      <c r="K3475" s="1664"/>
    </row>
    <row r="3476" spans="11:11">
      <c r="K3476" s="1664"/>
    </row>
    <row r="3477" spans="11:11">
      <c r="K3477" s="1664"/>
    </row>
    <row r="3478" spans="11:11">
      <c r="K3478" s="1664"/>
    </row>
    <row r="3479" spans="11:11">
      <c r="K3479" s="1664"/>
    </row>
    <row r="3480" spans="11:11">
      <c r="K3480" s="1664"/>
    </row>
    <row r="3481" spans="11:11">
      <c r="K3481" s="1664"/>
    </row>
    <row r="3482" spans="11:11">
      <c r="K3482" s="1664"/>
    </row>
    <row r="3483" spans="11:11">
      <c r="K3483" s="1664"/>
    </row>
    <row r="3484" spans="11:11">
      <c r="K3484" s="1664"/>
    </row>
    <row r="3485" spans="11:11">
      <c r="K3485" s="1664"/>
    </row>
    <row r="3486" spans="11:11">
      <c r="K3486" s="1664"/>
    </row>
    <row r="3487" spans="11:11">
      <c r="K3487" s="1664"/>
    </row>
    <row r="3488" spans="11:11">
      <c r="K3488" s="1664"/>
    </row>
    <row r="3489" spans="11:11">
      <c r="K3489" s="1664"/>
    </row>
    <row r="3490" spans="11:11">
      <c r="K3490" s="1664"/>
    </row>
    <row r="3491" spans="11:11">
      <c r="K3491" s="1664"/>
    </row>
    <row r="3492" spans="11:11">
      <c r="K3492" s="1664"/>
    </row>
    <row r="3493" spans="11:11">
      <c r="K3493" s="1664"/>
    </row>
    <row r="3494" spans="11:11">
      <c r="K3494" s="1664"/>
    </row>
    <row r="3495" spans="11:11">
      <c r="K3495" s="1664"/>
    </row>
    <row r="3496" spans="11:11">
      <c r="K3496" s="1664"/>
    </row>
    <row r="3497" spans="11:11">
      <c r="K3497" s="1664"/>
    </row>
    <row r="3498" spans="11:11">
      <c r="K3498" s="1664"/>
    </row>
    <row r="3499" spans="11:11">
      <c r="K3499" s="1664"/>
    </row>
    <row r="3500" spans="11:11">
      <c r="K3500" s="1664"/>
    </row>
    <row r="3501" spans="11:11">
      <c r="K3501" s="1664"/>
    </row>
    <row r="3502" spans="11:11">
      <c r="K3502" s="1664"/>
    </row>
    <row r="3503" spans="11:11">
      <c r="K3503" s="1664"/>
    </row>
    <row r="3504" spans="11:11">
      <c r="K3504" s="1664"/>
    </row>
    <row r="3505" spans="11:11">
      <c r="K3505" s="1664"/>
    </row>
    <row r="3506" spans="11:11">
      <c r="K3506" s="1664"/>
    </row>
    <row r="3507" spans="11:11">
      <c r="K3507" s="1664"/>
    </row>
    <row r="3508" spans="11:11">
      <c r="K3508" s="1664"/>
    </row>
    <row r="3509" spans="11:11">
      <c r="K3509" s="1664"/>
    </row>
    <row r="3510" spans="11:11">
      <c r="K3510" s="1664"/>
    </row>
    <row r="3511" spans="11:11">
      <c r="K3511" s="1664"/>
    </row>
    <row r="3512" spans="11:11">
      <c r="K3512" s="1664"/>
    </row>
    <row r="3513" spans="11:11">
      <c r="K3513" s="1664"/>
    </row>
    <row r="3514" spans="11:11">
      <c r="K3514" s="1664"/>
    </row>
    <row r="3515" spans="11:11">
      <c r="K3515" s="1664"/>
    </row>
    <row r="3516" spans="11:11">
      <c r="K3516" s="1664"/>
    </row>
    <row r="3517" spans="11:11">
      <c r="K3517" s="1664"/>
    </row>
    <row r="3518" spans="11:11">
      <c r="K3518" s="1664"/>
    </row>
    <row r="3519" spans="11:11">
      <c r="K3519" s="1664"/>
    </row>
    <row r="3520" spans="11:11">
      <c r="K3520" s="1664"/>
    </row>
    <row r="3521" spans="11:11">
      <c r="K3521" s="1664"/>
    </row>
    <row r="3522" spans="11:11">
      <c r="K3522" s="1664"/>
    </row>
    <row r="3523" spans="11:11">
      <c r="K3523" s="1664"/>
    </row>
    <row r="3524" spans="11:11">
      <c r="K3524" s="1664"/>
    </row>
    <row r="3525" spans="11:11">
      <c r="K3525" s="1664"/>
    </row>
    <row r="3526" spans="11:11">
      <c r="K3526" s="1664"/>
    </row>
    <row r="3527" spans="11:11">
      <c r="K3527" s="1664"/>
    </row>
    <row r="3528" spans="11:11">
      <c r="K3528" s="1664"/>
    </row>
    <row r="3529" spans="11:11">
      <c r="K3529" s="1664"/>
    </row>
    <row r="3530" spans="11:11">
      <c r="K3530" s="1664"/>
    </row>
    <row r="3531" spans="11:11">
      <c r="K3531" s="1664"/>
    </row>
    <row r="3532" spans="11:11">
      <c r="K3532" s="1664"/>
    </row>
    <row r="3533" spans="11:11">
      <c r="K3533" s="1664"/>
    </row>
    <row r="3534" spans="11:11">
      <c r="K3534" s="1664"/>
    </row>
    <row r="3535" spans="11:11">
      <c r="K3535" s="1664"/>
    </row>
    <row r="3536" spans="11:11">
      <c r="K3536" s="1664"/>
    </row>
    <row r="3537" spans="11:11">
      <c r="K3537" s="1664"/>
    </row>
    <row r="3538" spans="11:11">
      <c r="K3538" s="1664"/>
    </row>
    <row r="3539" spans="11:11">
      <c r="K3539" s="1664"/>
    </row>
    <row r="3540" spans="11:11">
      <c r="K3540" s="1664"/>
    </row>
    <row r="3541" spans="11:11">
      <c r="K3541" s="1664"/>
    </row>
    <row r="3542" spans="11:11">
      <c r="K3542" s="1664"/>
    </row>
    <row r="3543" spans="11:11">
      <c r="K3543" s="1664"/>
    </row>
    <row r="3544" spans="11:11">
      <c r="K3544" s="1664"/>
    </row>
    <row r="3545" spans="11:11">
      <c r="K3545" s="1664"/>
    </row>
    <row r="3546" spans="11:11">
      <c r="K3546" s="1664"/>
    </row>
    <row r="3547" spans="11:11">
      <c r="K3547" s="1664"/>
    </row>
    <row r="3548" spans="11:11">
      <c r="K3548" s="1664"/>
    </row>
    <row r="3549" spans="11:11">
      <c r="K3549" s="1664"/>
    </row>
    <row r="3550" spans="11:11">
      <c r="K3550" s="1664"/>
    </row>
    <row r="3551" spans="11:11">
      <c r="K3551" s="1664"/>
    </row>
    <row r="3552" spans="11:11">
      <c r="K3552" s="1664"/>
    </row>
    <row r="3553" spans="11:11">
      <c r="K3553" s="1664"/>
    </row>
    <row r="3554" spans="11:11">
      <c r="K3554" s="1664"/>
    </row>
    <row r="3555" spans="11:11">
      <c r="K3555" s="1664"/>
    </row>
    <row r="3556" spans="11:11">
      <c r="K3556" s="1664"/>
    </row>
    <row r="3557" spans="11:11">
      <c r="K3557" s="1664"/>
    </row>
    <row r="3558" spans="11:11">
      <c r="K3558" s="1664"/>
    </row>
    <row r="3559" spans="11:11">
      <c r="K3559" s="1664"/>
    </row>
    <row r="3560" spans="11:11">
      <c r="K3560" s="1664"/>
    </row>
    <row r="3561" spans="11:11">
      <c r="K3561" s="1664"/>
    </row>
    <row r="3562" spans="11:11">
      <c r="K3562" s="1664"/>
    </row>
    <row r="3563" spans="11:11">
      <c r="K3563" s="1664"/>
    </row>
    <row r="3564" spans="11:11">
      <c r="K3564" s="1664"/>
    </row>
    <row r="3565" spans="11:11">
      <c r="K3565" s="1664"/>
    </row>
    <row r="3566" spans="11:11">
      <c r="K3566" s="1664"/>
    </row>
    <row r="3567" spans="11:11">
      <c r="K3567" s="1664"/>
    </row>
    <row r="3568" spans="11:11">
      <c r="K3568" s="1664"/>
    </row>
    <row r="3569" spans="11:11">
      <c r="K3569" s="1664"/>
    </row>
    <row r="3570" spans="11:11">
      <c r="K3570" s="1664"/>
    </row>
    <row r="3571" spans="11:11">
      <c r="K3571" s="1664"/>
    </row>
    <row r="3572" spans="11:11">
      <c r="K3572" s="1664"/>
    </row>
    <row r="3573" spans="11:11">
      <c r="K3573" s="1664"/>
    </row>
    <row r="3574" spans="11:11">
      <c r="K3574" s="1664"/>
    </row>
    <row r="3575" spans="11:11">
      <c r="K3575" s="1664"/>
    </row>
    <row r="3576" spans="11:11">
      <c r="K3576" s="1664"/>
    </row>
    <row r="3577" spans="11:11">
      <c r="K3577" s="1664"/>
    </row>
    <row r="3578" spans="11:11">
      <c r="K3578" s="1664"/>
    </row>
    <row r="3579" spans="11:11">
      <c r="K3579" s="1664"/>
    </row>
    <row r="3580" spans="11:11">
      <c r="K3580" s="1664"/>
    </row>
    <row r="3581" spans="11:11">
      <c r="K3581" s="1664"/>
    </row>
    <row r="3582" spans="11:11">
      <c r="K3582" s="1664"/>
    </row>
    <row r="3583" spans="11:11">
      <c r="K3583" s="1664"/>
    </row>
    <row r="3584" spans="11:11">
      <c r="K3584" s="1664"/>
    </row>
    <row r="3585" spans="11:11">
      <c r="K3585" s="1664"/>
    </row>
    <row r="3586" spans="11:11">
      <c r="K3586" s="1664"/>
    </row>
    <row r="3587" spans="11:11">
      <c r="K3587" s="1664"/>
    </row>
    <row r="3588" spans="11:11">
      <c r="K3588" s="1664"/>
    </row>
    <row r="3589" spans="11:11">
      <c r="K3589" s="1664"/>
    </row>
    <row r="3590" spans="11:11">
      <c r="K3590" s="1664"/>
    </row>
    <row r="3591" spans="11:11">
      <c r="K3591" s="1664"/>
    </row>
    <row r="3592" spans="11:11">
      <c r="K3592" s="1664"/>
    </row>
    <row r="3593" spans="11:11">
      <c r="K3593" s="1664"/>
    </row>
    <row r="3594" spans="11:11">
      <c r="K3594" s="1664"/>
    </row>
    <row r="3595" spans="11:11">
      <c r="K3595" s="1664"/>
    </row>
    <row r="3596" spans="11:11">
      <c r="K3596" s="1664"/>
    </row>
    <row r="3597" spans="11:11">
      <c r="K3597" s="1664"/>
    </row>
    <row r="3598" spans="11:11">
      <c r="K3598" s="1664"/>
    </row>
    <row r="3599" spans="11:11">
      <c r="K3599" s="1664"/>
    </row>
    <row r="3600" spans="11:11">
      <c r="K3600" s="1664"/>
    </row>
    <row r="3601" spans="11:11">
      <c r="K3601" s="1664"/>
    </row>
    <row r="3602" spans="11:11">
      <c r="K3602" s="1664"/>
    </row>
    <row r="3603" spans="11:11">
      <c r="K3603" s="1664"/>
    </row>
    <row r="3604" spans="11:11">
      <c r="K3604" s="1664"/>
    </row>
    <row r="3605" spans="11:11">
      <c r="K3605" s="1664"/>
    </row>
    <row r="3606" spans="11:11">
      <c r="K3606" s="1664"/>
    </row>
    <row r="3607" spans="11:11">
      <c r="K3607" s="1664"/>
    </row>
    <row r="3608" spans="11:11">
      <c r="K3608" s="1664"/>
    </row>
    <row r="3609" spans="11:11">
      <c r="K3609" s="1664"/>
    </row>
    <row r="3610" spans="11:11">
      <c r="K3610" s="1664"/>
    </row>
    <row r="3611" spans="11:11">
      <c r="K3611" s="1664"/>
    </row>
    <row r="3612" spans="11:11">
      <c r="K3612" s="1664"/>
    </row>
    <row r="3613" spans="11:11">
      <c r="K3613" s="1664"/>
    </row>
    <row r="3614" spans="11:11">
      <c r="K3614" s="1664"/>
    </row>
    <row r="3615" spans="11:11">
      <c r="K3615" s="1664"/>
    </row>
    <row r="3616" spans="11:11">
      <c r="K3616" s="1664"/>
    </row>
    <row r="3617" spans="11:11">
      <c r="K3617" s="1664"/>
    </row>
    <row r="3618" spans="11:11">
      <c r="K3618" s="1664"/>
    </row>
    <row r="3619" spans="11:11">
      <c r="K3619" s="1664"/>
    </row>
    <row r="3620" spans="11:11">
      <c r="K3620" s="1664"/>
    </row>
    <row r="3621" spans="11:11">
      <c r="K3621" s="1664"/>
    </row>
    <row r="3622" spans="11:11">
      <c r="K3622" s="1664"/>
    </row>
    <row r="3623" spans="11:11">
      <c r="K3623" s="1664"/>
    </row>
    <row r="3624" spans="11:11">
      <c r="K3624" s="1664"/>
    </row>
    <row r="3625" spans="11:11">
      <c r="K3625" s="1664"/>
    </row>
    <row r="3626" spans="11:11">
      <c r="K3626" s="1664"/>
    </row>
    <row r="3627" spans="11:11">
      <c r="K3627" s="1664"/>
    </row>
    <row r="3628" spans="11:11">
      <c r="K3628" s="1664"/>
    </row>
    <row r="3629" spans="11:11">
      <c r="K3629" s="1664"/>
    </row>
    <row r="3630" spans="11:11">
      <c r="K3630" s="1664"/>
    </row>
    <row r="3631" spans="11:11">
      <c r="K3631" s="1664"/>
    </row>
    <row r="3632" spans="11:11">
      <c r="K3632" s="1664"/>
    </row>
    <row r="3633" spans="11:11">
      <c r="K3633" s="1664"/>
    </row>
    <row r="3634" spans="11:11">
      <c r="K3634" s="1664"/>
    </row>
    <row r="3635" spans="11:11">
      <c r="K3635" s="1664"/>
    </row>
    <row r="3636" spans="11:11">
      <c r="K3636" s="1664"/>
    </row>
    <row r="3637" spans="11:11">
      <c r="K3637" s="1664"/>
    </row>
    <row r="3638" spans="11:11">
      <c r="K3638" s="1664"/>
    </row>
    <row r="3639" spans="11:11">
      <c r="K3639" s="1664"/>
    </row>
    <row r="3640" spans="11:11">
      <c r="K3640" s="1664"/>
    </row>
    <row r="3641" spans="11:11">
      <c r="K3641" s="1664"/>
    </row>
    <row r="3642" spans="11:11">
      <c r="K3642" s="1664"/>
    </row>
    <row r="3643" spans="11:11">
      <c r="K3643" s="1664"/>
    </row>
    <row r="3644" spans="11:11">
      <c r="K3644" s="1664"/>
    </row>
    <row r="3645" spans="11:11">
      <c r="K3645" s="1664"/>
    </row>
    <row r="3646" spans="11:11">
      <c r="K3646" s="1664"/>
    </row>
    <row r="3647" spans="11:11">
      <c r="K3647" s="1664"/>
    </row>
    <row r="3648" spans="11:11">
      <c r="K3648" s="1664"/>
    </row>
    <row r="3649" spans="11:11">
      <c r="K3649" s="1664"/>
    </row>
    <row r="3650" spans="11:11">
      <c r="K3650" s="1664"/>
    </row>
    <row r="3651" spans="11:11">
      <c r="K3651" s="1664"/>
    </row>
    <row r="3652" spans="11:11">
      <c r="K3652" s="1664"/>
    </row>
    <row r="3653" spans="11:11">
      <c r="K3653" s="1664"/>
    </row>
    <row r="3654" spans="11:11">
      <c r="K3654" s="1664"/>
    </row>
    <row r="3655" spans="11:11">
      <c r="K3655" s="1664"/>
    </row>
    <row r="3656" spans="11:11">
      <c r="K3656" s="1664"/>
    </row>
    <row r="3657" spans="11:11">
      <c r="K3657" s="1664"/>
    </row>
    <row r="3658" spans="11:11">
      <c r="K3658" s="1664"/>
    </row>
    <row r="3659" spans="11:11">
      <c r="K3659" s="1664"/>
    </row>
    <row r="3660" spans="11:11">
      <c r="K3660" s="1664"/>
    </row>
    <row r="3661" spans="11:11">
      <c r="K3661" s="1664"/>
    </row>
    <row r="3662" spans="11:11">
      <c r="K3662" s="1664"/>
    </row>
    <row r="3663" spans="11:11">
      <c r="K3663" s="1664"/>
    </row>
    <row r="3664" spans="11:11">
      <c r="K3664" s="1664"/>
    </row>
    <row r="3665" spans="11:11">
      <c r="K3665" s="1664"/>
    </row>
    <row r="3666" spans="11:11">
      <c r="K3666" s="1664"/>
    </row>
    <row r="3667" spans="11:11">
      <c r="K3667" s="1664"/>
    </row>
    <row r="3668" spans="11:11">
      <c r="K3668" s="1664"/>
    </row>
    <row r="3669" spans="11:11">
      <c r="K3669" s="1664"/>
    </row>
    <row r="3670" spans="11:11">
      <c r="K3670" s="1664"/>
    </row>
    <row r="3671" spans="11:11">
      <c r="K3671" s="1664"/>
    </row>
    <row r="3672" spans="11:11">
      <c r="K3672" s="1664"/>
    </row>
    <row r="3673" spans="11:11">
      <c r="K3673" s="1664"/>
    </row>
    <row r="3674" spans="11:11">
      <c r="K3674" s="1664"/>
    </row>
    <row r="3675" spans="11:11">
      <c r="K3675" s="1664"/>
    </row>
    <row r="3676" spans="11:11">
      <c r="K3676" s="1664"/>
    </row>
    <row r="3677" spans="11:11">
      <c r="K3677" s="1664"/>
    </row>
    <row r="3678" spans="11:11">
      <c r="K3678" s="1664"/>
    </row>
    <row r="3679" spans="11:11">
      <c r="K3679" s="1664"/>
    </row>
    <row r="3680" spans="11:11">
      <c r="K3680" s="1664"/>
    </row>
    <row r="3681" spans="11:11">
      <c r="K3681" s="1664"/>
    </row>
    <row r="3682" spans="11:11">
      <c r="K3682" s="1664"/>
    </row>
    <row r="3683" spans="11:11">
      <c r="K3683" s="1664"/>
    </row>
    <row r="3684" spans="11:11">
      <c r="K3684" s="1664"/>
    </row>
    <row r="3685" spans="11:11">
      <c r="K3685" s="1664"/>
    </row>
    <row r="3686" spans="11:11">
      <c r="K3686" s="1664"/>
    </row>
    <row r="3687" spans="11:11">
      <c r="K3687" s="1664"/>
    </row>
    <row r="3688" spans="11:11">
      <c r="K3688" s="1664"/>
    </row>
    <row r="3689" spans="11:11">
      <c r="K3689" s="1664"/>
    </row>
    <row r="3690" spans="11:11">
      <c r="K3690" s="1664"/>
    </row>
    <row r="3691" spans="11:11">
      <c r="K3691" s="1664"/>
    </row>
    <row r="3692" spans="11:11">
      <c r="K3692" s="1664"/>
    </row>
  </sheetData>
  <autoFilter ref="B6:F500" xr:uid="{00000000-0009-0000-0000-000011000000}"/>
  <phoneticPr fontId="43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512"/>
  <sheetViews>
    <sheetView showGridLines="0" zoomScale="85" zoomScaleNormal="85" workbookViewId="0">
      <selection activeCell="Q198" sqref="Q198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1503</v>
      </c>
      <c r="B1" t="s">
        <v>1521</v>
      </c>
      <c r="C1" t="s">
        <v>22</v>
      </c>
      <c r="D1" t="s">
        <v>1522</v>
      </c>
      <c r="E1" t="s">
        <v>1523</v>
      </c>
      <c r="F1" t="s">
        <v>1524</v>
      </c>
      <c r="G1" t="s">
        <v>1525</v>
      </c>
      <c r="H1" t="s">
        <v>1526</v>
      </c>
      <c r="I1" t="s">
        <v>1370</v>
      </c>
      <c r="J1" t="s">
        <v>1371</v>
      </c>
      <c r="K1" t="s">
        <v>1372</v>
      </c>
      <c r="L1" t="s">
        <v>1527</v>
      </c>
      <c r="M1" t="s">
        <v>1528</v>
      </c>
      <c r="N1" t="s">
        <v>1529</v>
      </c>
      <c r="O1" t="s">
        <v>1530</v>
      </c>
      <c r="P1" t="s">
        <v>1531</v>
      </c>
      <c r="Q1" t="s">
        <v>1532</v>
      </c>
    </row>
    <row r="2" spans="1:17" s="13" customFormat="1" ht="15.75">
      <c r="A2" t="s">
        <v>772</v>
      </c>
      <c r="B2" t="s">
        <v>1533</v>
      </c>
      <c r="C2" t="s">
        <v>1517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4">
        <f t="shared" ref="P2:P69" si="0">IF(ISNUMBER(Q2),Q2,0)</f>
        <v>0.10704236088323049</v>
      </c>
      <c r="Q2" s="234">
        <f>CAPA!K16</f>
        <v>0.10704236088323049</v>
      </c>
    </row>
    <row r="3" spans="1:17" s="13" customFormat="1" ht="15.75">
      <c r="A3" t="s">
        <v>772</v>
      </c>
      <c r="B3" t="s">
        <v>1533</v>
      </c>
      <c r="C3" t="s">
        <v>848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4">
        <f t="shared" si="0"/>
        <v>0.11886869625198027</v>
      </c>
      <c r="Q3" s="234">
        <f>CAPA!K17</f>
        <v>0.11886869625198027</v>
      </c>
    </row>
    <row r="4" spans="1:17" s="13" customFormat="1" ht="15.75">
      <c r="A4" t="s">
        <v>772</v>
      </c>
      <c r="B4" t="s">
        <v>1533</v>
      </c>
      <c r="C4" t="s">
        <v>1517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4">
        <f t="shared" si="0"/>
        <v>1190.8820000000001</v>
      </c>
      <c r="Q4" s="234">
        <f>CAPA!K14</f>
        <v>1190.8820000000001</v>
      </c>
    </row>
    <row r="5" spans="1:17" s="13" customFormat="1" ht="15.75">
      <c r="A5" t="s">
        <v>772</v>
      </c>
      <c r="B5" t="s">
        <v>1533</v>
      </c>
      <c r="C5" t="s">
        <v>848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4">
        <f t="shared" si="0"/>
        <v>6455.85</v>
      </c>
      <c r="Q5" s="234">
        <f>CAPA!K15</f>
        <v>6455.85</v>
      </c>
    </row>
    <row r="6" spans="1:17" s="13" customFormat="1" ht="15.75">
      <c r="A6" t="s">
        <v>772</v>
      </c>
      <c r="B6" t="s">
        <v>1533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4">
        <f t="shared" ca="1" si="0"/>
        <v>0.1024</v>
      </c>
      <c r="Q6" s="234">
        <f ca="1">Resultado!C7</f>
        <v>0.1024</v>
      </c>
    </row>
    <row r="7" spans="1:17" s="13" customFormat="1" ht="15.75">
      <c r="A7" t="s">
        <v>772</v>
      </c>
      <c r="B7" t="s">
        <v>1533</v>
      </c>
      <c r="C7" t="s">
        <v>1343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4">
        <f t="shared" ca="1" si="0"/>
        <v>-0.34639999999999999</v>
      </c>
      <c r="Q7" s="234">
        <f ca="1">Resultado!C8</f>
        <v>-0.34639999999999999</v>
      </c>
    </row>
    <row r="8" spans="1:17" s="13" customFormat="1" ht="15.75">
      <c r="A8" t="s">
        <v>772</v>
      </c>
      <c r="B8" t="s">
        <v>1533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4">
        <f t="shared" ca="1" si="0"/>
        <v>-0.24399999999999999</v>
      </c>
      <c r="Q8" s="234">
        <f ca="1">Resultado!C9</f>
        <v>-0.24399999999999999</v>
      </c>
    </row>
    <row r="9" spans="1:17" s="13" customFormat="1" ht="15.75">
      <c r="A9" t="s">
        <v>772</v>
      </c>
      <c r="B9" t="s">
        <v>1533</v>
      </c>
      <c r="C9" t="s">
        <v>1534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4">
        <f t="shared" ca="1" si="0"/>
        <v>0.17733302397334957</v>
      </c>
      <c r="Q9" s="234">
        <f ca="1">IF(ISERROR(LnkTXTICMS),0,LnkTXTICMS)</f>
        <v>0.17733302397334957</v>
      </c>
    </row>
    <row r="10" spans="1:17" s="13" customFormat="1" ht="15.75">
      <c r="A10" t="s">
        <v>772</v>
      </c>
      <c r="B10" t="s">
        <v>1533</v>
      </c>
      <c r="C10" t="s">
        <v>1535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4">
        <f t="shared" ca="1" si="0"/>
        <v>7.2788380462807068E-3</v>
      </c>
      <c r="Q10" s="234">
        <f ca="1">IF(ISERROR(LNKTXTPercPISCOFINS),0,LNKTXTPercPISCOFINS)</f>
        <v>7.2788380462807068E-3</v>
      </c>
    </row>
    <row r="11" spans="1:17" ht="15.75">
      <c r="A11" t="s">
        <v>772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4">
        <f t="shared" si="0"/>
        <v>0</v>
      </c>
      <c r="Q11" s="234">
        <f>Resultado!D15</f>
        <v>0</v>
      </c>
    </row>
    <row r="12" spans="1:17" ht="15.75">
      <c r="A12" t="s">
        <v>772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4">
        <f t="shared" si="0"/>
        <v>0</v>
      </c>
      <c r="Q12" s="234">
        <f>Resultado!D16</f>
        <v>0</v>
      </c>
    </row>
    <row r="13" spans="1:17" ht="15.75">
      <c r="A13" t="s">
        <v>772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4">
        <f t="shared" ca="1" si="0"/>
        <v>152665.74938543511</v>
      </c>
      <c r="Q13" s="234">
        <f ca="1">Resultado!D17</f>
        <v>152665.74938543511</v>
      </c>
    </row>
    <row r="14" spans="1:17" ht="15.75">
      <c r="A14" t="s">
        <v>772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4">
        <f t="shared" ca="1" si="0"/>
        <v>5641186.5212899977</v>
      </c>
      <c r="Q14" s="234">
        <f ca="1">Encargos!I19</f>
        <v>5641186.5212899977</v>
      </c>
    </row>
    <row r="15" spans="1:17" ht="15.75">
      <c r="A15" t="s">
        <v>772</v>
      </c>
      <c r="B15" t="s">
        <v>72</v>
      </c>
      <c r="C15" t="s">
        <v>126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4">
        <f t="shared" si="0"/>
        <v>0</v>
      </c>
      <c r="Q15" s="234">
        <f>Resultado!D19</f>
        <v>0</v>
      </c>
    </row>
    <row r="16" spans="1:17" ht="15.75">
      <c r="A16" t="s">
        <v>772</v>
      </c>
      <c r="B16" t="s">
        <v>72</v>
      </c>
      <c r="C16" t="s">
        <v>125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4">
        <f t="shared" ca="1" si="0"/>
        <v>366721.15865320963</v>
      </c>
      <c r="Q16" s="234">
        <f ca="1">Resultado!D20</f>
        <v>366721.15865320963</v>
      </c>
    </row>
    <row r="17" spans="1:17" ht="15.75">
      <c r="A17" t="s">
        <v>772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4">
        <f t="shared" ca="1" si="0"/>
        <v>914087.3624999997</v>
      </c>
      <c r="Q17" s="234">
        <f ca="1">Resultado!D21</f>
        <v>914087.3624999997</v>
      </c>
    </row>
    <row r="18" spans="1:17" ht="15.75">
      <c r="A18" t="s">
        <v>772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4">
        <f t="shared" si="0"/>
        <v>0</v>
      </c>
      <c r="Q18" s="234">
        <f>Resultado!D22</f>
        <v>0</v>
      </c>
    </row>
    <row r="19" spans="1:17" ht="15.75">
      <c r="A19" t="s">
        <v>772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4">
        <f t="shared" si="0"/>
        <v>0</v>
      </c>
      <c r="Q19" s="234">
        <f>Resultado!D23</f>
        <v>0</v>
      </c>
    </row>
    <row r="20" spans="1:17" ht="15.75">
      <c r="A20" t="s">
        <v>772</v>
      </c>
      <c r="B20" t="s">
        <v>793</v>
      </c>
      <c r="C20" t="s">
        <v>2350</v>
      </c>
      <c r="D20">
        <v>1</v>
      </c>
      <c r="E20">
        <v>1</v>
      </c>
      <c r="F20">
        <v>999</v>
      </c>
      <c r="G20">
        <v>999999</v>
      </c>
      <c r="H20">
        <v>999</v>
      </c>
      <c r="I20">
        <v>1</v>
      </c>
      <c r="J20">
        <v>7</v>
      </c>
      <c r="K20">
        <v>9</v>
      </c>
      <c r="L20">
        <v>5</v>
      </c>
      <c r="M20">
        <v>1</v>
      </c>
      <c r="N20">
        <v>1</v>
      </c>
      <c r="O20">
        <v>99999</v>
      </c>
      <c r="P20" s="234">
        <f t="shared" si="0"/>
        <v>188211.39</v>
      </c>
      <c r="Q20" s="994">
        <f>CUSD!H7</f>
        <v>188211.39</v>
      </c>
    </row>
    <row r="21" spans="1:17" ht="15.75">
      <c r="A21" t="s">
        <v>772</v>
      </c>
      <c r="B21" t="s">
        <v>793</v>
      </c>
      <c r="C21" t="s">
        <v>2351</v>
      </c>
      <c r="D21">
        <v>1</v>
      </c>
      <c r="E21">
        <v>1</v>
      </c>
      <c r="F21">
        <v>999</v>
      </c>
      <c r="G21">
        <v>999999</v>
      </c>
      <c r="H21">
        <v>999</v>
      </c>
      <c r="I21">
        <v>1</v>
      </c>
      <c r="J21">
        <v>7</v>
      </c>
      <c r="K21">
        <v>9</v>
      </c>
      <c r="L21">
        <v>5</v>
      </c>
      <c r="M21">
        <v>3</v>
      </c>
      <c r="N21">
        <v>1</v>
      </c>
      <c r="O21">
        <v>99999</v>
      </c>
      <c r="P21" s="234">
        <f t="shared" si="0"/>
        <v>194319.81999999998</v>
      </c>
      <c r="Q21" s="994">
        <f>CUSD!H6</f>
        <v>194319.81999999998</v>
      </c>
    </row>
    <row r="22" spans="1:17" ht="15.75">
      <c r="A22" t="s">
        <v>772</v>
      </c>
      <c r="B22" t="s">
        <v>793</v>
      </c>
      <c r="C22" t="s">
        <v>2352</v>
      </c>
      <c r="D22">
        <v>1</v>
      </c>
      <c r="E22">
        <v>1</v>
      </c>
      <c r="F22">
        <v>999</v>
      </c>
      <c r="G22">
        <v>999999</v>
      </c>
      <c r="H22">
        <v>999</v>
      </c>
      <c r="I22">
        <v>1</v>
      </c>
      <c r="J22">
        <v>7</v>
      </c>
      <c r="K22">
        <v>9</v>
      </c>
      <c r="L22">
        <v>5</v>
      </c>
      <c r="M22">
        <v>9</v>
      </c>
      <c r="N22">
        <v>2</v>
      </c>
      <c r="O22">
        <v>99999</v>
      </c>
      <c r="P22" s="234">
        <f t="shared" si="0"/>
        <v>72636.349409999995</v>
      </c>
      <c r="Q22" s="994">
        <f>CUSD!H8+CUSD!H9</f>
        <v>72636.349409999995</v>
      </c>
    </row>
    <row r="23" spans="1:17" ht="15.75">
      <c r="A23" t="s">
        <v>772</v>
      </c>
      <c r="B23" t="s">
        <v>793</v>
      </c>
      <c r="C23" t="s">
        <v>2350</v>
      </c>
      <c r="D23">
        <v>1</v>
      </c>
      <c r="E23">
        <v>1</v>
      </c>
      <c r="F23">
        <v>999</v>
      </c>
      <c r="G23">
        <v>999999</v>
      </c>
      <c r="H23">
        <v>999</v>
      </c>
      <c r="I23">
        <v>1</v>
      </c>
      <c r="J23">
        <v>7</v>
      </c>
      <c r="K23">
        <v>1</v>
      </c>
      <c r="L23">
        <v>5</v>
      </c>
      <c r="M23">
        <v>1</v>
      </c>
      <c r="N23">
        <v>3</v>
      </c>
      <c r="O23">
        <v>99999</v>
      </c>
      <c r="P23" s="994">
        <f t="shared" ref="P23:P25" si="1">IF(ISNUMBER(Q23),Q23,0)</f>
        <v>5062886.3909999998</v>
      </c>
      <c r="Q23" s="994">
        <f>CUSD!K7</f>
        <v>5062886.3909999998</v>
      </c>
    </row>
    <row r="24" spans="1:17" ht="15.75">
      <c r="A24" t="s">
        <v>772</v>
      </c>
      <c r="B24" t="s">
        <v>793</v>
      </c>
      <c r="C24" t="s">
        <v>2351</v>
      </c>
      <c r="D24">
        <v>1</v>
      </c>
      <c r="E24">
        <v>1</v>
      </c>
      <c r="F24">
        <v>999</v>
      </c>
      <c r="G24">
        <v>999999</v>
      </c>
      <c r="H24">
        <v>999</v>
      </c>
      <c r="I24">
        <v>1</v>
      </c>
      <c r="J24">
        <v>7</v>
      </c>
      <c r="K24">
        <v>1</v>
      </c>
      <c r="L24">
        <v>5</v>
      </c>
      <c r="M24">
        <v>3</v>
      </c>
      <c r="N24">
        <v>3</v>
      </c>
      <c r="O24">
        <v>99999</v>
      </c>
      <c r="P24" s="994">
        <f t="shared" si="1"/>
        <v>3882510.0035999995</v>
      </c>
      <c r="Q24" s="994">
        <f>CUSD!K6</f>
        <v>3882510.0035999995</v>
      </c>
    </row>
    <row r="25" spans="1:17" ht="15.75">
      <c r="A25" t="s">
        <v>772</v>
      </c>
      <c r="B25" t="s">
        <v>793</v>
      </c>
      <c r="C25" t="s">
        <v>2352</v>
      </c>
      <c r="D25">
        <v>1</v>
      </c>
      <c r="E25">
        <v>1</v>
      </c>
      <c r="F25">
        <v>999</v>
      </c>
      <c r="G25">
        <v>999999</v>
      </c>
      <c r="H25">
        <v>999</v>
      </c>
      <c r="I25">
        <v>1</v>
      </c>
      <c r="J25">
        <v>7</v>
      </c>
      <c r="K25">
        <v>1</v>
      </c>
      <c r="L25">
        <v>5</v>
      </c>
      <c r="M25">
        <v>9</v>
      </c>
      <c r="N25">
        <v>3</v>
      </c>
      <c r="O25">
        <v>99999</v>
      </c>
      <c r="P25" s="994">
        <f t="shared" si="1"/>
        <v>825148.92929759994</v>
      </c>
      <c r="Q25" s="994">
        <f>CUSD!K8+CUSD!K9</f>
        <v>825148.92929759994</v>
      </c>
    </row>
    <row r="26" spans="1:17" ht="15.75">
      <c r="A26" t="s">
        <v>772</v>
      </c>
      <c r="B26" t="s">
        <v>793</v>
      </c>
      <c r="C26" t="s">
        <v>1536</v>
      </c>
      <c r="D26">
        <v>1</v>
      </c>
      <c r="E26">
        <v>1</v>
      </c>
      <c r="F26">
        <v>15</v>
      </c>
      <c r="G26">
        <v>140</v>
      </c>
      <c r="H26">
        <v>999</v>
      </c>
      <c r="I26">
        <v>1</v>
      </c>
      <c r="J26">
        <v>7</v>
      </c>
      <c r="K26">
        <v>9</v>
      </c>
      <c r="L26">
        <v>99</v>
      </c>
      <c r="M26">
        <v>9</v>
      </c>
      <c r="N26">
        <v>4</v>
      </c>
      <c r="O26">
        <v>99999</v>
      </c>
      <c r="P26" s="234">
        <f t="shared" si="0"/>
        <v>0</v>
      </c>
      <c r="Q26" s="234">
        <f>CUSD!G3</f>
        <v>0</v>
      </c>
    </row>
    <row r="27" spans="1:17" ht="15.75">
      <c r="A27" t="s">
        <v>772</v>
      </c>
      <c r="B27" t="s">
        <v>793</v>
      </c>
      <c r="C27" t="s">
        <v>1537</v>
      </c>
      <c r="D27">
        <v>1</v>
      </c>
      <c r="E27">
        <v>1</v>
      </c>
      <c r="F27">
        <v>51</v>
      </c>
      <c r="G27">
        <v>141</v>
      </c>
      <c r="H27">
        <v>999</v>
      </c>
      <c r="I27">
        <v>1</v>
      </c>
      <c r="J27">
        <v>7</v>
      </c>
      <c r="K27">
        <v>9</v>
      </c>
      <c r="L27">
        <v>99</v>
      </c>
      <c r="M27">
        <v>9</v>
      </c>
      <c r="N27">
        <v>3</v>
      </c>
      <c r="O27">
        <v>99999</v>
      </c>
      <c r="P27" s="234">
        <f t="shared" si="0"/>
        <v>9770545.3238976002</v>
      </c>
      <c r="Q27" s="234">
        <f>Q28/(1-Q26)</f>
        <v>9770545.3238976002</v>
      </c>
    </row>
    <row r="28" spans="1:17" ht="15.75">
      <c r="A28" t="s">
        <v>772</v>
      </c>
      <c r="B28" t="s">
        <v>793</v>
      </c>
      <c r="C28" t="s">
        <v>1538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7</v>
      </c>
      <c r="K28">
        <v>1</v>
      </c>
      <c r="L28">
        <v>99</v>
      </c>
      <c r="M28">
        <v>9</v>
      </c>
      <c r="N28">
        <v>3</v>
      </c>
      <c r="O28">
        <v>99999</v>
      </c>
      <c r="P28" s="234">
        <f t="shared" si="0"/>
        <v>9770545.3238976002</v>
      </c>
      <c r="Q28" s="234">
        <f>CUSD!C3</f>
        <v>9770545.3238976002</v>
      </c>
    </row>
    <row r="29" spans="1:17" ht="15.75">
      <c r="A29" t="s">
        <v>772</v>
      </c>
      <c r="B29" t="s">
        <v>793</v>
      </c>
      <c r="C29" s="9" t="s">
        <v>1235</v>
      </c>
      <c r="D29">
        <v>2</v>
      </c>
      <c r="E29">
        <v>1</v>
      </c>
      <c r="F29">
        <v>51</v>
      </c>
      <c r="G29">
        <v>999999</v>
      </c>
      <c r="H29">
        <v>999</v>
      </c>
      <c r="I29">
        <v>1</v>
      </c>
      <c r="J29">
        <v>1</v>
      </c>
      <c r="K29">
        <v>1</v>
      </c>
      <c r="L29">
        <v>99</v>
      </c>
      <c r="M29">
        <v>9</v>
      </c>
      <c r="N29">
        <v>3</v>
      </c>
      <c r="O29">
        <v>99999</v>
      </c>
      <c r="P29" s="234">
        <f t="shared" ref="P29:P35" si="2">IF(ISNUMBER(Q29),Q29,0)</f>
        <v>0</v>
      </c>
      <c r="Q29" s="234">
        <f>Resultado!D25</f>
        <v>0</v>
      </c>
    </row>
    <row r="30" spans="1:17" ht="15.75">
      <c r="A30" t="s">
        <v>772</v>
      </c>
      <c r="B30" t="s">
        <v>793</v>
      </c>
      <c r="C30" t="s">
        <v>1263</v>
      </c>
      <c r="D30">
        <v>2</v>
      </c>
      <c r="E30">
        <v>1</v>
      </c>
      <c r="F30">
        <v>51</v>
      </c>
      <c r="G30">
        <v>999999</v>
      </c>
      <c r="H30">
        <v>999</v>
      </c>
      <c r="I30">
        <v>1</v>
      </c>
      <c r="J30">
        <v>2</v>
      </c>
      <c r="K30">
        <v>1</v>
      </c>
      <c r="L30">
        <v>99</v>
      </c>
      <c r="M30">
        <v>9</v>
      </c>
      <c r="N30">
        <v>3</v>
      </c>
      <c r="O30">
        <v>99999</v>
      </c>
      <c r="P30" s="234">
        <f t="shared" si="2"/>
        <v>0</v>
      </c>
      <c r="Q30" s="234">
        <f>Resultado!D26</f>
        <v>0</v>
      </c>
    </row>
    <row r="31" spans="1:17" ht="15.75">
      <c r="A31" t="s">
        <v>772</v>
      </c>
      <c r="B31" t="s">
        <v>793</v>
      </c>
      <c r="C31" t="s">
        <v>1539</v>
      </c>
      <c r="D31">
        <v>2</v>
      </c>
      <c r="E31">
        <v>1</v>
      </c>
      <c r="F31">
        <v>51</v>
      </c>
      <c r="G31">
        <v>999999</v>
      </c>
      <c r="H31">
        <v>999</v>
      </c>
      <c r="I31">
        <v>1</v>
      </c>
      <c r="J31">
        <v>3</v>
      </c>
      <c r="K31">
        <v>1</v>
      </c>
      <c r="L31">
        <v>99</v>
      </c>
      <c r="M31">
        <v>9</v>
      </c>
      <c r="N31">
        <v>3</v>
      </c>
      <c r="O31">
        <v>99999</v>
      </c>
      <c r="P31" s="234">
        <f t="shared" si="2"/>
        <v>0</v>
      </c>
      <c r="Q31" s="234">
        <f>Resultado!D31</f>
        <v>0</v>
      </c>
    </row>
    <row r="32" spans="1:17" ht="15.75">
      <c r="A32" t="s">
        <v>772</v>
      </c>
      <c r="B32" t="s">
        <v>793</v>
      </c>
      <c r="C32" t="s">
        <v>1540</v>
      </c>
      <c r="D32">
        <v>2</v>
      </c>
      <c r="E32">
        <v>1</v>
      </c>
      <c r="F32">
        <v>51</v>
      </c>
      <c r="G32">
        <v>999999</v>
      </c>
      <c r="H32">
        <v>999</v>
      </c>
      <c r="I32">
        <v>1</v>
      </c>
      <c r="J32">
        <v>5</v>
      </c>
      <c r="K32">
        <v>1</v>
      </c>
      <c r="L32">
        <v>99</v>
      </c>
      <c r="M32">
        <v>9</v>
      </c>
      <c r="N32">
        <v>3</v>
      </c>
      <c r="O32">
        <v>99999</v>
      </c>
      <c r="P32" s="234">
        <f t="shared" si="2"/>
        <v>0</v>
      </c>
      <c r="Q32" s="234">
        <f>Resultado!D27</f>
        <v>0</v>
      </c>
    </row>
    <row r="33" spans="1:17" ht="15.75">
      <c r="A33" t="s">
        <v>772</v>
      </c>
      <c r="B33" t="s">
        <v>793</v>
      </c>
      <c r="C33" t="s">
        <v>1541</v>
      </c>
      <c r="D33">
        <v>2</v>
      </c>
      <c r="E33">
        <v>1</v>
      </c>
      <c r="F33">
        <v>51</v>
      </c>
      <c r="G33">
        <v>999999</v>
      </c>
      <c r="H33">
        <v>999</v>
      </c>
      <c r="I33">
        <v>1</v>
      </c>
      <c r="J33">
        <v>6</v>
      </c>
      <c r="K33">
        <v>1</v>
      </c>
      <c r="L33">
        <v>99</v>
      </c>
      <c r="M33">
        <v>9</v>
      </c>
      <c r="N33">
        <v>3</v>
      </c>
      <c r="O33">
        <v>99999</v>
      </c>
      <c r="P33" s="234">
        <f t="shared" si="2"/>
        <v>0</v>
      </c>
      <c r="Q33" s="234">
        <f>Resultado!D28</f>
        <v>0</v>
      </c>
    </row>
    <row r="34" spans="1:17" ht="15.75">
      <c r="A34" t="s">
        <v>772</v>
      </c>
      <c r="B34" t="s">
        <v>793</v>
      </c>
      <c r="C34" t="s">
        <v>1542</v>
      </c>
      <c r="D34">
        <v>2</v>
      </c>
      <c r="E34">
        <v>1</v>
      </c>
      <c r="F34">
        <v>51</v>
      </c>
      <c r="G34">
        <v>999999</v>
      </c>
      <c r="H34">
        <v>999</v>
      </c>
      <c r="I34">
        <v>1</v>
      </c>
      <c r="J34">
        <v>21</v>
      </c>
      <c r="K34">
        <v>2</v>
      </c>
      <c r="L34">
        <v>99</v>
      </c>
      <c r="M34">
        <v>9</v>
      </c>
      <c r="N34">
        <v>3</v>
      </c>
      <c r="O34">
        <v>99999</v>
      </c>
      <c r="P34" s="234">
        <f>IF(ISNUMBER(Q34),Q34,0)</f>
        <v>0</v>
      </c>
      <c r="Q34" s="234">
        <f>Resultado!D30</f>
        <v>0</v>
      </c>
    </row>
    <row r="35" spans="1:17">
      <c r="A35" t="s">
        <v>772</v>
      </c>
      <c r="B35" t="s">
        <v>793</v>
      </c>
      <c r="C35" t="s">
        <v>1543</v>
      </c>
      <c r="D35" s="260">
        <v>2</v>
      </c>
      <c r="E35" s="260">
        <v>1</v>
      </c>
      <c r="F35" s="260">
        <v>51</v>
      </c>
      <c r="G35">
        <v>999999</v>
      </c>
      <c r="H35" s="260">
        <v>999</v>
      </c>
      <c r="I35" s="260">
        <v>1</v>
      </c>
      <c r="J35" s="260">
        <v>23</v>
      </c>
      <c r="K35" s="260">
        <v>2</v>
      </c>
      <c r="L35" s="260">
        <v>99</v>
      </c>
      <c r="M35" s="260">
        <v>9</v>
      </c>
      <c r="N35" s="260">
        <v>3</v>
      </c>
      <c r="O35" s="261">
        <v>99999</v>
      </c>
      <c r="P35" s="234">
        <f t="shared" si="2"/>
        <v>0</v>
      </c>
      <c r="Q35" s="234">
        <f>Resultado!D29</f>
        <v>0</v>
      </c>
    </row>
    <row r="36" spans="1:17" ht="15.75">
      <c r="A36" t="s">
        <v>771</v>
      </c>
      <c r="B36" t="s">
        <v>120</v>
      </c>
      <c r="C36" t="s">
        <v>821</v>
      </c>
      <c r="D36">
        <v>1</v>
      </c>
      <c r="E36">
        <v>1</v>
      </c>
      <c r="F36">
        <v>52</v>
      </c>
      <c r="G36">
        <v>55</v>
      </c>
      <c r="H36">
        <v>999</v>
      </c>
      <c r="I36">
        <v>2</v>
      </c>
      <c r="J36">
        <v>999</v>
      </c>
      <c r="K36">
        <v>9</v>
      </c>
      <c r="L36">
        <v>99</v>
      </c>
      <c r="M36">
        <v>9</v>
      </c>
      <c r="N36">
        <v>2</v>
      </c>
      <c r="O36">
        <v>99999</v>
      </c>
      <c r="P36" s="234">
        <f t="shared" si="0"/>
        <v>0</v>
      </c>
      <c r="Q36" s="234"/>
    </row>
    <row r="37" spans="1:17" ht="15.75">
      <c r="A37" t="s">
        <v>772</v>
      </c>
      <c r="B37" t="s">
        <v>120</v>
      </c>
      <c r="C37" t="s">
        <v>821</v>
      </c>
      <c r="D37">
        <v>1</v>
      </c>
      <c r="E37">
        <v>1</v>
      </c>
      <c r="F37">
        <v>51</v>
      </c>
      <c r="G37">
        <v>55</v>
      </c>
      <c r="H37">
        <v>999</v>
      </c>
      <c r="I37">
        <v>2</v>
      </c>
      <c r="J37">
        <v>999</v>
      </c>
      <c r="K37">
        <v>9</v>
      </c>
      <c r="L37">
        <v>99</v>
      </c>
      <c r="M37">
        <v>9</v>
      </c>
      <c r="N37">
        <v>2</v>
      </c>
      <c r="O37">
        <v>99999</v>
      </c>
      <c r="P37" s="234">
        <f t="shared" ca="1" si="0"/>
        <v>68450.052945069459</v>
      </c>
      <c r="Q37" s="234">
        <f ca="1">Energia!C5</f>
        <v>68450.052945069459</v>
      </c>
    </row>
    <row r="38" spans="1:17" ht="15.75">
      <c r="A38" t="s">
        <v>772</v>
      </c>
      <c r="B38" t="s">
        <v>120</v>
      </c>
      <c r="C38" t="s">
        <v>1544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8</v>
      </c>
      <c r="K38">
        <v>9</v>
      </c>
      <c r="L38">
        <v>99</v>
      </c>
      <c r="M38">
        <v>9</v>
      </c>
      <c r="N38">
        <v>2</v>
      </c>
      <c r="O38">
        <v>99999</v>
      </c>
      <c r="P38" s="234">
        <f t="shared" ca="1" si="0"/>
        <v>6393.2349450694883</v>
      </c>
      <c r="Q38" s="234">
        <f ca="1">Energia!N17</f>
        <v>6393.2349450694883</v>
      </c>
    </row>
    <row r="39" spans="1:17" ht="15.75">
      <c r="A39" t="s">
        <v>772</v>
      </c>
      <c r="B39" t="s">
        <v>120</v>
      </c>
      <c r="C39" t="s">
        <v>1545</v>
      </c>
      <c r="D39">
        <v>1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9</v>
      </c>
      <c r="K39">
        <v>9</v>
      </c>
      <c r="L39">
        <v>99</v>
      </c>
      <c r="M39">
        <v>9</v>
      </c>
      <c r="N39">
        <v>2</v>
      </c>
      <c r="O39">
        <v>99999</v>
      </c>
      <c r="P39" s="234">
        <f t="shared" ca="1" si="0"/>
        <v>0</v>
      </c>
      <c r="Q39" s="234">
        <f ca="1">Energia!N16</f>
        <v>0</v>
      </c>
    </row>
    <row r="40" spans="1:17" ht="15.75">
      <c r="A40" t="s">
        <v>772</v>
      </c>
      <c r="B40" t="s">
        <v>120</v>
      </c>
      <c r="C40" t="s">
        <v>1546</v>
      </c>
      <c r="D40">
        <v>1</v>
      </c>
      <c r="E40">
        <v>1</v>
      </c>
      <c r="F40">
        <v>51</v>
      </c>
      <c r="G40">
        <v>999999</v>
      </c>
      <c r="H40">
        <v>999</v>
      </c>
      <c r="I40">
        <v>2</v>
      </c>
      <c r="J40">
        <v>10</v>
      </c>
      <c r="K40">
        <v>9</v>
      </c>
      <c r="L40">
        <v>99</v>
      </c>
      <c r="M40">
        <v>9</v>
      </c>
      <c r="N40">
        <v>2</v>
      </c>
      <c r="O40">
        <v>99999</v>
      </c>
      <c r="P40" s="234">
        <f t="shared" ca="1" si="0"/>
        <v>0</v>
      </c>
      <c r="Q40" s="234">
        <f ca="1">Energia!N18</f>
        <v>0</v>
      </c>
    </row>
    <row r="41" spans="1:17" ht="15.75">
      <c r="A41" t="s">
        <v>772</v>
      </c>
      <c r="B41" t="s">
        <v>120</v>
      </c>
      <c r="C41" t="s">
        <v>1547</v>
      </c>
      <c r="D41">
        <v>1</v>
      </c>
      <c r="E41">
        <v>1</v>
      </c>
      <c r="F41">
        <v>51</v>
      </c>
      <c r="G41">
        <v>999999</v>
      </c>
      <c r="H41">
        <v>999</v>
      </c>
      <c r="I41">
        <v>2</v>
      </c>
      <c r="J41">
        <v>24</v>
      </c>
      <c r="K41">
        <v>9</v>
      </c>
      <c r="L41">
        <v>99</v>
      </c>
      <c r="M41">
        <v>9</v>
      </c>
      <c r="N41">
        <v>2</v>
      </c>
      <c r="O41">
        <v>99999</v>
      </c>
      <c r="P41" s="234">
        <f t="shared" ca="1" si="0"/>
        <v>0</v>
      </c>
      <c r="Q41" s="234">
        <f ca="1">Energia!N19</f>
        <v>0</v>
      </c>
    </row>
    <row r="42" spans="1:17" ht="15.75">
      <c r="A42" t="s">
        <v>772</v>
      </c>
      <c r="B42" t="s">
        <v>120</v>
      </c>
      <c r="C42" t="s">
        <v>1548</v>
      </c>
      <c r="D42">
        <v>1</v>
      </c>
      <c r="E42">
        <v>1</v>
      </c>
      <c r="F42">
        <v>51</v>
      </c>
      <c r="G42">
        <v>999999</v>
      </c>
      <c r="H42">
        <v>999</v>
      </c>
      <c r="I42">
        <v>2</v>
      </c>
      <c r="J42">
        <v>8</v>
      </c>
      <c r="K42">
        <v>9</v>
      </c>
      <c r="L42">
        <v>99</v>
      </c>
      <c r="M42">
        <v>9</v>
      </c>
      <c r="N42">
        <v>4</v>
      </c>
      <c r="O42">
        <v>99999</v>
      </c>
      <c r="P42" s="234">
        <f t="shared" ca="1" si="0"/>
        <v>9.3400000000000011E-2</v>
      </c>
      <c r="Q42" s="234">
        <f ca="1">Energia!N14</f>
        <v>9.3400000000000011E-2</v>
      </c>
    </row>
    <row r="43" spans="1:17" s="12" customFormat="1" ht="15.75">
      <c r="A43" t="s">
        <v>772</v>
      </c>
      <c r="B43" t="s">
        <v>120</v>
      </c>
      <c r="C43" t="s">
        <v>1549</v>
      </c>
      <c r="D43">
        <v>1</v>
      </c>
      <c r="E43">
        <v>1</v>
      </c>
      <c r="F43">
        <v>51</v>
      </c>
      <c r="G43">
        <v>999999</v>
      </c>
      <c r="H43">
        <v>999</v>
      </c>
      <c r="I43">
        <v>2</v>
      </c>
      <c r="J43">
        <v>9</v>
      </c>
      <c r="K43">
        <v>9</v>
      </c>
      <c r="L43">
        <v>99</v>
      </c>
      <c r="M43">
        <v>9</v>
      </c>
      <c r="N43">
        <v>4</v>
      </c>
      <c r="O43">
        <v>99999</v>
      </c>
      <c r="P43" s="234">
        <f t="shared" ca="1" si="0"/>
        <v>0</v>
      </c>
      <c r="Q43" s="234">
        <f ca="1">Energia!N13</f>
        <v>0</v>
      </c>
    </row>
    <row r="44" spans="1:17" s="12" customFormat="1" ht="15.75">
      <c r="A44" t="s">
        <v>772</v>
      </c>
      <c r="B44" t="s">
        <v>120</v>
      </c>
      <c r="C44" t="s">
        <v>1550</v>
      </c>
      <c r="D44">
        <v>1</v>
      </c>
      <c r="E44">
        <v>1</v>
      </c>
      <c r="F44">
        <v>51</v>
      </c>
      <c r="G44">
        <v>999999</v>
      </c>
      <c r="H44">
        <v>999</v>
      </c>
      <c r="I44">
        <v>2</v>
      </c>
      <c r="J44">
        <v>10</v>
      </c>
      <c r="K44">
        <v>9</v>
      </c>
      <c r="L44">
        <v>99</v>
      </c>
      <c r="M44">
        <v>9</v>
      </c>
      <c r="N44">
        <v>4</v>
      </c>
      <c r="O44">
        <v>99999</v>
      </c>
      <c r="P44" s="234">
        <f t="shared" ca="1" si="0"/>
        <v>0</v>
      </c>
      <c r="Q44" s="234">
        <f ca="1">Energia!N15</f>
        <v>0</v>
      </c>
    </row>
    <row r="45" spans="1:17" s="15" customFormat="1" ht="15.75">
      <c r="A45" t="s">
        <v>772</v>
      </c>
      <c r="B45" t="s">
        <v>120</v>
      </c>
      <c r="C45" t="s">
        <v>1551</v>
      </c>
      <c r="D45">
        <v>2</v>
      </c>
      <c r="E45">
        <v>1</v>
      </c>
      <c r="F45">
        <v>51</v>
      </c>
      <c r="G45">
        <v>999999</v>
      </c>
      <c r="H45">
        <v>999</v>
      </c>
      <c r="I45">
        <v>2</v>
      </c>
      <c r="J45">
        <v>30</v>
      </c>
      <c r="K45">
        <v>2</v>
      </c>
      <c r="L45">
        <v>99</v>
      </c>
      <c r="M45">
        <v>9</v>
      </c>
      <c r="N45">
        <v>3</v>
      </c>
      <c r="O45">
        <v>99999</v>
      </c>
      <c r="P45" s="234">
        <f t="shared" ca="1" si="0"/>
        <v>15476014.231197888</v>
      </c>
      <c r="Q45" s="234">
        <f ca="1">Energia!C14</f>
        <v>15476014.231197888</v>
      </c>
    </row>
    <row r="46" spans="1:17" ht="15.75">
      <c r="A46" t="s">
        <v>771</v>
      </c>
      <c r="B46" t="s">
        <v>120</v>
      </c>
      <c r="C46" t="s">
        <v>1552</v>
      </c>
      <c r="D46">
        <v>1</v>
      </c>
      <c r="E46">
        <v>1</v>
      </c>
      <c r="F46">
        <v>51</v>
      </c>
      <c r="G46">
        <v>150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4">
        <f t="shared" ca="1" si="0"/>
        <v>226.09207101150452</v>
      </c>
      <c r="Q46" s="234">
        <f ca="1">Energia!C13</f>
        <v>226.09207101150452</v>
      </c>
    </row>
    <row r="47" spans="1:17" ht="15.75">
      <c r="A47" t="s">
        <v>771</v>
      </c>
      <c r="B47" t="s">
        <v>120</v>
      </c>
      <c r="C47" t="s">
        <v>1553</v>
      </c>
      <c r="D47">
        <v>1</v>
      </c>
      <c r="E47">
        <v>1</v>
      </c>
      <c r="F47">
        <v>4</v>
      </c>
      <c r="G47">
        <v>999999</v>
      </c>
      <c r="H47">
        <v>999</v>
      </c>
      <c r="I47">
        <v>2</v>
      </c>
      <c r="J47">
        <v>999</v>
      </c>
      <c r="K47">
        <v>9</v>
      </c>
      <c r="L47">
        <v>99</v>
      </c>
      <c r="M47">
        <v>9</v>
      </c>
      <c r="N47">
        <v>2</v>
      </c>
      <c r="O47">
        <v>99999</v>
      </c>
      <c r="P47" s="234">
        <f t="shared" si="0"/>
        <v>1118.7514856640885</v>
      </c>
      <c r="Q47" s="234">
        <f>Energia!C19</f>
        <v>1118.7514856640885</v>
      </c>
    </row>
    <row r="48" spans="1:17" ht="15.75">
      <c r="A48" t="s">
        <v>772</v>
      </c>
      <c r="B48" t="s">
        <v>120</v>
      </c>
      <c r="C48" t="s">
        <v>1554</v>
      </c>
      <c r="D48">
        <v>1</v>
      </c>
      <c r="E48">
        <v>1</v>
      </c>
      <c r="F48">
        <v>16</v>
      </c>
      <c r="G48">
        <v>999999</v>
      </c>
      <c r="H48">
        <v>999</v>
      </c>
      <c r="I48">
        <v>2</v>
      </c>
      <c r="J48">
        <v>999</v>
      </c>
      <c r="K48">
        <v>9</v>
      </c>
      <c r="L48">
        <v>99</v>
      </c>
      <c r="M48">
        <v>9</v>
      </c>
      <c r="N48">
        <v>2</v>
      </c>
      <c r="O48">
        <v>99999</v>
      </c>
      <c r="P48" s="234">
        <f t="shared" ca="1" si="0"/>
        <v>63252.03783622833</v>
      </c>
      <c r="Q48" s="234">
        <f ca="1">Energia!C22</f>
        <v>63252.03783622833</v>
      </c>
    </row>
    <row r="49" spans="1:17" ht="15.75">
      <c r="A49" t="s">
        <v>772</v>
      </c>
      <c r="B49" t="s">
        <v>120</v>
      </c>
      <c r="C49" s="9" t="s">
        <v>1555</v>
      </c>
      <c r="D49">
        <v>1</v>
      </c>
      <c r="E49">
        <v>1</v>
      </c>
      <c r="F49">
        <v>16</v>
      </c>
      <c r="G49">
        <v>999999</v>
      </c>
      <c r="H49">
        <v>999</v>
      </c>
      <c r="I49">
        <v>2</v>
      </c>
      <c r="J49">
        <v>999</v>
      </c>
      <c r="K49">
        <v>9</v>
      </c>
      <c r="L49">
        <v>99</v>
      </c>
      <c r="M49">
        <v>9</v>
      </c>
      <c r="N49">
        <v>3</v>
      </c>
      <c r="O49">
        <v>99999</v>
      </c>
      <c r="P49" s="234">
        <f t="shared" ca="1" si="0"/>
        <v>14714089.400658341</v>
      </c>
      <c r="Q49" s="234">
        <f ca="1">Energia!F22</f>
        <v>14714089.400658341</v>
      </c>
    </row>
    <row r="50" spans="1:17" s="12" customFormat="1" ht="15.75">
      <c r="A50" t="s">
        <v>772</v>
      </c>
      <c r="B50" t="s">
        <v>120</v>
      </c>
      <c r="C50" t="s">
        <v>1556</v>
      </c>
      <c r="D50">
        <v>1</v>
      </c>
      <c r="E50">
        <v>1</v>
      </c>
      <c r="F50">
        <v>6</v>
      </c>
      <c r="G50">
        <v>999999</v>
      </c>
      <c r="H50">
        <v>999</v>
      </c>
      <c r="I50">
        <v>2</v>
      </c>
      <c r="J50">
        <v>999</v>
      </c>
      <c r="K50">
        <v>9</v>
      </c>
      <c r="L50">
        <v>99</v>
      </c>
      <c r="M50">
        <v>9</v>
      </c>
      <c r="N50">
        <v>2</v>
      </c>
      <c r="O50">
        <v>99999</v>
      </c>
      <c r="P50" s="234">
        <f t="shared" ca="1" si="0"/>
        <v>0</v>
      </c>
      <c r="Q50" s="234">
        <f ca="1">LnkTXTGPM</f>
        <v>0</v>
      </c>
    </row>
    <row r="51" spans="1:17" s="12" customFormat="1" ht="15.75">
      <c r="A51" t="s">
        <v>772</v>
      </c>
      <c r="B51" t="s">
        <v>120</v>
      </c>
      <c r="C51" t="s">
        <v>1557</v>
      </c>
      <c r="D51">
        <v>1</v>
      </c>
      <c r="E51">
        <v>1</v>
      </c>
      <c r="F51">
        <v>6</v>
      </c>
      <c r="G51">
        <v>999999</v>
      </c>
      <c r="H51">
        <v>999</v>
      </c>
      <c r="I51">
        <v>2</v>
      </c>
      <c r="J51">
        <v>999</v>
      </c>
      <c r="K51">
        <v>9</v>
      </c>
      <c r="L51">
        <v>99</v>
      </c>
      <c r="M51">
        <v>9</v>
      </c>
      <c r="N51">
        <v>3</v>
      </c>
      <c r="O51">
        <v>99999</v>
      </c>
      <c r="P51" s="234">
        <f t="shared" ca="1" si="0"/>
        <v>0</v>
      </c>
      <c r="Q51" s="234">
        <f ca="1">Energia!F18</f>
        <v>0</v>
      </c>
    </row>
    <row r="52" spans="1:17" s="12" customFormat="1" ht="15.75">
      <c r="A52" t="s">
        <v>772</v>
      </c>
      <c r="B52" t="s">
        <v>120</v>
      </c>
      <c r="C52" t="s">
        <v>1558</v>
      </c>
      <c r="D52">
        <v>1</v>
      </c>
      <c r="E52">
        <v>1</v>
      </c>
      <c r="F52">
        <v>6</v>
      </c>
      <c r="G52">
        <v>999999</v>
      </c>
      <c r="H52">
        <v>999</v>
      </c>
      <c r="I52">
        <v>2</v>
      </c>
      <c r="J52">
        <v>999</v>
      </c>
      <c r="K52">
        <v>9</v>
      </c>
      <c r="L52">
        <v>99</v>
      </c>
      <c r="M52">
        <v>9</v>
      </c>
      <c r="N52">
        <v>5</v>
      </c>
      <c r="O52">
        <v>99999</v>
      </c>
      <c r="P52" s="234">
        <f t="shared" si="0"/>
        <v>0</v>
      </c>
      <c r="Q52" s="234">
        <f>LnkTXTGPCU</f>
        <v>0</v>
      </c>
    </row>
    <row r="53" spans="1:17" s="12" customFormat="1" ht="15.75">
      <c r="A53" t="s">
        <v>772</v>
      </c>
      <c r="B53" t="s">
        <v>120</v>
      </c>
      <c r="C53" s="9" t="s">
        <v>1559</v>
      </c>
      <c r="D53">
        <v>1</v>
      </c>
      <c r="E53">
        <v>1</v>
      </c>
      <c r="F53">
        <v>15</v>
      </c>
      <c r="G53">
        <v>143</v>
      </c>
      <c r="H53">
        <v>999</v>
      </c>
      <c r="I53">
        <v>2</v>
      </c>
      <c r="J53">
        <v>999</v>
      </c>
      <c r="K53">
        <v>9</v>
      </c>
      <c r="L53">
        <f>IF((LEFT(Energia!C28,3)="A2 "),2,IF((LEFT(Energia!C28,3)="A3 "),3,IF((LEFT(Energia!C28,3)="A3a"),4,IF((LEFT(Energia!C28,3)="A4 "),5,99))))</f>
        <v>5</v>
      </c>
      <c r="M53">
        <v>9</v>
      </c>
      <c r="N53">
        <v>4</v>
      </c>
      <c r="O53" s="421">
        <f>VALUE(Energia!A28)</f>
        <v>396</v>
      </c>
      <c r="P53" s="234">
        <f t="shared" si="0"/>
        <v>0.1401</v>
      </c>
      <c r="Q53" s="234">
        <f>Energia!F28</f>
        <v>0.1401</v>
      </c>
    </row>
    <row r="54" spans="1:17" s="12" customFormat="1" ht="15.75">
      <c r="A54" t="s">
        <v>772</v>
      </c>
      <c r="B54" t="s">
        <v>120</v>
      </c>
      <c r="C54" s="9" t="s">
        <v>1559</v>
      </c>
      <c r="D54">
        <v>1</v>
      </c>
      <c r="E54">
        <v>1</v>
      </c>
      <c r="F54">
        <v>15</v>
      </c>
      <c r="G54">
        <v>143</v>
      </c>
      <c r="H54">
        <v>999</v>
      </c>
      <c r="I54">
        <v>2</v>
      </c>
      <c r="J54">
        <v>999</v>
      </c>
      <c r="K54">
        <v>9</v>
      </c>
      <c r="L54">
        <f>IF((LEFT(Energia!C29,3)="A2 "),2,IF((LEFT(Energia!C29,3)="A3 "),3,IF((LEFT(Energia!C29,3)="A3a"),4,IF((LEFT(Energia!C29,3)="A4 "),5,99))))</f>
        <v>99</v>
      </c>
      <c r="M54">
        <v>9</v>
      </c>
      <c r="N54">
        <v>4</v>
      </c>
      <c r="O54" s="421">
        <f>VALUE(Energia!A29)</f>
        <v>0</v>
      </c>
      <c r="P54" s="234">
        <f t="shared" si="0"/>
        <v>0</v>
      </c>
      <c r="Q54" s="234" t="str">
        <f>Energia!F29</f>
        <v/>
      </c>
    </row>
    <row r="55" spans="1:17" s="12" customFormat="1" ht="15.75">
      <c r="A55" t="s">
        <v>772</v>
      </c>
      <c r="B55" t="s">
        <v>120</v>
      </c>
      <c r="C55" s="9" t="s">
        <v>1559</v>
      </c>
      <c r="D55">
        <v>1</v>
      </c>
      <c r="E55">
        <v>1</v>
      </c>
      <c r="F55">
        <v>15</v>
      </c>
      <c r="G55">
        <v>143</v>
      </c>
      <c r="H55">
        <v>999</v>
      </c>
      <c r="I55">
        <v>2</v>
      </c>
      <c r="J55">
        <v>999</v>
      </c>
      <c r="K55">
        <v>9</v>
      </c>
      <c r="L55">
        <f>IF((LEFT(Energia!C30,3)="A2 "),2,IF((LEFT(Energia!C30,3)="A3 "),3,IF((LEFT(Energia!C30,3)="A3a"),4,IF((LEFT(Energia!C30,3)="A4 "),5,99))))</f>
        <v>99</v>
      </c>
      <c r="M55">
        <v>9</v>
      </c>
      <c r="N55">
        <v>4</v>
      </c>
      <c r="O55" s="421">
        <f>VALUE(Energia!A30)</f>
        <v>0</v>
      </c>
      <c r="P55" s="234">
        <f t="shared" si="0"/>
        <v>0</v>
      </c>
      <c r="Q55" s="234" t="str">
        <f>Energia!F30</f>
        <v/>
      </c>
    </row>
    <row r="56" spans="1:17" s="12" customFormat="1" ht="15.75">
      <c r="A56" t="s">
        <v>772</v>
      </c>
      <c r="B56" t="s">
        <v>120</v>
      </c>
      <c r="C56" s="9" t="s">
        <v>1559</v>
      </c>
      <c r="D56">
        <v>1</v>
      </c>
      <c r="E56">
        <v>1</v>
      </c>
      <c r="F56">
        <v>15</v>
      </c>
      <c r="G56">
        <v>143</v>
      </c>
      <c r="H56">
        <v>999</v>
      </c>
      <c r="I56">
        <v>2</v>
      </c>
      <c r="J56">
        <v>999</v>
      </c>
      <c r="K56">
        <v>9</v>
      </c>
      <c r="L56">
        <f>IF((LEFT(Energia!C31,3)="A2 "),2,IF((LEFT(Energia!C31,3)="A3 "),3,IF((LEFT(Energia!C31,3)="A3a"),4,IF((LEFT(Energia!C31,3)="A4 "),5,99))))</f>
        <v>99</v>
      </c>
      <c r="M56">
        <v>9</v>
      </c>
      <c r="N56">
        <v>4</v>
      </c>
      <c r="O56" s="421">
        <f>VALUE(Energia!A31)</f>
        <v>0</v>
      </c>
      <c r="P56" s="234">
        <f t="shared" si="0"/>
        <v>0</v>
      </c>
      <c r="Q56" s="234" t="str">
        <f>Energia!F31</f>
        <v/>
      </c>
    </row>
    <row r="57" spans="1:17" s="12" customFormat="1" ht="15.75">
      <c r="A57" t="s">
        <v>772</v>
      </c>
      <c r="B57" t="s">
        <v>120</v>
      </c>
      <c r="C57" s="9" t="s">
        <v>1559</v>
      </c>
      <c r="D57">
        <v>1</v>
      </c>
      <c r="E57">
        <v>1</v>
      </c>
      <c r="F57">
        <v>15</v>
      </c>
      <c r="G57">
        <v>143</v>
      </c>
      <c r="H57">
        <v>999</v>
      </c>
      <c r="I57">
        <v>2</v>
      </c>
      <c r="J57">
        <v>999</v>
      </c>
      <c r="K57">
        <v>9</v>
      </c>
      <c r="L57">
        <f>IF((LEFT(Energia!C32,3)="A2 "),2,IF((LEFT(Energia!C32,3)="A3 "),3,IF((LEFT(Energia!C32,3)="A3a"),4,IF((LEFT(Energia!C32,3)="A4 "),5,99))))</f>
        <v>99</v>
      </c>
      <c r="M57">
        <v>9</v>
      </c>
      <c r="N57">
        <v>4</v>
      </c>
      <c r="O57" s="421">
        <f>VALUE(Energia!A32)</f>
        <v>0</v>
      </c>
      <c r="P57" s="234">
        <f t="shared" si="0"/>
        <v>0</v>
      </c>
      <c r="Q57" s="234" t="str">
        <f>Energia!F32</f>
        <v/>
      </c>
    </row>
    <row r="58" spans="1:17" s="12" customFormat="1" ht="15.75">
      <c r="A58" t="s">
        <v>772</v>
      </c>
      <c r="B58" t="s">
        <v>974</v>
      </c>
      <c r="C58" t="s">
        <v>966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99</v>
      </c>
      <c r="M58">
        <v>9</v>
      </c>
      <c r="N58">
        <v>2</v>
      </c>
      <c r="O58">
        <v>99999</v>
      </c>
      <c r="P58" s="234">
        <f t="shared" ca="1" si="0"/>
        <v>62056.817999999977</v>
      </c>
      <c r="Q58" s="234">
        <f ca="1">FornecimentoE</f>
        <v>62056.817999999977</v>
      </c>
    </row>
    <row r="59" spans="1:17" s="12" customFormat="1" ht="15.75">
      <c r="A59" t="s">
        <v>772</v>
      </c>
      <c r="B59" t="s">
        <v>974</v>
      </c>
      <c r="C59" t="s">
        <v>987</v>
      </c>
      <c r="D59">
        <v>1</v>
      </c>
      <c r="E59">
        <v>3</v>
      </c>
      <c r="F59">
        <v>50</v>
      </c>
      <c r="G59">
        <v>51</v>
      </c>
      <c r="H59">
        <v>999</v>
      </c>
      <c r="I59">
        <v>99</v>
      </c>
      <c r="J59">
        <v>999</v>
      </c>
      <c r="K59">
        <v>9</v>
      </c>
      <c r="L59">
        <v>99</v>
      </c>
      <c r="M59">
        <v>9</v>
      </c>
      <c r="N59">
        <v>2</v>
      </c>
      <c r="O59">
        <v>99999</v>
      </c>
      <c r="P59" s="234">
        <f t="shared" ca="1" si="0"/>
        <v>0</v>
      </c>
      <c r="Q59" s="234">
        <f ca="1">SuprimentoE</f>
        <v>0</v>
      </c>
    </row>
    <row r="60" spans="1:17" s="12" customFormat="1" ht="15.75">
      <c r="A60" t="s">
        <v>772</v>
      </c>
      <c r="B60" t="s">
        <v>974</v>
      </c>
      <c r="C60" t="s">
        <v>1560</v>
      </c>
      <c r="D60">
        <v>1</v>
      </c>
      <c r="E60">
        <v>3</v>
      </c>
      <c r="F60">
        <v>50</v>
      </c>
      <c r="G60">
        <v>52</v>
      </c>
      <c r="H60">
        <v>10</v>
      </c>
      <c r="I60">
        <v>99</v>
      </c>
      <c r="J60">
        <v>999</v>
      </c>
      <c r="K60">
        <v>9</v>
      </c>
      <c r="L60">
        <v>1</v>
      </c>
      <c r="M60">
        <v>9</v>
      </c>
      <c r="N60">
        <v>2</v>
      </c>
      <c r="O60">
        <v>99999</v>
      </c>
      <c r="P60" s="234">
        <f t="shared" ca="1" si="0"/>
        <v>0</v>
      </c>
      <c r="Q60" s="234">
        <f ca="1">LivreE_A1</f>
        <v>0</v>
      </c>
    </row>
    <row r="61" spans="1:17" s="12" customFormat="1" ht="15.75">
      <c r="A61" t="s">
        <v>772</v>
      </c>
      <c r="B61" t="s">
        <v>974</v>
      </c>
      <c r="C61" t="s">
        <v>1561</v>
      </c>
      <c r="D61">
        <v>1</v>
      </c>
      <c r="E61">
        <v>3</v>
      </c>
      <c r="F61">
        <v>50</v>
      </c>
      <c r="G61">
        <v>52</v>
      </c>
      <c r="H61">
        <v>11</v>
      </c>
      <c r="I61">
        <v>99</v>
      </c>
      <c r="J61">
        <v>999</v>
      </c>
      <c r="K61">
        <v>9</v>
      </c>
      <c r="L61">
        <v>99</v>
      </c>
      <c r="M61">
        <v>9</v>
      </c>
      <c r="N61">
        <v>2</v>
      </c>
      <c r="O61">
        <v>99999</v>
      </c>
      <c r="P61" s="234">
        <f t="shared" ca="1" si="0"/>
        <v>2888.5129999999999</v>
      </c>
      <c r="Q61" s="234">
        <f ca="1">Calc_Mercado!C22</f>
        <v>2888.5129999999999</v>
      </c>
    </row>
    <row r="62" spans="1:17" s="12" customFormat="1" ht="15.75">
      <c r="A62" t="s">
        <v>772</v>
      </c>
      <c r="B62" t="s">
        <v>974</v>
      </c>
      <c r="C62" t="s">
        <v>991</v>
      </c>
      <c r="D62">
        <v>1</v>
      </c>
      <c r="E62">
        <v>3</v>
      </c>
      <c r="F62">
        <v>50</v>
      </c>
      <c r="G62">
        <v>53</v>
      </c>
      <c r="H62">
        <v>999</v>
      </c>
      <c r="I62">
        <v>99</v>
      </c>
      <c r="J62">
        <v>999</v>
      </c>
      <c r="K62">
        <v>9</v>
      </c>
      <c r="L62">
        <v>99</v>
      </c>
      <c r="M62">
        <v>9</v>
      </c>
      <c r="N62">
        <v>2</v>
      </c>
      <c r="O62">
        <v>99999</v>
      </c>
      <c r="P62" s="234">
        <f t="shared" ca="1" si="0"/>
        <v>0</v>
      </c>
      <c r="Q62" s="234">
        <f ca="1">Calc_Mercado!C20</f>
        <v>0</v>
      </c>
    </row>
    <row r="63" spans="1:17" s="12" customFormat="1" ht="15.75">
      <c r="A63" t="s">
        <v>772</v>
      </c>
      <c r="B63" t="s">
        <v>974</v>
      </c>
      <c r="C63" t="s">
        <v>1562</v>
      </c>
      <c r="D63">
        <v>1</v>
      </c>
      <c r="E63">
        <v>3</v>
      </c>
      <c r="F63">
        <v>50</v>
      </c>
      <c r="G63">
        <v>54</v>
      </c>
      <c r="H63">
        <v>999</v>
      </c>
      <c r="I63">
        <v>99</v>
      </c>
      <c r="J63">
        <v>999</v>
      </c>
      <c r="K63">
        <v>9</v>
      </c>
      <c r="L63">
        <v>99</v>
      </c>
      <c r="M63">
        <v>9</v>
      </c>
      <c r="N63">
        <v>2</v>
      </c>
      <c r="O63">
        <v>99999</v>
      </c>
      <c r="P63" s="234">
        <f t="shared" si="0"/>
        <v>0</v>
      </c>
      <c r="Q63" s="234">
        <f>Calc_Mercado!C21</f>
        <v>0</v>
      </c>
    </row>
    <row r="64" spans="1:17" s="12" customFormat="1" ht="15.75">
      <c r="A64" t="s">
        <v>772</v>
      </c>
      <c r="B64" t="s">
        <v>974</v>
      </c>
      <c r="C64" t="s">
        <v>1563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1</v>
      </c>
      <c r="M64">
        <v>9</v>
      </c>
      <c r="N64">
        <v>2</v>
      </c>
      <c r="O64">
        <v>99999</v>
      </c>
      <c r="P64" s="234">
        <f t="shared" ca="1" si="0"/>
        <v>0</v>
      </c>
      <c r="Q64" s="234">
        <f ca="1">FornecimentoE_A1</f>
        <v>0</v>
      </c>
    </row>
    <row r="65" spans="1:17" s="12" customFormat="1" ht="15.75">
      <c r="A65" t="s">
        <v>772</v>
      </c>
      <c r="B65" t="s">
        <v>974</v>
      </c>
      <c r="C65" t="s">
        <v>1564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2</v>
      </c>
      <c r="M65">
        <v>9</v>
      </c>
      <c r="N65">
        <v>2</v>
      </c>
      <c r="O65">
        <v>99999</v>
      </c>
      <c r="P65" s="234">
        <f t="shared" ca="1" si="0"/>
        <v>0</v>
      </c>
      <c r="Q65" s="234">
        <f ca="1">Calc_Mercado!C10</f>
        <v>0</v>
      </c>
    </row>
    <row r="66" spans="1:17" s="12" customFormat="1" ht="15.75">
      <c r="A66" t="s">
        <v>772</v>
      </c>
      <c r="B66" t="s">
        <v>974</v>
      </c>
      <c r="C66" t="s">
        <v>1565</v>
      </c>
      <c r="D66">
        <v>1</v>
      </c>
      <c r="E66">
        <v>3</v>
      </c>
      <c r="F66">
        <v>50</v>
      </c>
      <c r="G66">
        <v>50</v>
      </c>
      <c r="H66">
        <v>999</v>
      </c>
      <c r="I66">
        <v>99</v>
      </c>
      <c r="J66">
        <v>999</v>
      </c>
      <c r="K66">
        <v>9</v>
      </c>
      <c r="L66">
        <v>3</v>
      </c>
      <c r="M66">
        <v>9</v>
      </c>
      <c r="N66">
        <v>2</v>
      </c>
      <c r="O66">
        <v>99999</v>
      </c>
      <c r="P66" s="234">
        <f t="shared" ca="1" si="0"/>
        <v>0</v>
      </c>
      <c r="Q66" s="234">
        <f ca="1">Calc_Mercado!C11</f>
        <v>0</v>
      </c>
    </row>
    <row r="67" spans="1:17" s="12" customFormat="1" ht="15.75">
      <c r="A67" t="s">
        <v>772</v>
      </c>
      <c r="B67" t="s">
        <v>974</v>
      </c>
      <c r="C67" t="s">
        <v>1566</v>
      </c>
      <c r="D67">
        <v>1</v>
      </c>
      <c r="E67">
        <v>3</v>
      </c>
      <c r="F67">
        <v>50</v>
      </c>
      <c r="G67">
        <v>50</v>
      </c>
      <c r="H67">
        <v>999</v>
      </c>
      <c r="I67">
        <v>99</v>
      </c>
      <c r="J67">
        <v>999</v>
      </c>
      <c r="K67">
        <v>9</v>
      </c>
      <c r="L67">
        <v>4</v>
      </c>
      <c r="M67">
        <v>9</v>
      </c>
      <c r="N67">
        <v>2</v>
      </c>
      <c r="O67">
        <v>99999</v>
      </c>
      <c r="P67" s="234">
        <f t="shared" ca="1" si="0"/>
        <v>0</v>
      </c>
      <c r="Q67" s="234">
        <f ca="1">Calc_Mercado!C12</f>
        <v>0</v>
      </c>
    </row>
    <row r="68" spans="1:17" s="12" customFormat="1" ht="15.75">
      <c r="A68" t="s">
        <v>772</v>
      </c>
      <c r="B68" t="s">
        <v>974</v>
      </c>
      <c r="C68" t="s">
        <v>1567</v>
      </c>
      <c r="D68">
        <v>1</v>
      </c>
      <c r="E68">
        <v>3</v>
      </c>
      <c r="F68">
        <v>50</v>
      </c>
      <c r="G68">
        <v>50</v>
      </c>
      <c r="H68">
        <v>999</v>
      </c>
      <c r="I68">
        <v>99</v>
      </c>
      <c r="J68">
        <v>999</v>
      </c>
      <c r="K68">
        <v>9</v>
      </c>
      <c r="L68">
        <v>5</v>
      </c>
      <c r="M68">
        <v>9</v>
      </c>
      <c r="N68">
        <v>2</v>
      </c>
      <c r="O68">
        <v>99999</v>
      </c>
      <c r="P68" s="234">
        <f t="shared" ca="1" si="0"/>
        <v>6836.9360000000024</v>
      </c>
      <c r="Q68" s="234">
        <f ca="1">Calc_Mercado!C13</f>
        <v>6836.9360000000024</v>
      </c>
    </row>
    <row r="69" spans="1:17" s="12" customFormat="1" ht="15.75">
      <c r="A69" t="s">
        <v>772</v>
      </c>
      <c r="B69" t="s">
        <v>974</v>
      </c>
      <c r="C69" t="s">
        <v>1568</v>
      </c>
      <c r="D69">
        <v>1</v>
      </c>
      <c r="E69">
        <v>3</v>
      </c>
      <c r="F69">
        <v>50</v>
      </c>
      <c r="G69">
        <v>50</v>
      </c>
      <c r="H69">
        <v>999</v>
      </c>
      <c r="I69">
        <v>99</v>
      </c>
      <c r="J69">
        <v>999</v>
      </c>
      <c r="K69">
        <v>9</v>
      </c>
      <c r="L69">
        <v>6</v>
      </c>
      <c r="M69">
        <v>9</v>
      </c>
      <c r="N69">
        <v>2</v>
      </c>
      <c r="O69">
        <v>99999</v>
      </c>
      <c r="P69" s="234">
        <f t="shared" ca="1" si="0"/>
        <v>0</v>
      </c>
      <c r="Q69" s="234">
        <f ca="1">Calc_Mercado!C14</f>
        <v>0</v>
      </c>
    </row>
    <row r="70" spans="1:17" s="12" customFormat="1" ht="15.75">
      <c r="A70" t="s">
        <v>772</v>
      </c>
      <c r="B70" t="s">
        <v>974</v>
      </c>
      <c r="C70" t="s">
        <v>1569</v>
      </c>
      <c r="D70">
        <v>1</v>
      </c>
      <c r="E70">
        <v>3</v>
      </c>
      <c r="F70">
        <v>50</v>
      </c>
      <c r="G70">
        <v>50</v>
      </c>
      <c r="H70">
        <v>999</v>
      </c>
      <c r="I70">
        <v>99</v>
      </c>
      <c r="J70">
        <v>999</v>
      </c>
      <c r="K70">
        <v>9</v>
      </c>
      <c r="L70">
        <v>21</v>
      </c>
      <c r="M70">
        <v>9</v>
      </c>
      <c r="N70">
        <v>2</v>
      </c>
      <c r="O70">
        <v>99999</v>
      </c>
      <c r="P70" s="234">
        <f t="shared" ref="P70:P140" ca="1" si="3">IF(ISNUMBER(Q70),Q70,0)</f>
        <v>55219.881999999976</v>
      </c>
      <c r="Q70" s="234">
        <f ca="1">FornecimentoE_BT</f>
        <v>55219.881999999976</v>
      </c>
    </row>
    <row r="71" spans="1:17" ht="15.75">
      <c r="A71" t="s">
        <v>772</v>
      </c>
      <c r="B71" t="s">
        <v>974</v>
      </c>
      <c r="C71" t="s">
        <v>966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99</v>
      </c>
      <c r="M71">
        <v>9</v>
      </c>
      <c r="N71">
        <v>3</v>
      </c>
      <c r="O71">
        <v>99999</v>
      </c>
      <c r="P71" s="234">
        <f t="shared" ca="1" si="3"/>
        <v>58361689.566380009</v>
      </c>
      <c r="Q71" s="234">
        <f ca="1">Calc_Mercado!D8</f>
        <v>58361689.566380009</v>
      </c>
    </row>
    <row r="72" spans="1:17" ht="15.75">
      <c r="A72" t="s">
        <v>772</v>
      </c>
      <c r="B72" t="s">
        <v>974</v>
      </c>
      <c r="C72" t="s">
        <v>987</v>
      </c>
      <c r="D72">
        <v>1</v>
      </c>
      <c r="E72">
        <v>3</v>
      </c>
      <c r="F72">
        <v>50</v>
      </c>
      <c r="G72">
        <v>51</v>
      </c>
      <c r="H72">
        <v>999</v>
      </c>
      <c r="I72">
        <v>99</v>
      </c>
      <c r="J72">
        <v>999</v>
      </c>
      <c r="K72">
        <v>9</v>
      </c>
      <c r="L72">
        <v>99</v>
      </c>
      <c r="M72">
        <v>9</v>
      </c>
      <c r="N72">
        <v>3</v>
      </c>
      <c r="O72">
        <v>99999</v>
      </c>
      <c r="P72" s="234">
        <f t="shared" ca="1" si="3"/>
        <v>0</v>
      </c>
      <c r="Q72" s="234">
        <f ca="1">Calc_Mercado!D17</f>
        <v>0</v>
      </c>
    </row>
    <row r="73" spans="1:17" ht="15.75">
      <c r="A73" t="s">
        <v>772</v>
      </c>
      <c r="B73" t="s">
        <v>974</v>
      </c>
      <c r="C73" t="s">
        <v>1560</v>
      </c>
      <c r="D73">
        <v>1</v>
      </c>
      <c r="E73">
        <v>3</v>
      </c>
      <c r="F73">
        <v>50</v>
      </c>
      <c r="G73">
        <v>52</v>
      </c>
      <c r="H73">
        <v>10</v>
      </c>
      <c r="I73">
        <v>99</v>
      </c>
      <c r="J73">
        <v>999</v>
      </c>
      <c r="K73">
        <v>9</v>
      </c>
      <c r="L73">
        <v>1</v>
      </c>
      <c r="M73">
        <v>9</v>
      </c>
      <c r="N73">
        <v>3</v>
      </c>
      <c r="O73">
        <v>99999</v>
      </c>
      <c r="P73" s="234">
        <f t="shared" ca="1" si="3"/>
        <v>0</v>
      </c>
      <c r="Q73" s="234">
        <f ca="1">Calc_Mercado!D19</f>
        <v>0</v>
      </c>
    </row>
    <row r="74" spans="1:17" ht="15.75">
      <c r="A74" t="s">
        <v>772</v>
      </c>
      <c r="B74" t="s">
        <v>974</v>
      </c>
      <c r="C74" t="s">
        <v>1561</v>
      </c>
      <c r="D74">
        <v>1</v>
      </c>
      <c r="E74">
        <v>3</v>
      </c>
      <c r="F74">
        <v>50</v>
      </c>
      <c r="G74">
        <v>52</v>
      </c>
      <c r="H74">
        <v>11</v>
      </c>
      <c r="I74">
        <v>99</v>
      </c>
      <c r="J74">
        <v>999</v>
      </c>
      <c r="K74">
        <v>9</v>
      </c>
      <c r="L74">
        <v>99</v>
      </c>
      <c r="M74">
        <v>9</v>
      </c>
      <c r="N74">
        <v>3</v>
      </c>
      <c r="O74">
        <v>99999</v>
      </c>
      <c r="P74" s="234">
        <f t="shared" ca="1" si="3"/>
        <v>1457897.5322599998</v>
      </c>
      <c r="Q74" s="234">
        <f ca="1">Calc_Mercado!D22</f>
        <v>1457897.5322599998</v>
      </c>
    </row>
    <row r="75" spans="1:17" ht="15.75">
      <c r="A75" t="s">
        <v>772</v>
      </c>
      <c r="B75" t="s">
        <v>974</v>
      </c>
      <c r="C75" t="s">
        <v>991</v>
      </c>
      <c r="D75">
        <v>1</v>
      </c>
      <c r="E75">
        <v>3</v>
      </c>
      <c r="F75">
        <v>50</v>
      </c>
      <c r="G75">
        <v>53</v>
      </c>
      <c r="H75">
        <v>999</v>
      </c>
      <c r="I75">
        <v>99</v>
      </c>
      <c r="J75">
        <v>999</v>
      </c>
      <c r="K75">
        <v>9</v>
      </c>
      <c r="L75">
        <v>99</v>
      </c>
      <c r="M75">
        <v>9</v>
      </c>
      <c r="N75">
        <v>3</v>
      </c>
      <c r="O75">
        <v>99999</v>
      </c>
      <c r="P75" s="234">
        <f t="shared" ca="1" si="3"/>
        <v>0</v>
      </c>
      <c r="Q75" s="234">
        <f ca="1">Calc_Mercado!D20</f>
        <v>0</v>
      </c>
    </row>
    <row r="76" spans="1:17" ht="15.75">
      <c r="A76" t="s">
        <v>772</v>
      </c>
      <c r="B76" t="s">
        <v>974</v>
      </c>
      <c r="C76" t="s">
        <v>1562</v>
      </c>
      <c r="D76">
        <v>1</v>
      </c>
      <c r="E76">
        <v>3</v>
      </c>
      <c r="F76">
        <v>50</v>
      </c>
      <c r="G76">
        <v>54</v>
      </c>
      <c r="H76">
        <v>999</v>
      </c>
      <c r="I76">
        <v>99</v>
      </c>
      <c r="J76">
        <v>999</v>
      </c>
      <c r="K76">
        <v>9</v>
      </c>
      <c r="L76">
        <v>99</v>
      </c>
      <c r="M76">
        <v>9</v>
      </c>
      <c r="N76">
        <v>3</v>
      </c>
      <c r="O76">
        <v>99999</v>
      </c>
      <c r="P76" s="234">
        <f t="shared" ca="1" si="3"/>
        <v>338954.40000000008</v>
      </c>
      <c r="Q76" s="234">
        <f ca="1">Calc_Mercado!D21</f>
        <v>338954.40000000008</v>
      </c>
    </row>
    <row r="77" spans="1:17" ht="15.75">
      <c r="A77" t="s">
        <v>772</v>
      </c>
      <c r="B77" t="s">
        <v>974</v>
      </c>
      <c r="C77" t="s">
        <v>1563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1</v>
      </c>
      <c r="M77">
        <v>9</v>
      </c>
      <c r="N77">
        <v>3</v>
      </c>
      <c r="O77">
        <v>99999</v>
      </c>
      <c r="P77" s="234">
        <f t="shared" ca="1" si="3"/>
        <v>0</v>
      </c>
      <c r="Q77" s="234">
        <f ca="1">Calc_Mercado!D9</f>
        <v>0</v>
      </c>
    </row>
    <row r="78" spans="1:17" ht="15.75">
      <c r="A78" t="s">
        <v>772</v>
      </c>
      <c r="B78" t="s">
        <v>974</v>
      </c>
      <c r="C78" t="s">
        <v>1564</v>
      </c>
      <c r="D78">
        <v>1</v>
      </c>
      <c r="E78">
        <v>3</v>
      </c>
      <c r="F78">
        <v>50</v>
      </c>
      <c r="G78">
        <v>50</v>
      </c>
      <c r="H78">
        <v>999</v>
      </c>
      <c r="I78">
        <v>99</v>
      </c>
      <c r="J78">
        <v>999</v>
      </c>
      <c r="K78">
        <v>9</v>
      </c>
      <c r="L78">
        <v>2</v>
      </c>
      <c r="M78">
        <v>9</v>
      </c>
      <c r="N78">
        <v>3</v>
      </c>
      <c r="O78">
        <v>99999</v>
      </c>
      <c r="P78" s="234">
        <f t="shared" ca="1" si="3"/>
        <v>0</v>
      </c>
      <c r="Q78" s="234">
        <f ca="1">Calc_Mercado!D10</f>
        <v>0</v>
      </c>
    </row>
    <row r="79" spans="1:17" ht="15.75">
      <c r="A79" t="s">
        <v>772</v>
      </c>
      <c r="B79" t="s">
        <v>974</v>
      </c>
      <c r="C79" t="s">
        <v>1565</v>
      </c>
      <c r="D79">
        <v>1</v>
      </c>
      <c r="E79">
        <v>3</v>
      </c>
      <c r="F79">
        <v>50</v>
      </c>
      <c r="G79">
        <v>50</v>
      </c>
      <c r="H79">
        <v>999</v>
      </c>
      <c r="I79">
        <v>99</v>
      </c>
      <c r="J79">
        <v>999</v>
      </c>
      <c r="K79">
        <v>9</v>
      </c>
      <c r="L79">
        <v>3</v>
      </c>
      <c r="M79">
        <v>9</v>
      </c>
      <c r="N79">
        <v>3</v>
      </c>
      <c r="O79">
        <v>99999</v>
      </c>
      <c r="P79" s="234">
        <f t="shared" ca="1" si="3"/>
        <v>0</v>
      </c>
      <c r="Q79" s="234">
        <f ca="1">Calc_Mercado!D11</f>
        <v>0</v>
      </c>
    </row>
    <row r="80" spans="1:17" ht="15.75">
      <c r="A80" t="s">
        <v>772</v>
      </c>
      <c r="B80" t="s">
        <v>974</v>
      </c>
      <c r="C80" t="s">
        <v>1566</v>
      </c>
      <c r="D80">
        <v>1</v>
      </c>
      <c r="E80">
        <v>3</v>
      </c>
      <c r="F80">
        <v>50</v>
      </c>
      <c r="G80">
        <v>50</v>
      </c>
      <c r="H80">
        <v>999</v>
      </c>
      <c r="I80">
        <v>99</v>
      </c>
      <c r="J80">
        <v>999</v>
      </c>
      <c r="K80">
        <v>9</v>
      </c>
      <c r="L80">
        <v>4</v>
      </c>
      <c r="M80">
        <v>9</v>
      </c>
      <c r="N80">
        <v>3</v>
      </c>
      <c r="O80">
        <v>99999</v>
      </c>
      <c r="P80" s="234">
        <f t="shared" ca="1" si="3"/>
        <v>0</v>
      </c>
      <c r="Q80" s="234">
        <f ca="1">Calc_Mercado!D12</f>
        <v>0</v>
      </c>
    </row>
    <row r="81" spans="1:17" ht="15.75">
      <c r="A81" t="s">
        <v>772</v>
      </c>
      <c r="B81" t="s">
        <v>974</v>
      </c>
      <c r="C81" t="s">
        <v>1567</v>
      </c>
      <c r="D81">
        <v>1</v>
      </c>
      <c r="E81">
        <v>3</v>
      </c>
      <c r="F81">
        <v>50</v>
      </c>
      <c r="G81">
        <v>50</v>
      </c>
      <c r="H81">
        <v>999</v>
      </c>
      <c r="I81">
        <v>99</v>
      </c>
      <c r="J81">
        <v>999</v>
      </c>
      <c r="K81">
        <v>9</v>
      </c>
      <c r="L81">
        <v>5</v>
      </c>
      <c r="M81">
        <v>9</v>
      </c>
      <c r="N81">
        <v>3</v>
      </c>
      <c r="O81">
        <v>99999</v>
      </c>
      <c r="P81" s="234">
        <f t="shared" ca="1" si="3"/>
        <v>6044154.6416399991</v>
      </c>
      <c r="Q81" s="234">
        <f ca="1">Calc_Mercado!D13</f>
        <v>6044154.6416399991</v>
      </c>
    </row>
    <row r="82" spans="1:17" ht="15.75">
      <c r="A82" t="s">
        <v>772</v>
      </c>
      <c r="B82" t="s">
        <v>974</v>
      </c>
      <c r="C82" t="s">
        <v>1568</v>
      </c>
      <c r="D82">
        <v>1</v>
      </c>
      <c r="E82">
        <v>3</v>
      </c>
      <c r="F82">
        <v>50</v>
      </c>
      <c r="G82">
        <v>50</v>
      </c>
      <c r="H82">
        <v>999</v>
      </c>
      <c r="I82">
        <v>99</v>
      </c>
      <c r="J82">
        <v>999</v>
      </c>
      <c r="K82">
        <v>9</v>
      </c>
      <c r="L82">
        <v>6</v>
      </c>
      <c r="M82">
        <v>9</v>
      </c>
      <c r="N82">
        <v>3</v>
      </c>
      <c r="O82">
        <v>99999</v>
      </c>
      <c r="P82" s="234">
        <f t="shared" ca="1" si="3"/>
        <v>0</v>
      </c>
      <c r="Q82" s="234">
        <f ca="1">Calc_Mercado!D14</f>
        <v>0</v>
      </c>
    </row>
    <row r="83" spans="1:17" ht="15.75">
      <c r="A83" t="s">
        <v>772</v>
      </c>
      <c r="B83" t="s">
        <v>974</v>
      </c>
      <c r="C83" t="s">
        <v>1569</v>
      </c>
      <c r="D83">
        <v>1</v>
      </c>
      <c r="E83">
        <v>3</v>
      </c>
      <c r="F83">
        <v>50</v>
      </c>
      <c r="G83">
        <v>50</v>
      </c>
      <c r="H83">
        <v>999</v>
      </c>
      <c r="I83">
        <v>99</v>
      </c>
      <c r="J83">
        <v>999</v>
      </c>
      <c r="K83">
        <v>9</v>
      </c>
      <c r="L83">
        <v>21</v>
      </c>
      <c r="M83">
        <v>9</v>
      </c>
      <c r="N83">
        <v>3</v>
      </c>
      <c r="O83">
        <v>99999</v>
      </c>
      <c r="P83" s="234">
        <f t="shared" ca="1" si="3"/>
        <v>52317534.924740009</v>
      </c>
      <c r="Q83" s="234">
        <f ca="1">Calc_Mercado!D15</f>
        <v>52317534.924740009</v>
      </c>
    </row>
    <row r="84" spans="1:17" ht="15.75">
      <c r="A84" t="s">
        <v>772</v>
      </c>
      <c r="B84" t="s">
        <v>974</v>
      </c>
      <c r="C84" t="s">
        <v>1570</v>
      </c>
      <c r="D84">
        <v>1</v>
      </c>
      <c r="E84">
        <v>1</v>
      </c>
      <c r="F84">
        <v>15</v>
      </c>
      <c r="G84">
        <v>17</v>
      </c>
      <c r="H84">
        <v>999</v>
      </c>
      <c r="I84">
        <v>4</v>
      </c>
      <c r="J84">
        <v>999</v>
      </c>
      <c r="K84">
        <v>9</v>
      </c>
      <c r="L84">
        <v>99</v>
      </c>
      <c r="M84">
        <v>9</v>
      </c>
      <c r="N84">
        <v>4</v>
      </c>
      <c r="O84">
        <v>99999</v>
      </c>
      <c r="P84" s="249">
        <f>IF(ISNUMBER(Q84),Q84,0)</f>
        <v>0</v>
      </c>
      <c r="Q84" s="234">
        <f>CAPA!H43</f>
        <v>0</v>
      </c>
    </row>
    <row r="85" spans="1:17" ht="15.75">
      <c r="A85" t="s">
        <v>771</v>
      </c>
      <c r="B85" t="s">
        <v>974</v>
      </c>
      <c r="C85" s="9" t="s">
        <v>1571</v>
      </c>
      <c r="D85">
        <v>1</v>
      </c>
      <c r="E85">
        <v>1</v>
      </c>
      <c r="F85">
        <v>15</v>
      </c>
      <c r="G85">
        <v>19</v>
      </c>
      <c r="H85">
        <v>999</v>
      </c>
      <c r="I85">
        <v>4</v>
      </c>
      <c r="J85">
        <v>999</v>
      </c>
      <c r="K85">
        <v>9</v>
      </c>
      <c r="L85">
        <v>99</v>
      </c>
      <c r="M85">
        <v>9</v>
      </c>
      <c r="N85">
        <v>4</v>
      </c>
      <c r="O85">
        <v>99999</v>
      </c>
      <c r="P85" s="249">
        <f>IF(ISNUMBER(Q85),Q85,0)</f>
        <v>0</v>
      </c>
      <c r="Q85" s="234">
        <f>CAPA!H42</f>
        <v>0</v>
      </c>
    </row>
    <row r="86" spans="1:17" ht="15.75">
      <c r="A86" t="s">
        <v>772</v>
      </c>
      <c r="B86" t="s">
        <v>974</v>
      </c>
      <c r="C86" t="s">
        <v>1572</v>
      </c>
      <c r="D86">
        <v>1</v>
      </c>
      <c r="E86">
        <v>1</v>
      </c>
      <c r="F86">
        <v>51</v>
      </c>
      <c r="G86">
        <v>999999</v>
      </c>
      <c r="H86">
        <v>999</v>
      </c>
      <c r="I86">
        <v>2</v>
      </c>
      <c r="J86">
        <v>11</v>
      </c>
      <c r="K86">
        <v>2</v>
      </c>
      <c r="L86">
        <v>99</v>
      </c>
      <c r="M86">
        <v>9</v>
      </c>
      <c r="N86">
        <v>2</v>
      </c>
      <c r="O86">
        <v>99999</v>
      </c>
      <c r="P86" s="234">
        <f t="shared" ca="1" si="3"/>
        <v>62056.817999999977</v>
      </c>
      <c r="Q86" s="234">
        <f ca="1">LnkTXTEV</f>
        <v>62056.817999999977</v>
      </c>
    </row>
    <row r="87" spans="1:17" ht="15.75">
      <c r="A87" t="s">
        <v>772</v>
      </c>
      <c r="B87" t="s">
        <v>109</v>
      </c>
      <c r="C87" t="s">
        <v>1573</v>
      </c>
      <c r="D87">
        <v>2</v>
      </c>
      <c r="E87">
        <v>1</v>
      </c>
      <c r="F87">
        <v>51</v>
      </c>
      <c r="G87">
        <v>101</v>
      </c>
      <c r="H87">
        <v>999</v>
      </c>
      <c r="I87">
        <v>4</v>
      </c>
      <c r="J87">
        <v>999</v>
      </c>
      <c r="K87">
        <v>1</v>
      </c>
      <c r="L87">
        <v>99</v>
      </c>
      <c r="M87">
        <v>1</v>
      </c>
      <c r="N87">
        <v>3</v>
      </c>
      <c r="O87">
        <v>99999</v>
      </c>
      <c r="P87" s="234">
        <f t="shared" si="3"/>
        <v>34000000</v>
      </c>
      <c r="Q87" s="234">
        <f>Resultado!D39</f>
        <v>34000000</v>
      </c>
    </row>
    <row r="88" spans="1:17" ht="15.75">
      <c r="A88" s="1653" t="s">
        <v>1589</v>
      </c>
      <c r="B88" s="1653" t="s">
        <v>1589</v>
      </c>
      <c r="C88" s="1653" t="s">
        <v>1589</v>
      </c>
      <c r="D88" s="1653">
        <v>99</v>
      </c>
      <c r="E88" s="1653">
        <v>99</v>
      </c>
      <c r="F88" s="1653">
        <v>999</v>
      </c>
      <c r="G88" s="1653">
        <v>999999</v>
      </c>
      <c r="H88" s="1653">
        <v>999</v>
      </c>
      <c r="I88" s="1653">
        <v>99</v>
      </c>
      <c r="J88" s="1653">
        <v>999</v>
      </c>
      <c r="K88" s="1653">
        <v>9</v>
      </c>
      <c r="L88" s="1653">
        <v>99</v>
      </c>
      <c r="M88" s="1653">
        <v>9</v>
      </c>
      <c r="N88" s="1653">
        <v>99</v>
      </c>
      <c r="O88" s="1653">
        <v>99999</v>
      </c>
      <c r="P88" s="402">
        <f t="shared" si="3"/>
        <v>0</v>
      </c>
      <c r="Q88" s="402">
        <v>0</v>
      </c>
    </row>
    <row r="89" spans="1:17" ht="15.75">
      <c r="A89" t="s">
        <v>772</v>
      </c>
      <c r="B89" t="s">
        <v>1376</v>
      </c>
      <c r="C89" t="str">
        <f>Financeiros!C10</f>
        <v>Repasse de PIS COFINS CUSD</v>
      </c>
      <c r="D89">
        <v>2</v>
      </c>
      <c r="E89">
        <v>2</v>
      </c>
      <c r="F89">
        <f>Financeiros!F10</f>
        <v>22</v>
      </c>
      <c r="G89">
        <f>Financeiros!G10</f>
        <v>60</v>
      </c>
      <c r="H89">
        <f>Financeiros!H10</f>
        <v>999</v>
      </c>
      <c r="I89">
        <f>Financeiros!I10</f>
        <v>1</v>
      </c>
      <c r="J89">
        <f>Financeiros!J10</f>
        <v>7</v>
      </c>
      <c r="K89">
        <f>Financeiros!K10</f>
        <v>9</v>
      </c>
      <c r="L89">
        <v>99</v>
      </c>
      <c r="M89">
        <v>9</v>
      </c>
      <c r="N89">
        <v>3</v>
      </c>
      <c r="O89">
        <v>99999</v>
      </c>
      <c r="P89" s="234">
        <f t="shared" ca="1" si="3"/>
        <v>430086.92823323829</v>
      </c>
      <c r="Q89" s="234">
        <f ca="1">Financeiros!D10</f>
        <v>430086.92823323829</v>
      </c>
    </row>
    <row r="90" spans="1:17" ht="15.75">
      <c r="A90" t="s">
        <v>772</v>
      </c>
      <c r="B90" t="s">
        <v>1376</v>
      </c>
      <c r="C90" t="str">
        <f>Financeiros!C11</f>
        <v>Repasse de PIS COFINS TE</v>
      </c>
      <c r="D90">
        <v>2</v>
      </c>
      <c r="E90">
        <v>2</v>
      </c>
      <c r="F90">
        <f>Financeiros!F11</f>
        <v>22</v>
      </c>
      <c r="G90">
        <f>Financeiros!G11</f>
        <v>60</v>
      </c>
      <c r="H90">
        <f>Financeiros!H11</f>
        <v>999</v>
      </c>
      <c r="I90">
        <f>Financeiros!I11</f>
        <v>2</v>
      </c>
      <c r="J90">
        <f>Financeiros!J11</f>
        <v>30</v>
      </c>
      <c r="K90">
        <f>Financeiros!K11</f>
        <v>9</v>
      </c>
      <c r="L90">
        <v>99</v>
      </c>
      <c r="M90">
        <v>9</v>
      </c>
      <c r="N90">
        <v>3</v>
      </c>
      <c r="O90">
        <v>99999</v>
      </c>
      <c r="P90" s="234">
        <f t="shared" ca="1" si="3"/>
        <v>890097.40926864627</v>
      </c>
      <c r="Q90" s="234">
        <f ca="1">Financeiros!D11</f>
        <v>890097.40926864627</v>
      </c>
    </row>
    <row r="91" spans="1:17" ht="15.75">
      <c r="A91" t="s">
        <v>772</v>
      </c>
      <c r="B91" t="s">
        <v>1376</v>
      </c>
      <c r="C91" t="str">
        <f>Financeiros!C12</f>
        <v>(Neutralidade) TFSEE</v>
      </c>
      <c r="D91">
        <v>2</v>
      </c>
      <c r="E91">
        <v>2</v>
      </c>
      <c r="F91">
        <f>Financeiros!F12</f>
        <v>20</v>
      </c>
      <c r="G91">
        <f>Financeiros!G12</f>
        <v>60</v>
      </c>
      <c r="H91">
        <f>Financeiros!H12</f>
        <v>20</v>
      </c>
      <c r="I91">
        <f>Financeiros!I12</f>
        <v>3</v>
      </c>
      <c r="J91">
        <f>Financeiros!J12</f>
        <v>14</v>
      </c>
      <c r="K91">
        <f>Financeiros!K12</f>
        <v>9</v>
      </c>
      <c r="L91">
        <v>99</v>
      </c>
      <c r="M91">
        <v>9</v>
      </c>
      <c r="N91">
        <v>3</v>
      </c>
      <c r="O91">
        <v>99999</v>
      </c>
      <c r="P91" s="234">
        <f t="shared" ca="1" si="3"/>
        <v>-1468.8637825615788</v>
      </c>
      <c r="Q91" s="234">
        <f ca="1">Financeiros!D12</f>
        <v>-1468.8637825615788</v>
      </c>
    </row>
    <row r="92" spans="1:17" ht="15.75">
      <c r="A92" t="s">
        <v>772</v>
      </c>
      <c r="B92" t="s">
        <v>1376</v>
      </c>
      <c r="C92" t="str">
        <f>Financeiros!C13</f>
        <v>(Neutralidade) CDE</v>
      </c>
      <c r="D92">
        <v>2</v>
      </c>
      <c r="E92">
        <v>2</v>
      </c>
      <c r="F92">
        <f>Financeiros!F13</f>
        <v>20</v>
      </c>
      <c r="G92">
        <f>Financeiros!G13</f>
        <v>60</v>
      </c>
      <c r="H92">
        <f>Financeiros!H13</f>
        <v>20</v>
      </c>
      <c r="I92">
        <f>Financeiros!I13</f>
        <v>3</v>
      </c>
      <c r="J92">
        <f>Financeiros!J13</f>
        <v>15</v>
      </c>
      <c r="K92">
        <f>Financeiros!K13</f>
        <v>9</v>
      </c>
      <c r="L92">
        <v>99</v>
      </c>
      <c r="M92">
        <v>9</v>
      </c>
      <c r="N92">
        <v>3</v>
      </c>
      <c r="O92">
        <v>99999</v>
      </c>
      <c r="P92" s="234">
        <f t="shared" ca="1" si="3"/>
        <v>-38569.859714027712</v>
      </c>
      <c r="Q92" s="234">
        <f ca="1">Financeiros!D13</f>
        <v>-38569.859714027712</v>
      </c>
    </row>
    <row r="93" spans="1:17" ht="15.75">
      <c r="A93" t="s">
        <v>772</v>
      </c>
      <c r="B93" t="s">
        <v>1376</v>
      </c>
      <c r="C93" t="str">
        <f>Financeiros!C14</f>
        <v>(Neutralidade) CFURH</v>
      </c>
      <c r="D93">
        <v>2</v>
      </c>
      <c r="E93">
        <v>2</v>
      </c>
      <c r="F93">
        <f>Financeiros!F14</f>
        <v>20</v>
      </c>
      <c r="G93">
        <f>Financeiros!G14</f>
        <v>60</v>
      </c>
      <c r="H93">
        <f>Financeiros!H14</f>
        <v>20</v>
      </c>
      <c r="I93">
        <f>Financeiros!I14</f>
        <v>3</v>
      </c>
      <c r="J93">
        <f>Financeiros!J14</f>
        <v>16</v>
      </c>
      <c r="K93">
        <f>Financeiros!K14</f>
        <v>9</v>
      </c>
      <c r="L93">
        <v>99</v>
      </c>
      <c r="M93">
        <v>9</v>
      </c>
      <c r="N93">
        <v>3</v>
      </c>
      <c r="O93">
        <v>99999</v>
      </c>
      <c r="P93" s="234">
        <f t="shared" si="3"/>
        <v>0</v>
      </c>
      <c r="Q93" s="234">
        <f>Financeiros!D14</f>
        <v>0</v>
      </c>
    </row>
    <row r="94" spans="1:17" ht="15.75">
      <c r="A94" t="s">
        <v>772</v>
      </c>
      <c r="B94" t="s">
        <v>1376</v>
      </c>
      <c r="C94" t="str">
        <f>Financeiros!C15</f>
        <v>(Neutralidade) ESS/EER</v>
      </c>
      <c r="D94">
        <v>2</v>
      </c>
      <c r="E94">
        <v>2</v>
      </c>
      <c r="F94">
        <f>Financeiros!F15</f>
        <v>20</v>
      </c>
      <c r="G94">
        <f>Financeiros!G15</f>
        <v>60</v>
      </c>
      <c r="H94">
        <f>Financeiros!H15</f>
        <v>20</v>
      </c>
      <c r="I94">
        <f>Financeiros!I15</f>
        <v>3</v>
      </c>
      <c r="J94">
        <f>Financeiros!J15</f>
        <v>17</v>
      </c>
      <c r="K94">
        <f>Financeiros!K15</f>
        <v>9</v>
      </c>
      <c r="L94">
        <v>99</v>
      </c>
      <c r="M94">
        <v>9</v>
      </c>
      <c r="N94">
        <v>3</v>
      </c>
      <c r="O94">
        <v>99999</v>
      </c>
      <c r="P94" s="234">
        <f t="shared" ca="1" si="3"/>
        <v>0</v>
      </c>
      <c r="Q94" s="234">
        <f ca="1">Financeiros!D15</f>
        <v>0</v>
      </c>
    </row>
    <row r="95" spans="1:17" ht="15.75">
      <c r="A95" t="s">
        <v>772</v>
      </c>
      <c r="B95" t="s">
        <v>1376</v>
      </c>
      <c r="C95" t="str">
        <f>Financeiros!C16</f>
        <v>(Neutralidade) PROINFA</v>
      </c>
      <c r="D95">
        <v>2</v>
      </c>
      <c r="E95">
        <v>2</v>
      </c>
      <c r="F95">
        <f>Financeiros!F16</f>
        <v>20</v>
      </c>
      <c r="G95">
        <f>Financeiros!G16</f>
        <v>60</v>
      </c>
      <c r="H95">
        <f>Financeiros!H16</f>
        <v>20</v>
      </c>
      <c r="I95">
        <f>Financeiros!I16</f>
        <v>3</v>
      </c>
      <c r="J95">
        <f>Financeiros!J16</f>
        <v>18</v>
      </c>
      <c r="K95">
        <f>Financeiros!K16</f>
        <v>9</v>
      </c>
      <c r="L95">
        <v>99</v>
      </c>
      <c r="M95">
        <v>9</v>
      </c>
      <c r="N95">
        <v>3</v>
      </c>
      <c r="O95">
        <v>99999</v>
      </c>
      <c r="P95" s="234">
        <f t="shared" ca="1" si="3"/>
        <v>-6041.0144003341793</v>
      </c>
      <c r="Q95" s="234">
        <f ca="1">Financeiros!D16</f>
        <v>-6041.0144003341793</v>
      </c>
    </row>
    <row r="96" spans="1:17" ht="15.75">
      <c r="A96" t="s">
        <v>772</v>
      </c>
      <c r="B96" t="s">
        <v>1376</v>
      </c>
      <c r="C96" t="str">
        <f>Financeiros!C17</f>
        <v>(Neutralidade) P&amp;D e PEE</v>
      </c>
      <c r="D96">
        <v>2</v>
      </c>
      <c r="E96">
        <v>2</v>
      </c>
      <c r="F96">
        <f>Financeiros!F17</f>
        <v>20</v>
      </c>
      <c r="G96">
        <f>Financeiros!G17</f>
        <v>60</v>
      </c>
      <c r="H96">
        <f>Financeiros!H17</f>
        <v>20</v>
      </c>
      <c r="I96">
        <f>Financeiros!I17</f>
        <v>3</v>
      </c>
      <c r="J96">
        <f>Financeiros!J17</f>
        <v>19</v>
      </c>
      <c r="K96">
        <f>Financeiros!K17</f>
        <v>9</v>
      </c>
      <c r="L96">
        <v>99</v>
      </c>
      <c r="M96">
        <v>9</v>
      </c>
      <c r="N96">
        <v>3</v>
      </c>
      <c r="O96">
        <v>99999</v>
      </c>
      <c r="P96" s="234">
        <f t="shared" si="3"/>
        <v>0</v>
      </c>
      <c r="Q96" s="234">
        <f>Financeiros!D17</f>
        <v>0</v>
      </c>
    </row>
    <row r="97" spans="1:17" ht="15.75">
      <c r="A97" t="s">
        <v>772</v>
      </c>
      <c r="B97" t="s">
        <v>1376</v>
      </c>
      <c r="C97" t="str">
        <f>Financeiros!C18</f>
        <v>(Neutralidade) CDE conta covid-19</v>
      </c>
      <c r="D97">
        <v>2</v>
      </c>
      <c r="E97">
        <v>2</v>
      </c>
      <c r="F97">
        <f>Financeiros!F18</f>
        <v>20</v>
      </c>
      <c r="G97">
        <f>Financeiros!G18</f>
        <v>60</v>
      </c>
      <c r="H97">
        <f>Financeiros!H18</f>
        <v>73</v>
      </c>
      <c r="I97">
        <f>Financeiros!I18</f>
        <v>3</v>
      </c>
      <c r="J97">
        <f>Financeiros!J18</f>
        <v>12</v>
      </c>
      <c r="K97">
        <f>Financeiros!K18</f>
        <v>9</v>
      </c>
      <c r="L97">
        <v>99</v>
      </c>
      <c r="M97">
        <v>9</v>
      </c>
      <c r="N97">
        <v>3</v>
      </c>
      <c r="O97">
        <v>99999</v>
      </c>
      <c r="P97" s="234">
        <f t="shared" ca="1" si="3"/>
        <v>0</v>
      </c>
      <c r="Q97" s="234">
        <f ca="1">Financeiros!D18</f>
        <v>0</v>
      </c>
    </row>
    <row r="98" spans="1:17" ht="15.75">
      <c r="A98" t="s">
        <v>772</v>
      </c>
      <c r="B98" t="s">
        <v>1376</v>
      </c>
      <c r="C98" t="str">
        <f>Financeiros!C19</f>
        <v>(Neutralidade)Financeiro Covid</v>
      </c>
      <c r="D98">
        <v>2</v>
      </c>
      <c r="E98">
        <v>2</v>
      </c>
      <c r="F98">
        <f>Financeiros!F19</f>
        <v>20</v>
      </c>
      <c r="G98">
        <f>Financeiros!G19</f>
        <v>60</v>
      </c>
      <c r="H98">
        <f>Financeiros!H19</f>
        <v>235</v>
      </c>
      <c r="I98">
        <f>Financeiros!I19</f>
        <v>4</v>
      </c>
      <c r="J98">
        <f>Financeiros!J19</f>
        <v>999</v>
      </c>
      <c r="K98">
        <f>Financeiros!K19</f>
        <v>9</v>
      </c>
      <c r="L98">
        <v>99</v>
      </c>
      <c r="M98">
        <v>9</v>
      </c>
      <c r="N98">
        <v>3</v>
      </c>
      <c r="O98">
        <v>99999</v>
      </c>
      <c r="P98" s="234">
        <f t="shared" ref="P98:P99" ca="1" si="4">IF(ISNUMBER(Q98),Q98,0)</f>
        <v>0</v>
      </c>
      <c r="Q98" s="234">
        <f ca="1">Financeiros!D19</f>
        <v>0</v>
      </c>
    </row>
    <row r="99" spans="1:17" ht="15.75">
      <c r="A99" t="s">
        <v>772</v>
      </c>
      <c r="B99" t="s">
        <v>1376</v>
      </c>
      <c r="C99" t="str">
        <f>Financeiros!C20</f>
        <v>(Neutralidade)Crédito Pis Cofins</v>
      </c>
      <c r="D99">
        <v>2</v>
      </c>
      <c r="E99">
        <v>2</v>
      </c>
      <c r="F99">
        <f>Financeiros!F20</f>
        <v>20</v>
      </c>
      <c r="G99">
        <f>Financeiros!G20</f>
        <v>60</v>
      </c>
      <c r="H99">
        <f>Financeiros!H20</f>
        <v>179</v>
      </c>
      <c r="I99">
        <f>Financeiros!I20</f>
        <v>99</v>
      </c>
      <c r="J99">
        <f>Financeiros!J20</f>
        <v>999</v>
      </c>
      <c r="K99">
        <f>Financeiros!K20</f>
        <v>3</v>
      </c>
      <c r="L99">
        <v>99</v>
      </c>
      <c r="M99">
        <v>9</v>
      </c>
      <c r="N99">
        <v>3</v>
      </c>
      <c r="O99">
        <v>99999</v>
      </c>
      <c r="P99" s="234">
        <f t="shared" ca="1" si="4"/>
        <v>0</v>
      </c>
      <c r="Q99" s="234">
        <f ca="1">Financeiros!D20</f>
        <v>0</v>
      </c>
    </row>
    <row r="100" spans="1:17" ht="15.75">
      <c r="A100" t="s">
        <v>772</v>
      </c>
      <c r="B100" t="s">
        <v>1376</v>
      </c>
      <c r="C100" t="str">
        <f>Financeiros!C21</f>
        <v>Ajuste CUST RB + PIS Cofins RB</v>
      </c>
      <c r="D100">
        <v>2</v>
      </c>
      <c r="E100">
        <v>2</v>
      </c>
      <c r="F100">
        <f>Financeiros!F21</f>
        <v>20</v>
      </c>
      <c r="G100">
        <f>Financeiros!G21</f>
        <v>60</v>
      </c>
      <c r="H100">
        <f>Financeiros!H21</f>
        <v>999</v>
      </c>
      <c r="I100">
        <f>Financeiros!I21</f>
        <v>1</v>
      </c>
      <c r="J100">
        <f>Financeiros!J21</f>
        <v>1</v>
      </c>
      <c r="K100">
        <f>Financeiros!K21</f>
        <v>9</v>
      </c>
      <c r="L100">
        <v>99</v>
      </c>
      <c r="M100">
        <v>9</v>
      </c>
      <c r="N100">
        <v>3</v>
      </c>
      <c r="O100">
        <v>99999</v>
      </c>
      <c r="P100" s="234">
        <f t="shared" si="3"/>
        <v>0</v>
      </c>
      <c r="Q100" s="234">
        <f>Financeiros!D21</f>
        <v>0</v>
      </c>
    </row>
    <row r="101" spans="1:17" ht="15.75">
      <c r="A101" t="s">
        <v>772</v>
      </c>
      <c r="B101" t="s">
        <v>1376</v>
      </c>
      <c r="C101" t="str">
        <f>Financeiros!C22</f>
        <v>Ajuste CUST RB Fronteira + PIS Cofins RB Fronteira</v>
      </c>
      <c r="D101">
        <v>2</v>
      </c>
      <c r="E101">
        <v>2</v>
      </c>
      <c r="F101">
        <f>Financeiros!F22</f>
        <v>20</v>
      </c>
      <c r="G101">
        <f>Financeiros!G22</f>
        <v>60</v>
      </c>
      <c r="H101">
        <f>Financeiros!H22</f>
        <v>999</v>
      </c>
      <c r="I101">
        <f>Financeiros!I22</f>
        <v>1</v>
      </c>
      <c r="J101">
        <f>Financeiros!J22</f>
        <v>2</v>
      </c>
      <c r="K101">
        <f>Financeiros!K22</f>
        <v>9</v>
      </c>
      <c r="L101">
        <v>99</v>
      </c>
      <c r="M101">
        <v>9</v>
      </c>
      <c r="N101">
        <v>3</v>
      </c>
      <c r="O101">
        <v>99999</v>
      </c>
      <c r="P101" s="234">
        <f t="shared" si="3"/>
        <v>0</v>
      </c>
      <c r="Q101" s="234">
        <f>Financeiros!D22</f>
        <v>0</v>
      </c>
    </row>
    <row r="102" spans="1:17" ht="15.75">
      <c r="A102" t="s">
        <v>772</v>
      </c>
      <c r="B102" t="s">
        <v>1376</v>
      </c>
      <c r="C102" t="str">
        <f>Financeiros!C23</f>
        <v>Manual de Contabilidade do Setor Elétrico</v>
      </c>
      <c r="D102">
        <v>2</v>
      </c>
      <c r="E102">
        <v>2</v>
      </c>
      <c r="F102">
        <f>Financeiros!F23</f>
        <v>20</v>
      </c>
      <c r="G102">
        <f>Financeiros!G23</f>
        <v>60</v>
      </c>
      <c r="H102">
        <f>Financeiros!H23</f>
        <v>167</v>
      </c>
      <c r="I102">
        <f>Financeiros!I23</f>
        <v>4</v>
      </c>
      <c r="J102">
        <f>Financeiros!J23</f>
        <v>999</v>
      </c>
      <c r="K102">
        <f>Financeiros!K23</f>
        <v>9</v>
      </c>
      <c r="L102">
        <v>99</v>
      </c>
      <c r="M102">
        <v>9</v>
      </c>
      <c r="N102">
        <v>3</v>
      </c>
      <c r="O102">
        <v>99999</v>
      </c>
      <c r="P102" s="234">
        <f t="shared" si="3"/>
        <v>0</v>
      </c>
      <c r="Q102" s="234">
        <f>Financeiros!D23</f>
        <v>0</v>
      </c>
    </row>
    <row r="103" spans="1:17" ht="15.75">
      <c r="A103" t="s">
        <v>772</v>
      </c>
      <c r="B103" t="s">
        <v>1376</v>
      </c>
      <c r="C103" t="str">
        <f>Financeiros!C24</f>
        <v>Financeiro CDE Eletrobras</v>
      </c>
      <c r="D103">
        <v>2</v>
      </c>
      <c r="E103">
        <v>2</v>
      </c>
      <c r="F103">
        <f>Financeiros!F24</f>
        <v>22</v>
      </c>
      <c r="G103">
        <f>Financeiros!G24</f>
        <v>60</v>
      </c>
      <c r="H103">
        <f>Financeiros!H24</f>
        <v>999</v>
      </c>
      <c r="I103">
        <f>Financeiros!I24</f>
        <v>3</v>
      </c>
      <c r="J103">
        <f>Financeiros!J24</f>
        <v>28</v>
      </c>
      <c r="K103">
        <f>Financeiros!K24</f>
        <v>9</v>
      </c>
      <c r="L103">
        <v>99</v>
      </c>
      <c r="M103">
        <v>9</v>
      </c>
      <c r="N103">
        <v>3</v>
      </c>
      <c r="O103">
        <v>99999</v>
      </c>
      <c r="P103" s="234">
        <f t="shared" si="3"/>
        <v>0</v>
      </c>
      <c r="Q103" s="234">
        <f>Financeiros!D24</f>
        <v>0</v>
      </c>
    </row>
    <row r="104" spans="1:17" ht="15.75">
      <c r="A104" t="s">
        <v>772</v>
      </c>
      <c r="B104" t="s">
        <v>1376</v>
      </c>
      <c r="C104" t="str">
        <f>Financeiros!C25</f>
        <v>Ajustes Processos anteriores</v>
      </c>
      <c r="D104">
        <v>2</v>
      </c>
      <c r="E104">
        <v>2</v>
      </c>
      <c r="F104">
        <f>Financeiros!F25</f>
        <v>22</v>
      </c>
      <c r="G104">
        <f>Financeiros!G25</f>
        <v>60</v>
      </c>
      <c r="H104">
        <f>Financeiros!H25</f>
        <v>999</v>
      </c>
      <c r="I104">
        <f>Financeiros!I25</f>
        <v>2</v>
      </c>
      <c r="J104">
        <f>Financeiros!J25</f>
        <v>30</v>
      </c>
      <c r="K104">
        <f>Financeiros!K25</f>
        <v>9</v>
      </c>
      <c r="L104">
        <v>99</v>
      </c>
      <c r="M104">
        <v>9</v>
      </c>
      <c r="N104">
        <v>3</v>
      </c>
      <c r="O104">
        <v>99999</v>
      </c>
      <c r="P104" s="234">
        <f t="shared" si="3"/>
        <v>0</v>
      </c>
      <c r="Q104" s="234">
        <f>Financeiros!D25</f>
        <v>0</v>
      </c>
    </row>
    <row r="105" spans="1:17" ht="15.75">
      <c r="A105" t="s">
        <v>1589</v>
      </c>
      <c r="B105" t="s">
        <v>1589</v>
      </c>
      <c r="C105" t="s">
        <v>1589</v>
      </c>
      <c r="D105">
        <v>99</v>
      </c>
      <c r="E105">
        <v>99</v>
      </c>
      <c r="F105">
        <v>999</v>
      </c>
      <c r="G105">
        <v>999999</v>
      </c>
      <c r="H105">
        <v>999</v>
      </c>
      <c r="I105">
        <v>99</v>
      </c>
      <c r="J105">
        <v>999</v>
      </c>
      <c r="K105">
        <v>9</v>
      </c>
      <c r="L105">
        <v>99</v>
      </c>
      <c r="M105">
        <v>9</v>
      </c>
      <c r="N105">
        <v>99</v>
      </c>
      <c r="O105">
        <v>99999</v>
      </c>
      <c r="P105" s="402">
        <f t="shared" si="3"/>
        <v>0</v>
      </c>
      <c r="Q105" s="402">
        <v>0</v>
      </c>
    </row>
    <row r="106" spans="1:17" ht="15.75">
      <c r="A106" t="s">
        <v>772</v>
      </c>
      <c r="B106" t="s">
        <v>1376</v>
      </c>
      <c r="C106" t="str">
        <f>Financeiros!C27</f>
        <v>Compensação DIC FIC</v>
      </c>
      <c r="D106">
        <v>2</v>
      </c>
      <c r="E106">
        <v>2</v>
      </c>
      <c r="F106">
        <f>Financeiros!F27</f>
        <v>22</v>
      </c>
      <c r="G106">
        <f>Financeiros!G27</f>
        <v>60</v>
      </c>
      <c r="H106">
        <f>Financeiros!H27</f>
        <v>178</v>
      </c>
      <c r="I106">
        <f>Financeiros!I27</f>
        <v>1</v>
      </c>
      <c r="J106">
        <f>Financeiros!J27</f>
        <v>7</v>
      </c>
      <c r="K106">
        <f>Financeiros!K27</f>
        <v>9</v>
      </c>
      <c r="L106">
        <v>99</v>
      </c>
      <c r="M106">
        <v>9</v>
      </c>
      <c r="N106">
        <v>3</v>
      </c>
      <c r="O106">
        <v>99999</v>
      </c>
      <c r="P106" s="234">
        <f t="shared" si="3"/>
        <v>-245831.60901239348</v>
      </c>
      <c r="Q106" s="234">
        <f>Financeiros!D27</f>
        <v>-245831.60901239348</v>
      </c>
    </row>
    <row r="107" spans="1:17" ht="15.75">
      <c r="A107" t="s">
        <v>772</v>
      </c>
      <c r="B107" t="s">
        <v>1376</v>
      </c>
      <c r="C107" t="str">
        <f>Financeiros!C28</f>
        <v>Subvenção CDE</v>
      </c>
      <c r="D107">
        <v>2</v>
      </c>
      <c r="E107">
        <v>2</v>
      </c>
      <c r="F107">
        <f>Financeiros!F28</f>
        <v>22</v>
      </c>
      <c r="G107">
        <f>Financeiros!G28</f>
        <v>60</v>
      </c>
      <c r="H107">
        <f>Financeiros!H28</f>
        <v>999</v>
      </c>
      <c r="I107">
        <f>Financeiros!I28</f>
        <v>4</v>
      </c>
      <c r="J107">
        <f>Financeiros!J28</f>
        <v>999</v>
      </c>
      <c r="K107">
        <f>Financeiros!K28</f>
        <v>9</v>
      </c>
      <c r="L107">
        <v>99</v>
      </c>
      <c r="M107">
        <v>9</v>
      </c>
      <c r="N107">
        <v>3</v>
      </c>
      <c r="O107">
        <v>99999</v>
      </c>
      <c r="P107" s="234">
        <f t="shared" ca="1" si="3"/>
        <v>-21494204.354071971</v>
      </c>
      <c r="Q107" s="234">
        <f ca="1">Financeiros!D28</f>
        <v>-21494204.354071971</v>
      </c>
    </row>
    <row r="108" spans="1:17" ht="15.75">
      <c r="A108" t="s">
        <v>772</v>
      </c>
      <c r="B108" t="s">
        <v>1376</v>
      </c>
      <c r="C108" t="str">
        <f>Financeiros!C29</f>
        <v>Retenção de Adicionais de Bandeiras Tarifárias</v>
      </c>
      <c r="D108">
        <v>2</v>
      </c>
      <c r="E108">
        <v>2</v>
      </c>
      <c r="F108">
        <f>Financeiros!F29</f>
        <v>22</v>
      </c>
      <c r="G108">
        <f>Financeiros!G29</f>
        <v>60</v>
      </c>
      <c r="H108">
        <f>Financeiros!H29</f>
        <v>999</v>
      </c>
      <c r="I108">
        <f>Financeiros!I29</f>
        <v>2</v>
      </c>
      <c r="J108">
        <f>Financeiros!J29</f>
        <v>30</v>
      </c>
      <c r="K108">
        <f>Financeiros!K29</f>
        <v>9</v>
      </c>
      <c r="L108">
        <v>99</v>
      </c>
      <c r="M108">
        <v>9</v>
      </c>
      <c r="N108">
        <v>3</v>
      </c>
      <c r="O108">
        <v>99999</v>
      </c>
      <c r="P108" s="234">
        <f t="shared" ref="P108:P118" si="5">IF(ISNUMBER(Q108),Q108,0)</f>
        <v>-586819.51200968993</v>
      </c>
      <c r="Q108" s="234">
        <f>Financeiros!D29</f>
        <v>-586819.51200968993</v>
      </c>
    </row>
    <row r="109" spans="1:17" ht="15.75">
      <c r="A109" t="s">
        <v>772</v>
      </c>
      <c r="B109" t="s">
        <v>1376</v>
      </c>
      <c r="C109" t="str">
        <f>Financeiros!C30</f>
        <v>Multa LPT</v>
      </c>
      <c r="D109">
        <v>2</v>
      </c>
      <c r="E109">
        <v>2</v>
      </c>
      <c r="F109">
        <f>Financeiros!F30</f>
        <v>22</v>
      </c>
      <c r="G109">
        <f>Financeiros!G30</f>
        <v>60</v>
      </c>
      <c r="H109">
        <f>Financeiros!H30</f>
        <v>120</v>
      </c>
      <c r="I109">
        <f>Financeiros!I30</f>
        <v>4</v>
      </c>
      <c r="J109">
        <f>Financeiros!J30</f>
        <v>999</v>
      </c>
      <c r="K109">
        <f>Financeiros!K30</f>
        <v>9</v>
      </c>
      <c r="L109">
        <v>99</v>
      </c>
      <c r="M109">
        <v>9</v>
      </c>
      <c r="N109">
        <v>3</v>
      </c>
      <c r="O109">
        <v>99999</v>
      </c>
      <c r="P109" s="234">
        <f t="shared" si="5"/>
        <v>0</v>
      </c>
      <c r="Q109" s="234">
        <f>Financeiros!D30</f>
        <v>0</v>
      </c>
    </row>
    <row r="110" spans="1:17" ht="15.75">
      <c r="A110" t="s">
        <v>772</v>
      </c>
      <c r="B110" t="s">
        <v>1376</v>
      </c>
      <c r="C110" t="str">
        <f>Financeiros!C32</f>
        <v>Repasse de ICMS CUSD</v>
      </c>
      <c r="D110">
        <v>2</v>
      </c>
      <c r="E110">
        <v>2</v>
      </c>
      <c r="F110">
        <f>Financeiros!F32</f>
        <v>22</v>
      </c>
      <c r="G110">
        <f>Financeiros!G32</f>
        <v>60</v>
      </c>
      <c r="H110">
        <f>Financeiros!H32</f>
        <v>999</v>
      </c>
      <c r="I110">
        <f>Financeiros!I32</f>
        <v>1</v>
      </c>
      <c r="J110">
        <f>Financeiros!J32</f>
        <v>7</v>
      </c>
      <c r="K110">
        <f>Financeiros!K32</f>
        <v>9</v>
      </c>
      <c r="L110">
        <v>99</v>
      </c>
      <c r="M110">
        <v>9</v>
      </c>
      <c r="N110">
        <v>3</v>
      </c>
      <c r="O110">
        <v>99999</v>
      </c>
      <c r="P110" s="234">
        <f t="shared" ca="1" si="5"/>
        <v>0</v>
      </c>
      <c r="Q110" s="234">
        <f ca="1">Financeiros!D32</f>
        <v>0</v>
      </c>
    </row>
    <row r="111" spans="1:17" ht="15.75">
      <c r="A111" t="s">
        <v>772</v>
      </c>
      <c r="B111" t="s">
        <v>1376</v>
      </c>
      <c r="C111" t="str">
        <f>Financeiros!C33</f>
        <v>Repasse de ICMS TE</v>
      </c>
      <c r="D111">
        <v>2</v>
      </c>
      <c r="E111">
        <v>2</v>
      </c>
      <c r="F111">
        <f>Financeiros!F33</f>
        <v>22</v>
      </c>
      <c r="G111">
        <f>Financeiros!G33</f>
        <v>60</v>
      </c>
      <c r="H111">
        <f>Financeiros!H33</f>
        <v>999</v>
      </c>
      <c r="I111">
        <f>Financeiros!I33</f>
        <v>2</v>
      </c>
      <c r="J111">
        <f>Financeiros!J33</f>
        <v>30</v>
      </c>
      <c r="K111">
        <f>Financeiros!K33</f>
        <v>9</v>
      </c>
      <c r="L111">
        <v>99</v>
      </c>
      <c r="M111">
        <v>9</v>
      </c>
      <c r="N111">
        <v>3</v>
      </c>
      <c r="O111">
        <v>99999</v>
      </c>
      <c r="P111" s="234">
        <f t="shared" ca="1" si="5"/>
        <v>0</v>
      </c>
      <c r="Q111" s="234">
        <f ca="1">Financeiros!D33</f>
        <v>0</v>
      </c>
    </row>
    <row r="112" spans="1:17" ht="15.75">
      <c r="A112" t="s">
        <v>772</v>
      </c>
      <c r="B112" t="s">
        <v>1376</v>
      </c>
      <c r="C112" t="str">
        <f>Financeiros!C34</f>
        <v>Ressarcimento P&amp;D</v>
      </c>
      <c r="D112">
        <v>2</v>
      </c>
      <c r="E112">
        <v>2</v>
      </c>
      <c r="F112">
        <f>Financeiros!F34</f>
        <v>22</v>
      </c>
      <c r="G112">
        <f>Financeiros!G34</f>
        <v>60</v>
      </c>
      <c r="H112">
        <f>Financeiros!H34</f>
        <v>231</v>
      </c>
      <c r="I112">
        <f>Financeiros!I34</f>
        <v>3</v>
      </c>
      <c r="J112">
        <f>Financeiros!J34</f>
        <v>19</v>
      </c>
      <c r="K112">
        <f>Financeiros!K34</f>
        <v>9</v>
      </c>
      <c r="L112">
        <v>99</v>
      </c>
      <c r="M112">
        <v>9</v>
      </c>
      <c r="N112">
        <v>3</v>
      </c>
      <c r="O112">
        <v>99999</v>
      </c>
      <c r="P112" s="234">
        <f t="shared" si="5"/>
        <v>0</v>
      </c>
      <c r="Q112" s="234">
        <f>Financeiros!D34</f>
        <v>0</v>
      </c>
    </row>
    <row r="113" spans="1:17" ht="15.75">
      <c r="A113" t="s">
        <v>772</v>
      </c>
      <c r="B113" t="s">
        <v>1376</v>
      </c>
      <c r="C113" t="str">
        <f>Financeiros!C35</f>
        <v>Efeito Conta COVID</v>
      </c>
      <c r="D113">
        <v>2</v>
      </c>
      <c r="E113">
        <v>2</v>
      </c>
      <c r="F113">
        <f>Financeiros!F35</f>
        <v>22</v>
      </c>
      <c r="G113">
        <f>Financeiros!G35</f>
        <v>60</v>
      </c>
      <c r="H113">
        <f>Financeiros!H35</f>
        <v>235</v>
      </c>
      <c r="I113">
        <f>Financeiros!I35</f>
        <v>4</v>
      </c>
      <c r="J113">
        <f>Financeiros!J35</f>
        <v>999</v>
      </c>
      <c r="K113">
        <f>Financeiros!K35</f>
        <v>9</v>
      </c>
      <c r="L113">
        <v>99</v>
      </c>
      <c r="M113">
        <v>9</v>
      </c>
      <c r="N113">
        <v>3</v>
      </c>
      <c r="O113">
        <v>99999</v>
      </c>
      <c r="P113" s="234">
        <f t="shared" si="5"/>
        <v>0</v>
      </c>
      <c r="Q113" s="234">
        <f>Financeiros!D35</f>
        <v>0</v>
      </c>
    </row>
    <row r="114" spans="1:17" ht="15.75">
      <c r="A114" t="s">
        <v>772</v>
      </c>
      <c r="B114" t="s">
        <v>1376</v>
      </c>
      <c r="C114" t="str">
        <f>Financeiros!C36</f>
        <v>Previsão de Risco Hidrologico</v>
      </c>
      <c r="D114">
        <v>2</v>
      </c>
      <c r="E114">
        <v>2</v>
      </c>
      <c r="F114">
        <f>Financeiros!F36</f>
        <v>22</v>
      </c>
      <c r="G114">
        <f>Financeiros!G36</f>
        <v>60</v>
      </c>
      <c r="H114">
        <f>Financeiros!H36</f>
        <v>220</v>
      </c>
      <c r="I114">
        <f>Financeiros!I36</f>
        <v>2</v>
      </c>
      <c r="J114">
        <f>Financeiros!J36</f>
        <v>30</v>
      </c>
      <c r="K114">
        <f>Financeiros!K36</f>
        <v>9</v>
      </c>
      <c r="L114">
        <v>99</v>
      </c>
      <c r="M114">
        <v>9</v>
      </c>
      <c r="N114">
        <v>3</v>
      </c>
      <c r="O114">
        <v>99999</v>
      </c>
      <c r="P114" s="234">
        <f t="shared" ca="1" si="5"/>
        <v>214701.29892110906</v>
      </c>
      <c r="Q114" s="234">
        <f ca="1">Financeiros!D36</f>
        <v>214701.29892110906</v>
      </c>
    </row>
    <row r="115" spans="1:17" ht="15.75">
      <c r="A115" t="s">
        <v>772</v>
      </c>
      <c r="B115" t="s">
        <v>1376</v>
      </c>
      <c r="C115" t="str">
        <f>Financeiros!C37</f>
        <v>Efeito COVID da Supridora</v>
      </c>
      <c r="D115">
        <v>2</v>
      </c>
      <c r="E115">
        <v>2</v>
      </c>
      <c r="F115">
        <f>Financeiros!F37</f>
        <v>22</v>
      </c>
      <c r="G115">
        <f>Financeiros!G37</f>
        <v>60</v>
      </c>
      <c r="H115">
        <f>Financeiros!H37</f>
        <v>999</v>
      </c>
      <c r="I115">
        <f>Financeiros!I37</f>
        <v>2</v>
      </c>
      <c r="J115">
        <f>Financeiros!J37</f>
        <v>30</v>
      </c>
      <c r="K115">
        <f>Financeiros!K37</f>
        <v>9</v>
      </c>
      <c r="L115">
        <v>99</v>
      </c>
      <c r="M115">
        <v>9</v>
      </c>
      <c r="N115">
        <v>3</v>
      </c>
      <c r="O115">
        <v>99999</v>
      </c>
      <c r="P115" s="234">
        <f t="shared" si="5"/>
        <v>0</v>
      </c>
      <c r="Q115" s="234">
        <f>Financeiros!D37</f>
        <v>0</v>
      </c>
    </row>
    <row r="116" spans="1:17" ht="15.75">
      <c r="A116" t="s">
        <v>772</v>
      </c>
      <c r="B116" t="s">
        <v>1376</v>
      </c>
      <c r="C116" t="str">
        <f>Financeiros!C38</f>
        <v>Crédito de Pis Cofins sobre ICMS</v>
      </c>
      <c r="D116">
        <v>2</v>
      </c>
      <c r="E116">
        <v>2</v>
      </c>
      <c r="F116">
        <f>Financeiros!F38</f>
        <v>22</v>
      </c>
      <c r="G116">
        <f>Financeiros!G38</f>
        <v>60</v>
      </c>
      <c r="H116">
        <f>Financeiros!H38</f>
        <v>179</v>
      </c>
      <c r="I116">
        <f>Financeiros!I38</f>
        <v>99</v>
      </c>
      <c r="J116">
        <f>Financeiros!J38</f>
        <v>999</v>
      </c>
      <c r="K116">
        <f>Financeiros!K38</f>
        <v>3</v>
      </c>
      <c r="L116">
        <v>99</v>
      </c>
      <c r="M116">
        <v>9</v>
      </c>
      <c r="N116">
        <v>3</v>
      </c>
      <c r="O116">
        <v>99999</v>
      </c>
      <c r="P116" s="234">
        <f t="shared" si="5"/>
        <v>0</v>
      </c>
      <c r="Q116" s="234">
        <f>Financeiros!D38</f>
        <v>0</v>
      </c>
    </row>
    <row r="117" spans="1:17" ht="15.75">
      <c r="A117" t="s">
        <v>772</v>
      </c>
      <c r="B117" t="s">
        <v>1376</v>
      </c>
      <c r="C117" t="str">
        <f>Financeiros!C39</f>
        <v>Diferimento Pis Cofins TUSD</v>
      </c>
      <c r="D117">
        <v>2</v>
      </c>
      <c r="E117">
        <v>2</v>
      </c>
      <c r="F117">
        <f>Financeiros!F39</f>
        <v>22</v>
      </c>
      <c r="G117">
        <f>Financeiros!G39</f>
        <v>60</v>
      </c>
      <c r="H117">
        <f>Financeiros!H39</f>
        <v>999</v>
      </c>
      <c r="I117">
        <f>Financeiros!I39</f>
        <v>1</v>
      </c>
      <c r="J117">
        <f>Financeiros!J39</f>
        <v>7</v>
      </c>
      <c r="K117">
        <f>Financeiros!K39</f>
        <v>9</v>
      </c>
      <c r="L117">
        <v>99</v>
      </c>
      <c r="M117">
        <v>9</v>
      </c>
      <c r="N117">
        <v>3</v>
      </c>
      <c r="O117">
        <v>99999</v>
      </c>
      <c r="P117" s="234">
        <f t="shared" si="5"/>
        <v>0</v>
      </c>
      <c r="Q117" s="234">
        <f>Financeiros!D39</f>
        <v>0</v>
      </c>
    </row>
    <row r="118" spans="1:17" ht="15.75">
      <c r="A118" t="s">
        <v>772</v>
      </c>
      <c r="B118" t="s">
        <v>1376</v>
      </c>
      <c r="C118" t="str">
        <f>Financeiros!C40</f>
        <v>Diferimento Pis Cofins TE</v>
      </c>
      <c r="D118">
        <v>2</v>
      </c>
      <c r="E118">
        <v>2</v>
      </c>
      <c r="F118">
        <f>Financeiros!F40</f>
        <v>22</v>
      </c>
      <c r="G118">
        <f>Financeiros!G40</f>
        <v>60</v>
      </c>
      <c r="H118">
        <f>Financeiros!H40</f>
        <v>999</v>
      </c>
      <c r="I118">
        <f>Financeiros!I40</f>
        <v>2</v>
      </c>
      <c r="J118">
        <f>Financeiros!J40</f>
        <v>30</v>
      </c>
      <c r="K118">
        <f>Financeiros!K40</f>
        <v>9</v>
      </c>
      <c r="L118">
        <v>99</v>
      </c>
      <c r="M118">
        <v>9</v>
      </c>
      <c r="N118">
        <v>3</v>
      </c>
      <c r="O118">
        <v>99999</v>
      </c>
      <c r="P118" s="234">
        <f t="shared" si="5"/>
        <v>0</v>
      </c>
      <c r="Q118" s="234">
        <f>Financeiros!D40</f>
        <v>0</v>
      </c>
    </row>
    <row r="119" spans="1:17" ht="15.75">
      <c r="A119" t="s">
        <v>772</v>
      </c>
      <c r="B119" t="s">
        <v>1376</v>
      </c>
      <c r="C119" t="str">
        <f>Financeiros!C41</f>
        <v>Financeiros associados ao §7º do Art. 88 da Ren 414/2021</v>
      </c>
      <c r="D119">
        <v>2</v>
      </c>
      <c r="E119">
        <v>2</v>
      </c>
      <c r="F119">
        <f>Financeiros!F41</f>
        <v>22</v>
      </c>
      <c r="G119">
        <f>Financeiros!G41</f>
        <v>60</v>
      </c>
      <c r="H119">
        <f>Financeiros!H41</f>
        <v>999</v>
      </c>
      <c r="I119">
        <f>Financeiros!I41</f>
        <v>2</v>
      </c>
      <c r="J119">
        <f>Financeiros!J41</f>
        <v>30</v>
      </c>
      <c r="K119">
        <f>Financeiros!K41</f>
        <v>9</v>
      </c>
      <c r="L119">
        <v>99</v>
      </c>
      <c r="M119">
        <v>9</v>
      </c>
      <c r="N119">
        <v>3</v>
      </c>
      <c r="O119">
        <v>99999</v>
      </c>
      <c r="P119" s="234">
        <f t="shared" si="3"/>
        <v>0</v>
      </c>
      <c r="Q119" s="234">
        <f>Financeiros!D41</f>
        <v>0</v>
      </c>
    </row>
    <row r="120" spans="1:17" ht="15.75">
      <c r="A120" t="s">
        <v>772</v>
      </c>
      <c r="B120" t="s">
        <v>1376</v>
      </c>
      <c r="C120">
        <f>Financeiros!C45</f>
        <v>0</v>
      </c>
      <c r="D120">
        <v>2</v>
      </c>
      <c r="E120">
        <v>2</v>
      </c>
      <c r="F120">
        <f>Financeiros!F45</f>
        <v>22</v>
      </c>
      <c r="G120">
        <f>Financeiros!G45</f>
        <v>60</v>
      </c>
      <c r="H120">
        <f>Financeiros!H45</f>
        <v>999</v>
      </c>
      <c r="I120">
        <f>Financeiros!I45</f>
        <v>99</v>
      </c>
      <c r="J120">
        <f>Financeiros!J45</f>
        <v>999</v>
      </c>
      <c r="K120">
        <f>Financeiros!K45</f>
        <v>9</v>
      </c>
      <c r="L120">
        <v>99</v>
      </c>
      <c r="M120">
        <v>9</v>
      </c>
      <c r="N120">
        <v>3</v>
      </c>
      <c r="O120">
        <v>99999</v>
      </c>
      <c r="P120" s="234">
        <f t="shared" ref="P120:P122" si="6">IF(ISNUMBER(Q120),Q120,0)</f>
        <v>0</v>
      </c>
      <c r="Q120" s="234">
        <f>Financeiros!D45</f>
        <v>0</v>
      </c>
    </row>
    <row r="121" spans="1:17" ht="15.75">
      <c r="A121" t="s">
        <v>772</v>
      </c>
      <c r="B121" t="s">
        <v>1376</v>
      </c>
      <c r="C121">
        <f>Financeiros!C46</f>
        <v>0</v>
      </c>
      <c r="D121">
        <v>2</v>
      </c>
      <c r="E121">
        <v>2</v>
      </c>
      <c r="F121">
        <f>Financeiros!F46</f>
        <v>22</v>
      </c>
      <c r="G121">
        <f>Financeiros!G46</f>
        <v>60</v>
      </c>
      <c r="H121">
        <f>Financeiros!H46</f>
        <v>999</v>
      </c>
      <c r="I121">
        <f>Financeiros!I46</f>
        <v>99</v>
      </c>
      <c r="J121">
        <f>Financeiros!J46</f>
        <v>999</v>
      </c>
      <c r="K121">
        <f>Financeiros!K46</f>
        <v>9</v>
      </c>
      <c r="L121">
        <v>99</v>
      </c>
      <c r="M121">
        <v>9</v>
      </c>
      <c r="N121">
        <v>3</v>
      </c>
      <c r="O121">
        <v>99999</v>
      </c>
      <c r="P121" s="234">
        <f t="shared" si="6"/>
        <v>0</v>
      </c>
      <c r="Q121" s="234">
        <f>Financeiros!D46</f>
        <v>0</v>
      </c>
    </row>
    <row r="122" spans="1:17" ht="15.75">
      <c r="A122" t="s">
        <v>772</v>
      </c>
      <c r="B122" t="s">
        <v>1376</v>
      </c>
      <c r="C122">
        <f>Financeiros!C47</f>
        <v>0</v>
      </c>
      <c r="D122">
        <v>2</v>
      </c>
      <c r="E122">
        <v>2</v>
      </c>
      <c r="F122">
        <f>Financeiros!F47</f>
        <v>22</v>
      </c>
      <c r="G122">
        <f>Financeiros!G47</f>
        <v>60</v>
      </c>
      <c r="H122">
        <f>Financeiros!H47</f>
        <v>999</v>
      </c>
      <c r="I122">
        <f>Financeiros!I47</f>
        <v>99</v>
      </c>
      <c r="J122">
        <f>Financeiros!J47</f>
        <v>999</v>
      </c>
      <c r="K122">
        <f>Financeiros!K47</f>
        <v>9</v>
      </c>
      <c r="L122">
        <v>99</v>
      </c>
      <c r="M122">
        <v>9</v>
      </c>
      <c r="N122">
        <v>3</v>
      </c>
      <c r="O122">
        <v>99999</v>
      </c>
      <c r="P122" s="234">
        <f t="shared" si="6"/>
        <v>0</v>
      </c>
      <c r="Q122" s="234">
        <f>Financeiros!D47</f>
        <v>0</v>
      </c>
    </row>
    <row r="123" spans="1:17" ht="15.75">
      <c r="A123" t="s">
        <v>772</v>
      </c>
      <c r="B123" t="s">
        <v>1376</v>
      </c>
      <c r="C123" t="str">
        <f>Financeiros!C10</f>
        <v>Repasse de PIS COFINS CUSD</v>
      </c>
      <c r="D123">
        <v>2</v>
      </c>
      <c r="E123">
        <v>2</v>
      </c>
      <c r="F123">
        <f>Financeiros!F10</f>
        <v>22</v>
      </c>
      <c r="G123">
        <f>Financeiros!G10</f>
        <v>60</v>
      </c>
      <c r="H123">
        <f>Financeiros!H10</f>
        <v>999</v>
      </c>
      <c r="I123">
        <f>Financeiros!I10</f>
        <v>1</v>
      </c>
      <c r="J123">
        <f>Financeiros!J10</f>
        <v>7</v>
      </c>
      <c r="K123">
        <f>Financeiros!K10</f>
        <v>9</v>
      </c>
      <c r="L123">
        <v>99</v>
      </c>
      <c r="M123">
        <v>9</v>
      </c>
      <c r="N123">
        <v>4</v>
      </c>
      <c r="O123">
        <v>99999</v>
      </c>
      <c r="P123" s="234">
        <f t="shared" ca="1" si="3"/>
        <v>7.1492246573657573E-3</v>
      </c>
      <c r="Q123" s="234">
        <f ca="1">Financeiros!E10</f>
        <v>7.1492246573657573E-3</v>
      </c>
    </row>
    <row r="124" spans="1:17" ht="15.75">
      <c r="A124" t="s">
        <v>772</v>
      </c>
      <c r="B124" t="s">
        <v>1376</v>
      </c>
      <c r="C124" t="str">
        <f>Financeiros!C11</f>
        <v>Repasse de PIS COFINS TE</v>
      </c>
      <c r="D124">
        <v>2</v>
      </c>
      <c r="E124">
        <v>2</v>
      </c>
      <c r="F124">
        <f>Financeiros!F11</f>
        <v>22</v>
      </c>
      <c r="G124">
        <f>Financeiros!G11</f>
        <v>60</v>
      </c>
      <c r="H124">
        <f>Financeiros!H11</f>
        <v>999</v>
      </c>
      <c r="I124">
        <f>Financeiros!I11</f>
        <v>2</v>
      </c>
      <c r="J124">
        <f>Financeiros!J11</f>
        <v>30</v>
      </c>
      <c r="K124">
        <f>Financeiros!K11</f>
        <v>9</v>
      </c>
      <c r="L124">
        <v>99</v>
      </c>
      <c r="M124">
        <v>9</v>
      </c>
      <c r="N124">
        <v>4</v>
      </c>
      <c r="O124">
        <v>99999</v>
      </c>
      <c r="P124" s="234">
        <f t="shared" ca="1" si="3"/>
        <v>1.4795860855249766E-2</v>
      </c>
      <c r="Q124" s="234">
        <f ca="1">Financeiros!E11</f>
        <v>1.4795860855249766E-2</v>
      </c>
    </row>
    <row r="125" spans="1:17" ht="15.75">
      <c r="A125" t="s">
        <v>772</v>
      </c>
      <c r="B125" t="s">
        <v>1376</v>
      </c>
      <c r="C125" t="str">
        <f>Financeiros!C12</f>
        <v>(Neutralidade) TFSEE</v>
      </c>
      <c r="D125">
        <v>2</v>
      </c>
      <c r="E125">
        <v>2</v>
      </c>
      <c r="F125">
        <f>Financeiros!F12</f>
        <v>20</v>
      </c>
      <c r="G125">
        <f>Financeiros!G12</f>
        <v>60</v>
      </c>
      <c r="H125">
        <f>Financeiros!H12</f>
        <v>20</v>
      </c>
      <c r="I125">
        <f>Financeiros!I12</f>
        <v>3</v>
      </c>
      <c r="J125">
        <f>Financeiros!J12</f>
        <v>14</v>
      </c>
      <c r="K125">
        <f>Financeiros!K12</f>
        <v>9</v>
      </c>
      <c r="L125">
        <v>99</v>
      </c>
      <c r="M125">
        <v>9</v>
      </c>
      <c r="N125">
        <v>4</v>
      </c>
      <c r="O125">
        <v>99999</v>
      </c>
      <c r="P125" s="234">
        <f t="shared" ca="1" si="3"/>
        <v>-2.4416545780033331E-5</v>
      </c>
      <c r="Q125" s="249">
        <f ca="1">Financeiros!E12</f>
        <v>-2.4416545780033331E-5</v>
      </c>
    </row>
    <row r="126" spans="1:17" ht="15.75">
      <c r="A126" t="s">
        <v>772</v>
      </c>
      <c r="B126" t="s">
        <v>1376</v>
      </c>
      <c r="C126" t="str">
        <f>Financeiros!C13</f>
        <v>(Neutralidade) CDE</v>
      </c>
      <c r="D126">
        <v>2</v>
      </c>
      <c r="E126">
        <v>2</v>
      </c>
      <c r="F126">
        <f>Financeiros!F13</f>
        <v>20</v>
      </c>
      <c r="G126">
        <f>Financeiros!G13</f>
        <v>60</v>
      </c>
      <c r="H126">
        <f>Financeiros!H13</f>
        <v>20</v>
      </c>
      <c r="I126">
        <f>Financeiros!I13</f>
        <v>3</v>
      </c>
      <c r="J126">
        <f>Financeiros!J13</f>
        <v>15</v>
      </c>
      <c r="K126">
        <f>Financeiros!K13</f>
        <v>9</v>
      </c>
      <c r="L126">
        <v>99</v>
      </c>
      <c r="M126">
        <v>9</v>
      </c>
      <c r="N126">
        <v>4</v>
      </c>
      <c r="O126">
        <v>99999</v>
      </c>
      <c r="P126" s="234">
        <f t="shared" ca="1" si="3"/>
        <v>-6.4113688186572231E-4</v>
      </c>
      <c r="Q126" s="249">
        <f ca="1">Financeiros!E13</f>
        <v>-6.4113688186572231E-4</v>
      </c>
    </row>
    <row r="127" spans="1:17" ht="15.75">
      <c r="A127" t="s">
        <v>772</v>
      </c>
      <c r="B127" t="s">
        <v>1376</v>
      </c>
      <c r="C127" t="str">
        <f>Financeiros!C14</f>
        <v>(Neutralidade) CFURH</v>
      </c>
      <c r="D127">
        <v>2</v>
      </c>
      <c r="E127">
        <v>2</v>
      </c>
      <c r="F127">
        <f>Financeiros!F14</f>
        <v>20</v>
      </c>
      <c r="G127">
        <f>Financeiros!G14</f>
        <v>60</v>
      </c>
      <c r="H127">
        <f>Financeiros!H14</f>
        <v>20</v>
      </c>
      <c r="I127">
        <f>Financeiros!I14</f>
        <v>3</v>
      </c>
      <c r="J127">
        <f>Financeiros!J14</f>
        <v>16</v>
      </c>
      <c r="K127">
        <f>Financeiros!K14</f>
        <v>9</v>
      </c>
      <c r="L127">
        <v>99</v>
      </c>
      <c r="M127">
        <v>9</v>
      </c>
      <c r="N127">
        <v>4</v>
      </c>
      <c r="O127">
        <v>99999</v>
      </c>
      <c r="P127" s="234">
        <f t="shared" ca="1" si="3"/>
        <v>0</v>
      </c>
      <c r="Q127" s="249">
        <f ca="1">Financeiros!E14</f>
        <v>0</v>
      </c>
    </row>
    <row r="128" spans="1:17" ht="15.75">
      <c r="A128" t="s">
        <v>772</v>
      </c>
      <c r="B128" t="s">
        <v>1376</v>
      </c>
      <c r="C128" t="str">
        <f>Financeiros!C15</f>
        <v>(Neutralidade) ESS/EER</v>
      </c>
      <c r="D128">
        <v>2</v>
      </c>
      <c r="E128">
        <v>2</v>
      </c>
      <c r="F128">
        <f>Financeiros!F15</f>
        <v>20</v>
      </c>
      <c r="G128">
        <f>Financeiros!G15</f>
        <v>60</v>
      </c>
      <c r="H128">
        <f>Financeiros!H15</f>
        <v>20</v>
      </c>
      <c r="I128">
        <f>Financeiros!I15</f>
        <v>3</v>
      </c>
      <c r="J128">
        <f>Financeiros!J15</f>
        <v>17</v>
      </c>
      <c r="K128">
        <f>Financeiros!K15</f>
        <v>9</v>
      </c>
      <c r="L128">
        <v>99</v>
      </c>
      <c r="M128">
        <v>9</v>
      </c>
      <c r="N128">
        <v>4</v>
      </c>
      <c r="O128">
        <v>99999</v>
      </c>
      <c r="P128" s="234">
        <f t="shared" ca="1" si="3"/>
        <v>0</v>
      </c>
      <c r="Q128" s="249">
        <f ca="1">Financeiros!E15</f>
        <v>0</v>
      </c>
    </row>
    <row r="129" spans="1:17" ht="15.75">
      <c r="A129" t="s">
        <v>772</v>
      </c>
      <c r="B129" t="s">
        <v>1376</v>
      </c>
      <c r="C129" t="str">
        <f>Financeiros!C16</f>
        <v>(Neutralidade) PROINFA</v>
      </c>
      <c r="D129">
        <v>2</v>
      </c>
      <c r="E129">
        <v>2</v>
      </c>
      <c r="F129">
        <f>Financeiros!F16</f>
        <v>20</v>
      </c>
      <c r="G129">
        <f>Financeiros!G16</f>
        <v>60</v>
      </c>
      <c r="H129">
        <f>Financeiros!H16</f>
        <v>20</v>
      </c>
      <c r="I129">
        <f>Financeiros!I16</f>
        <v>3</v>
      </c>
      <c r="J129">
        <f>Financeiros!J16</f>
        <v>18</v>
      </c>
      <c r="K129">
        <f>Financeiros!K16</f>
        <v>9</v>
      </c>
      <c r="L129">
        <v>99</v>
      </c>
      <c r="M129">
        <v>9</v>
      </c>
      <c r="N129">
        <v>4</v>
      </c>
      <c r="O129">
        <v>99999</v>
      </c>
      <c r="P129" s="234">
        <f t="shared" ca="1" si="3"/>
        <v>-1.0041823238801005E-4</v>
      </c>
      <c r="Q129" s="249">
        <f ca="1">Financeiros!E16</f>
        <v>-1.0041823238801005E-4</v>
      </c>
    </row>
    <row r="130" spans="1:17" ht="15.75">
      <c r="A130" t="s">
        <v>772</v>
      </c>
      <c r="B130" t="s">
        <v>1376</v>
      </c>
      <c r="C130" t="str">
        <f>Financeiros!C17</f>
        <v>(Neutralidade) P&amp;D e PEE</v>
      </c>
      <c r="D130">
        <v>2</v>
      </c>
      <c r="E130">
        <v>2</v>
      </c>
      <c r="F130">
        <f>Financeiros!F17</f>
        <v>20</v>
      </c>
      <c r="G130">
        <f>Financeiros!G17</f>
        <v>60</v>
      </c>
      <c r="H130">
        <f>Financeiros!H17</f>
        <v>20</v>
      </c>
      <c r="I130">
        <f>Financeiros!I17</f>
        <v>3</v>
      </c>
      <c r="J130">
        <f>Financeiros!J17</f>
        <v>19</v>
      </c>
      <c r="K130">
        <f>Financeiros!K17</f>
        <v>9</v>
      </c>
      <c r="L130">
        <v>99</v>
      </c>
      <c r="M130">
        <v>9</v>
      </c>
      <c r="N130">
        <v>4</v>
      </c>
      <c r="O130">
        <v>99999</v>
      </c>
      <c r="P130" s="234">
        <f t="shared" ca="1" si="3"/>
        <v>0</v>
      </c>
      <c r="Q130" s="249">
        <f ca="1">Financeiros!E17</f>
        <v>0</v>
      </c>
    </row>
    <row r="131" spans="1:17" ht="15.75">
      <c r="A131" t="s">
        <v>772</v>
      </c>
      <c r="B131" t="s">
        <v>1376</v>
      </c>
      <c r="C131" t="str">
        <f>Financeiros!C18</f>
        <v>(Neutralidade) CDE conta covid-19</v>
      </c>
      <c r="D131">
        <v>2</v>
      </c>
      <c r="E131">
        <v>2</v>
      </c>
      <c r="F131">
        <f>Financeiros!F18</f>
        <v>20</v>
      </c>
      <c r="G131">
        <f>Financeiros!G18</f>
        <v>60</v>
      </c>
      <c r="H131">
        <f>Financeiros!H18</f>
        <v>73</v>
      </c>
      <c r="I131">
        <f>Financeiros!I18</f>
        <v>3</v>
      </c>
      <c r="J131">
        <f>Financeiros!J18</f>
        <v>12</v>
      </c>
      <c r="K131">
        <f>Financeiros!K18</f>
        <v>9</v>
      </c>
      <c r="L131">
        <v>99</v>
      </c>
      <c r="M131">
        <v>9</v>
      </c>
      <c r="N131">
        <v>4</v>
      </c>
      <c r="O131">
        <v>99999</v>
      </c>
      <c r="P131" s="234">
        <f t="shared" ca="1" si="3"/>
        <v>0</v>
      </c>
      <c r="Q131" s="249">
        <f ca="1">Financeiros!E18</f>
        <v>0</v>
      </c>
    </row>
    <row r="132" spans="1:17" ht="15.75">
      <c r="A132" t="s">
        <v>772</v>
      </c>
      <c r="B132" t="s">
        <v>1376</v>
      </c>
      <c r="C132" t="str">
        <f>Financeiros!C19</f>
        <v>(Neutralidade)Financeiro Covid</v>
      </c>
      <c r="D132">
        <v>2</v>
      </c>
      <c r="E132">
        <v>2</v>
      </c>
      <c r="F132">
        <f>Financeiros!F19</f>
        <v>20</v>
      </c>
      <c r="G132">
        <f>Financeiros!G19</f>
        <v>60</v>
      </c>
      <c r="H132">
        <f>Financeiros!H19</f>
        <v>235</v>
      </c>
      <c r="I132">
        <f>Financeiros!I19</f>
        <v>4</v>
      </c>
      <c r="J132">
        <f>Financeiros!J19</f>
        <v>999</v>
      </c>
      <c r="K132">
        <f>Financeiros!K19</f>
        <v>9</v>
      </c>
      <c r="L132">
        <v>99</v>
      </c>
      <c r="M132">
        <v>9</v>
      </c>
      <c r="N132">
        <v>4</v>
      </c>
      <c r="O132">
        <v>99999</v>
      </c>
      <c r="P132" s="234">
        <f t="shared" ref="P132:P133" ca="1" si="7">IF(ISNUMBER(Q132),Q132,0)</f>
        <v>0</v>
      </c>
      <c r="Q132" s="249">
        <f ca="1">Financeiros!E19</f>
        <v>0</v>
      </c>
    </row>
    <row r="133" spans="1:17" ht="15.75">
      <c r="A133" t="s">
        <v>772</v>
      </c>
      <c r="B133" t="s">
        <v>1376</v>
      </c>
      <c r="C133" t="str">
        <f>Financeiros!C20</f>
        <v>(Neutralidade)Crédito Pis Cofins</v>
      </c>
      <c r="D133">
        <v>2</v>
      </c>
      <c r="E133">
        <v>2</v>
      </c>
      <c r="F133">
        <f>Financeiros!F20</f>
        <v>20</v>
      </c>
      <c r="G133">
        <f>Financeiros!G20</f>
        <v>60</v>
      </c>
      <c r="H133">
        <f>Financeiros!H20</f>
        <v>179</v>
      </c>
      <c r="I133">
        <f>Financeiros!I20</f>
        <v>99</v>
      </c>
      <c r="J133">
        <f>Financeiros!J20</f>
        <v>999</v>
      </c>
      <c r="K133">
        <f>Financeiros!K20</f>
        <v>3</v>
      </c>
      <c r="L133">
        <v>99</v>
      </c>
      <c r="M133">
        <v>9</v>
      </c>
      <c r="N133">
        <v>4</v>
      </c>
      <c r="O133">
        <v>99999</v>
      </c>
      <c r="P133" s="234">
        <f t="shared" ca="1" si="7"/>
        <v>0</v>
      </c>
      <c r="Q133" s="249">
        <f ca="1">Financeiros!E20</f>
        <v>0</v>
      </c>
    </row>
    <row r="134" spans="1:17" ht="15.75">
      <c r="A134" t="s">
        <v>772</v>
      </c>
      <c r="B134" t="s">
        <v>1376</v>
      </c>
      <c r="C134" t="str">
        <f>Financeiros!C21</f>
        <v>Ajuste CUST RB + PIS Cofins RB</v>
      </c>
      <c r="D134">
        <v>2</v>
      </c>
      <c r="E134">
        <v>2</v>
      </c>
      <c r="F134">
        <f>Financeiros!F21</f>
        <v>20</v>
      </c>
      <c r="G134">
        <f>Financeiros!G21</f>
        <v>60</v>
      </c>
      <c r="H134">
        <f>Financeiros!H21</f>
        <v>999</v>
      </c>
      <c r="I134">
        <f>Financeiros!I21</f>
        <v>1</v>
      </c>
      <c r="J134">
        <f>Financeiros!J21</f>
        <v>1</v>
      </c>
      <c r="K134">
        <f>Financeiros!K21</f>
        <v>9</v>
      </c>
      <c r="L134">
        <v>99</v>
      </c>
      <c r="M134">
        <v>9</v>
      </c>
      <c r="N134">
        <v>4</v>
      </c>
      <c r="O134">
        <v>99999</v>
      </c>
      <c r="P134" s="234">
        <f t="shared" ca="1" si="3"/>
        <v>0</v>
      </c>
      <c r="Q134" s="249">
        <f ca="1">Financeiros!E21</f>
        <v>0</v>
      </c>
    </row>
    <row r="135" spans="1:17" ht="15.75">
      <c r="A135" t="s">
        <v>772</v>
      </c>
      <c r="B135" t="s">
        <v>1376</v>
      </c>
      <c r="C135" t="str">
        <f>Financeiros!C22</f>
        <v>Ajuste CUST RB Fronteira + PIS Cofins RB Fronteira</v>
      </c>
      <c r="D135">
        <v>2</v>
      </c>
      <c r="E135">
        <v>2</v>
      </c>
      <c r="F135">
        <f>Financeiros!F22</f>
        <v>20</v>
      </c>
      <c r="G135">
        <f>Financeiros!G22</f>
        <v>60</v>
      </c>
      <c r="H135">
        <f>Financeiros!H22</f>
        <v>999</v>
      </c>
      <c r="I135">
        <f>Financeiros!I22</f>
        <v>1</v>
      </c>
      <c r="J135">
        <f>Financeiros!J22</f>
        <v>2</v>
      </c>
      <c r="K135">
        <f>Financeiros!K22</f>
        <v>9</v>
      </c>
      <c r="L135">
        <v>99</v>
      </c>
      <c r="M135">
        <v>9</v>
      </c>
      <c r="N135">
        <v>4</v>
      </c>
      <c r="O135">
        <v>99999</v>
      </c>
      <c r="P135" s="234">
        <f t="shared" ca="1" si="3"/>
        <v>0</v>
      </c>
      <c r="Q135" s="249">
        <f ca="1">Financeiros!E22</f>
        <v>0</v>
      </c>
    </row>
    <row r="136" spans="1:17" ht="15.75">
      <c r="A136" t="s">
        <v>772</v>
      </c>
      <c r="B136" t="s">
        <v>1376</v>
      </c>
      <c r="C136" t="str">
        <f>Financeiros!C23</f>
        <v>Manual de Contabilidade do Setor Elétrico</v>
      </c>
      <c r="D136">
        <v>2</v>
      </c>
      <c r="E136">
        <v>2</v>
      </c>
      <c r="F136">
        <f>Financeiros!F23</f>
        <v>20</v>
      </c>
      <c r="G136">
        <f>Financeiros!G23</f>
        <v>60</v>
      </c>
      <c r="H136">
        <f>Financeiros!H23</f>
        <v>167</v>
      </c>
      <c r="I136">
        <f>Financeiros!I23</f>
        <v>4</v>
      </c>
      <c r="J136">
        <f>Financeiros!J23</f>
        <v>999</v>
      </c>
      <c r="K136">
        <f>Financeiros!K23</f>
        <v>9</v>
      </c>
      <c r="L136">
        <v>99</v>
      </c>
      <c r="M136">
        <v>9</v>
      </c>
      <c r="N136">
        <v>4</v>
      </c>
      <c r="O136">
        <v>99999</v>
      </c>
      <c r="P136" s="234">
        <f t="shared" ca="1" si="3"/>
        <v>0</v>
      </c>
      <c r="Q136" s="249">
        <f ca="1">Financeiros!E23</f>
        <v>0</v>
      </c>
    </row>
    <row r="137" spans="1:17" ht="15.75">
      <c r="A137" t="s">
        <v>772</v>
      </c>
      <c r="B137" t="s">
        <v>1376</v>
      </c>
      <c r="C137" t="str">
        <f>Financeiros!C24</f>
        <v>Financeiro CDE Eletrobras</v>
      </c>
      <c r="D137">
        <v>2</v>
      </c>
      <c r="E137">
        <v>2</v>
      </c>
      <c r="F137">
        <f>Financeiros!F24</f>
        <v>22</v>
      </c>
      <c r="G137">
        <f>Financeiros!G24</f>
        <v>60</v>
      </c>
      <c r="H137">
        <f>Financeiros!H24</f>
        <v>999</v>
      </c>
      <c r="I137">
        <f>Financeiros!I24</f>
        <v>3</v>
      </c>
      <c r="J137">
        <f>Financeiros!J24</f>
        <v>28</v>
      </c>
      <c r="K137">
        <f>Financeiros!K24</f>
        <v>9</v>
      </c>
      <c r="L137">
        <v>99</v>
      </c>
      <c r="M137">
        <v>9</v>
      </c>
      <c r="N137">
        <v>4</v>
      </c>
      <c r="O137">
        <v>99999</v>
      </c>
      <c r="P137" s="234">
        <f t="shared" ca="1" si="3"/>
        <v>0</v>
      </c>
      <c r="Q137" s="249">
        <f ca="1">Financeiros!E24</f>
        <v>0</v>
      </c>
    </row>
    <row r="138" spans="1:17" ht="15.75">
      <c r="A138" t="s">
        <v>772</v>
      </c>
      <c r="B138" t="s">
        <v>1376</v>
      </c>
      <c r="C138" t="str">
        <f>Financeiros!C25</f>
        <v>Ajustes Processos anteriores</v>
      </c>
      <c r="D138">
        <v>2</v>
      </c>
      <c r="E138">
        <v>2</v>
      </c>
      <c r="F138">
        <f>Financeiros!F25</f>
        <v>22</v>
      </c>
      <c r="G138">
        <f>Financeiros!G25</f>
        <v>60</v>
      </c>
      <c r="H138">
        <f>Financeiros!H25</f>
        <v>999</v>
      </c>
      <c r="I138">
        <f>Financeiros!I25</f>
        <v>2</v>
      </c>
      <c r="J138">
        <f>Financeiros!J25</f>
        <v>30</v>
      </c>
      <c r="K138">
        <f>Financeiros!K25</f>
        <v>9</v>
      </c>
      <c r="L138">
        <v>99</v>
      </c>
      <c r="M138">
        <v>9</v>
      </c>
      <c r="N138">
        <v>4</v>
      </c>
      <c r="O138">
        <v>99999</v>
      </c>
      <c r="P138" s="234">
        <f t="shared" ca="1" si="3"/>
        <v>0</v>
      </c>
      <c r="Q138" s="249">
        <f ca="1">Financeiros!E25</f>
        <v>0</v>
      </c>
    </row>
    <row r="139" spans="1:17" ht="15.75">
      <c r="A139" t="s">
        <v>772</v>
      </c>
      <c r="B139" t="s">
        <v>1376</v>
      </c>
      <c r="C139" t="str">
        <f>Financeiros!C27</f>
        <v>Compensação DIC FIC</v>
      </c>
      <c r="D139">
        <v>2</v>
      </c>
      <c r="E139">
        <v>2</v>
      </c>
      <c r="F139">
        <f>Financeiros!F27</f>
        <v>22</v>
      </c>
      <c r="G139">
        <f>Financeiros!G27</f>
        <v>60</v>
      </c>
      <c r="H139">
        <f>Financeiros!H27</f>
        <v>178</v>
      </c>
      <c r="I139">
        <f>Financeiros!I27</f>
        <v>1</v>
      </c>
      <c r="J139">
        <f>Financeiros!J27</f>
        <v>7</v>
      </c>
      <c r="K139">
        <f>Financeiros!K27</f>
        <v>9</v>
      </c>
      <c r="L139">
        <v>99</v>
      </c>
      <c r="M139">
        <v>9</v>
      </c>
      <c r="N139">
        <v>4</v>
      </c>
      <c r="O139">
        <v>99999</v>
      </c>
      <c r="P139" s="234">
        <f t="shared" ca="1" si="3"/>
        <v>-4.0863957617381886E-3</v>
      </c>
      <c r="Q139" s="249">
        <f ca="1">Financeiros!E27</f>
        <v>-4.0863957617381886E-3</v>
      </c>
    </row>
    <row r="140" spans="1:17" ht="15.75">
      <c r="A140" t="s">
        <v>772</v>
      </c>
      <c r="B140" t="s">
        <v>1376</v>
      </c>
      <c r="C140" t="str">
        <f>Financeiros!C28</f>
        <v>Subvenção CDE</v>
      </c>
      <c r="D140">
        <v>2</v>
      </c>
      <c r="E140">
        <v>2</v>
      </c>
      <c r="F140">
        <f>Financeiros!F28</f>
        <v>22</v>
      </c>
      <c r="G140">
        <f>Financeiros!G28</f>
        <v>60</v>
      </c>
      <c r="H140">
        <f>Financeiros!H28</f>
        <v>999</v>
      </c>
      <c r="I140">
        <f>Financeiros!I28</f>
        <v>4</v>
      </c>
      <c r="J140">
        <f>Financeiros!J28</f>
        <v>999</v>
      </c>
      <c r="K140">
        <f>Financeiros!K28</f>
        <v>9</v>
      </c>
      <c r="L140">
        <v>99</v>
      </c>
      <c r="M140">
        <v>9</v>
      </c>
      <c r="N140">
        <v>4</v>
      </c>
      <c r="O140">
        <v>99999</v>
      </c>
      <c r="P140" s="234">
        <f t="shared" ca="1" si="3"/>
        <v>-0.35729264404719463</v>
      </c>
      <c r="Q140" s="249">
        <f ca="1">Financeiros!E28</f>
        <v>-0.35729264404719463</v>
      </c>
    </row>
    <row r="141" spans="1:17" ht="15.75">
      <c r="A141" t="s">
        <v>772</v>
      </c>
      <c r="B141" t="s">
        <v>1376</v>
      </c>
      <c r="C141" t="str">
        <f>Financeiros!C29</f>
        <v>Retenção de Adicionais de Bandeiras Tarifárias</v>
      </c>
      <c r="D141">
        <v>2</v>
      </c>
      <c r="E141">
        <v>2</v>
      </c>
      <c r="F141">
        <f>Financeiros!F29</f>
        <v>22</v>
      </c>
      <c r="G141">
        <f>Financeiros!G29</f>
        <v>60</v>
      </c>
      <c r="H141">
        <f>Financeiros!H29</f>
        <v>999</v>
      </c>
      <c r="I141">
        <f>Financeiros!I29</f>
        <v>2</v>
      </c>
      <c r="J141">
        <f>Financeiros!J29</f>
        <v>30</v>
      </c>
      <c r="K141">
        <f>Financeiros!K29</f>
        <v>9</v>
      </c>
      <c r="L141">
        <v>99</v>
      </c>
      <c r="M141">
        <v>9</v>
      </c>
      <c r="N141">
        <v>4</v>
      </c>
      <c r="O141">
        <v>99999</v>
      </c>
      <c r="P141" s="234">
        <f t="shared" ref="P141:P185" ca="1" si="8">IF(ISNUMBER(Q141),Q141,0)</f>
        <v>-9.7545501834175284E-3</v>
      </c>
      <c r="Q141" s="249">
        <f ca="1">Financeiros!E29</f>
        <v>-9.7545501834175284E-3</v>
      </c>
    </row>
    <row r="142" spans="1:17" ht="15.75">
      <c r="A142" t="s">
        <v>772</v>
      </c>
      <c r="B142" t="s">
        <v>1376</v>
      </c>
      <c r="C142" t="str">
        <f>Financeiros!C30</f>
        <v>Multa LPT</v>
      </c>
      <c r="D142">
        <v>2</v>
      </c>
      <c r="E142">
        <v>2</v>
      </c>
      <c r="F142">
        <f>Financeiros!F30</f>
        <v>22</v>
      </c>
      <c r="G142">
        <f>Financeiros!G30</f>
        <v>60</v>
      </c>
      <c r="H142">
        <f>Financeiros!H30</f>
        <v>120</v>
      </c>
      <c r="I142">
        <f>Financeiros!I30</f>
        <v>4</v>
      </c>
      <c r="J142">
        <f>Financeiros!J30</f>
        <v>999</v>
      </c>
      <c r="K142">
        <f>Financeiros!K30</f>
        <v>9</v>
      </c>
      <c r="L142">
        <v>99</v>
      </c>
      <c r="M142">
        <v>9</v>
      </c>
      <c r="N142">
        <v>4</v>
      </c>
      <c r="O142">
        <v>99999</v>
      </c>
      <c r="P142" s="234">
        <f t="shared" ca="1" si="8"/>
        <v>0</v>
      </c>
      <c r="Q142" s="249">
        <f ca="1">Financeiros!E30</f>
        <v>0</v>
      </c>
    </row>
    <row r="143" spans="1:17" ht="15.75">
      <c r="A143" t="s">
        <v>772</v>
      </c>
      <c r="B143" t="s">
        <v>1376</v>
      </c>
      <c r="C143" t="str">
        <f>Financeiros!C32</f>
        <v>Repasse de ICMS CUSD</v>
      </c>
      <c r="D143">
        <v>2</v>
      </c>
      <c r="E143">
        <v>2</v>
      </c>
      <c r="F143">
        <f>Financeiros!F32</f>
        <v>22</v>
      </c>
      <c r="G143">
        <f>Financeiros!G32</f>
        <v>60</v>
      </c>
      <c r="H143">
        <f>Financeiros!H32</f>
        <v>999</v>
      </c>
      <c r="I143">
        <f>Financeiros!I32</f>
        <v>1</v>
      </c>
      <c r="J143">
        <f>Financeiros!J32</f>
        <v>7</v>
      </c>
      <c r="K143">
        <f>Financeiros!K32</f>
        <v>9</v>
      </c>
      <c r="L143">
        <v>99</v>
      </c>
      <c r="M143">
        <v>9</v>
      </c>
      <c r="N143">
        <v>4</v>
      </c>
      <c r="O143">
        <v>99999</v>
      </c>
      <c r="P143" s="234">
        <f t="shared" ref="P143:P144" ca="1" si="9">IF(ISNUMBER(Q143),Q143,0)</f>
        <v>0</v>
      </c>
      <c r="Q143" s="249">
        <f ca="1">Financeiros!E32</f>
        <v>0</v>
      </c>
    </row>
    <row r="144" spans="1:17" ht="15.75">
      <c r="A144" t="s">
        <v>772</v>
      </c>
      <c r="B144" t="s">
        <v>1376</v>
      </c>
      <c r="C144" t="str">
        <f>Financeiros!C33</f>
        <v>Repasse de ICMS TE</v>
      </c>
      <c r="D144">
        <v>2</v>
      </c>
      <c r="E144">
        <v>2</v>
      </c>
      <c r="F144">
        <f>Financeiros!F33</f>
        <v>22</v>
      </c>
      <c r="G144">
        <f>Financeiros!G33</f>
        <v>60</v>
      </c>
      <c r="H144">
        <f>Financeiros!H33</f>
        <v>999</v>
      </c>
      <c r="I144">
        <f>Financeiros!I33</f>
        <v>2</v>
      </c>
      <c r="J144">
        <f>Financeiros!J33</f>
        <v>30</v>
      </c>
      <c r="K144">
        <f>Financeiros!K33</f>
        <v>9</v>
      </c>
      <c r="L144">
        <v>99</v>
      </c>
      <c r="M144">
        <v>9</v>
      </c>
      <c r="N144">
        <v>4</v>
      </c>
      <c r="O144">
        <v>99999</v>
      </c>
      <c r="P144" s="234">
        <f t="shared" ca="1" si="9"/>
        <v>0</v>
      </c>
      <c r="Q144" s="249">
        <f ca="1">Financeiros!E32</f>
        <v>0</v>
      </c>
    </row>
    <row r="145" spans="1:17" ht="15.75">
      <c r="A145" t="s">
        <v>772</v>
      </c>
      <c r="B145" t="s">
        <v>1376</v>
      </c>
      <c r="C145" t="str">
        <f>Financeiros!C34</f>
        <v>Ressarcimento P&amp;D</v>
      </c>
      <c r="D145">
        <v>2</v>
      </c>
      <c r="E145">
        <v>2</v>
      </c>
      <c r="F145">
        <f>Financeiros!F34</f>
        <v>22</v>
      </c>
      <c r="G145">
        <f>Financeiros!G34</f>
        <v>60</v>
      </c>
      <c r="H145">
        <f>Financeiros!H34</f>
        <v>231</v>
      </c>
      <c r="I145">
        <f>Financeiros!I34</f>
        <v>3</v>
      </c>
      <c r="J145">
        <f>Financeiros!J34</f>
        <v>19</v>
      </c>
      <c r="K145">
        <f>Financeiros!K34</f>
        <v>9</v>
      </c>
      <c r="L145">
        <v>99</v>
      </c>
      <c r="M145">
        <v>9</v>
      </c>
      <c r="N145">
        <v>4</v>
      </c>
      <c r="O145">
        <v>99999</v>
      </c>
      <c r="P145" s="234">
        <f t="shared" ca="1" si="8"/>
        <v>0</v>
      </c>
      <c r="Q145" s="249">
        <f ca="1">Financeiros!E33</f>
        <v>0</v>
      </c>
    </row>
    <row r="146" spans="1:17" ht="15.75">
      <c r="A146" t="s">
        <v>772</v>
      </c>
      <c r="B146" t="s">
        <v>1376</v>
      </c>
      <c r="C146" t="str">
        <f>Financeiros!C35</f>
        <v>Efeito Conta COVID</v>
      </c>
      <c r="D146">
        <v>2</v>
      </c>
      <c r="E146">
        <v>2</v>
      </c>
      <c r="F146">
        <f>Financeiros!F35</f>
        <v>22</v>
      </c>
      <c r="G146">
        <f>Financeiros!G35</f>
        <v>60</v>
      </c>
      <c r="H146">
        <f>Financeiros!H35</f>
        <v>235</v>
      </c>
      <c r="I146">
        <f>Financeiros!I35</f>
        <v>4</v>
      </c>
      <c r="J146">
        <f>Financeiros!J35</f>
        <v>999</v>
      </c>
      <c r="K146">
        <f>Financeiros!K35</f>
        <v>9</v>
      </c>
      <c r="L146">
        <v>99</v>
      </c>
      <c r="M146">
        <v>9</v>
      </c>
      <c r="N146">
        <v>4</v>
      </c>
      <c r="O146">
        <v>99999</v>
      </c>
      <c r="P146" s="234">
        <f t="shared" ca="1" si="8"/>
        <v>0</v>
      </c>
      <c r="Q146" s="249">
        <f ca="1">Financeiros!E34</f>
        <v>0</v>
      </c>
    </row>
    <row r="147" spans="1:17" ht="15.75">
      <c r="A147" t="s">
        <v>772</v>
      </c>
      <c r="B147" t="s">
        <v>1376</v>
      </c>
      <c r="C147" t="str">
        <f>Financeiros!C36</f>
        <v>Previsão de Risco Hidrologico</v>
      </c>
      <c r="D147">
        <v>2</v>
      </c>
      <c r="E147">
        <v>2</v>
      </c>
      <c r="F147">
        <f>Financeiros!F36</f>
        <v>22</v>
      </c>
      <c r="G147">
        <f>Financeiros!G36</f>
        <v>60</v>
      </c>
      <c r="H147">
        <f>Financeiros!H36</f>
        <v>220</v>
      </c>
      <c r="I147">
        <f>Financeiros!I36</f>
        <v>2</v>
      </c>
      <c r="J147">
        <f>Financeiros!J36</f>
        <v>30</v>
      </c>
      <c r="K147">
        <f>Financeiros!K36</f>
        <v>9</v>
      </c>
      <c r="L147">
        <v>99</v>
      </c>
      <c r="M147">
        <v>9</v>
      </c>
      <c r="N147">
        <v>4</v>
      </c>
      <c r="O147">
        <v>99999</v>
      </c>
      <c r="P147" s="234">
        <f t="shared" ref="P147:P152" ca="1" si="10">IF(ISNUMBER(Q147),Q147,0)</f>
        <v>0</v>
      </c>
      <c r="Q147" s="249">
        <f ca="1">Financeiros!E35</f>
        <v>0</v>
      </c>
    </row>
    <row r="148" spans="1:17" ht="15.75">
      <c r="A148" t="s">
        <v>772</v>
      </c>
      <c r="B148" t="s">
        <v>1376</v>
      </c>
      <c r="C148" t="str">
        <f>Financeiros!C37</f>
        <v>Efeito COVID da Supridora</v>
      </c>
      <c r="D148">
        <v>2</v>
      </c>
      <c r="E148">
        <v>2</v>
      </c>
      <c r="F148">
        <f>Financeiros!F37</f>
        <v>22</v>
      </c>
      <c r="G148">
        <f>Financeiros!G37</f>
        <v>60</v>
      </c>
      <c r="H148">
        <f>Financeiros!H37</f>
        <v>999</v>
      </c>
      <c r="I148">
        <f>Financeiros!I37</f>
        <v>2</v>
      </c>
      <c r="J148">
        <f>Financeiros!J37</f>
        <v>30</v>
      </c>
      <c r="K148">
        <f>Financeiros!K37</f>
        <v>9</v>
      </c>
      <c r="L148">
        <v>99</v>
      </c>
      <c r="M148">
        <v>9</v>
      </c>
      <c r="N148">
        <v>4</v>
      </c>
      <c r="O148">
        <v>99999</v>
      </c>
      <c r="P148" s="234">
        <f t="shared" ca="1" si="10"/>
        <v>3.5689246044298259E-3</v>
      </c>
      <c r="Q148" s="249">
        <f ca="1">Financeiros!E36</f>
        <v>3.5689246044298259E-3</v>
      </c>
    </row>
    <row r="149" spans="1:17" ht="15.75">
      <c r="A149" t="s">
        <v>772</v>
      </c>
      <c r="B149" t="s">
        <v>1376</v>
      </c>
      <c r="C149" t="str">
        <f>Financeiros!C38</f>
        <v>Crédito de Pis Cofins sobre ICMS</v>
      </c>
      <c r="D149">
        <v>2</v>
      </c>
      <c r="E149">
        <v>2</v>
      </c>
      <c r="F149">
        <f>Financeiros!F38</f>
        <v>22</v>
      </c>
      <c r="G149">
        <f>Financeiros!G38</f>
        <v>60</v>
      </c>
      <c r="H149">
        <f>Financeiros!H38</f>
        <v>179</v>
      </c>
      <c r="I149">
        <f>Financeiros!I38</f>
        <v>99</v>
      </c>
      <c r="J149">
        <f>Financeiros!J38</f>
        <v>999</v>
      </c>
      <c r="K149">
        <f>Financeiros!K38</f>
        <v>3</v>
      </c>
      <c r="L149">
        <v>99</v>
      </c>
      <c r="M149">
        <v>9</v>
      </c>
      <c r="N149">
        <v>4</v>
      </c>
      <c r="O149">
        <v>99999</v>
      </c>
      <c r="P149" s="234">
        <f t="shared" ca="1" si="10"/>
        <v>0</v>
      </c>
      <c r="Q149" s="249">
        <f ca="1">Financeiros!E37</f>
        <v>0</v>
      </c>
    </row>
    <row r="150" spans="1:17" ht="15.75">
      <c r="A150" t="s">
        <v>772</v>
      </c>
      <c r="B150" t="s">
        <v>1376</v>
      </c>
      <c r="C150" t="str">
        <f>Financeiros!C39</f>
        <v>Diferimento Pis Cofins TUSD</v>
      </c>
      <c r="D150">
        <v>2</v>
      </c>
      <c r="E150">
        <v>2</v>
      </c>
      <c r="F150">
        <f>Financeiros!F39</f>
        <v>22</v>
      </c>
      <c r="G150">
        <f>Financeiros!G39</f>
        <v>60</v>
      </c>
      <c r="H150">
        <f>Financeiros!H39</f>
        <v>999</v>
      </c>
      <c r="I150">
        <f>Financeiros!I39</f>
        <v>1</v>
      </c>
      <c r="J150">
        <f>Financeiros!J39</f>
        <v>7</v>
      </c>
      <c r="K150">
        <f>Financeiros!K39</f>
        <v>9</v>
      </c>
      <c r="L150">
        <v>99</v>
      </c>
      <c r="M150">
        <v>9</v>
      </c>
      <c r="N150">
        <v>4</v>
      </c>
      <c r="O150">
        <v>99999</v>
      </c>
      <c r="P150" s="234">
        <f t="shared" ca="1" si="10"/>
        <v>0</v>
      </c>
      <c r="Q150" s="249">
        <f ca="1">Financeiros!E38</f>
        <v>0</v>
      </c>
    </row>
    <row r="151" spans="1:17" ht="15.75">
      <c r="A151" t="s">
        <v>772</v>
      </c>
      <c r="B151" t="s">
        <v>1376</v>
      </c>
      <c r="C151" t="str">
        <f>Financeiros!C40</f>
        <v>Diferimento Pis Cofins TE</v>
      </c>
      <c r="D151">
        <v>2</v>
      </c>
      <c r="E151">
        <v>2</v>
      </c>
      <c r="F151">
        <f>Financeiros!F40</f>
        <v>22</v>
      </c>
      <c r="G151">
        <f>Financeiros!G40</f>
        <v>60</v>
      </c>
      <c r="H151">
        <f>Financeiros!H40</f>
        <v>999</v>
      </c>
      <c r="I151">
        <f>Financeiros!I40</f>
        <v>2</v>
      </c>
      <c r="J151">
        <f>Financeiros!J40</f>
        <v>30</v>
      </c>
      <c r="K151">
        <f>Financeiros!K40</f>
        <v>9</v>
      </c>
      <c r="L151">
        <v>99</v>
      </c>
      <c r="M151">
        <v>9</v>
      </c>
      <c r="N151">
        <v>4</v>
      </c>
      <c r="O151">
        <v>99999</v>
      </c>
      <c r="P151" s="234">
        <f t="shared" ca="1" si="10"/>
        <v>0</v>
      </c>
      <c r="Q151" s="249">
        <f ca="1">Financeiros!E39</f>
        <v>0</v>
      </c>
    </row>
    <row r="152" spans="1:17" ht="15.75">
      <c r="A152" t="s">
        <v>772</v>
      </c>
      <c r="B152" t="s">
        <v>1376</v>
      </c>
      <c r="C152" t="str">
        <f>Financeiros!C41</f>
        <v>Financeiros associados ao §7º do Art. 88 da Ren 414/2021</v>
      </c>
      <c r="D152">
        <v>2</v>
      </c>
      <c r="E152">
        <v>2</v>
      </c>
      <c r="F152">
        <f>Financeiros!F41</f>
        <v>22</v>
      </c>
      <c r="G152">
        <f>Financeiros!G41</f>
        <v>60</v>
      </c>
      <c r="H152">
        <f>Financeiros!H41</f>
        <v>999</v>
      </c>
      <c r="I152">
        <f>Financeiros!I41</f>
        <v>2</v>
      </c>
      <c r="J152">
        <f>Financeiros!J41</f>
        <v>30</v>
      </c>
      <c r="K152">
        <f>Financeiros!K41</f>
        <v>9</v>
      </c>
      <c r="L152">
        <v>99</v>
      </c>
      <c r="M152">
        <v>9</v>
      </c>
      <c r="N152">
        <v>4</v>
      </c>
      <c r="O152">
        <v>99999</v>
      </c>
      <c r="P152" s="234">
        <f t="shared" ca="1" si="10"/>
        <v>0</v>
      </c>
      <c r="Q152" s="249">
        <f ca="1">Financeiros!E40</f>
        <v>0</v>
      </c>
    </row>
    <row r="153" spans="1:17" ht="15.75">
      <c r="A153" t="s">
        <v>772</v>
      </c>
      <c r="B153" t="s">
        <v>1376</v>
      </c>
      <c r="C153">
        <f>Financeiros!C42</f>
        <v>0</v>
      </c>
      <c r="D153">
        <v>2</v>
      </c>
      <c r="E153">
        <v>2</v>
      </c>
      <c r="F153">
        <v>999</v>
      </c>
      <c r="G153">
        <v>999999</v>
      </c>
      <c r="H153">
        <v>999</v>
      </c>
      <c r="I153">
        <v>99</v>
      </c>
      <c r="J153">
        <v>999</v>
      </c>
      <c r="K153">
        <v>9</v>
      </c>
      <c r="L153">
        <v>99</v>
      </c>
      <c r="M153">
        <v>9</v>
      </c>
      <c r="N153">
        <v>4</v>
      </c>
      <c r="O153">
        <v>99999</v>
      </c>
      <c r="P153" s="234">
        <f t="shared" ref="P153:P155" ca="1" si="11">IF(ISNUMBER(Q153),Q153,0)</f>
        <v>0</v>
      </c>
      <c r="Q153" s="249">
        <f ca="1">Financeiros!E41</f>
        <v>0</v>
      </c>
    </row>
    <row r="154" spans="1:17" ht="15.75">
      <c r="A154" t="s">
        <v>772</v>
      </c>
      <c r="B154" t="s">
        <v>1376</v>
      </c>
      <c r="C154">
        <f>Financeiros!C43</f>
        <v>0</v>
      </c>
      <c r="D154">
        <v>2</v>
      </c>
      <c r="E154">
        <v>2</v>
      </c>
      <c r="F154">
        <v>999</v>
      </c>
      <c r="G154">
        <v>999999</v>
      </c>
      <c r="H154">
        <v>999</v>
      </c>
      <c r="I154">
        <v>99</v>
      </c>
      <c r="J154">
        <v>999</v>
      </c>
      <c r="K154">
        <v>9</v>
      </c>
      <c r="L154">
        <v>99</v>
      </c>
      <c r="M154">
        <v>9</v>
      </c>
      <c r="N154">
        <v>4</v>
      </c>
      <c r="O154">
        <v>99999</v>
      </c>
      <c r="P154" s="234">
        <f t="shared" si="11"/>
        <v>0</v>
      </c>
      <c r="Q154" s="249">
        <f>Financeiros!E42</f>
        <v>0</v>
      </c>
    </row>
    <row r="155" spans="1:17" ht="15.75">
      <c r="A155" t="s">
        <v>772</v>
      </c>
      <c r="B155" t="s">
        <v>1376</v>
      </c>
      <c r="C155">
        <f>Financeiros!C44</f>
        <v>0</v>
      </c>
      <c r="D155">
        <v>2</v>
      </c>
      <c r="E155">
        <v>2</v>
      </c>
      <c r="F155">
        <v>999</v>
      </c>
      <c r="G155">
        <v>999999</v>
      </c>
      <c r="H155">
        <v>999</v>
      </c>
      <c r="I155">
        <v>99</v>
      </c>
      <c r="J155">
        <v>999</v>
      </c>
      <c r="K155">
        <v>9</v>
      </c>
      <c r="L155">
        <v>99</v>
      </c>
      <c r="M155">
        <v>9</v>
      </c>
      <c r="N155">
        <v>4</v>
      </c>
      <c r="O155">
        <v>99999</v>
      </c>
      <c r="P155" s="234">
        <f t="shared" si="11"/>
        <v>0</v>
      </c>
      <c r="Q155" s="249">
        <f>Financeiros!E43</f>
        <v>0</v>
      </c>
    </row>
    <row r="156" spans="1:17" ht="15.75">
      <c r="A156" t="s">
        <v>772</v>
      </c>
      <c r="B156" t="s">
        <v>1376</v>
      </c>
      <c r="C156">
        <f>Financeiros!C45</f>
        <v>0</v>
      </c>
      <c r="D156">
        <v>2</v>
      </c>
      <c r="E156">
        <v>2</v>
      </c>
      <c r="F156">
        <f>Financeiros!F45</f>
        <v>22</v>
      </c>
      <c r="G156">
        <f>Financeiros!G45</f>
        <v>60</v>
      </c>
      <c r="H156">
        <f>Financeiros!H45</f>
        <v>999</v>
      </c>
      <c r="I156">
        <f>Financeiros!I45</f>
        <v>99</v>
      </c>
      <c r="J156">
        <f>Financeiros!J45</f>
        <v>999</v>
      </c>
      <c r="K156">
        <f>Financeiros!K45</f>
        <v>9</v>
      </c>
      <c r="L156">
        <v>99</v>
      </c>
      <c r="M156">
        <v>9</v>
      </c>
      <c r="N156">
        <v>4</v>
      </c>
      <c r="O156">
        <v>99999</v>
      </c>
      <c r="P156" s="234">
        <f t="shared" ref="P156:P158" ca="1" si="12">IF(ISNUMBER(Q156),Q156,0)</f>
        <v>0</v>
      </c>
      <c r="Q156" s="249">
        <f ca="1">Financeiros!E41</f>
        <v>0</v>
      </c>
    </row>
    <row r="157" spans="1:17" ht="15.75">
      <c r="A157" t="s">
        <v>772</v>
      </c>
      <c r="B157" t="s">
        <v>1376</v>
      </c>
      <c r="C157">
        <f>Financeiros!C46</f>
        <v>0</v>
      </c>
      <c r="D157">
        <v>2</v>
      </c>
      <c r="E157">
        <v>2</v>
      </c>
      <c r="F157">
        <f>Financeiros!F46</f>
        <v>22</v>
      </c>
      <c r="G157">
        <f>Financeiros!G46</f>
        <v>60</v>
      </c>
      <c r="H157">
        <f>Financeiros!H46</f>
        <v>999</v>
      </c>
      <c r="I157">
        <f>Financeiros!I46</f>
        <v>99</v>
      </c>
      <c r="J157">
        <f>Financeiros!J46</f>
        <v>999</v>
      </c>
      <c r="K157">
        <f>Financeiros!K46</f>
        <v>9</v>
      </c>
      <c r="L157">
        <v>99</v>
      </c>
      <c r="M157">
        <v>9</v>
      </c>
      <c r="N157">
        <v>4</v>
      </c>
      <c r="O157">
        <v>99999</v>
      </c>
      <c r="P157" s="234">
        <f t="shared" ca="1" si="12"/>
        <v>0</v>
      </c>
      <c r="Q157" s="249">
        <f ca="1">Financeiros!E45</f>
        <v>0</v>
      </c>
    </row>
    <row r="158" spans="1:17" ht="15.75">
      <c r="A158" t="s">
        <v>772</v>
      </c>
      <c r="B158" t="s">
        <v>1376</v>
      </c>
      <c r="C158">
        <f>Financeiros!C47</f>
        <v>0</v>
      </c>
      <c r="D158">
        <v>2</v>
      </c>
      <c r="E158">
        <v>2</v>
      </c>
      <c r="F158">
        <f>Financeiros!F47</f>
        <v>22</v>
      </c>
      <c r="G158">
        <f>Financeiros!G47</f>
        <v>60</v>
      </c>
      <c r="H158">
        <f>Financeiros!H47</f>
        <v>999</v>
      </c>
      <c r="I158">
        <f>Financeiros!I47</f>
        <v>99</v>
      </c>
      <c r="J158">
        <f>Financeiros!J47</f>
        <v>999</v>
      </c>
      <c r="K158">
        <f>Financeiros!K47</f>
        <v>9</v>
      </c>
      <c r="L158">
        <v>99</v>
      </c>
      <c r="M158">
        <v>9</v>
      </c>
      <c r="N158">
        <v>4</v>
      </c>
      <c r="O158">
        <v>99999</v>
      </c>
      <c r="P158" s="234">
        <f t="shared" ca="1" si="12"/>
        <v>0</v>
      </c>
      <c r="Q158" s="249">
        <f ca="1">Financeiros!E46</f>
        <v>0</v>
      </c>
    </row>
    <row r="159" spans="1:17" ht="15.75">
      <c r="A159" t="s">
        <v>772</v>
      </c>
      <c r="B159" t="s">
        <v>72</v>
      </c>
      <c r="C159" t="s">
        <v>1574</v>
      </c>
      <c r="D159">
        <v>1</v>
      </c>
      <c r="E159">
        <v>1</v>
      </c>
      <c r="F159">
        <v>11</v>
      </c>
      <c r="G159">
        <v>20</v>
      </c>
      <c r="H159">
        <v>999</v>
      </c>
      <c r="I159">
        <v>3</v>
      </c>
      <c r="J159">
        <v>19</v>
      </c>
      <c r="K159">
        <v>9</v>
      </c>
      <c r="L159">
        <v>99</v>
      </c>
      <c r="M159">
        <v>9</v>
      </c>
      <c r="N159">
        <v>4</v>
      </c>
      <c r="O159">
        <v>99999</v>
      </c>
      <c r="P159" s="234">
        <f t="shared" si="8"/>
        <v>1E-14</v>
      </c>
      <c r="Q159" s="234">
        <f>Encargos!O6</f>
        <v>1E-14</v>
      </c>
    </row>
    <row r="160" spans="1:17" ht="15.75">
      <c r="A160" t="s">
        <v>1575</v>
      </c>
      <c r="B160" t="s">
        <v>1576</v>
      </c>
      <c r="C160" t="s">
        <v>1577</v>
      </c>
      <c r="D160">
        <v>1</v>
      </c>
      <c r="E160">
        <v>99</v>
      </c>
      <c r="F160">
        <v>999</v>
      </c>
      <c r="G160">
        <v>999999</v>
      </c>
      <c r="H160">
        <v>30</v>
      </c>
      <c r="I160">
        <v>99</v>
      </c>
      <c r="J160">
        <v>999</v>
      </c>
      <c r="K160">
        <v>9</v>
      </c>
      <c r="L160">
        <v>99</v>
      </c>
      <c r="M160">
        <v>9</v>
      </c>
      <c r="N160">
        <v>9</v>
      </c>
      <c r="O160">
        <v>99999</v>
      </c>
      <c r="P160" s="234">
        <f t="shared" si="8"/>
        <v>0</v>
      </c>
      <c r="Q160" s="234">
        <f>IF(CAPA!K9="Atrasado",1,0)</f>
        <v>0</v>
      </c>
    </row>
    <row r="161" spans="1:21" ht="15.75">
      <c r="A161" t="s">
        <v>1575</v>
      </c>
      <c r="B161" t="s">
        <v>1576</v>
      </c>
      <c r="C161" t="s">
        <v>1578</v>
      </c>
      <c r="D161">
        <v>1</v>
      </c>
      <c r="E161">
        <v>99</v>
      </c>
      <c r="F161">
        <v>999</v>
      </c>
      <c r="G161">
        <v>999999</v>
      </c>
      <c r="H161">
        <v>31</v>
      </c>
      <c r="I161">
        <v>99</v>
      </c>
      <c r="J161">
        <v>999</v>
      </c>
      <c r="K161">
        <v>9</v>
      </c>
      <c r="L161">
        <v>99</v>
      </c>
      <c r="M161">
        <v>9</v>
      </c>
      <c r="N161">
        <v>9</v>
      </c>
      <c r="O161">
        <v>99999</v>
      </c>
      <c r="P161" s="234">
        <f t="shared" ca="1" si="8"/>
        <v>1</v>
      </c>
      <c r="Q161" s="234">
        <f ca="1">IF(CAPA!C110="Revisão",1,0)</f>
        <v>1</v>
      </c>
    </row>
    <row r="162" spans="1:21" ht="15.75">
      <c r="A162" t="s">
        <v>1575</v>
      </c>
      <c r="B162" t="s">
        <v>1576</v>
      </c>
      <c r="C162" t="s">
        <v>1579</v>
      </c>
      <c r="D162">
        <v>1</v>
      </c>
      <c r="E162">
        <v>99</v>
      </c>
      <c r="F162">
        <v>999</v>
      </c>
      <c r="G162">
        <v>999999</v>
      </c>
      <c r="H162">
        <v>32</v>
      </c>
      <c r="I162">
        <v>99</v>
      </c>
      <c r="J162">
        <v>999</v>
      </c>
      <c r="K162">
        <v>9</v>
      </c>
      <c r="L162">
        <v>99</v>
      </c>
      <c r="M162">
        <v>9</v>
      </c>
      <c r="N162">
        <v>9</v>
      </c>
      <c r="O162">
        <v>99999</v>
      </c>
      <c r="P162" s="234">
        <f t="shared" si="8"/>
        <v>1</v>
      </c>
      <c r="Q162" s="234">
        <v>1</v>
      </c>
    </row>
    <row r="163" spans="1:21" ht="15.75">
      <c r="A163" t="s">
        <v>772</v>
      </c>
      <c r="B163" t="s">
        <v>974</v>
      </c>
      <c r="C163" t="s">
        <v>1580</v>
      </c>
      <c r="D163">
        <v>1</v>
      </c>
      <c r="E163">
        <v>3</v>
      </c>
      <c r="F163">
        <v>50</v>
      </c>
      <c r="G163">
        <v>1</v>
      </c>
      <c r="H163">
        <v>999</v>
      </c>
      <c r="I163">
        <v>99</v>
      </c>
      <c r="J163">
        <v>999</v>
      </c>
      <c r="K163">
        <v>9</v>
      </c>
      <c r="L163">
        <v>99</v>
      </c>
      <c r="M163">
        <v>9</v>
      </c>
      <c r="N163">
        <v>4</v>
      </c>
      <c r="O163">
        <v>99999</v>
      </c>
      <c r="P163" s="234">
        <f t="shared" si="8"/>
        <v>0</v>
      </c>
      <c r="Q163" s="254">
        <f>IF(CAPA!P1="VERDADEIRO",0,Calc_Mercado!J15)</f>
        <v>0</v>
      </c>
    </row>
    <row r="164" spans="1:21" ht="15.75">
      <c r="A164" s="16" t="s">
        <v>772</v>
      </c>
      <c r="B164" s="16" t="s">
        <v>120</v>
      </c>
      <c r="C164" s="16" t="s">
        <v>821</v>
      </c>
      <c r="D164" s="16">
        <v>4</v>
      </c>
      <c r="E164" s="16">
        <v>1</v>
      </c>
      <c r="F164" s="16">
        <v>51</v>
      </c>
      <c r="G164" s="16">
        <v>55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2</v>
      </c>
      <c r="O164" s="16">
        <v>99999</v>
      </c>
      <c r="P164" s="234">
        <f t="shared" ca="1" si="8"/>
        <v>68450.052945069459</v>
      </c>
      <c r="Q164" s="234">
        <f ca="1">Energia!C5</f>
        <v>68450.052945069459</v>
      </c>
    </row>
    <row r="165" spans="1:21" ht="15.75">
      <c r="A165" s="16" t="s">
        <v>772</v>
      </c>
      <c r="B165" s="16" t="s">
        <v>120</v>
      </c>
      <c r="C165" s="16" t="s">
        <v>821</v>
      </c>
      <c r="D165" s="16">
        <v>4</v>
      </c>
      <c r="E165" s="16">
        <v>1</v>
      </c>
      <c r="F165" s="16">
        <v>51</v>
      </c>
      <c r="G165" s="16">
        <v>55</v>
      </c>
      <c r="H165" s="16">
        <v>999</v>
      </c>
      <c r="I165" s="16">
        <v>99</v>
      </c>
      <c r="J165" s="16">
        <v>999</v>
      </c>
      <c r="K165" s="16">
        <v>9</v>
      </c>
      <c r="L165" s="16">
        <v>99</v>
      </c>
      <c r="M165" s="16">
        <v>9</v>
      </c>
      <c r="N165" s="16">
        <v>3</v>
      </c>
      <c r="O165" s="16">
        <v>99999</v>
      </c>
      <c r="P165" s="234">
        <f t="shared" ca="1" si="8"/>
        <v>15476014.231197888</v>
      </c>
      <c r="Q165" s="234">
        <f ca="1">Energia!C14</f>
        <v>15476014.231197888</v>
      </c>
    </row>
    <row r="166" spans="1:21" ht="15.75">
      <c r="A166" s="16" t="s">
        <v>772</v>
      </c>
      <c r="B166" s="16" t="s">
        <v>1581</v>
      </c>
      <c r="C166" s="16" t="s">
        <v>1582</v>
      </c>
      <c r="D166" s="16">
        <v>4</v>
      </c>
      <c r="E166" s="16">
        <v>1</v>
      </c>
      <c r="F166" s="16">
        <v>51</v>
      </c>
      <c r="G166" s="16">
        <v>100</v>
      </c>
      <c r="H166" s="16">
        <v>999</v>
      </c>
      <c r="I166" s="16">
        <v>99</v>
      </c>
      <c r="J166" s="16">
        <v>999</v>
      </c>
      <c r="K166" s="16">
        <v>9</v>
      </c>
      <c r="L166" s="16">
        <v>99</v>
      </c>
      <c r="M166" s="16">
        <v>9</v>
      </c>
      <c r="N166" s="16">
        <v>3</v>
      </c>
      <c r="O166" s="16">
        <v>99999</v>
      </c>
      <c r="P166" s="234">
        <f t="shared" ca="1" si="8"/>
        <v>32321220.34692413</v>
      </c>
      <c r="Q166" s="234">
        <f ca="1">Resultado!D34</f>
        <v>32321220.34692413</v>
      </c>
    </row>
    <row r="167" spans="1:21" ht="15.75">
      <c r="A167" s="16" t="s">
        <v>772</v>
      </c>
      <c r="B167" s="16" t="s">
        <v>109</v>
      </c>
      <c r="C167" s="16" t="s">
        <v>836</v>
      </c>
      <c r="D167" s="16">
        <v>4</v>
      </c>
      <c r="E167" s="16">
        <v>1</v>
      </c>
      <c r="F167" s="16">
        <v>51</v>
      </c>
      <c r="G167" s="16">
        <v>101</v>
      </c>
      <c r="H167" s="16">
        <v>999</v>
      </c>
      <c r="I167" s="16">
        <v>99</v>
      </c>
      <c r="J167" s="16">
        <v>999</v>
      </c>
      <c r="K167" s="16">
        <v>9</v>
      </c>
      <c r="L167" s="16">
        <v>99</v>
      </c>
      <c r="M167" s="16">
        <v>9</v>
      </c>
      <c r="N167" s="16">
        <v>3</v>
      </c>
      <c r="O167" s="16">
        <v>99999</v>
      </c>
      <c r="P167" s="234">
        <f t="shared" si="8"/>
        <v>34000000</v>
      </c>
      <c r="Q167" s="234">
        <f>Resultado!D39</f>
        <v>34000000</v>
      </c>
    </row>
    <row r="168" spans="1:21" ht="15.75">
      <c r="A168" s="16" t="s">
        <v>772</v>
      </c>
      <c r="B168" s="16" t="s">
        <v>72</v>
      </c>
      <c r="C168" s="16" t="s">
        <v>836</v>
      </c>
      <c r="D168" s="16">
        <v>4</v>
      </c>
      <c r="E168" s="16">
        <v>1</v>
      </c>
      <c r="F168" s="16">
        <v>51</v>
      </c>
      <c r="G168" s="16">
        <v>104</v>
      </c>
      <c r="H168" s="16">
        <v>999</v>
      </c>
      <c r="I168" s="16">
        <v>3</v>
      </c>
      <c r="J168" s="16">
        <v>999</v>
      </c>
      <c r="K168" s="16">
        <v>9</v>
      </c>
      <c r="L168" s="16">
        <v>99</v>
      </c>
      <c r="M168" s="16">
        <v>9</v>
      </c>
      <c r="N168" s="16">
        <v>3</v>
      </c>
      <c r="O168" s="16">
        <v>99999</v>
      </c>
      <c r="P168" s="234">
        <f t="shared" ca="1" si="8"/>
        <v>7074660.7918286426</v>
      </c>
      <c r="Q168" s="234">
        <f ca="1">Resultado!D14</f>
        <v>7074660.7918286426</v>
      </c>
    </row>
    <row r="169" spans="1:21" ht="15.75">
      <c r="A169" s="16" t="s">
        <v>772</v>
      </c>
      <c r="B169" s="16" t="s">
        <v>793</v>
      </c>
      <c r="C169" s="16" t="s">
        <v>836</v>
      </c>
      <c r="D169" s="16">
        <v>4</v>
      </c>
      <c r="E169" s="16">
        <v>1</v>
      </c>
      <c r="F169" s="16">
        <v>51</v>
      </c>
      <c r="G169" s="16">
        <v>105</v>
      </c>
      <c r="H169" s="16">
        <v>999</v>
      </c>
      <c r="I169" s="16">
        <v>1</v>
      </c>
      <c r="J169" s="16">
        <v>999</v>
      </c>
      <c r="K169" s="16">
        <v>9</v>
      </c>
      <c r="L169" s="16">
        <v>99</v>
      </c>
      <c r="M169" s="16">
        <v>9</v>
      </c>
      <c r="N169" s="16">
        <v>3</v>
      </c>
      <c r="O169" s="16">
        <v>99999</v>
      </c>
      <c r="P169" s="234">
        <f t="shared" si="8"/>
        <v>9770545.3238976002</v>
      </c>
      <c r="Q169" s="234">
        <f>Resultado!D24</f>
        <v>9770545.3238976002</v>
      </c>
    </row>
    <row r="170" spans="1:21" ht="15.75">
      <c r="A170" s="16" t="s">
        <v>772</v>
      </c>
      <c r="B170" s="16" t="s">
        <v>1581</v>
      </c>
      <c r="C170" s="16" t="s">
        <v>1583</v>
      </c>
      <c r="D170" s="16">
        <v>4</v>
      </c>
      <c r="E170" s="16">
        <v>1</v>
      </c>
      <c r="F170" s="16">
        <v>51</v>
      </c>
      <c r="G170" s="16">
        <v>106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3</v>
      </c>
      <c r="O170" s="16">
        <v>99999</v>
      </c>
      <c r="P170" s="234">
        <f t="shared" ca="1" si="8"/>
        <v>66321220.346924126</v>
      </c>
      <c r="Q170" s="234">
        <f ca="1">Resultado!C5</f>
        <v>66321220.346924126</v>
      </c>
    </row>
    <row r="171" spans="1:21" ht="15.75">
      <c r="A171" s="16" t="s">
        <v>772</v>
      </c>
      <c r="B171" s="16" t="s">
        <v>120</v>
      </c>
      <c r="C171" s="16" t="s">
        <v>1584</v>
      </c>
      <c r="D171" s="16">
        <v>4</v>
      </c>
      <c r="E171" s="16">
        <v>1</v>
      </c>
      <c r="F171" s="16">
        <v>51</v>
      </c>
      <c r="G171" s="16">
        <v>108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4</v>
      </c>
      <c r="O171" s="16">
        <v>99999</v>
      </c>
      <c r="P171" s="234">
        <f t="shared" ca="1" si="8"/>
        <v>0</v>
      </c>
      <c r="Q171" s="234">
        <f ca="1">Energia!N15</f>
        <v>0</v>
      </c>
    </row>
    <row r="172" spans="1:21" ht="15.75">
      <c r="A172" s="16" t="s">
        <v>772</v>
      </c>
      <c r="B172" s="16" t="s">
        <v>120</v>
      </c>
      <c r="C172" s="16" t="s">
        <v>1585</v>
      </c>
      <c r="D172" s="16">
        <v>4</v>
      </c>
      <c r="E172" s="16">
        <v>1</v>
      </c>
      <c r="F172" s="16">
        <v>51</v>
      </c>
      <c r="G172" s="16">
        <v>108</v>
      </c>
      <c r="H172" s="16">
        <v>999</v>
      </c>
      <c r="I172" s="16">
        <v>99</v>
      </c>
      <c r="J172" s="16">
        <v>999</v>
      </c>
      <c r="K172" s="16">
        <v>9</v>
      </c>
      <c r="L172" s="16">
        <v>99</v>
      </c>
      <c r="M172" s="16">
        <v>9</v>
      </c>
      <c r="N172" s="16">
        <v>2</v>
      </c>
      <c r="O172" s="16">
        <v>99999</v>
      </c>
      <c r="P172" s="234">
        <f t="shared" ca="1" si="8"/>
        <v>0</v>
      </c>
      <c r="Q172" s="234">
        <f ca="1">Energia!N18+Energia!N19</f>
        <v>0</v>
      </c>
    </row>
    <row r="173" spans="1:21" ht="15.75">
      <c r="A173" s="16" t="s">
        <v>771</v>
      </c>
      <c r="B173" s="16" t="s">
        <v>120</v>
      </c>
      <c r="C173" s="16" t="s">
        <v>836</v>
      </c>
      <c r="D173" s="16">
        <v>4</v>
      </c>
      <c r="E173" s="16">
        <v>1</v>
      </c>
      <c r="F173" s="16">
        <v>52</v>
      </c>
      <c r="G173" s="16">
        <v>55</v>
      </c>
      <c r="H173" s="16">
        <v>999</v>
      </c>
      <c r="I173" s="16">
        <v>99</v>
      </c>
      <c r="J173" s="16">
        <v>999</v>
      </c>
      <c r="K173" s="16">
        <v>9</v>
      </c>
      <c r="L173" s="16">
        <v>99</v>
      </c>
      <c r="M173" s="16">
        <v>9</v>
      </c>
      <c r="N173" s="16">
        <v>3</v>
      </c>
      <c r="O173" s="16">
        <v>99999</v>
      </c>
      <c r="P173" s="234">
        <f t="shared" ca="1" si="8"/>
        <v>17848533.31991924</v>
      </c>
      <c r="Q173" s="234">
        <f ca="1">Resultado!C33</f>
        <v>17848533.31991924</v>
      </c>
      <c r="R173" s="255"/>
      <c r="S173" s="255"/>
      <c r="T173" s="255"/>
      <c r="U173" s="255"/>
    </row>
    <row r="174" spans="1:21" ht="15.75">
      <c r="A174" s="16" t="s">
        <v>771</v>
      </c>
      <c r="B174" s="16" t="s">
        <v>1581</v>
      </c>
      <c r="C174" s="16" t="s">
        <v>1586</v>
      </c>
      <c r="D174" s="16">
        <v>4</v>
      </c>
      <c r="E174" s="16">
        <v>1</v>
      </c>
      <c r="F174" s="16">
        <v>52</v>
      </c>
      <c r="G174" s="16">
        <v>106</v>
      </c>
      <c r="H174" s="16">
        <v>999</v>
      </c>
      <c r="I174" s="16">
        <v>99</v>
      </c>
      <c r="J174" s="16">
        <v>999</v>
      </c>
      <c r="K174" s="16">
        <v>9</v>
      </c>
      <c r="L174" s="16">
        <v>99</v>
      </c>
      <c r="M174" s="16">
        <v>9</v>
      </c>
      <c r="N174" s="16">
        <v>3</v>
      </c>
      <c r="O174" s="16">
        <v>99999</v>
      </c>
      <c r="P174" s="234">
        <f t="shared" ca="1" si="8"/>
        <v>60158541.498640008</v>
      </c>
      <c r="Q174" s="234">
        <f ca="1">Mercado_RA0_Reais</f>
        <v>60158541.498640008</v>
      </c>
    </row>
    <row r="175" spans="1:21" ht="15.75">
      <c r="A175" s="16" t="s">
        <v>772</v>
      </c>
      <c r="B175" s="16" t="s">
        <v>1376</v>
      </c>
      <c r="C175" s="16" t="s">
        <v>836</v>
      </c>
      <c r="D175" s="16">
        <v>4</v>
      </c>
      <c r="E175" s="16">
        <v>2</v>
      </c>
      <c r="F175" s="16">
        <v>51</v>
      </c>
      <c r="G175" s="16">
        <v>102</v>
      </c>
      <c r="H175" s="16">
        <v>999</v>
      </c>
      <c r="I175" s="16">
        <v>99</v>
      </c>
      <c r="J175" s="16">
        <v>999</v>
      </c>
      <c r="K175" s="16">
        <v>9</v>
      </c>
      <c r="L175" s="16">
        <v>99</v>
      </c>
      <c r="M175" s="16">
        <v>9</v>
      </c>
      <c r="N175" s="16">
        <v>3</v>
      </c>
      <c r="O175" s="16">
        <v>99999</v>
      </c>
      <c r="P175" s="234">
        <f t="shared" ca="1" si="8"/>
        <v>-20838049.576567985</v>
      </c>
      <c r="Q175" s="234">
        <f ca="1">Financeiros!D7</f>
        <v>-20838049.576567985</v>
      </c>
    </row>
    <row r="176" spans="1:21" ht="15.75">
      <c r="A176" s="16" t="s">
        <v>772</v>
      </c>
      <c r="B176" s="16" t="s">
        <v>1376</v>
      </c>
      <c r="C176" s="16" t="s">
        <v>836</v>
      </c>
      <c r="D176" s="16">
        <v>4</v>
      </c>
      <c r="E176" s="16">
        <v>2</v>
      </c>
      <c r="F176" s="16">
        <v>51</v>
      </c>
      <c r="G176" s="16">
        <v>102</v>
      </c>
      <c r="H176" s="16">
        <v>999</v>
      </c>
      <c r="I176" s="16">
        <v>99</v>
      </c>
      <c r="J176" s="16">
        <v>999</v>
      </c>
      <c r="K176" s="16">
        <v>9</v>
      </c>
      <c r="L176" s="16">
        <v>99</v>
      </c>
      <c r="M176" s="16">
        <v>9</v>
      </c>
      <c r="N176" s="16">
        <v>4</v>
      </c>
      <c r="O176" s="16">
        <v>99999</v>
      </c>
      <c r="P176" s="234">
        <f t="shared" ca="1" si="8"/>
        <v>-0.34638555153533879</v>
      </c>
      <c r="Q176" s="234">
        <f ca="1">Financeiros!E7</f>
        <v>-0.34638555153533879</v>
      </c>
    </row>
    <row r="177" spans="1:17" ht="15.75">
      <c r="A177" s="16" t="s">
        <v>772</v>
      </c>
      <c r="B177" s="16" t="s">
        <v>1587</v>
      </c>
      <c r="C177" s="16" t="s">
        <v>1588</v>
      </c>
      <c r="D177" s="16">
        <v>4</v>
      </c>
      <c r="E177" s="16">
        <v>99</v>
      </c>
      <c r="F177" s="16">
        <v>51</v>
      </c>
      <c r="G177" s="16">
        <v>109</v>
      </c>
      <c r="H177" s="16">
        <v>999</v>
      </c>
      <c r="I177" s="16">
        <v>99</v>
      </c>
      <c r="J177" s="16">
        <v>999</v>
      </c>
      <c r="K177" s="16">
        <v>9</v>
      </c>
      <c r="L177" s="16">
        <v>99</v>
      </c>
      <c r="M177" s="16">
        <v>9</v>
      </c>
      <c r="N177" s="16">
        <v>3</v>
      </c>
      <c r="O177" s="16">
        <v>99999</v>
      </c>
      <c r="P177" s="234">
        <f t="shared" ca="1" si="8"/>
        <v>45483170.770356141</v>
      </c>
      <c r="Q177" s="234">
        <f ca="1">Resultado!C5+Financeiros!D7/(1+IF(Q163&gt;0,Q163,0))</f>
        <v>45483170.770356141</v>
      </c>
    </row>
    <row r="178" spans="1:17" ht="15.75">
      <c r="A178" t="s">
        <v>772</v>
      </c>
      <c r="B178" t="s">
        <v>72</v>
      </c>
      <c r="C178" t="s">
        <v>1574</v>
      </c>
      <c r="D178">
        <v>1</v>
      </c>
      <c r="E178">
        <v>1</v>
      </c>
      <c r="F178">
        <v>11</v>
      </c>
      <c r="G178">
        <v>20</v>
      </c>
      <c r="H178">
        <v>999</v>
      </c>
      <c r="I178">
        <v>3</v>
      </c>
      <c r="J178">
        <v>19</v>
      </c>
      <c r="K178">
        <v>9</v>
      </c>
      <c r="L178">
        <v>99</v>
      </c>
      <c r="M178">
        <v>9</v>
      </c>
      <c r="N178">
        <v>4</v>
      </c>
      <c r="O178">
        <v>99999</v>
      </c>
      <c r="P178" s="234">
        <f t="shared" si="8"/>
        <v>1E-14</v>
      </c>
      <c r="Q178" s="234">
        <f>Encargos!O6</f>
        <v>1E-14</v>
      </c>
    </row>
    <row r="179" spans="1:17" ht="15.75">
      <c r="A179" s="1037" t="s">
        <v>1589</v>
      </c>
      <c r="B179" s="1037" t="s">
        <v>1589</v>
      </c>
      <c r="C179" s="1037" t="s">
        <v>1589</v>
      </c>
      <c r="D179" s="1037">
        <v>99</v>
      </c>
      <c r="E179" s="1037">
        <v>99</v>
      </c>
      <c r="F179" s="1037">
        <v>999</v>
      </c>
      <c r="G179" s="1037">
        <v>999999</v>
      </c>
      <c r="H179" s="1037">
        <v>999</v>
      </c>
      <c r="I179" s="1037">
        <v>99</v>
      </c>
      <c r="J179" s="1037">
        <v>999</v>
      </c>
      <c r="K179" s="1037">
        <v>9</v>
      </c>
      <c r="L179" s="1037">
        <v>99</v>
      </c>
      <c r="M179" s="1037">
        <v>9</v>
      </c>
      <c r="N179" s="1037">
        <v>99</v>
      </c>
      <c r="O179" s="1037">
        <v>99999</v>
      </c>
      <c r="P179" s="401">
        <f t="shared" si="8"/>
        <v>0</v>
      </c>
      <c r="Q179" s="401">
        <v>0</v>
      </c>
    </row>
    <row r="180" spans="1:17" ht="15.75">
      <c r="A180" s="1037" t="s">
        <v>1589</v>
      </c>
      <c r="B180" s="1037" t="s">
        <v>1589</v>
      </c>
      <c r="C180" s="1037" t="s">
        <v>1589</v>
      </c>
      <c r="D180" s="1037">
        <v>99</v>
      </c>
      <c r="E180" s="1037">
        <v>99</v>
      </c>
      <c r="F180" s="1037">
        <v>999</v>
      </c>
      <c r="G180" s="1037">
        <v>999999</v>
      </c>
      <c r="H180" s="1037">
        <v>999</v>
      </c>
      <c r="I180" s="1037">
        <v>99</v>
      </c>
      <c r="J180" s="1037">
        <v>999</v>
      </c>
      <c r="K180" s="1037">
        <v>9</v>
      </c>
      <c r="L180" s="1037">
        <v>99</v>
      </c>
      <c r="M180" s="1037">
        <v>9</v>
      </c>
      <c r="N180" s="1037">
        <v>99</v>
      </c>
      <c r="O180" s="1037">
        <v>99999</v>
      </c>
      <c r="P180" s="401">
        <f t="shared" si="8"/>
        <v>0</v>
      </c>
      <c r="Q180" s="401">
        <v>0</v>
      </c>
    </row>
    <row r="181" spans="1:17" ht="15.75">
      <c r="A181" s="1037" t="s">
        <v>1589</v>
      </c>
      <c r="B181" s="1037" t="s">
        <v>1589</v>
      </c>
      <c r="C181" s="1037" t="s">
        <v>1589</v>
      </c>
      <c r="D181" s="1037">
        <v>99</v>
      </c>
      <c r="E181" s="1037">
        <v>99</v>
      </c>
      <c r="F181" s="1037">
        <v>999</v>
      </c>
      <c r="G181" s="1037">
        <v>999999</v>
      </c>
      <c r="H181" s="1037">
        <v>999</v>
      </c>
      <c r="I181" s="1037">
        <v>99</v>
      </c>
      <c r="J181" s="1037">
        <v>999</v>
      </c>
      <c r="K181" s="1037">
        <v>9</v>
      </c>
      <c r="L181" s="1037">
        <v>99</v>
      </c>
      <c r="M181" s="1037">
        <v>9</v>
      </c>
      <c r="N181" s="1037">
        <v>99</v>
      </c>
      <c r="O181" s="1037">
        <v>99999</v>
      </c>
      <c r="P181" s="401">
        <f t="shared" si="8"/>
        <v>0</v>
      </c>
      <c r="Q181" s="401">
        <v>0</v>
      </c>
    </row>
    <row r="182" spans="1:17" ht="15.75">
      <c r="A182" t="s">
        <v>772</v>
      </c>
      <c r="B182" t="s">
        <v>974</v>
      </c>
      <c r="C182" t="s">
        <v>1580</v>
      </c>
      <c r="D182">
        <v>1</v>
      </c>
      <c r="E182">
        <v>3</v>
      </c>
      <c r="F182">
        <v>50</v>
      </c>
      <c r="G182">
        <v>1</v>
      </c>
      <c r="H182">
        <v>999</v>
      </c>
      <c r="I182">
        <v>99</v>
      </c>
      <c r="J182">
        <v>999</v>
      </c>
      <c r="K182">
        <v>9</v>
      </c>
      <c r="L182">
        <v>99</v>
      </c>
      <c r="M182">
        <v>9</v>
      </c>
      <c r="N182">
        <v>4</v>
      </c>
      <c r="O182">
        <v>99999</v>
      </c>
      <c r="P182" s="234">
        <f t="shared" si="8"/>
        <v>0</v>
      </c>
      <c r="Q182" s="254">
        <f>IF(CAPA!P1="VERDADEIRO",0,Calc_Mercado!J15)</f>
        <v>0</v>
      </c>
    </row>
    <row r="183" spans="1:17" ht="15.75">
      <c r="A183" s="16" t="s">
        <v>772</v>
      </c>
      <c r="B183" s="16" t="s">
        <v>120</v>
      </c>
      <c r="C183" s="16" t="s">
        <v>821</v>
      </c>
      <c r="D183" s="16">
        <v>4</v>
      </c>
      <c r="E183" s="16">
        <v>1</v>
      </c>
      <c r="F183" s="16">
        <v>51</v>
      </c>
      <c r="G183" s="16">
        <v>55</v>
      </c>
      <c r="H183" s="16">
        <v>999</v>
      </c>
      <c r="I183" s="16">
        <v>99</v>
      </c>
      <c r="J183" s="16">
        <v>999</v>
      </c>
      <c r="K183" s="16">
        <v>9</v>
      </c>
      <c r="L183" s="16">
        <v>99</v>
      </c>
      <c r="M183" s="16">
        <v>9</v>
      </c>
      <c r="N183" s="16">
        <v>2</v>
      </c>
      <c r="O183" s="16">
        <v>99999</v>
      </c>
      <c r="P183" s="234">
        <f t="shared" ca="1" si="8"/>
        <v>68450.052945069459</v>
      </c>
      <c r="Q183" s="234">
        <f ca="1">Energia!C5</f>
        <v>68450.052945069459</v>
      </c>
    </row>
    <row r="184" spans="1:17" ht="15.75">
      <c r="A184" s="16" t="s">
        <v>772</v>
      </c>
      <c r="B184" s="16" t="s">
        <v>120</v>
      </c>
      <c r="C184" s="16" t="s">
        <v>821</v>
      </c>
      <c r="D184" s="16">
        <v>4</v>
      </c>
      <c r="E184" s="16">
        <v>1</v>
      </c>
      <c r="F184" s="16">
        <v>51</v>
      </c>
      <c r="G184" s="16">
        <v>55</v>
      </c>
      <c r="H184" s="16">
        <v>999</v>
      </c>
      <c r="I184" s="16">
        <v>99</v>
      </c>
      <c r="J184" s="16">
        <v>999</v>
      </c>
      <c r="K184" s="16">
        <v>9</v>
      </c>
      <c r="L184" s="16">
        <v>99</v>
      </c>
      <c r="M184" s="16">
        <v>9</v>
      </c>
      <c r="N184" s="16">
        <v>3</v>
      </c>
      <c r="O184" s="16">
        <v>99999</v>
      </c>
      <c r="P184" s="234">
        <f t="shared" ca="1" si="8"/>
        <v>15476014.231197888</v>
      </c>
      <c r="Q184" s="234">
        <f ca="1">Energia!C14</f>
        <v>15476014.231197888</v>
      </c>
    </row>
    <row r="185" spans="1:17" ht="15.75">
      <c r="A185" s="16" t="s">
        <v>772</v>
      </c>
      <c r="B185" s="16" t="s">
        <v>120</v>
      </c>
      <c r="C185" s="16" t="s">
        <v>1590</v>
      </c>
      <c r="D185" s="16">
        <v>4</v>
      </c>
      <c r="E185" s="16">
        <v>1</v>
      </c>
      <c r="F185" s="16">
        <v>51</v>
      </c>
      <c r="G185" s="16">
        <v>107</v>
      </c>
      <c r="H185" s="16">
        <v>999</v>
      </c>
      <c r="I185" s="16">
        <v>99</v>
      </c>
      <c r="J185" s="16">
        <v>999</v>
      </c>
      <c r="K185" s="16">
        <v>9</v>
      </c>
      <c r="L185" s="16">
        <v>99</v>
      </c>
      <c r="M185" s="16">
        <v>9</v>
      </c>
      <c r="N185" s="16">
        <v>2</v>
      </c>
      <c r="O185" s="16">
        <v>99999</v>
      </c>
      <c r="P185" s="234">
        <f t="shared" ca="1" si="8"/>
        <v>6393.2349450694883</v>
      </c>
      <c r="Q185" s="234">
        <f ca="1">SUM(LnkTXTPerdas)</f>
        <v>6393.2349450694883</v>
      </c>
    </row>
    <row r="186" spans="1:17" ht="15.75">
      <c r="A186" s="16" t="s">
        <v>772</v>
      </c>
      <c r="B186" s="16" t="s">
        <v>1587</v>
      </c>
      <c r="C186" s="16" t="s">
        <v>1591</v>
      </c>
      <c r="D186" s="16">
        <v>4</v>
      </c>
      <c r="E186" s="16">
        <v>3</v>
      </c>
      <c r="F186" s="16">
        <v>50</v>
      </c>
      <c r="G186" s="16">
        <v>114</v>
      </c>
      <c r="H186" s="16">
        <v>999</v>
      </c>
      <c r="I186" s="16">
        <v>99</v>
      </c>
      <c r="J186" s="16">
        <v>999</v>
      </c>
      <c r="K186" s="16">
        <v>9</v>
      </c>
      <c r="L186" s="16">
        <v>99</v>
      </c>
      <c r="M186" s="16">
        <v>9</v>
      </c>
      <c r="N186" s="16">
        <v>1</v>
      </c>
      <c r="O186" s="16">
        <v>99999</v>
      </c>
      <c r="P186" s="234">
        <f t="shared" ref="P186:P220" ca="1" si="13">IF(ISNUMBER(Q186),Q186,0)</f>
        <v>83018</v>
      </c>
      <c r="Q186" s="234">
        <f ca="1">SUM(INDIRECT("dados_MercadoBase[D]"))</f>
        <v>83018</v>
      </c>
    </row>
    <row r="187" spans="1:17" ht="15.75">
      <c r="A187" s="16" t="s">
        <v>772</v>
      </c>
      <c r="B187" s="16" t="s">
        <v>1587</v>
      </c>
      <c r="C187" s="16" t="s">
        <v>1592</v>
      </c>
      <c r="D187" s="16">
        <v>4</v>
      </c>
      <c r="E187" s="16">
        <v>3</v>
      </c>
      <c r="F187" s="16">
        <v>50</v>
      </c>
      <c r="G187" s="16">
        <v>116</v>
      </c>
      <c r="H187" s="16">
        <v>999</v>
      </c>
      <c r="I187" s="16">
        <v>99</v>
      </c>
      <c r="J187" s="16">
        <v>999</v>
      </c>
      <c r="K187" s="16">
        <v>9</v>
      </c>
      <c r="L187" s="16">
        <v>99</v>
      </c>
      <c r="M187" s="16">
        <v>9</v>
      </c>
      <c r="N187" s="16">
        <v>2</v>
      </c>
      <c r="O187" s="16">
        <v>99999</v>
      </c>
      <c r="P187" s="234">
        <f t="shared" ca="1" si="13"/>
        <v>64945.330999999991</v>
      </c>
      <c r="Q187" s="234">
        <f ca="1">SUM(INDIRECT("dados_MercadoBase[TUSD_E]"))</f>
        <v>64945.330999999991</v>
      </c>
    </row>
    <row r="188" spans="1:17" ht="15.75">
      <c r="A188" t="s">
        <v>771</v>
      </c>
      <c r="B188" t="s">
        <v>793</v>
      </c>
      <c r="C188" t="s">
        <v>1593</v>
      </c>
      <c r="D188">
        <v>2</v>
      </c>
      <c r="E188">
        <v>1</v>
      </c>
      <c r="F188">
        <v>52</v>
      </c>
      <c r="G188">
        <v>999999</v>
      </c>
      <c r="H188">
        <v>999</v>
      </c>
      <c r="I188">
        <v>1</v>
      </c>
      <c r="J188">
        <v>1</v>
      </c>
      <c r="K188">
        <v>1</v>
      </c>
      <c r="L188">
        <v>99</v>
      </c>
      <c r="M188">
        <v>9</v>
      </c>
      <c r="N188">
        <v>3</v>
      </c>
      <c r="O188">
        <v>99999</v>
      </c>
      <c r="P188" s="234">
        <f t="shared" ca="1" si="13"/>
        <v>0</v>
      </c>
      <c r="Q188" s="234">
        <f ca="1">Resultado!C25</f>
        <v>0</v>
      </c>
    </row>
    <row r="189" spans="1:17" ht="15.75">
      <c r="A189" t="s">
        <v>771</v>
      </c>
      <c r="B189" t="s">
        <v>793</v>
      </c>
      <c r="C189" t="s">
        <v>1263</v>
      </c>
      <c r="D189">
        <v>2</v>
      </c>
      <c r="E189">
        <v>1</v>
      </c>
      <c r="F189">
        <v>52</v>
      </c>
      <c r="G189">
        <v>999999</v>
      </c>
      <c r="H189">
        <v>999</v>
      </c>
      <c r="I189">
        <v>1</v>
      </c>
      <c r="J189">
        <v>2</v>
      </c>
      <c r="K189">
        <v>1</v>
      </c>
      <c r="L189">
        <v>99</v>
      </c>
      <c r="M189">
        <v>9</v>
      </c>
      <c r="N189">
        <v>3</v>
      </c>
      <c r="O189">
        <v>99999</v>
      </c>
      <c r="P189" s="234">
        <f t="shared" ca="1" si="13"/>
        <v>0</v>
      </c>
      <c r="Q189" s="234">
        <f ca="1">Resultado!C26</f>
        <v>0</v>
      </c>
    </row>
    <row r="190" spans="1:17" ht="15.75">
      <c r="A190" t="s">
        <v>771</v>
      </c>
      <c r="B190" t="s">
        <v>793</v>
      </c>
      <c r="C190" t="s">
        <v>1539</v>
      </c>
      <c r="D190">
        <v>2</v>
      </c>
      <c r="E190">
        <v>1</v>
      </c>
      <c r="F190">
        <v>52</v>
      </c>
      <c r="G190">
        <v>999999</v>
      </c>
      <c r="H190">
        <v>999</v>
      </c>
      <c r="I190">
        <v>1</v>
      </c>
      <c r="J190">
        <v>3</v>
      </c>
      <c r="K190">
        <v>1</v>
      </c>
      <c r="L190">
        <v>99</v>
      </c>
      <c r="M190">
        <v>9</v>
      </c>
      <c r="N190">
        <v>3</v>
      </c>
      <c r="O190">
        <v>99999</v>
      </c>
      <c r="P190" s="234">
        <f t="shared" ca="1" si="13"/>
        <v>0</v>
      </c>
      <c r="Q190" s="234">
        <f ca="1">Resultado!C31</f>
        <v>0</v>
      </c>
    </row>
    <row r="191" spans="1:17" ht="15.75">
      <c r="A191" t="s">
        <v>771</v>
      </c>
      <c r="B191" t="s">
        <v>793</v>
      </c>
      <c r="C191" t="s">
        <v>1540</v>
      </c>
      <c r="D191">
        <v>2</v>
      </c>
      <c r="E191">
        <v>1</v>
      </c>
      <c r="F191">
        <v>52</v>
      </c>
      <c r="G191">
        <v>999999</v>
      </c>
      <c r="H191">
        <v>999</v>
      </c>
      <c r="I191">
        <v>1</v>
      </c>
      <c r="J191">
        <v>5</v>
      </c>
      <c r="K191">
        <v>1</v>
      </c>
      <c r="L191">
        <v>99</v>
      </c>
      <c r="M191">
        <v>9</v>
      </c>
      <c r="N191">
        <v>3</v>
      </c>
      <c r="O191">
        <v>99999</v>
      </c>
      <c r="P191" s="234">
        <f t="shared" si="13"/>
        <v>0</v>
      </c>
      <c r="Q191" s="234">
        <f>Resultado!C27</f>
        <v>0</v>
      </c>
    </row>
    <row r="192" spans="1:17" ht="15.75">
      <c r="A192" t="s">
        <v>771</v>
      </c>
      <c r="B192" t="s">
        <v>793</v>
      </c>
      <c r="C192" t="s">
        <v>1541</v>
      </c>
      <c r="D192">
        <v>2</v>
      </c>
      <c r="E192">
        <v>1</v>
      </c>
      <c r="F192">
        <v>52</v>
      </c>
      <c r="G192">
        <v>999999</v>
      </c>
      <c r="H192">
        <v>999</v>
      </c>
      <c r="I192">
        <v>1</v>
      </c>
      <c r="J192">
        <v>6</v>
      </c>
      <c r="K192">
        <v>1</v>
      </c>
      <c r="L192">
        <v>99</v>
      </c>
      <c r="M192">
        <v>9</v>
      </c>
      <c r="N192">
        <v>3</v>
      </c>
      <c r="O192">
        <v>99999</v>
      </c>
      <c r="P192" s="234">
        <f t="shared" si="13"/>
        <v>0</v>
      </c>
      <c r="Q192" s="234">
        <f>Resultado!C28</f>
        <v>0</v>
      </c>
    </row>
    <row r="193" spans="1:19" ht="15.75">
      <c r="A193" s="9" t="s">
        <v>772</v>
      </c>
      <c r="B193" t="s">
        <v>793</v>
      </c>
      <c r="C193" s="9" t="s">
        <v>1594</v>
      </c>
      <c r="D193">
        <v>1</v>
      </c>
      <c r="E193">
        <v>1</v>
      </c>
      <c r="F193">
        <v>51</v>
      </c>
      <c r="G193">
        <v>999999</v>
      </c>
      <c r="H193">
        <v>999</v>
      </c>
      <c r="I193">
        <v>1</v>
      </c>
      <c r="J193">
        <v>3</v>
      </c>
      <c r="K193">
        <v>9</v>
      </c>
      <c r="L193">
        <v>99</v>
      </c>
      <c r="M193">
        <v>9</v>
      </c>
      <c r="N193">
        <v>3</v>
      </c>
      <c r="O193">
        <v>99999</v>
      </c>
      <c r="P193" s="234">
        <f t="shared" si="13"/>
        <v>0</v>
      </c>
      <c r="Q193" s="254">
        <f>Resultado!D31</f>
        <v>0</v>
      </c>
    </row>
    <row r="194" spans="1:19" ht="15.75">
      <c r="A194" t="s">
        <v>772</v>
      </c>
      <c r="B194" t="s">
        <v>1587</v>
      </c>
      <c r="C194" s="9" t="s">
        <v>1595</v>
      </c>
      <c r="D194">
        <v>4</v>
      </c>
      <c r="E194">
        <v>3</v>
      </c>
      <c r="F194">
        <v>50</v>
      </c>
      <c r="G194">
        <v>117</v>
      </c>
      <c r="H194">
        <v>999</v>
      </c>
      <c r="I194">
        <v>99</v>
      </c>
      <c r="J194">
        <v>999</v>
      </c>
      <c r="K194">
        <v>9</v>
      </c>
      <c r="L194">
        <v>99</v>
      </c>
      <c r="M194">
        <v>9</v>
      </c>
      <c r="N194">
        <v>2</v>
      </c>
      <c r="O194">
        <v>99999</v>
      </c>
      <c r="P194" s="234">
        <f t="shared" ca="1" si="13"/>
        <v>62056.817999999992</v>
      </c>
      <c r="Q194" s="234">
        <f ca="1">SUM(INDIRECT("dados_MercadoBase[TE_E]"))</f>
        <v>62056.817999999992</v>
      </c>
    </row>
    <row r="195" spans="1:19" ht="15.75">
      <c r="A195" t="s">
        <v>772</v>
      </c>
      <c r="B195" t="s">
        <v>1596</v>
      </c>
      <c r="C195" s="9" t="s">
        <v>1597</v>
      </c>
      <c r="D195" s="417">
        <v>1</v>
      </c>
      <c r="E195" s="417">
        <v>1</v>
      </c>
      <c r="F195" s="417">
        <v>15</v>
      </c>
      <c r="G195" s="417">
        <v>175</v>
      </c>
      <c r="H195" s="417">
        <v>999</v>
      </c>
      <c r="I195" s="417">
        <v>4</v>
      </c>
      <c r="J195" s="417">
        <v>999</v>
      </c>
      <c r="K195" s="417">
        <v>9</v>
      </c>
      <c r="L195" s="417">
        <v>99</v>
      </c>
      <c r="M195" s="417">
        <v>9</v>
      </c>
      <c r="N195" s="417">
        <v>4</v>
      </c>
      <c r="O195" s="417">
        <v>99999</v>
      </c>
      <c r="P195" s="419">
        <f>IF(ISNUMBER(Q195),Q195,0)</f>
        <v>8.1942000000000001E-2</v>
      </c>
      <c r="Q195" s="419">
        <f>VLOOKUP(LnkTXTSigla,Informacoes[],8,FALSE)</f>
        <v>8.1942000000000001E-2</v>
      </c>
    </row>
    <row r="196" spans="1:19" ht="15.75">
      <c r="A196" t="s">
        <v>772</v>
      </c>
      <c r="B196" t="s">
        <v>1596</v>
      </c>
      <c r="C196" s="9" t="s">
        <v>1598</v>
      </c>
      <c r="D196" s="417">
        <v>1</v>
      </c>
      <c r="E196" s="417">
        <v>1</v>
      </c>
      <c r="F196" s="417">
        <v>15</v>
      </c>
      <c r="G196" s="417">
        <v>174</v>
      </c>
      <c r="H196" s="417">
        <v>999</v>
      </c>
      <c r="I196" s="417">
        <v>4</v>
      </c>
      <c r="J196" s="417">
        <v>999</v>
      </c>
      <c r="K196" s="417">
        <v>9</v>
      </c>
      <c r="L196" s="417">
        <v>99</v>
      </c>
      <c r="M196" s="417">
        <v>9</v>
      </c>
      <c r="N196" s="417">
        <v>4</v>
      </c>
      <c r="O196" s="421">
        <v>99999</v>
      </c>
      <c r="P196" s="419">
        <f>IF(ISNUMBER(Q196),Q196,0)</f>
        <v>0.04</v>
      </c>
      <c r="Q196" s="419">
        <v>0.04</v>
      </c>
    </row>
    <row r="197" spans="1:19" ht="15.75">
      <c r="A197" t="s">
        <v>772</v>
      </c>
      <c r="B197" t="s">
        <v>1596</v>
      </c>
      <c r="C197" s="9" t="s">
        <v>1599</v>
      </c>
      <c r="D197" s="417">
        <v>1</v>
      </c>
      <c r="E197" s="417">
        <v>1</v>
      </c>
      <c r="F197" s="417">
        <v>196</v>
      </c>
      <c r="G197" s="417">
        <v>250</v>
      </c>
      <c r="H197" s="417">
        <v>999</v>
      </c>
      <c r="I197" s="417">
        <v>4</v>
      </c>
      <c r="J197" s="417">
        <v>999</v>
      </c>
      <c r="K197" s="417">
        <v>9</v>
      </c>
      <c r="L197" s="417">
        <v>99</v>
      </c>
      <c r="M197" s="417">
        <v>9</v>
      </c>
      <c r="N197" s="417">
        <v>3</v>
      </c>
      <c r="O197" s="421">
        <v>99999</v>
      </c>
      <c r="P197" s="418">
        <f>IF(ISNUMBER(Q197),Q197,0)</f>
        <v>18257107.02</v>
      </c>
      <c r="Q197" s="423">
        <f>CAPA!D32</f>
        <v>18257107.02</v>
      </c>
      <c r="S197" s="9"/>
    </row>
    <row r="198" spans="1:19" ht="15.75">
      <c r="A198" t="s">
        <v>772</v>
      </c>
      <c r="B198" t="s">
        <v>1596</v>
      </c>
      <c r="C198" s="9" t="s">
        <v>1600</v>
      </c>
      <c r="D198" s="417">
        <v>1</v>
      </c>
      <c r="E198" s="417">
        <v>1</v>
      </c>
      <c r="F198" s="417">
        <v>14</v>
      </c>
      <c r="G198" s="417">
        <v>31</v>
      </c>
      <c r="H198" s="417">
        <v>999</v>
      </c>
      <c r="I198" s="417">
        <v>4</v>
      </c>
      <c r="J198" s="417">
        <v>999</v>
      </c>
      <c r="K198" s="417">
        <v>9</v>
      </c>
      <c r="L198" s="417">
        <v>99</v>
      </c>
      <c r="M198" s="417">
        <v>9</v>
      </c>
      <c r="N198" s="417">
        <v>4</v>
      </c>
      <c r="O198" s="417">
        <v>99999</v>
      </c>
      <c r="P198" s="254">
        <v>0</v>
      </c>
      <c r="Q198" s="254">
        <v>0</v>
      </c>
    </row>
    <row r="199" spans="1:19" ht="15.75">
      <c r="A199" t="s">
        <v>772</v>
      </c>
      <c r="B199" t="s">
        <v>1596</v>
      </c>
      <c r="C199" s="9" t="s">
        <v>1601</v>
      </c>
      <c r="D199" s="417">
        <v>1</v>
      </c>
      <c r="E199" s="417">
        <v>1</v>
      </c>
      <c r="F199" s="417">
        <v>15</v>
      </c>
      <c r="G199" s="417">
        <v>176</v>
      </c>
      <c r="H199" s="417">
        <v>999</v>
      </c>
      <c r="I199" s="417">
        <v>4</v>
      </c>
      <c r="J199" s="417">
        <v>999</v>
      </c>
      <c r="K199" s="417">
        <v>9</v>
      </c>
      <c r="L199" s="417">
        <v>99</v>
      </c>
      <c r="M199" s="417">
        <v>9</v>
      </c>
      <c r="N199" s="417">
        <v>3</v>
      </c>
      <c r="O199" s="417">
        <v>99999</v>
      </c>
      <c r="P199" s="254">
        <f t="shared" si="13"/>
        <v>15742892.98</v>
      </c>
      <c r="Q199" s="254">
        <f>CAPA!D33</f>
        <v>15742892.98</v>
      </c>
    </row>
    <row r="200" spans="1:19" ht="15.75">
      <c r="A200" t="s">
        <v>772</v>
      </c>
      <c r="B200" t="s">
        <v>1596</v>
      </c>
      <c r="C200" s="9" t="s">
        <v>1602</v>
      </c>
      <c r="D200" s="417">
        <v>1</v>
      </c>
      <c r="E200" s="417">
        <v>1</v>
      </c>
      <c r="F200" s="417">
        <v>203</v>
      </c>
      <c r="G200" s="417">
        <v>247</v>
      </c>
      <c r="H200" s="417">
        <v>999</v>
      </c>
      <c r="I200" s="417">
        <v>4</v>
      </c>
      <c r="J200" s="417">
        <v>999</v>
      </c>
      <c r="K200" s="417">
        <v>9</v>
      </c>
      <c r="L200" s="417">
        <v>99</v>
      </c>
      <c r="M200" s="417">
        <v>9</v>
      </c>
      <c r="N200" s="417">
        <v>3</v>
      </c>
      <c r="O200" s="417">
        <v>99999</v>
      </c>
      <c r="P200" s="234">
        <f t="shared" si="13"/>
        <v>34000000</v>
      </c>
      <c r="Q200" s="234">
        <f>Resultado!D39</f>
        <v>34000000</v>
      </c>
    </row>
    <row r="201" spans="1:19" ht="15.75">
      <c r="A201" t="s">
        <v>772</v>
      </c>
      <c r="B201" t="s">
        <v>1596</v>
      </c>
      <c r="C201" t="s">
        <v>253</v>
      </c>
      <c r="D201" s="417">
        <v>1</v>
      </c>
      <c r="E201" s="417">
        <v>1</v>
      </c>
      <c r="F201" s="417">
        <v>15</v>
      </c>
      <c r="G201" s="417">
        <v>194</v>
      </c>
      <c r="H201" s="417">
        <v>999</v>
      </c>
      <c r="I201" s="417">
        <v>4</v>
      </c>
      <c r="J201" s="417">
        <v>999</v>
      </c>
      <c r="K201" s="417">
        <v>9</v>
      </c>
      <c r="L201" s="417">
        <v>99</v>
      </c>
      <c r="M201" s="417">
        <v>9</v>
      </c>
      <c r="N201" s="417">
        <v>4</v>
      </c>
      <c r="O201" s="417">
        <v>99999</v>
      </c>
      <c r="P201" s="234">
        <f t="shared" si="13"/>
        <v>0.36820000000000003</v>
      </c>
      <c r="Q201" s="249">
        <f>VLOOKUP(LnkTXTSigla,Informacoes[],16,FALSE)</f>
        <v>0.36820000000000003</v>
      </c>
    </row>
    <row r="202" spans="1:19" ht="15.75">
      <c r="A202" t="s">
        <v>1587</v>
      </c>
      <c r="B202" t="s">
        <v>1603</v>
      </c>
      <c r="C202" t="s">
        <v>1604</v>
      </c>
      <c r="D202">
        <v>3</v>
      </c>
      <c r="E202">
        <v>99</v>
      </c>
      <c r="F202">
        <v>24</v>
      </c>
      <c r="G202">
        <v>63</v>
      </c>
      <c r="H202">
        <v>110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4">
        <f t="shared" si="13"/>
        <v>12651.808164246459</v>
      </c>
      <c r="Q202" s="234">
        <f>'Tabelas e Gráficos'!BP288</f>
        <v>12651.808164246459</v>
      </c>
    </row>
    <row r="203" spans="1:19" ht="15.75">
      <c r="A203" t="s">
        <v>1587</v>
      </c>
      <c r="B203" t="s">
        <v>1603</v>
      </c>
      <c r="C203" t="s">
        <v>1605</v>
      </c>
      <c r="D203">
        <v>3</v>
      </c>
      <c r="E203">
        <v>99</v>
      </c>
      <c r="F203">
        <v>24</v>
      </c>
      <c r="G203">
        <v>63</v>
      </c>
      <c r="H203">
        <v>111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4">
        <f t="shared" si="13"/>
        <v>-3.3084629926676521</v>
      </c>
      <c r="Q203" s="234">
        <f>'Tabelas e Gráficos'!BP289</f>
        <v>-3.3084629926676521</v>
      </c>
    </row>
    <row r="204" spans="1:19" ht="15.75">
      <c r="A204" t="s">
        <v>1587</v>
      </c>
      <c r="B204" t="s">
        <v>1603</v>
      </c>
      <c r="C204" t="s">
        <v>1606</v>
      </c>
      <c r="D204">
        <v>3</v>
      </c>
      <c r="E204">
        <v>99</v>
      </c>
      <c r="F204">
        <v>24</v>
      </c>
      <c r="G204">
        <v>63</v>
      </c>
      <c r="H204">
        <v>182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4">
        <f t="shared" si="13"/>
        <v>0</v>
      </c>
      <c r="Q204" s="234">
        <f>'Tabelas e Gráficos'!BP290</f>
        <v>0</v>
      </c>
    </row>
    <row r="205" spans="1:19" ht="15.75">
      <c r="A205" t="s">
        <v>1587</v>
      </c>
      <c r="B205" t="s">
        <v>1603</v>
      </c>
      <c r="C205" t="s">
        <v>1607</v>
      </c>
      <c r="D205">
        <v>3</v>
      </c>
      <c r="E205">
        <v>99</v>
      </c>
      <c r="F205">
        <v>24</v>
      </c>
      <c r="G205">
        <v>63</v>
      </c>
      <c r="H205">
        <v>183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4">
        <f t="shared" si="13"/>
        <v>-91.56683497461654</v>
      </c>
      <c r="Q205" s="234">
        <f>'Tabelas e Gráficos'!BP291</f>
        <v>-91.56683497461654</v>
      </c>
    </row>
    <row r="206" spans="1:19" ht="15.75">
      <c r="A206" t="s">
        <v>1587</v>
      </c>
      <c r="B206" t="s">
        <v>1603</v>
      </c>
      <c r="C206" t="s">
        <v>1608</v>
      </c>
      <c r="D206">
        <v>3</v>
      </c>
      <c r="E206">
        <v>99</v>
      </c>
      <c r="F206">
        <v>24</v>
      </c>
      <c r="G206">
        <v>63</v>
      </c>
      <c r="H206">
        <v>184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4">
        <f t="shared" si="13"/>
        <v>-16603.010471540812</v>
      </c>
      <c r="Q206" s="234">
        <f>'Tabelas e Gráficos'!BP292</f>
        <v>-16603.010471540812</v>
      </c>
    </row>
    <row r="207" spans="1:19" ht="15.75">
      <c r="A207" t="s">
        <v>1587</v>
      </c>
      <c r="B207" t="s">
        <v>1603</v>
      </c>
      <c r="C207" t="s">
        <v>1609</v>
      </c>
      <c r="D207">
        <v>3</v>
      </c>
      <c r="E207">
        <v>99</v>
      </c>
      <c r="F207">
        <v>24</v>
      </c>
      <c r="G207">
        <v>63</v>
      </c>
      <c r="H207">
        <v>112</v>
      </c>
      <c r="I207">
        <v>99</v>
      </c>
      <c r="J207">
        <v>999</v>
      </c>
      <c r="K207">
        <v>9</v>
      </c>
      <c r="L207">
        <v>99</v>
      </c>
      <c r="M207">
        <v>9</v>
      </c>
      <c r="N207">
        <v>3</v>
      </c>
      <c r="O207">
        <v>99999</v>
      </c>
      <c r="P207" s="234">
        <f t="shared" si="13"/>
        <v>0</v>
      </c>
      <c r="Q207" s="234">
        <f>'Tabelas e Gráficos'!BP293</f>
        <v>0</v>
      </c>
    </row>
    <row r="208" spans="1:19" ht="15.75">
      <c r="A208" t="s">
        <v>1587</v>
      </c>
      <c r="B208" t="s">
        <v>1603</v>
      </c>
      <c r="C208" t="s">
        <v>1610</v>
      </c>
      <c r="D208">
        <v>3</v>
      </c>
      <c r="E208">
        <v>99</v>
      </c>
      <c r="F208">
        <v>24</v>
      </c>
      <c r="G208">
        <v>61</v>
      </c>
      <c r="H208">
        <v>110</v>
      </c>
      <c r="I208">
        <v>99</v>
      </c>
      <c r="J208">
        <v>999</v>
      </c>
      <c r="K208">
        <v>9</v>
      </c>
      <c r="L208">
        <v>99</v>
      </c>
      <c r="M208">
        <v>9</v>
      </c>
      <c r="N208">
        <v>3</v>
      </c>
      <c r="O208">
        <v>99999</v>
      </c>
      <c r="P208" s="234">
        <f t="shared" si="13"/>
        <v>47358.150775342605</v>
      </c>
      <c r="Q208" s="234">
        <f>'Tabelas e Gráficos'!BQ288</f>
        <v>47358.150775342605</v>
      </c>
    </row>
    <row r="209" spans="1:17" ht="15.75">
      <c r="A209" t="s">
        <v>1587</v>
      </c>
      <c r="B209" t="s">
        <v>1603</v>
      </c>
      <c r="C209" t="s">
        <v>1611</v>
      </c>
      <c r="D209">
        <v>3</v>
      </c>
      <c r="E209">
        <v>99</v>
      </c>
      <c r="F209">
        <v>24</v>
      </c>
      <c r="G209">
        <v>61</v>
      </c>
      <c r="H209">
        <v>111</v>
      </c>
      <c r="I209">
        <v>99</v>
      </c>
      <c r="J209">
        <v>999</v>
      </c>
      <c r="K209">
        <v>9</v>
      </c>
      <c r="L209">
        <v>99</v>
      </c>
      <c r="M209">
        <v>9</v>
      </c>
      <c r="N209">
        <v>3</v>
      </c>
      <c r="O209">
        <v>99999</v>
      </c>
      <c r="P209" s="234">
        <f t="shared" si="13"/>
        <v>6412.2097886095244</v>
      </c>
      <c r="Q209" s="234">
        <f>'Tabelas e Gráficos'!BQ289</f>
        <v>6412.2097886095244</v>
      </c>
    </row>
    <row r="210" spans="1:17" ht="15.75">
      <c r="A210" t="s">
        <v>1587</v>
      </c>
      <c r="B210" t="s">
        <v>1603</v>
      </c>
      <c r="C210" t="s">
        <v>1612</v>
      </c>
      <c r="D210">
        <v>3</v>
      </c>
      <c r="E210">
        <v>99</v>
      </c>
      <c r="F210">
        <v>24</v>
      </c>
      <c r="G210">
        <v>61</v>
      </c>
      <c r="H210">
        <v>182</v>
      </c>
      <c r="I210">
        <v>99</v>
      </c>
      <c r="J210">
        <v>999</v>
      </c>
      <c r="K210">
        <v>9</v>
      </c>
      <c r="L210">
        <v>99</v>
      </c>
      <c r="M210">
        <v>9</v>
      </c>
      <c r="N210">
        <v>3</v>
      </c>
      <c r="O210">
        <v>99999</v>
      </c>
      <c r="P210" s="234">
        <f t="shared" si="13"/>
        <v>0</v>
      </c>
      <c r="Q210" s="234">
        <f>'Tabelas e Gráficos'!BQ290</f>
        <v>0</v>
      </c>
    </row>
    <row r="211" spans="1:17" ht="15.75">
      <c r="A211" t="s">
        <v>1587</v>
      </c>
      <c r="B211" t="s">
        <v>1603</v>
      </c>
      <c r="C211" t="s">
        <v>1613</v>
      </c>
      <c r="D211">
        <v>3</v>
      </c>
      <c r="E211">
        <v>99</v>
      </c>
      <c r="F211">
        <v>24</v>
      </c>
      <c r="G211">
        <v>61</v>
      </c>
      <c r="H211">
        <v>183</v>
      </c>
      <c r="I211">
        <v>99</v>
      </c>
      <c r="J211">
        <v>999</v>
      </c>
      <c r="K211">
        <v>9</v>
      </c>
      <c r="L211">
        <v>99</v>
      </c>
      <c r="M211">
        <v>9</v>
      </c>
      <c r="N211">
        <v>3</v>
      </c>
      <c r="O211">
        <v>99999</v>
      </c>
      <c r="P211" s="234">
        <f t="shared" si="13"/>
        <v>1142.5907462017967</v>
      </c>
      <c r="Q211" s="234">
        <f>'Tabelas e Gráficos'!BQ291</f>
        <v>1142.5907462017967</v>
      </c>
    </row>
    <row r="212" spans="1:17" ht="15.75">
      <c r="A212" t="s">
        <v>1587</v>
      </c>
      <c r="B212" t="s">
        <v>1603</v>
      </c>
      <c r="C212" t="s">
        <v>1614</v>
      </c>
      <c r="D212">
        <v>3</v>
      </c>
      <c r="E212">
        <v>99</v>
      </c>
      <c r="F212">
        <v>24</v>
      </c>
      <c r="G212">
        <v>61</v>
      </c>
      <c r="H212">
        <v>184</v>
      </c>
      <c r="I212">
        <v>99</v>
      </c>
      <c r="J212">
        <v>999</v>
      </c>
      <c r="K212">
        <v>9</v>
      </c>
      <c r="L212">
        <v>99</v>
      </c>
      <c r="M212">
        <v>9</v>
      </c>
      <c r="N212">
        <v>3</v>
      </c>
      <c r="O212">
        <v>99999</v>
      </c>
      <c r="P212" s="234">
        <f t="shared" si="13"/>
        <v>132939.74203722089</v>
      </c>
      <c r="Q212" s="234">
        <f>'Tabelas e Gráficos'!BQ292</f>
        <v>132939.74203722089</v>
      </c>
    </row>
    <row r="213" spans="1:17" ht="15.75">
      <c r="A213" t="s">
        <v>1587</v>
      </c>
      <c r="B213" t="s">
        <v>1603</v>
      </c>
      <c r="C213" t="s">
        <v>1615</v>
      </c>
      <c r="D213">
        <v>3</v>
      </c>
      <c r="E213">
        <v>99</v>
      </c>
      <c r="F213">
        <v>24</v>
      </c>
      <c r="G213">
        <v>61</v>
      </c>
      <c r="H213">
        <v>112</v>
      </c>
      <c r="I213">
        <v>99</v>
      </c>
      <c r="J213">
        <v>999</v>
      </c>
      <c r="K213">
        <v>9</v>
      </c>
      <c r="L213">
        <v>99</v>
      </c>
      <c r="M213">
        <v>9</v>
      </c>
      <c r="N213">
        <v>3</v>
      </c>
      <c r="O213">
        <v>99999</v>
      </c>
      <c r="P213" s="234">
        <f t="shared" si="13"/>
        <v>0</v>
      </c>
      <c r="Q213" s="234">
        <f>'Tabelas e Gráficos'!BQ293</f>
        <v>0</v>
      </c>
    </row>
    <row r="214" spans="1:17" ht="15.75">
      <c r="A214" t="s">
        <v>1587</v>
      </c>
      <c r="B214" t="s">
        <v>1603</v>
      </c>
      <c r="C214" t="s">
        <v>1616</v>
      </c>
      <c r="D214">
        <v>3</v>
      </c>
      <c r="E214">
        <v>99</v>
      </c>
      <c r="F214">
        <v>24</v>
      </c>
      <c r="G214">
        <v>79</v>
      </c>
      <c r="H214">
        <v>110</v>
      </c>
      <c r="I214">
        <v>99</v>
      </c>
      <c r="J214">
        <v>999</v>
      </c>
      <c r="K214">
        <v>9</v>
      </c>
      <c r="L214">
        <v>99</v>
      </c>
      <c r="M214">
        <v>9</v>
      </c>
      <c r="N214">
        <v>3</v>
      </c>
      <c r="O214">
        <v>99999</v>
      </c>
      <c r="P214" s="234">
        <f t="shared" si="13"/>
        <v>60009.958939589065</v>
      </c>
      <c r="Q214" s="234">
        <f>'Tabelas e Gráficos'!BR288</f>
        <v>60009.958939589065</v>
      </c>
    </row>
    <row r="215" spans="1:17" ht="15.75">
      <c r="A215" t="s">
        <v>1587</v>
      </c>
      <c r="B215" t="s">
        <v>1603</v>
      </c>
      <c r="C215" t="s">
        <v>1617</v>
      </c>
      <c r="D215">
        <v>3</v>
      </c>
      <c r="E215">
        <v>99</v>
      </c>
      <c r="F215">
        <v>24</v>
      </c>
      <c r="G215">
        <v>79</v>
      </c>
      <c r="H215">
        <v>111</v>
      </c>
      <c r="I215">
        <v>99</v>
      </c>
      <c r="J215">
        <v>999</v>
      </c>
      <c r="K215">
        <v>9</v>
      </c>
      <c r="L215">
        <v>99</v>
      </c>
      <c r="M215">
        <v>9</v>
      </c>
      <c r="N215">
        <v>3</v>
      </c>
      <c r="O215">
        <v>99999</v>
      </c>
      <c r="P215" s="234">
        <f t="shared" si="13"/>
        <v>6408.9013256168564</v>
      </c>
      <c r="Q215" s="234">
        <f>'Tabelas e Gráficos'!BR289</f>
        <v>6408.9013256168564</v>
      </c>
    </row>
    <row r="216" spans="1:17" ht="15.75">
      <c r="A216" t="s">
        <v>1587</v>
      </c>
      <c r="B216" t="s">
        <v>1603</v>
      </c>
      <c r="C216" t="s">
        <v>1618</v>
      </c>
      <c r="D216">
        <v>3</v>
      </c>
      <c r="E216">
        <v>99</v>
      </c>
      <c r="F216">
        <v>24</v>
      </c>
      <c r="G216">
        <v>79</v>
      </c>
      <c r="H216">
        <v>182</v>
      </c>
      <c r="I216">
        <v>99</v>
      </c>
      <c r="J216">
        <v>999</v>
      </c>
      <c r="K216">
        <v>9</v>
      </c>
      <c r="L216">
        <v>99</v>
      </c>
      <c r="M216">
        <v>9</v>
      </c>
      <c r="N216">
        <v>3</v>
      </c>
      <c r="O216">
        <v>99999</v>
      </c>
      <c r="P216" s="234">
        <f t="shared" si="13"/>
        <v>0</v>
      </c>
      <c r="Q216" s="234">
        <f>'Tabelas e Gráficos'!BR290</f>
        <v>0</v>
      </c>
    </row>
    <row r="217" spans="1:17" ht="15.75">
      <c r="A217" t="s">
        <v>1587</v>
      </c>
      <c r="B217" t="s">
        <v>1603</v>
      </c>
      <c r="C217" t="s">
        <v>1619</v>
      </c>
      <c r="D217">
        <v>3</v>
      </c>
      <c r="E217">
        <v>99</v>
      </c>
      <c r="F217">
        <v>24</v>
      </c>
      <c r="G217">
        <v>79</v>
      </c>
      <c r="H217">
        <v>183</v>
      </c>
      <c r="I217">
        <v>99</v>
      </c>
      <c r="J217">
        <v>999</v>
      </c>
      <c r="K217">
        <v>9</v>
      </c>
      <c r="L217">
        <v>99</v>
      </c>
      <c r="M217">
        <v>9</v>
      </c>
      <c r="N217">
        <v>3</v>
      </c>
      <c r="O217">
        <v>99999</v>
      </c>
      <c r="P217" s="234">
        <f t="shared" si="13"/>
        <v>1051.0239112271802</v>
      </c>
      <c r="Q217" s="234">
        <f>'Tabelas e Gráficos'!BR291</f>
        <v>1051.0239112271802</v>
      </c>
    </row>
    <row r="218" spans="1:17" ht="15.75">
      <c r="A218" t="s">
        <v>1587</v>
      </c>
      <c r="B218" t="s">
        <v>1603</v>
      </c>
      <c r="C218" t="s">
        <v>1620</v>
      </c>
      <c r="D218">
        <v>3</v>
      </c>
      <c r="E218">
        <v>99</v>
      </c>
      <c r="F218">
        <v>24</v>
      </c>
      <c r="G218">
        <v>79</v>
      </c>
      <c r="H218">
        <v>184</v>
      </c>
      <c r="I218">
        <v>99</v>
      </c>
      <c r="J218">
        <v>999</v>
      </c>
      <c r="K218">
        <v>9</v>
      </c>
      <c r="L218">
        <v>99</v>
      </c>
      <c r="M218">
        <v>9</v>
      </c>
      <c r="N218">
        <v>3</v>
      </c>
      <c r="O218">
        <v>99999</v>
      </c>
      <c r="P218" s="234">
        <f t="shared" si="13"/>
        <v>116336.73156568008</v>
      </c>
      <c r="Q218" s="234">
        <f>'Tabelas e Gráficos'!BR292</f>
        <v>116336.73156568008</v>
      </c>
    </row>
    <row r="219" spans="1:17" ht="15.75">
      <c r="A219" t="s">
        <v>1587</v>
      </c>
      <c r="B219" t="s">
        <v>1603</v>
      </c>
      <c r="C219" t="s">
        <v>1621</v>
      </c>
      <c r="D219">
        <v>3</v>
      </c>
      <c r="E219">
        <v>99</v>
      </c>
      <c r="F219">
        <v>24</v>
      </c>
      <c r="G219">
        <v>79</v>
      </c>
      <c r="H219">
        <v>112</v>
      </c>
      <c r="I219">
        <v>99</v>
      </c>
      <c r="J219">
        <v>999</v>
      </c>
      <c r="K219">
        <v>9</v>
      </c>
      <c r="L219">
        <v>99</v>
      </c>
      <c r="M219">
        <v>9</v>
      </c>
      <c r="N219">
        <v>3</v>
      </c>
      <c r="O219">
        <v>99999</v>
      </c>
      <c r="P219" s="234">
        <f t="shared" si="13"/>
        <v>0</v>
      </c>
      <c r="Q219" s="234">
        <f>'Tabelas e Gráficos'!BR293</f>
        <v>0</v>
      </c>
    </row>
    <row r="220" spans="1:17" ht="15.75">
      <c r="A220" s="905" t="s">
        <v>772</v>
      </c>
      <c r="B220" s="905" t="s">
        <v>72</v>
      </c>
      <c r="C220" s="905" t="s">
        <v>1622</v>
      </c>
      <c r="D220" s="905">
        <v>2</v>
      </c>
      <c r="E220" s="905">
        <v>1</v>
      </c>
      <c r="F220" s="905">
        <v>51</v>
      </c>
      <c r="G220" s="905">
        <v>73</v>
      </c>
      <c r="H220" s="905">
        <v>999</v>
      </c>
      <c r="I220" s="905">
        <v>3</v>
      </c>
      <c r="J220" s="905">
        <v>15</v>
      </c>
      <c r="K220" s="905">
        <v>1</v>
      </c>
      <c r="L220" s="905">
        <v>99</v>
      </c>
      <c r="M220" s="905">
        <v>9</v>
      </c>
      <c r="N220" s="905">
        <v>3</v>
      </c>
      <c r="O220" s="905">
        <v>99999</v>
      </c>
      <c r="P220" s="234">
        <f t="shared" si="13"/>
        <v>0</v>
      </c>
      <c r="Q220" s="234">
        <f>Encargos!I20</f>
        <v>0</v>
      </c>
    </row>
    <row r="221" spans="1:17" ht="15.75">
      <c r="A221" s="905" t="s">
        <v>772</v>
      </c>
      <c r="B221" s="905" t="s">
        <v>1376</v>
      </c>
      <c r="C221" s="905" t="str">
        <f>Financeiros!C48</f>
        <v>CVE ccc</v>
      </c>
      <c r="D221" s="905">
        <v>2</v>
      </c>
      <c r="E221" s="905">
        <v>2</v>
      </c>
      <c r="F221" s="905">
        <f>Financeiros!F48</f>
        <v>22</v>
      </c>
      <c r="G221" s="905">
        <f>Financeiros!G48</f>
        <v>60</v>
      </c>
      <c r="H221" s="905">
        <f>Financeiros!H48</f>
        <v>241</v>
      </c>
      <c r="I221" s="905">
        <f>Financeiros!I48</f>
        <v>3</v>
      </c>
      <c r="J221" s="905">
        <f>Financeiros!J48</f>
        <v>13</v>
      </c>
      <c r="K221" s="905">
        <f>Financeiros!K48</f>
        <v>9</v>
      </c>
      <c r="L221" s="905">
        <v>99</v>
      </c>
      <c r="M221" s="905">
        <v>9</v>
      </c>
      <c r="N221" s="905">
        <v>3</v>
      </c>
      <c r="O221" s="905">
        <v>99999</v>
      </c>
      <c r="P221" s="1007">
        <f t="shared" ref="P221" si="14">IF(ISNUMBER(Q221),Q221,0)</f>
        <v>0</v>
      </c>
      <c r="Q221" s="234">
        <f>Financeiros!D48</f>
        <v>0</v>
      </c>
    </row>
    <row r="222" spans="1:17" ht="15.75">
      <c r="A222" s="905" t="s">
        <v>772</v>
      </c>
      <c r="B222" s="905" t="s">
        <v>1376</v>
      </c>
      <c r="C222" s="905" t="str">
        <f>Financeiros!C49</f>
        <v>CVE cde</v>
      </c>
      <c r="D222" s="905">
        <v>2</v>
      </c>
      <c r="E222" s="905">
        <v>2</v>
      </c>
      <c r="F222" s="905">
        <f>Financeiros!F49</f>
        <v>22</v>
      </c>
      <c r="G222" s="905">
        <f>Financeiros!G49</f>
        <v>60</v>
      </c>
      <c r="H222" s="905">
        <f>Financeiros!H49</f>
        <v>241</v>
      </c>
      <c r="I222" s="905">
        <f>Financeiros!I49</f>
        <v>3</v>
      </c>
      <c r="J222" s="905">
        <f>Financeiros!J49</f>
        <v>15</v>
      </c>
      <c r="K222" s="905">
        <f>Financeiros!K49</f>
        <v>9</v>
      </c>
      <c r="L222" s="905">
        <v>99</v>
      </c>
      <c r="M222" s="905">
        <v>9</v>
      </c>
      <c r="N222" s="905">
        <v>3</v>
      </c>
      <c r="O222" s="905">
        <v>99999</v>
      </c>
      <c r="P222" s="1007">
        <f t="shared" ref="P222:P282" si="15">IF(ISNUMBER(Q222),Q222,0)</f>
        <v>0</v>
      </c>
      <c r="Q222" s="234">
        <f>Financeiros!D49</f>
        <v>0</v>
      </c>
    </row>
    <row r="223" spans="1:17" ht="15.75">
      <c r="A223" s="905" t="s">
        <v>772</v>
      </c>
      <c r="B223" s="905" t="s">
        <v>1376</v>
      </c>
      <c r="C223" s="905" t="str">
        <f>Financeiros!C50</f>
        <v>CVE cde energia</v>
      </c>
      <c r="D223" s="905">
        <v>2</v>
      </c>
      <c r="E223" s="905">
        <v>2</v>
      </c>
      <c r="F223" s="905">
        <f>Financeiros!F50</f>
        <v>22</v>
      </c>
      <c r="G223" s="905">
        <f>Financeiros!G50</f>
        <v>60</v>
      </c>
      <c r="H223" s="905">
        <f>Financeiros!H50</f>
        <v>241</v>
      </c>
      <c r="I223" s="905">
        <f>Financeiros!I50</f>
        <v>3</v>
      </c>
      <c r="J223" s="905">
        <f>Financeiros!J50</f>
        <v>25</v>
      </c>
      <c r="K223" s="905">
        <f>Financeiros!K50</f>
        <v>9</v>
      </c>
      <c r="L223" s="905">
        <v>99</v>
      </c>
      <c r="M223" s="905">
        <v>9</v>
      </c>
      <c r="N223" s="905">
        <v>3</v>
      </c>
      <c r="O223" s="905">
        <v>99999</v>
      </c>
      <c r="P223" s="1007">
        <f t="shared" si="15"/>
        <v>0</v>
      </c>
      <c r="Q223" s="234">
        <f>Financeiros!D50</f>
        <v>0</v>
      </c>
    </row>
    <row r="224" spans="1:17" ht="15.75">
      <c r="A224" s="905" t="s">
        <v>772</v>
      </c>
      <c r="B224" s="905" t="s">
        <v>1376</v>
      </c>
      <c r="C224" s="905" t="str">
        <f>Financeiros!C51</f>
        <v>CVE RB - Nodal</v>
      </c>
      <c r="D224" s="905">
        <v>2</v>
      </c>
      <c r="E224" s="905">
        <v>2</v>
      </c>
      <c r="F224" s="905">
        <f>Financeiros!F51</f>
        <v>22</v>
      </c>
      <c r="G224" s="905">
        <f>Financeiros!G51</f>
        <v>60</v>
      </c>
      <c r="H224" s="905">
        <f>Financeiros!H51</f>
        <v>241</v>
      </c>
      <c r="I224" s="905">
        <f>Financeiros!I51</f>
        <v>1</v>
      </c>
      <c r="J224" s="905">
        <f>Financeiros!J51</f>
        <v>1</v>
      </c>
      <c r="K224" s="905">
        <f>Financeiros!K51</f>
        <v>9</v>
      </c>
      <c r="L224" s="905">
        <v>99</v>
      </c>
      <c r="M224" s="905">
        <v>9</v>
      </c>
      <c r="N224" s="905">
        <v>3</v>
      </c>
      <c r="O224" s="905">
        <v>99999</v>
      </c>
      <c r="P224" s="1007">
        <f t="shared" si="15"/>
        <v>0</v>
      </c>
      <c r="Q224" s="234">
        <f>Financeiros!D51</f>
        <v>0</v>
      </c>
    </row>
    <row r="225" spans="1:17" ht="15.75">
      <c r="A225" s="905" t="s">
        <v>772</v>
      </c>
      <c r="B225" s="905" t="s">
        <v>1376</v>
      </c>
      <c r="C225" s="905" t="str">
        <f>Financeiros!C52</f>
        <v>CVE RB - Fronteira</v>
      </c>
      <c r="D225" s="905">
        <v>2</v>
      </c>
      <c r="E225" s="905">
        <v>2</v>
      </c>
      <c r="F225" s="905">
        <f>Financeiros!F52</f>
        <v>22</v>
      </c>
      <c r="G225" s="905">
        <f>Financeiros!G52</f>
        <v>60</v>
      </c>
      <c r="H225" s="905">
        <f>Financeiros!H52</f>
        <v>241</v>
      </c>
      <c r="I225" s="905">
        <f>Financeiros!I52</f>
        <v>1</v>
      </c>
      <c r="J225" s="905">
        <f>Financeiros!J52</f>
        <v>1</v>
      </c>
      <c r="K225" s="905">
        <f>Financeiros!K52</f>
        <v>9</v>
      </c>
      <c r="L225" s="905">
        <v>99</v>
      </c>
      <c r="M225" s="905">
        <v>9</v>
      </c>
      <c r="N225" s="905">
        <v>3</v>
      </c>
      <c r="O225" s="905">
        <v>99999</v>
      </c>
      <c r="P225" s="1007">
        <f t="shared" si="15"/>
        <v>0</v>
      </c>
      <c r="Q225" s="234">
        <f>Financeiros!D52</f>
        <v>0</v>
      </c>
    </row>
    <row r="226" spans="1:17" ht="15.75">
      <c r="A226" s="905" t="s">
        <v>772</v>
      </c>
      <c r="B226" s="905" t="s">
        <v>1376</v>
      </c>
      <c r="C226" s="905" t="str">
        <f>Financeiros!C53</f>
        <v>CVE RB - TUSDg EXP</v>
      </c>
      <c r="D226" s="905">
        <v>2</v>
      </c>
      <c r="E226" s="905">
        <v>2</v>
      </c>
      <c r="F226" s="905">
        <f>Financeiros!F53</f>
        <v>22</v>
      </c>
      <c r="G226" s="905">
        <f>Financeiros!G53</f>
        <v>60</v>
      </c>
      <c r="H226" s="905">
        <f>Financeiros!H53</f>
        <v>241</v>
      </c>
      <c r="I226" s="905">
        <f>Financeiros!I53</f>
        <v>1</v>
      </c>
      <c r="J226" s="905">
        <f>Financeiros!J53</f>
        <v>1</v>
      </c>
      <c r="K226" s="905">
        <f>Financeiros!K53</f>
        <v>9</v>
      </c>
      <c r="L226" s="905">
        <v>99</v>
      </c>
      <c r="M226" s="905">
        <v>9</v>
      </c>
      <c r="N226" s="905">
        <v>3</v>
      </c>
      <c r="O226" s="905">
        <v>99999</v>
      </c>
      <c r="P226" s="1007">
        <f t="shared" si="15"/>
        <v>0</v>
      </c>
      <c r="Q226" s="234">
        <f>Financeiros!D53</f>
        <v>0</v>
      </c>
    </row>
    <row r="227" spans="1:17" ht="15.75">
      <c r="A227" s="905" t="s">
        <v>772</v>
      </c>
      <c r="B227" s="905" t="s">
        <v>1376</v>
      </c>
      <c r="C227" s="905" t="str">
        <f>Financeiros!C54</f>
        <v>CVE RB - TUSDg ONS</v>
      </c>
      <c r="D227" s="905">
        <v>2</v>
      </c>
      <c r="E227" s="905">
        <v>2</v>
      </c>
      <c r="F227" s="905">
        <f>Financeiros!F54</f>
        <v>22</v>
      </c>
      <c r="G227" s="905">
        <f>Financeiros!G54</f>
        <v>60</v>
      </c>
      <c r="H227" s="905">
        <f>Financeiros!H54</f>
        <v>241</v>
      </c>
      <c r="I227" s="905">
        <f>Financeiros!I54</f>
        <v>1</v>
      </c>
      <c r="J227" s="905">
        <f>Financeiros!J54</f>
        <v>1</v>
      </c>
      <c r="K227" s="905">
        <f>Financeiros!K54</f>
        <v>9</v>
      </c>
      <c r="L227" s="905">
        <v>99</v>
      </c>
      <c r="M227" s="905">
        <v>9</v>
      </c>
      <c r="N227" s="905">
        <v>3</v>
      </c>
      <c r="O227" s="905">
        <v>99999</v>
      </c>
      <c r="P227" s="1007">
        <f t="shared" si="15"/>
        <v>0</v>
      </c>
      <c r="Q227" s="234">
        <f>Financeiros!D54</f>
        <v>0</v>
      </c>
    </row>
    <row r="228" spans="1:17" ht="15.75">
      <c r="A228" s="905" t="s">
        <v>772</v>
      </c>
      <c r="B228" s="905" t="s">
        <v>1376</v>
      </c>
      <c r="C228" s="905" t="str">
        <f>Financeiros!C55</f>
        <v>CVE RB - EUST Itaipu</v>
      </c>
      <c r="D228" s="905">
        <v>2</v>
      </c>
      <c r="E228" s="905">
        <v>2</v>
      </c>
      <c r="F228" s="905">
        <f>Financeiros!F55</f>
        <v>22</v>
      </c>
      <c r="G228" s="905">
        <f>Financeiros!G55</f>
        <v>60</v>
      </c>
      <c r="H228" s="905">
        <f>Financeiros!H55</f>
        <v>241</v>
      </c>
      <c r="I228" s="905">
        <f>Financeiros!I55</f>
        <v>1</v>
      </c>
      <c r="J228" s="905">
        <f>Financeiros!J55</f>
        <v>1</v>
      </c>
      <c r="K228" s="905">
        <f>Financeiros!K55</f>
        <v>9</v>
      </c>
      <c r="L228" s="905">
        <v>99</v>
      </c>
      <c r="M228" s="905">
        <v>9</v>
      </c>
      <c r="N228" s="905">
        <v>3</v>
      </c>
      <c r="O228" s="905">
        <v>99999</v>
      </c>
      <c r="P228" s="1007">
        <f t="shared" si="15"/>
        <v>0</v>
      </c>
      <c r="Q228" s="234">
        <f>Financeiros!D55</f>
        <v>0</v>
      </c>
    </row>
    <row r="229" spans="1:17" ht="15.75">
      <c r="A229" s="905" t="s">
        <v>772</v>
      </c>
      <c r="B229" s="905" t="s">
        <v>1376</v>
      </c>
      <c r="C229" s="905" t="str">
        <f>Financeiros!C56</f>
        <v>CVE- Transporte Itaipu</v>
      </c>
      <c r="D229" s="905">
        <v>2</v>
      </c>
      <c r="E229" s="905">
        <v>2</v>
      </c>
      <c r="F229" s="905">
        <f>Financeiros!F56</f>
        <v>22</v>
      </c>
      <c r="G229" s="905">
        <f>Financeiros!G56</f>
        <v>60</v>
      </c>
      <c r="H229" s="905">
        <f>Financeiros!H56</f>
        <v>241</v>
      </c>
      <c r="I229" s="905">
        <f>Financeiros!I56</f>
        <v>1</v>
      </c>
      <c r="J229" s="905">
        <f>Financeiros!J56</f>
        <v>21</v>
      </c>
      <c r="K229" s="905">
        <f>Financeiros!K56</f>
        <v>9</v>
      </c>
      <c r="L229" s="905">
        <v>99</v>
      </c>
      <c r="M229" s="905">
        <v>9</v>
      </c>
      <c r="N229" s="905">
        <v>3</v>
      </c>
      <c r="O229" s="905">
        <v>99999</v>
      </c>
      <c r="P229" s="1007">
        <f t="shared" si="15"/>
        <v>0</v>
      </c>
      <c r="Q229" s="234">
        <f>Financeiros!D56</f>
        <v>0</v>
      </c>
    </row>
    <row r="230" spans="1:17" ht="15.75">
      <c r="A230" s="905" t="s">
        <v>772</v>
      </c>
      <c r="B230" s="905" t="s">
        <v>1376</v>
      </c>
      <c r="C230" s="905" t="str">
        <f>Financeiros!C57</f>
        <v>CVE - Energia - Energia de Revenda</v>
      </c>
      <c r="D230" s="905">
        <v>2</v>
      </c>
      <c r="E230" s="905">
        <v>2</v>
      </c>
      <c r="F230" s="905">
        <f>Financeiros!F57</f>
        <v>22</v>
      </c>
      <c r="G230" s="905">
        <f>Financeiros!G57</f>
        <v>60</v>
      </c>
      <c r="H230" s="905">
        <f>Financeiros!H57</f>
        <v>241</v>
      </c>
      <c r="I230" s="905">
        <f>Financeiros!I57</f>
        <v>2</v>
      </c>
      <c r="J230" s="905">
        <f>Financeiros!J57</f>
        <v>11</v>
      </c>
      <c r="K230" s="905">
        <f>Financeiros!K57</f>
        <v>9</v>
      </c>
      <c r="L230" s="905">
        <v>99</v>
      </c>
      <c r="M230" s="905">
        <v>9</v>
      </c>
      <c r="N230" s="905">
        <v>3</v>
      </c>
      <c r="O230" s="905">
        <v>99999</v>
      </c>
      <c r="P230" s="1007">
        <f t="shared" ca="1" si="15"/>
        <v>0</v>
      </c>
      <c r="Q230" s="234">
        <f ca="1">Financeiros!D57</f>
        <v>0</v>
      </c>
    </row>
    <row r="231" spans="1:17" ht="15.75">
      <c r="A231" s="905" t="s">
        <v>772</v>
      </c>
      <c r="B231" s="905" t="s">
        <v>1376</v>
      </c>
      <c r="C231" s="905" t="str">
        <f>Financeiros!C58</f>
        <v>CVE - Energia - Perda Não Técnica</v>
      </c>
      <c r="D231" s="905">
        <v>2</v>
      </c>
      <c r="E231" s="905">
        <v>2</v>
      </c>
      <c r="F231" s="905">
        <f>Financeiros!F58</f>
        <v>22</v>
      </c>
      <c r="G231" s="905">
        <f>Financeiros!G58</f>
        <v>60</v>
      </c>
      <c r="H231" s="905">
        <f>Financeiros!H58</f>
        <v>241</v>
      </c>
      <c r="I231" s="905">
        <f>Financeiros!I58</f>
        <v>2</v>
      </c>
      <c r="J231" s="905">
        <f>Financeiros!J58</f>
        <v>9</v>
      </c>
      <c r="K231" s="905">
        <f>Financeiros!K58</f>
        <v>9</v>
      </c>
      <c r="L231" s="905">
        <v>99</v>
      </c>
      <c r="M231" s="905">
        <v>9</v>
      </c>
      <c r="N231" s="905">
        <v>3</v>
      </c>
      <c r="O231" s="905">
        <v>99999</v>
      </c>
      <c r="P231" s="1007">
        <f t="shared" ca="1" si="15"/>
        <v>0</v>
      </c>
      <c r="Q231" s="234">
        <f ca="1">Financeiros!D58</f>
        <v>0</v>
      </c>
    </row>
    <row r="232" spans="1:17" ht="15.75">
      <c r="A232" s="905" t="s">
        <v>772</v>
      </c>
      <c r="B232" s="905" t="s">
        <v>1376</v>
      </c>
      <c r="C232" s="905" t="str">
        <f>Financeiros!C59</f>
        <v>CVE - Energia - Perda Técnica</v>
      </c>
      <c r="D232" s="905">
        <v>2</v>
      </c>
      <c r="E232" s="905">
        <v>2</v>
      </c>
      <c r="F232" s="905">
        <f>Financeiros!F59</f>
        <v>22</v>
      </c>
      <c r="G232" s="905">
        <f>Financeiros!G59</f>
        <v>60</v>
      </c>
      <c r="H232" s="905">
        <f>Financeiros!H59</f>
        <v>241</v>
      </c>
      <c r="I232" s="905">
        <f>Financeiros!I59</f>
        <v>2</v>
      </c>
      <c r="J232" s="905">
        <f>Financeiros!J59</f>
        <v>8</v>
      </c>
      <c r="K232" s="905">
        <f>Financeiros!K59</f>
        <v>9</v>
      </c>
      <c r="L232" s="905">
        <v>99</v>
      </c>
      <c r="M232" s="905">
        <v>9</v>
      </c>
      <c r="N232" s="905">
        <v>3</v>
      </c>
      <c r="O232" s="905">
        <v>99999</v>
      </c>
      <c r="P232" s="1007">
        <f t="shared" ca="1" si="15"/>
        <v>0</v>
      </c>
      <c r="Q232" s="234">
        <f ca="1">Financeiros!D59</f>
        <v>0</v>
      </c>
    </row>
    <row r="233" spans="1:17" ht="15.75">
      <c r="A233" s="905" t="s">
        <v>772</v>
      </c>
      <c r="B233" s="905" t="s">
        <v>1376</v>
      </c>
      <c r="C233" s="905" t="str">
        <f>Financeiros!C60</f>
        <v>CVE - Energia -  Perda de RB sobre a distribuição</v>
      </c>
      <c r="D233" s="905">
        <v>2</v>
      </c>
      <c r="E233" s="905">
        <v>2</v>
      </c>
      <c r="F233" s="905">
        <f>Financeiros!F60</f>
        <v>22</v>
      </c>
      <c r="G233" s="905">
        <f>Financeiros!G60</f>
        <v>60</v>
      </c>
      <c r="H233" s="905">
        <f>Financeiros!H60</f>
        <v>241</v>
      </c>
      <c r="I233" s="905">
        <f>Financeiros!I60</f>
        <v>2</v>
      </c>
      <c r="J233" s="905">
        <f>Financeiros!J60</f>
        <v>10</v>
      </c>
      <c r="K233" s="905">
        <f>Financeiros!K60</f>
        <v>9</v>
      </c>
      <c r="L233" s="905">
        <v>99</v>
      </c>
      <c r="M233" s="905">
        <v>9</v>
      </c>
      <c r="N233" s="905">
        <v>3</v>
      </c>
      <c r="O233" s="905">
        <v>99999</v>
      </c>
      <c r="P233" s="1007">
        <f t="shared" ca="1" si="15"/>
        <v>0</v>
      </c>
      <c r="Q233" s="234">
        <f ca="1">Financeiros!D60</f>
        <v>0</v>
      </c>
    </row>
    <row r="234" spans="1:17" ht="15.75">
      <c r="A234" s="905" t="s">
        <v>772</v>
      </c>
      <c r="B234" s="905" t="s">
        <v>1376</v>
      </c>
      <c r="C234" s="905" t="str">
        <f>Financeiros!C61</f>
        <v>CVE - Energia -  Perda de RB sobre o mercado cativo</v>
      </c>
      <c r="D234" s="905">
        <v>2</v>
      </c>
      <c r="E234" s="905">
        <v>2</v>
      </c>
      <c r="F234" s="905">
        <f>Financeiros!F61</f>
        <v>22</v>
      </c>
      <c r="G234" s="905">
        <f>Financeiros!G61</f>
        <v>60</v>
      </c>
      <c r="H234" s="905">
        <f>Financeiros!H61</f>
        <v>241</v>
      </c>
      <c r="I234" s="905">
        <f>Financeiros!I61</f>
        <v>2</v>
      </c>
      <c r="J234" s="905">
        <f>Financeiros!J61</f>
        <v>24</v>
      </c>
      <c r="K234" s="905">
        <f>Financeiros!K61</f>
        <v>9</v>
      </c>
      <c r="L234" s="905">
        <v>99</v>
      </c>
      <c r="M234" s="905">
        <v>9</v>
      </c>
      <c r="N234" s="905">
        <v>3</v>
      </c>
      <c r="O234" s="905">
        <v>99999</v>
      </c>
      <c r="P234" s="1007">
        <f t="shared" ca="1" si="15"/>
        <v>0</v>
      </c>
      <c r="Q234" s="234">
        <f ca="1">Financeiros!D61</f>
        <v>0</v>
      </c>
    </row>
    <row r="235" spans="1:17" ht="15.75">
      <c r="A235" s="905" t="s">
        <v>772</v>
      </c>
      <c r="B235" s="905" t="s">
        <v>1376</v>
      </c>
      <c r="C235" s="905" t="str">
        <f>Financeiros!C62</f>
        <v>CVE - Encargos - PROINFA</v>
      </c>
      <c r="D235" s="905">
        <v>2</v>
      </c>
      <c r="E235" s="905">
        <v>2</v>
      </c>
      <c r="F235" s="905">
        <f>Financeiros!F62</f>
        <v>22</v>
      </c>
      <c r="G235" s="905">
        <f>Financeiros!G62</f>
        <v>60</v>
      </c>
      <c r="H235" s="905">
        <f>Financeiros!H62</f>
        <v>241</v>
      </c>
      <c r="I235" s="905">
        <f>Financeiros!I62</f>
        <v>3</v>
      </c>
      <c r="J235" s="905">
        <f>Financeiros!J62</f>
        <v>18</v>
      </c>
      <c r="K235" s="905">
        <f>Financeiros!K62</f>
        <v>9</v>
      </c>
      <c r="L235" s="905">
        <v>99</v>
      </c>
      <c r="M235" s="905">
        <v>9</v>
      </c>
      <c r="N235" s="905">
        <v>3</v>
      </c>
      <c r="O235" s="905">
        <v>99999</v>
      </c>
      <c r="P235" s="1007">
        <f t="shared" ca="1" si="15"/>
        <v>0</v>
      </c>
      <c r="Q235" s="234">
        <f ca="1">Financeiros!D62</f>
        <v>0</v>
      </c>
    </row>
    <row r="236" spans="1:17" ht="15.75">
      <c r="A236" s="905" t="s">
        <v>772</v>
      </c>
      <c r="B236" s="905" t="s">
        <v>1376</v>
      </c>
      <c r="C236" s="905" t="str">
        <f>Financeiros!C63</f>
        <v>CVE - Encargos - CFURH</v>
      </c>
      <c r="D236" s="905">
        <v>2</v>
      </c>
      <c r="E236" s="905">
        <v>2</v>
      </c>
      <c r="F236" s="905">
        <f>Financeiros!F63</f>
        <v>22</v>
      </c>
      <c r="G236" s="905">
        <f>Financeiros!G63</f>
        <v>60</v>
      </c>
      <c r="H236" s="905">
        <f>Financeiros!H63</f>
        <v>241</v>
      </c>
      <c r="I236" s="905">
        <f>Financeiros!I63</f>
        <v>3</v>
      </c>
      <c r="J236" s="905">
        <f>Financeiros!J63</f>
        <v>16</v>
      </c>
      <c r="K236" s="905">
        <f>Financeiros!K63</f>
        <v>9</v>
      </c>
      <c r="L236" s="905">
        <v>99</v>
      </c>
      <c r="M236" s="905">
        <v>9</v>
      </c>
      <c r="N236" s="905">
        <v>3</v>
      </c>
      <c r="O236" s="905">
        <v>99999</v>
      </c>
      <c r="P236" s="1007">
        <f t="shared" si="15"/>
        <v>0</v>
      </c>
      <c r="Q236" s="234">
        <f>Financeiros!D63</f>
        <v>0</v>
      </c>
    </row>
    <row r="237" spans="1:17" ht="15.75">
      <c r="A237" s="905" t="s">
        <v>772</v>
      </c>
      <c r="B237" s="905" t="s">
        <v>1376</v>
      </c>
      <c r="C237" s="905" t="str">
        <f>Financeiros!C64</f>
        <v>CVE - Encargos - ESS/EER</v>
      </c>
      <c r="D237" s="905">
        <v>2</v>
      </c>
      <c r="E237" s="905">
        <v>2</v>
      </c>
      <c r="F237" s="905">
        <f>Financeiros!F64</f>
        <v>22</v>
      </c>
      <c r="G237" s="905">
        <f>Financeiros!G64</f>
        <v>60</v>
      </c>
      <c r="H237" s="905">
        <f>Financeiros!H64</f>
        <v>241</v>
      </c>
      <c r="I237" s="905">
        <f>Financeiros!I64</f>
        <v>3</v>
      </c>
      <c r="J237" s="905">
        <f>Financeiros!J64</f>
        <v>17</v>
      </c>
      <c r="K237" s="905">
        <f>Financeiros!K64</f>
        <v>9</v>
      </c>
      <c r="L237" s="905">
        <v>99</v>
      </c>
      <c r="M237" s="905">
        <v>9</v>
      </c>
      <c r="N237" s="905">
        <v>3</v>
      </c>
      <c r="O237" s="905">
        <v>99999</v>
      </c>
      <c r="P237" s="1007">
        <f t="shared" si="15"/>
        <v>0</v>
      </c>
      <c r="Q237" s="234">
        <f>Financeiros!D64</f>
        <v>0</v>
      </c>
    </row>
    <row r="238" spans="1:17" ht="15.75">
      <c r="A238" s="905" t="s">
        <v>772</v>
      </c>
      <c r="B238" s="905" t="s">
        <v>1376</v>
      </c>
      <c r="C238" s="905" t="str">
        <f>Financeiros!C65</f>
        <v>Conta Escassez H. - Importação julho- agosto/2021 - RTA 2022 - Energia de Revenda</v>
      </c>
      <c r="D238" s="905">
        <v>2</v>
      </c>
      <c r="E238" s="905">
        <v>2</v>
      </c>
      <c r="F238" s="905">
        <f>Financeiros!F65</f>
        <v>22</v>
      </c>
      <c r="G238" s="905">
        <f>Financeiros!G65</f>
        <v>60</v>
      </c>
      <c r="H238" s="905">
        <f>Financeiros!H65</f>
        <v>240</v>
      </c>
      <c r="I238" s="905">
        <f>Financeiros!I65</f>
        <v>2</v>
      </c>
      <c r="J238" s="905">
        <f>Financeiros!J65</f>
        <v>11</v>
      </c>
      <c r="K238" s="905">
        <f>Financeiros!K65</f>
        <v>9</v>
      </c>
      <c r="L238" s="905">
        <v>99</v>
      </c>
      <c r="M238" s="905">
        <v>9</v>
      </c>
      <c r="N238" s="905">
        <v>3</v>
      </c>
      <c r="O238" s="905">
        <v>99999</v>
      </c>
      <c r="P238" s="1007">
        <f t="shared" ca="1" si="15"/>
        <v>0</v>
      </c>
      <c r="Q238" s="234">
        <f ca="1">Financeiros!D65</f>
        <v>0</v>
      </c>
    </row>
    <row r="239" spans="1:17" ht="15.75">
      <c r="A239" s="905" t="s">
        <v>772</v>
      </c>
      <c r="B239" s="905" t="s">
        <v>1376</v>
      </c>
      <c r="C239" s="905" t="str">
        <f>Financeiros!C66</f>
        <v>Conta Escassez H. - Importação julho- agosto/2021 - RTA 2022 - Perda Não Técnica</v>
      </c>
      <c r="D239" s="905">
        <v>2</v>
      </c>
      <c r="E239" s="905">
        <v>2</v>
      </c>
      <c r="F239" s="905">
        <f>Financeiros!F66</f>
        <v>22</v>
      </c>
      <c r="G239" s="905">
        <f>Financeiros!G66</f>
        <v>60</v>
      </c>
      <c r="H239" s="905">
        <f>Financeiros!H66</f>
        <v>240</v>
      </c>
      <c r="I239" s="905">
        <f>Financeiros!I66</f>
        <v>2</v>
      </c>
      <c r="J239" s="905">
        <f>Financeiros!J66</f>
        <v>9</v>
      </c>
      <c r="K239" s="905">
        <f>Financeiros!K66</f>
        <v>9</v>
      </c>
      <c r="L239" s="905">
        <v>99</v>
      </c>
      <c r="M239" s="905">
        <v>9</v>
      </c>
      <c r="N239" s="905">
        <v>3</v>
      </c>
      <c r="O239" s="905">
        <v>99999</v>
      </c>
      <c r="P239" s="1007">
        <f t="shared" ca="1" si="15"/>
        <v>0</v>
      </c>
      <c r="Q239" s="234">
        <f ca="1">Financeiros!D66</f>
        <v>0</v>
      </c>
    </row>
    <row r="240" spans="1:17" ht="15.75">
      <c r="A240" s="905" t="s">
        <v>772</v>
      </c>
      <c r="B240" s="905" t="s">
        <v>1376</v>
      </c>
      <c r="C240" s="905" t="str">
        <f>Financeiros!C67</f>
        <v>Conta Escassez H. - Importação julho- agosto/2021 - RTA 2022 - Perda Técnica</v>
      </c>
      <c r="D240" s="905">
        <v>2</v>
      </c>
      <c r="E240" s="905">
        <v>2</v>
      </c>
      <c r="F240" s="905">
        <f>Financeiros!F67</f>
        <v>22</v>
      </c>
      <c r="G240" s="905">
        <f>Financeiros!G67</f>
        <v>60</v>
      </c>
      <c r="H240" s="905">
        <f>Financeiros!H67</f>
        <v>240</v>
      </c>
      <c r="I240" s="905">
        <f>Financeiros!I67</f>
        <v>2</v>
      </c>
      <c r="J240" s="905">
        <f>Financeiros!J67</f>
        <v>8</v>
      </c>
      <c r="K240" s="905">
        <f>Financeiros!K67</f>
        <v>9</v>
      </c>
      <c r="L240" s="905">
        <v>99</v>
      </c>
      <c r="M240" s="905">
        <v>9</v>
      </c>
      <c r="N240" s="905">
        <v>3</v>
      </c>
      <c r="O240" s="905">
        <v>99999</v>
      </c>
      <c r="P240" s="1007">
        <f t="shared" ca="1" si="15"/>
        <v>0</v>
      </c>
      <c r="Q240" s="234">
        <f ca="1">Financeiros!D67</f>
        <v>0</v>
      </c>
    </row>
    <row r="241" spans="1:17" ht="15.75">
      <c r="A241" s="905" t="s">
        <v>772</v>
      </c>
      <c r="B241" s="905" t="s">
        <v>1376</v>
      </c>
      <c r="C241" s="905" t="str">
        <f>Financeiros!C68</f>
        <v>Conta Escassez H. - Importação julho- agosto/2021 - RTA 2022 - Perda RB Perda RB sobre Dist.</v>
      </c>
      <c r="D241" s="905">
        <v>2</v>
      </c>
      <c r="E241" s="905">
        <v>2</v>
      </c>
      <c r="F241" s="905">
        <f>Financeiros!F68</f>
        <v>22</v>
      </c>
      <c r="G241" s="905">
        <f>Financeiros!G68</f>
        <v>60</v>
      </c>
      <c r="H241" s="905">
        <f>Financeiros!H68</f>
        <v>240</v>
      </c>
      <c r="I241" s="905">
        <f>Financeiros!I68</f>
        <v>2</v>
      </c>
      <c r="J241" s="905">
        <f>Financeiros!J68</f>
        <v>10</v>
      </c>
      <c r="K241" s="905">
        <f>Financeiros!K68</f>
        <v>9</v>
      </c>
      <c r="L241" s="905">
        <v>99</v>
      </c>
      <c r="M241" s="905">
        <v>9</v>
      </c>
      <c r="N241" s="905">
        <v>3</v>
      </c>
      <c r="O241" s="905">
        <v>99999</v>
      </c>
      <c r="P241" s="1007">
        <f t="shared" ca="1" si="15"/>
        <v>0</v>
      </c>
      <c r="Q241" s="234">
        <f ca="1">Financeiros!D68</f>
        <v>0</v>
      </c>
    </row>
    <row r="242" spans="1:17" ht="15.75">
      <c r="A242" s="905" t="s">
        <v>772</v>
      </c>
      <c r="B242" s="905" t="s">
        <v>1376</v>
      </c>
      <c r="C242" s="905" t="str">
        <f>Financeiros!C69</f>
        <v>Conta Escassez H. - Importação julho- agosto/2021 - RTA 2022 - Perda RB sobre Merc. Cat.</v>
      </c>
      <c r="D242" s="905">
        <v>2</v>
      </c>
      <c r="E242" s="905">
        <v>2</v>
      </c>
      <c r="F242" s="905">
        <f>Financeiros!F69</f>
        <v>22</v>
      </c>
      <c r="G242" s="905">
        <f>Financeiros!G69</f>
        <v>60</v>
      </c>
      <c r="H242" s="905">
        <f>Financeiros!H69</f>
        <v>240</v>
      </c>
      <c r="I242" s="905">
        <f>Financeiros!I69</f>
        <v>2</v>
      </c>
      <c r="J242" s="905">
        <f>Financeiros!J69</f>
        <v>24</v>
      </c>
      <c r="K242" s="905">
        <f>Financeiros!K69</f>
        <v>9</v>
      </c>
      <c r="L242" s="905">
        <v>99</v>
      </c>
      <c r="M242" s="905">
        <v>9</v>
      </c>
      <c r="N242" s="905">
        <v>3</v>
      </c>
      <c r="O242" s="905">
        <v>99999</v>
      </c>
      <c r="P242" s="1007">
        <f t="shared" ca="1" si="15"/>
        <v>0</v>
      </c>
      <c r="Q242" s="234">
        <f ca="1">Financeiros!D69</f>
        <v>0</v>
      </c>
    </row>
    <row r="243" spans="1:17" ht="15.75">
      <c r="A243" s="905" t="s">
        <v>772</v>
      </c>
      <c r="B243" s="905" t="s">
        <v>1376</v>
      </c>
      <c r="C243" s="905" t="str">
        <f>Financeiros!C70</f>
        <v>Conta Escassez H. - Bônus Redução Voluntária</v>
      </c>
      <c r="D243" s="905">
        <v>2</v>
      </c>
      <c r="E243" s="905">
        <v>2</v>
      </c>
      <c r="F243" s="905">
        <f>Financeiros!F70</f>
        <v>22</v>
      </c>
      <c r="G243" s="905">
        <f>Financeiros!G70</f>
        <v>60</v>
      </c>
      <c r="H243" s="905">
        <f>Financeiros!H70</f>
        <v>240</v>
      </c>
      <c r="I243" s="905">
        <f>Financeiros!I70</f>
        <v>3</v>
      </c>
      <c r="J243" s="905">
        <f>Financeiros!J70</f>
        <v>17</v>
      </c>
      <c r="K243" s="905">
        <f>Financeiros!K70</f>
        <v>9</v>
      </c>
      <c r="L243" s="905">
        <v>99</v>
      </c>
      <c r="M243" s="905">
        <v>9</v>
      </c>
      <c r="N243" s="905">
        <v>3</v>
      </c>
      <c r="O243" s="905">
        <v>99999</v>
      </c>
      <c r="P243" s="1007">
        <f t="shared" si="15"/>
        <v>0</v>
      </c>
      <c r="Q243" s="234">
        <f>Financeiros!D70</f>
        <v>0</v>
      </c>
    </row>
    <row r="244" spans="1:17" ht="15.75">
      <c r="A244" s="905" t="s">
        <v>772</v>
      </c>
      <c r="B244" s="905" t="s">
        <v>1376</v>
      </c>
      <c r="C244" s="905" t="str">
        <f>Financeiros!C71</f>
        <v>Conta Escassez H. - Diferimento de energia - RTA 2022 - Energia de Revenda</v>
      </c>
      <c r="D244" s="905">
        <v>2</v>
      </c>
      <c r="E244" s="905">
        <v>2</v>
      </c>
      <c r="F244" s="905">
        <f>Financeiros!F71</f>
        <v>22</v>
      </c>
      <c r="G244" s="905">
        <f>Financeiros!G71</f>
        <v>60</v>
      </c>
      <c r="H244" s="905">
        <f>Financeiros!H71</f>
        <v>240</v>
      </c>
      <c r="I244" s="905">
        <f>Financeiros!I71</f>
        <v>2</v>
      </c>
      <c r="J244" s="905">
        <f>Financeiros!J71</f>
        <v>11</v>
      </c>
      <c r="K244" s="905">
        <f>Financeiros!K71</f>
        <v>9</v>
      </c>
      <c r="L244" s="905">
        <v>99</v>
      </c>
      <c r="M244" s="905">
        <v>9</v>
      </c>
      <c r="N244" s="905">
        <v>3</v>
      </c>
      <c r="O244" s="905">
        <v>99999</v>
      </c>
      <c r="P244" s="1007">
        <f t="shared" ca="1" si="15"/>
        <v>0</v>
      </c>
      <c r="Q244" s="234">
        <f ca="1">Financeiros!D71</f>
        <v>0</v>
      </c>
    </row>
    <row r="245" spans="1:17" ht="15.75">
      <c r="A245" s="905" t="s">
        <v>772</v>
      </c>
      <c r="B245" s="905" t="s">
        <v>1376</v>
      </c>
      <c r="C245" s="905" t="str">
        <f>Financeiros!C72</f>
        <v>Conta Escassez H. - Diferimento de energia - RTA 2022 - Perda Não Técnica</v>
      </c>
      <c r="D245" s="905">
        <v>2</v>
      </c>
      <c r="E245" s="905">
        <v>2</v>
      </c>
      <c r="F245" s="905">
        <f>Financeiros!F72</f>
        <v>22</v>
      </c>
      <c r="G245" s="905">
        <f>Financeiros!G72</f>
        <v>60</v>
      </c>
      <c r="H245" s="905">
        <f>Financeiros!H72</f>
        <v>240</v>
      </c>
      <c r="I245" s="905">
        <f>Financeiros!I72</f>
        <v>2</v>
      </c>
      <c r="J245" s="905">
        <f>Financeiros!J72</f>
        <v>9</v>
      </c>
      <c r="K245" s="905">
        <f>Financeiros!K72</f>
        <v>9</v>
      </c>
      <c r="L245" s="905">
        <v>99</v>
      </c>
      <c r="M245" s="905">
        <v>9</v>
      </c>
      <c r="N245" s="905">
        <v>3</v>
      </c>
      <c r="O245" s="905">
        <v>99999</v>
      </c>
      <c r="P245" s="1007">
        <f t="shared" ca="1" si="15"/>
        <v>0</v>
      </c>
      <c r="Q245" s="234">
        <f ca="1">Financeiros!D72</f>
        <v>0</v>
      </c>
    </row>
    <row r="246" spans="1:17" ht="15.75">
      <c r="A246" s="905" t="s">
        <v>772</v>
      </c>
      <c r="B246" s="905" t="s">
        <v>1376</v>
      </c>
      <c r="C246" s="905" t="str">
        <f>Financeiros!C73</f>
        <v>Conta Escassez H. - Diferimento de energia - RTA 2022 - Perda Técnica</v>
      </c>
      <c r="D246" s="905">
        <v>2</v>
      </c>
      <c r="E246" s="905">
        <v>2</v>
      </c>
      <c r="F246" s="905">
        <f>Financeiros!F73</f>
        <v>22</v>
      </c>
      <c r="G246" s="905">
        <f>Financeiros!G73</f>
        <v>60</v>
      </c>
      <c r="H246" s="905">
        <f>Financeiros!H73</f>
        <v>240</v>
      </c>
      <c r="I246" s="905">
        <f>Financeiros!I73</f>
        <v>2</v>
      </c>
      <c r="J246" s="905">
        <f>Financeiros!J73</f>
        <v>8</v>
      </c>
      <c r="K246" s="905">
        <f>Financeiros!K73</f>
        <v>9</v>
      </c>
      <c r="L246" s="905">
        <v>99</v>
      </c>
      <c r="M246" s="905">
        <v>9</v>
      </c>
      <c r="N246" s="905">
        <v>3</v>
      </c>
      <c r="O246" s="905">
        <v>99999</v>
      </c>
      <c r="P246" s="1007">
        <f t="shared" ca="1" si="15"/>
        <v>0</v>
      </c>
      <c r="Q246" s="234">
        <f ca="1">Financeiros!D73</f>
        <v>0</v>
      </c>
    </row>
    <row r="247" spans="1:17" ht="15.75">
      <c r="A247" s="905" t="s">
        <v>772</v>
      </c>
      <c r="B247" s="905" t="s">
        <v>1376</v>
      </c>
      <c r="C247" s="905" t="str">
        <f>Financeiros!C74</f>
        <v>Conta Escassez H. - Diferimento de energia - RTA 2022 - Perda RB Perda RB sobre Dist.</v>
      </c>
      <c r="D247" s="905">
        <v>2</v>
      </c>
      <c r="E247" s="905">
        <v>2</v>
      </c>
      <c r="F247" s="905">
        <f>Financeiros!F74</f>
        <v>22</v>
      </c>
      <c r="G247" s="905">
        <f>Financeiros!G74</f>
        <v>60</v>
      </c>
      <c r="H247" s="905">
        <f>Financeiros!H74</f>
        <v>240</v>
      </c>
      <c r="I247" s="905">
        <f>Financeiros!I74</f>
        <v>2</v>
      </c>
      <c r="J247" s="905">
        <f>Financeiros!J74</f>
        <v>10</v>
      </c>
      <c r="K247" s="905">
        <f>Financeiros!K74</f>
        <v>9</v>
      </c>
      <c r="L247" s="905">
        <v>99</v>
      </c>
      <c r="M247" s="905">
        <v>9</v>
      </c>
      <c r="N247" s="905">
        <v>3</v>
      </c>
      <c r="O247" s="905">
        <v>99999</v>
      </c>
      <c r="P247" s="1007">
        <f t="shared" ca="1" si="15"/>
        <v>0</v>
      </c>
      <c r="Q247" s="234">
        <f ca="1">Financeiros!D74</f>
        <v>0</v>
      </c>
    </row>
    <row r="248" spans="1:17" ht="15.75">
      <c r="A248" s="905" t="s">
        <v>772</v>
      </c>
      <c r="B248" s="905" t="s">
        <v>1376</v>
      </c>
      <c r="C248" s="905" t="str">
        <f>Financeiros!C75</f>
        <v>Conta Escassez H. - Diferimento de energia - RTA 2022 - Perda RB sobre Merc. Cat.</v>
      </c>
      <c r="D248" s="905">
        <v>2</v>
      </c>
      <c r="E248" s="905">
        <v>2</v>
      </c>
      <c r="F248" s="905">
        <f>Financeiros!F75</f>
        <v>22</v>
      </c>
      <c r="G248" s="905">
        <f>Financeiros!G75</f>
        <v>60</v>
      </c>
      <c r="H248" s="905">
        <f>Financeiros!H75</f>
        <v>240</v>
      </c>
      <c r="I248" s="905">
        <f>Financeiros!I75</f>
        <v>2</v>
      </c>
      <c r="J248" s="905">
        <f>Financeiros!J75</f>
        <v>24</v>
      </c>
      <c r="K248" s="905">
        <f>Financeiros!K75</f>
        <v>9</v>
      </c>
      <c r="L248" s="905">
        <v>99</v>
      </c>
      <c r="M248" s="905">
        <v>9</v>
      </c>
      <c r="N248" s="905">
        <v>3</v>
      </c>
      <c r="O248" s="905">
        <v>99999</v>
      </c>
      <c r="P248" s="1007">
        <f t="shared" ca="1" si="15"/>
        <v>0</v>
      </c>
      <c r="Q248" s="234">
        <f ca="1">Financeiros!D75</f>
        <v>0</v>
      </c>
    </row>
    <row r="249" spans="1:17" ht="15.75">
      <c r="A249" s="905" t="s">
        <v>772</v>
      </c>
      <c r="B249" s="905" t="s">
        <v>1376</v>
      </c>
      <c r="C249" s="905">
        <f>Financeiros!C76</f>
        <v>0</v>
      </c>
      <c r="D249" s="905">
        <v>2</v>
      </c>
      <c r="E249" s="905">
        <v>2</v>
      </c>
      <c r="F249" s="905">
        <v>999</v>
      </c>
      <c r="G249" s="905">
        <v>999999</v>
      </c>
      <c r="H249" s="905">
        <v>999</v>
      </c>
      <c r="I249" s="905">
        <v>99</v>
      </c>
      <c r="J249" s="905">
        <v>999</v>
      </c>
      <c r="K249" s="905">
        <v>9</v>
      </c>
      <c r="L249" s="905">
        <v>99</v>
      </c>
      <c r="M249" s="905">
        <v>9</v>
      </c>
      <c r="N249" s="905">
        <v>3</v>
      </c>
      <c r="O249" s="905">
        <v>99999</v>
      </c>
      <c r="P249" s="1007">
        <f t="shared" si="15"/>
        <v>0</v>
      </c>
      <c r="Q249" s="234">
        <f>Financeiros!D76</f>
        <v>0</v>
      </c>
    </row>
    <row r="250" spans="1:17" ht="15.75">
      <c r="A250" s="905" t="s">
        <v>772</v>
      </c>
      <c r="B250" s="905" t="s">
        <v>1376</v>
      </c>
      <c r="C250" s="905">
        <f>Financeiros!C77</f>
        <v>0</v>
      </c>
      <c r="D250" s="905">
        <v>2</v>
      </c>
      <c r="E250" s="905">
        <v>2</v>
      </c>
      <c r="F250" s="905">
        <v>999</v>
      </c>
      <c r="G250" s="905">
        <v>999999</v>
      </c>
      <c r="H250" s="905">
        <v>999</v>
      </c>
      <c r="I250" s="905">
        <v>99</v>
      </c>
      <c r="J250" s="905">
        <v>999</v>
      </c>
      <c r="K250" s="905">
        <v>9</v>
      </c>
      <c r="L250" s="905">
        <v>99</v>
      </c>
      <c r="M250" s="905">
        <v>9</v>
      </c>
      <c r="N250" s="905">
        <v>3</v>
      </c>
      <c r="O250" s="905">
        <v>99999</v>
      </c>
      <c r="P250" s="1007">
        <f t="shared" si="15"/>
        <v>0</v>
      </c>
      <c r="Q250" s="234">
        <f>Financeiros!D77</f>
        <v>0</v>
      </c>
    </row>
    <row r="251" spans="1:17" ht="15.75">
      <c r="A251" s="905" t="s">
        <v>772</v>
      </c>
      <c r="B251" s="905" t="s">
        <v>1376</v>
      </c>
      <c r="C251" s="905">
        <f>Financeiros!C78</f>
        <v>0</v>
      </c>
      <c r="D251" s="905">
        <v>2</v>
      </c>
      <c r="E251" s="905">
        <v>2</v>
      </c>
      <c r="F251" s="905">
        <v>999</v>
      </c>
      <c r="G251" s="905">
        <v>999999</v>
      </c>
      <c r="H251" s="905">
        <v>999</v>
      </c>
      <c r="I251" s="905">
        <v>99</v>
      </c>
      <c r="J251" s="905">
        <v>999</v>
      </c>
      <c r="K251" s="905">
        <v>9</v>
      </c>
      <c r="L251" s="905">
        <v>99</v>
      </c>
      <c r="M251" s="905">
        <v>9</v>
      </c>
      <c r="N251" s="905">
        <v>3</v>
      </c>
      <c r="O251" s="905">
        <v>99999</v>
      </c>
      <c r="P251" s="1007">
        <f t="shared" si="15"/>
        <v>0</v>
      </c>
      <c r="Q251" s="234">
        <f>Financeiros!D78</f>
        <v>0</v>
      </c>
    </row>
    <row r="252" spans="1:17" ht="15.75">
      <c r="A252" s="905" t="s">
        <v>772</v>
      </c>
      <c r="B252" s="905" t="s">
        <v>1376</v>
      </c>
      <c r="C252" s="905">
        <f>Financeiros!C79</f>
        <v>0</v>
      </c>
      <c r="D252" s="905">
        <v>2</v>
      </c>
      <c r="E252" s="905">
        <v>2</v>
      </c>
      <c r="F252" s="905">
        <v>999</v>
      </c>
      <c r="G252" s="905">
        <v>999999</v>
      </c>
      <c r="H252" s="905">
        <v>999</v>
      </c>
      <c r="I252" s="905">
        <v>99</v>
      </c>
      <c r="J252" s="905">
        <v>999</v>
      </c>
      <c r="K252" s="905">
        <v>9</v>
      </c>
      <c r="L252" s="905">
        <v>99</v>
      </c>
      <c r="M252" s="905">
        <v>9</v>
      </c>
      <c r="N252" s="905">
        <v>3</v>
      </c>
      <c r="O252" s="905">
        <v>99999</v>
      </c>
      <c r="P252" s="1007">
        <f t="shared" si="15"/>
        <v>0</v>
      </c>
      <c r="Q252" s="234">
        <f>Financeiros!D79</f>
        <v>0</v>
      </c>
    </row>
    <row r="253" spans="1:17" ht="15.75">
      <c r="A253" s="905" t="s">
        <v>772</v>
      </c>
      <c r="B253" s="905" t="s">
        <v>1376</v>
      </c>
      <c r="C253" s="905">
        <f>Financeiros!C80</f>
        <v>0</v>
      </c>
      <c r="D253" s="905">
        <v>2</v>
      </c>
      <c r="E253" s="905">
        <v>2</v>
      </c>
      <c r="F253" s="905">
        <v>999</v>
      </c>
      <c r="G253" s="905">
        <v>999999</v>
      </c>
      <c r="H253" s="905">
        <v>999</v>
      </c>
      <c r="I253" s="905">
        <v>99</v>
      </c>
      <c r="J253" s="905">
        <v>999</v>
      </c>
      <c r="K253" s="905">
        <v>9</v>
      </c>
      <c r="L253" s="905">
        <v>99</v>
      </c>
      <c r="M253" s="905">
        <v>9</v>
      </c>
      <c r="N253" s="905">
        <v>3</v>
      </c>
      <c r="O253" s="905">
        <v>99999</v>
      </c>
      <c r="P253" s="1007">
        <f t="shared" si="15"/>
        <v>0</v>
      </c>
      <c r="Q253" s="234">
        <f>Financeiros!D80</f>
        <v>0</v>
      </c>
    </row>
    <row r="254" spans="1:17" ht="15.75">
      <c r="A254" s="905" t="s">
        <v>772</v>
      </c>
      <c r="B254" s="905" t="s">
        <v>1376</v>
      </c>
      <c r="C254" s="905">
        <f>Financeiros!C81</f>
        <v>0</v>
      </c>
      <c r="D254" s="905">
        <v>2</v>
      </c>
      <c r="E254" s="905">
        <v>2</v>
      </c>
      <c r="F254" s="905">
        <v>999</v>
      </c>
      <c r="G254" s="905">
        <v>999999</v>
      </c>
      <c r="H254" s="905">
        <v>999</v>
      </c>
      <c r="I254" s="905">
        <v>99</v>
      </c>
      <c r="J254" s="905">
        <v>999</v>
      </c>
      <c r="K254" s="905">
        <v>9</v>
      </c>
      <c r="L254" s="905">
        <v>99</v>
      </c>
      <c r="M254" s="905">
        <v>9</v>
      </c>
      <c r="N254" s="905">
        <v>3</v>
      </c>
      <c r="O254" s="905">
        <v>99999</v>
      </c>
      <c r="P254" s="1007">
        <f t="shared" si="15"/>
        <v>0</v>
      </c>
      <c r="Q254" s="234">
        <f>Financeiros!D81</f>
        <v>0</v>
      </c>
    </row>
    <row r="255" spans="1:17" ht="15.75">
      <c r="A255" s="905" t="s">
        <v>772</v>
      </c>
      <c r="B255" s="905" t="s">
        <v>1376</v>
      </c>
      <c r="C255" s="905" t="str">
        <f>Financeiros!C82</f>
        <v>Reversão de Risco Hidrológico</v>
      </c>
      <c r="D255" s="905">
        <v>2</v>
      </c>
      <c r="E255" s="905">
        <v>2</v>
      </c>
      <c r="F255" s="905">
        <f>Financeiros!F82</f>
        <v>22</v>
      </c>
      <c r="G255" s="905">
        <f>Financeiros!G82</f>
        <v>62</v>
      </c>
      <c r="H255" s="905">
        <f>Financeiros!H82</f>
        <v>220</v>
      </c>
      <c r="I255" s="905">
        <f>Financeiros!I82</f>
        <v>2</v>
      </c>
      <c r="J255" s="905">
        <f>Financeiros!J82</f>
        <v>30</v>
      </c>
      <c r="K255" s="905">
        <v>9</v>
      </c>
      <c r="L255" s="905">
        <v>99</v>
      </c>
      <c r="M255" s="905">
        <v>9</v>
      </c>
      <c r="N255" s="905">
        <v>3</v>
      </c>
      <c r="O255" s="905">
        <v>99999</v>
      </c>
      <c r="P255" s="1007">
        <f t="shared" ref="P255" ca="1" si="16">IF(ISNUMBER(Q255),Q255,0)</f>
        <v>0</v>
      </c>
      <c r="Q255" s="234">
        <f ca="1">Financeiros!D82</f>
        <v>0</v>
      </c>
    </row>
    <row r="256" spans="1:17" ht="15.75">
      <c r="A256" s="905" t="s">
        <v>772</v>
      </c>
      <c r="B256" s="905" t="s">
        <v>1376</v>
      </c>
      <c r="C256" s="905" t="s">
        <v>1623</v>
      </c>
      <c r="D256" s="905">
        <v>5</v>
      </c>
      <c r="E256" s="905">
        <v>2</v>
      </c>
      <c r="F256" s="905">
        <v>19</v>
      </c>
      <c r="G256" s="905">
        <v>65</v>
      </c>
      <c r="H256" s="905">
        <v>172</v>
      </c>
      <c r="I256" s="905">
        <v>1</v>
      </c>
      <c r="J256" s="905">
        <v>1</v>
      </c>
      <c r="K256" s="905">
        <v>9</v>
      </c>
      <c r="L256" s="905">
        <v>99</v>
      </c>
      <c r="M256" s="905">
        <v>9</v>
      </c>
      <c r="N256" s="905">
        <v>3</v>
      </c>
      <c r="O256" s="905">
        <v>99999</v>
      </c>
      <c r="P256" s="1007">
        <f t="shared" si="15"/>
        <v>0</v>
      </c>
      <c r="Q256" s="234">
        <f>CVE!$D$12</f>
        <v>0</v>
      </c>
    </row>
    <row r="257" spans="1:17" ht="15.75">
      <c r="A257" s="905" t="s">
        <v>772</v>
      </c>
      <c r="B257" s="905" t="s">
        <v>1376</v>
      </c>
      <c r="C257" s="905" t="s">
        <v>1624</v>
      </c>
      <c r="D257" s="905">
        <v>5</v>
      </c>
      <c r="E257" s="905">
        <v>2</v>
      </c>
      <c r="F257" s="905">
        <v>19</v>
      </c>
      <c r="G257" s="905">
        <v>65</v>
      </c>
      <c r="H257" s="905">
        <v>172</v>
      </c>
      <c r="I257" s="905">
        <v>1</v>
      </c>
      <c r="J257" s="905">
        <v>21</v>
      </c>
      <c r="K257" s="905">
        <v>9</v>
      </c>
      <c r="L257" s="905">
        <v>99</v>
      </c>
      <c r="M257" s="905">
        <v>9</v>
      </c>
      <c r="N257" s="905">
        <v>3</v>
      </c>
      <c r="O257" s="905">
        <v>99999</v>
      </c>
      <c r="P257" s="1007">
        <f t="shared" si="15"/>
        <v>0</v>
      </c>
      <c r="Q257" s="234">
        <f>CVE!$D$15</f>
        <v>0</v>
      </c>
    </row>
    <row r="258" spans="1:17" ht="15.75">
      <c r="A258" s="905" t="s">
        <v>772</v>
      </c>
      <c r="B258" s="905" t="s">
        <v>1376</v>
      </c>
      <c r="C258" s="905" t="s">
        <v>1625</v>
      </c>
      <c r="D258" s="905">
        <v>5</v>
      </c>
      <c r="E258" s="905">
        <v>2</v>
      </c>
      <c r="F258" s="905">
        <v>19</v>
      </c>
      <c r="G258" s="905">
        <v>65</v>
      </c>
      <c r="H258" s="905">
        <v>172</v>
      </c>
      <c r="I258" s="905">
        <v>2</v>
      </c>
      <c r="J258" s="905">
        <v>999</v>
      </c>
      <c r="K258" s="905">
        <v>9</v>
      </c>
      <c r="L258" s="905">
        <v>99</v>
      </c>
      <c r="M258" s="905">
        <v>9</v>
      </c>
      <c r="N258" s="905">
        <v>3</v>
      </c>
      <c r="O258" s="905">
        <v>99999</v>
      </c>
      <c r="P258" s="1007">
        <f t="shared" si="15"/>
        <v>0</v>
      </c>
      <c r="Q258" s="234">
        <f>CVE!$D$13</f>
        <v>0</v>
      </c>
    </row>
    <row r="259" spans="1:17" ht="15.75">
      <c r="A259" s="905" t="s">
        <v>772</v>
      </c>
      <c r="B259" s="905" t="s">
        <v>1376</v>
      </c>
      <c r="C259" s="905" t="s">
        <v>1626</v>
      </c>
      <c r="D259" s="905">
        <v>5</v>
      </c>
      <c r="E259" s="905">
        <v>2</v>
      </c>
      <c r="F259" s="905">
        <v>19</v>
      </c>
      <c r="G259" s="905">
        <v>65</v>
      </c>
      <c r="H259" s="905">
        <v>172</v>
      </c>
      <c r="I259" s="905">
        <v>3</v>
      </c>
      <c r="J259" s="905">
        <v>13</v>
      </c>
      <c r="K259" s="905">
        <v>9</v>
      </c>
      <c r="L259" s="905">
        <v>99</v>
      </c>
      <c r="M259" s="905">
        <v>9</v>
      </c>
      <c r="N259" s="905">
        <v>3</v>
      </c>
      <c r="O259" s="905">
        <v>99999</v>
      </c>
      <c r="P259" s="1007">
        <f t="shared" si="15"/>
        <v>0</v>
      </c>
      <c r="Q259" s="234">
        <f>CVE!$D$9</f>
        <v>0</v>
      </c>
    </row>
    <row r="260" spans="1:17" ht="15.75">
      <c r="A260" s="905" t="s">
        <v>772</v>
      </c>
      <c r="B260" s="905" t="s">
        <v>1376</v>
      </c>
      <c r="C260" s="905" t="s">
        <v>1627</v>
      </c>
      <c r="D260" s="905">
        <v>5</v>
      </c>
      <c r="E260" s="905">
        <v>2</v>
      </c>
      <c r="F260" s="905">
        <v>19</v>
      </c>
      <c r="G260" s="905">
        <v>65</v>
      </c>
      <c r="H260" s="905">
        <v>172</v>
      </c>
      <c r="I260" s="905">
        <v>3</v>
      </c>
      <c r="J260" s="905">
        <v>15</v>
      </c>
      <c r="K260" s="905">
        <v>9</v>
      </c>
      <c r="L260" s="905">
        <v>99</v>
      </c>
      <c r="M260" s="905">
        <v>9</v>
      </c>
      <c r="N260" s="905">
        <v>3</v>
      </c>
      <c r="O260" s="905">
        <v>99999</v>
      </c>
      <c r="P260" s="1007">
        <f t="shared" si="15"/>
        <v>0</v>
      </c>
      <c r="Q260" s="234">
        <f>CVE!$D$10</f>
        <v>0</v>
      </c>
    </row>
    <row r="261" spans="1:17" ht="15.75">
      <c r="A261" s="905" t="s">
        <v>772</v>
      </c>
      <c r="B261" s="905" t="s">
        <v>1376</v>
      </c>
      <c r="C261" s="905" t="s">
        <v>1628</v>
      </c>
      <c r="D261" s="905">
        <v>5</v>
      </c>
      <c r="E261" s="905">
        <v>2</v>
      </c>
      <c r="F261" s="905">
        <v>19</v>
      </c>
      <c r="G261" s="905">
        <v>65</v>
      </c>
      <c r="H261" s="905">
        <v>172</v>
      </c>
      <c r="I261" s="905">
        <v>3</v>
      </c>
      <c r="J261" s="905">
        <v>16</v>
      </c>
      <c r="K261" s="905">
        <v>9</v>
      </c>
      <c r="L261" s="905">
        <v>99</v>
      </c>
      <c r="M261" s="905">
        <v>9</v>
      </c>
      <c r="N261" s="905">
        <v>3</v>
      </c>
      <c r="O261" s="905">
        <v>99999</v>
      </c>
      <c r="P261" s="1007">
        <f t="shared" si="15"/>
        <v>0</v>
      </c>
      <c r="Q261" s="234">
        <f>CVE!$D$14</f>
        <v>0</v>
      </c>
    </row>
    <row r="262" spans="1:17" ht="15.75">
      <c r="A262" s="905" t="s">
        <v>772</v>
      </c>
      <c r="B262" s="905" t="s">
        <v>1376</v>
      </c>
      <c r="C262" s="905" t="s">
        <v>1629</v>
      </c>
      <c r="D262" s="905">
        <v>5</v>
      </c>
      <c r="E262" s="905">
        <v>2</v>
      </c>
      <c r="F262" s="905">
        <v>19</v>
      </c>
      <c r="G262" s="905">
        <v>65</v>
      </c>
      <c r="H262" s="905">
        <v>172</v>
      </c>
      <c r="I262" s="905">
        <v>3</v>
      </c>
      <c r="J262" s="905">
        <v>17</v>
      </c>
      <c r="K262" s="905">
        <v>9</v>
      </c>
      <c r="L262" s="905">
        <v>99</v>
      </c>
      <c r="M262" s="905">
        <v>9</v>
      </c>
      <c r="N262" s="905">
        <v>3</v>
      </c>
      <c r="O262" s="905">
        <v>99999</v>
      </c>
      <c r="P262" s="1007">
        <f t="shared" si="15"/>
        <v>0</v>
      </c>
      <c r="Q262" s="234">
        <f>CVE!$D$17</f>
        <v>0</v>
      </c>
    </row>
    <row r="263" spans="1:17" ht="15.75">
      <c r="A263" s="905" t="s">
        <v>772</v>
      </c>
      <c r="B263" s="905" t="s">
        <v>1376</v>
      </c>
      <c r="C263" s="905" t="s">
        <v>1630</v>
      </c>
      <c r="D263" s="905">
        <v>5</v>
      </c>
      <c r="E263" s="905">
        <v>2</v>
      </c>
      <c r="F263" s="905">
        <v>19</v>
      </c>
      <c r="G263" s="905">
        <v>65</v>
      </c>
      <c r="H263" s="905">
        <v>172</v>
      </c>
      <c r="I263" s="905">
        <v>3</v>
      </c>
      <c r="J263" s="905">
        <v>18</v>
      </c>
      <c r="K263" s="905">
        <v>9</v>
      </c>
      <c r="L263" s="905">
        <v>99</v>
      </c>
      <c r="M263" s="905">
        <v>9</v>
      </c>
      <c r="N263" s="905">
        <v>3</v>
      </c>
      <c r="O263" s="905">
        <v>99999</v>
      </c>
      <c r="P263" s="1007">
        <f t="shared" si="15"/>
        <v>0</v>
      </c>
      <c r="Q263" s="234">
        <f>CVE!$D$16</f>
        <v>0</v>
      </c>
    </row>
    <row r="264" spans="1:17" ht="15.75">
      <c r="A264" s="905" t="s">
        <v>772</v>
      </c>
      <c r="B264" s="905" t="s">
        <v>1376</v>
      </c>
      <c r="C264" s="905" t="s">
        <v>1396</v>
      </c>
      <c r="D264" s="905">
        <v>5</v>
      </c>
      <c r="E264" s="905">
        <v>2</v>
      </c>
      <c r="F264" s="905">
        <v>19</v>
      </c>
      <c r="G264" s="905">
        <v>65</v>
      </c>
      <c r="H264" s="905">
        <v>172</v>
      </c>
      <c r="I264" s="905">
        <v>2</v>
      </c>
      <c r="J264" s="905">
        <v>25</v>
      </c>
      <c r="K264" s="905">
        <v>9</v>
      </c>
      <c r="L264" s="905">
        <v>99</v>
      </c>
      <c r="M264" s="905">
        <v>9</v>
      </c>
      <c r="N264" s="905">
        <v>3</v>
      </c>
      <c r="O264" s="905">
        <v>99999</v>
      </c>
      <c r="P264" s="1007">
        <f t="shared" si="15"/>
        <v>0</v>
      </c>
      <c r="Q264" s="234">
        <f>CVE!$D$11</f>
        <v>0</v>
      </c>
    </row>
    <row r="265" spans="1:17" ht="15.75">
      <c r="A265" s="905" t="s">
        <v>1631</v>
      </c>
      <c r="B265" s="905" t="s">
        <v>36</v>
      </c>
      <c r="C265" s="905" t="s">
        <v>1632</v>
      </c>
      <c r="D265" s="905">
        <v>4</v>
      </c>
      <c r="E265" s="905">
        <v>2</v>
      </c>
      <c r="F265" s="905">
        <v>19</v>
      </c>
      <c r="G265" s="905">
        <v>64</v>
      </c>
      <c r="H265" s="905">
        <v>95</v>
      </c>
      <c r="I265" s="905">
        <v>3</v>
      </c>
      <c r="J265" s="905">
        <v>13</v>
      </c>
      <c r="K265" s="905">
        <v>9</v>
      </c>
      <c r="L265" s="905">
        <v>99</v>
      </c>
      <c r="M265" s="905">
        <v>9</v>
      </c>
      <c r="N265" s="905">
        <v>3</v>
      </c>
      <c r="O265" s="905">
        <v>99999</v>
      </c>
      <c r="P265" s="1007">
        <f t="shared" si="15"/>
        <v>0</v>
      </c>
      <c r="Q265" s="234">
        <f>CVE!$D$24</f>
        <v>0</v>
      </c>
    </row>
    <row r="266" spans="1:17" ht="15.75">
      <c r="A266" s="905" t="s">
        <v>1631</v>
      </c>
      <c r="B266" s="905" t="s">
        <v>36</v>
      </c>
      <c r="C266" s="905" t="s">
        <v>1633</v>
      </c>
      <c r="D266" s="905">
        <v>4</v>
      </c>
      <c r="E266" s="905">
        <v>2</v>
      </c>
      <c r="F266" s="905">
        <v>19</v>
      </c>
      <c r="G266" s="905">
        <v>64</v>
      </c>
      <c r="H266" s="905">
        <v>95</v>
      </c>
      <c r="I266" s="905">
        <v>3</v>
      </c>
      <c r="J266" s="905">
        <v>15</v>
      </c>
      <c r="K266" s="905">
        <v>9</v>
      </c>
      <c r="L266" s="905">
        <v>99</v>
      </c>
      <c r="M266" s="905">
        <v>9</v>
      </c>
      <c r="N266" s="905">
        <v>3</v>
      </c>
      <c r="O266" s="905">
        <v>99999</v>
      </c>
      <c r="P266" s="1007">
        <f t="shared" si="15"/>
        <v>0</v>
      </c>
      <c r="Q266" s="234">
        <f>CVE!$D$25</f>
        <v>0</v>
      </c>
    </row>
    <row r="267" spans="1:17" ht="15.75">
      <c r="A267" s="905" t="s">
        <v>1631</v>
      </c>
      <c r="B267" s="905" t="s">
        <v>36</v>
      </c>
      <c r="C267" s="905" t="s">
        <v>1634</v>
      </c>
      <c r="D267" s="905">
        <v>4</v>
      </c>
      <c r="E267" s="905">
        <v>2</v>
      </c>
      <c r="F267" s="905">
        <v>19</v>
      </c>
      <c r="G267" s="905">
        <v>64</v>
      </c>
      <c r="H267" s="905">
        <v>95</v>
      </c>
      <c r="I267" s="905">
        <v>2</v>
      </c>
      <c r="J267" s="905">
        <v>25</v>
      </c>
      <c r="K267" s="905">
        <v>9</v>
      </c>
      <c r="L267" s="905">
        <v>99</v>
      </c>
      <c r="M267" s="905">
        <v>9</v>
      </c>
      <c r="N267" s="905">
        <v>3</v>
      </c>
      <c r="O267" s="905">
        <v>99999</v>
      </c>
      <c r="P267" s="1007">
        <f t="shared" si="15"/>
        <v>0</v>
      </c>
      <c r="Q267" s="234">
        <f>CVE!$D$26</f>
        <v>0</v>
      </c>
    </row>
    <row r="268" spans="1:17" ht="15.75">
      <c r="A268" s="905" t="s">
        <v>1631</v>
      </c>
      <c r="B268" s="905" t="s">
        <v>36</v>
      </c>
      <c r="C268" s="905" t="s">
        <v>1635</v>
      </c>
      <c r="D268" s="905">
        <v>4</v>
      </c>
      <c r="E268" s="905">
        <v>2</v>
      </c>
      <c r="F268" s="905">
        <v>19</v>
      </c>
      <c r="G268" s="905">
        <v>64</v>
      </c>
      <c r="H268" s="905">
        <v>95</v>
      </c>
      <c r="I268" s="905">
        <v>1</v>
      </c>
      <c r="J268" s="905">
        <v>1</v>
      </c>
      <c r="K268" s="905">
        <v>9</v>
      </c>
      <c r="L268" s="905">
        <v>99</v>
      </c>
      <c r="M268" s="905">
        <v>9</v>
      </c>
      <c r="N268" s="905">
        <v>3</v>
      </c>
      <c r="O268" s="905">
        <v>99999</v>
      </c>
      <c r="P268" s="1007">
        <f t="shared" si="15"/>
        <v>0</v>
      </c>
      <c r="Q268" s="234">
        <f>CVE!$D$27</f>
        <v>0</v>
      </c>
    </row>
    <row r="269" spans="1:17" ht="15.75">
      <c r="A269" s="905" t="s">
        <v>1631</v>
      </c>
      <c r="B269" s="905" t="s">
        <v>36</v>
      </c>
      <c r="C269" s="905" t="s">
        <v>1636</v>
      </c>
      <c r="D269" s="905">
        <v>4</v>
      </c>
      <c r="E269" s="905">
        <v>2</v>
      </c>
      <c r="F269" s="905">
        <v>19</v>
      </c>
      <c r="G269" s="905">
        <v>64</v>
      </c>
      <c r="H269" s="905">
        <v>95</v>
      </c>
      <c r="I269" s="905">
        <v>2</v>
      </c>
      <c r="J269" s="905">
        <v>999</v>
      </c>
      <c r="K269" s="905">
        <v>9</v>
      </c>
      <c r="L269" s="905">
        <v>99</v>
      </c>
      <c r="M269" s="905">
        <v>9</v>
      </c>
      <c r="N269" s="905">
        <v>3</v>
      </c>
      <c r="O269" s="905">
        <v>99999</v>
      </c>
      <c r="P269" s="1007">
        <f t="shared" si="15"/>
        <v>0</v>
      </c>
      <c r="Q269" s="234">
        <f>CVE!$D$28</f>
        <v>0</v>
      </c>
    </row>
    <row r="270" spans="1:17" ht="15.75">
      <c r="A270" s="905" t="s">
        <v>1631</v>
      </c>
      <c r="B270" s="905" t="s">
        <v>36</v>
      </c>
      <c r="C270" s="905" t="s">
        <v>1637</v>
      </c>
      <c r="D270" s="905">
        <v>4</v>
      </c>
      <c r="E270" s="905">
        <v>2</v>
      </c>
      <c r="F270" s="905">
        <v>19</v>
      </c>
      <c r="G270" s="905">
        <v>64</v>
      </c>
      <c r="H270" s="905">
        <v>95</v>
      </c>
      <c r="I270" s="905">
        <v>3</v>
      </c>
      <c r="J270" s="905">
        <v>16</v>
      </c>
      <c r="K270" s="905">
        <v>9</v>
      </c>
      <c r="L270" s="905">
        <v>99</v>
      </c>
      <c r="M270" s="905">
        <v>9</v>
      </c>
      <c r="N270" s="905">
        <v>3</v>
      </c>
      <c r="O270" s="905">
        <v>99999</v>
      </c>
      <c r="P270" s="1007">
        <f t="shared" si="15"/>
        <v>0</v>
      </c>
      <c r="Q270" s="234">
        <f>CVE!$D$29</f>
        <v>0</v>
      </c>
    </row>
    <row r="271" spans="1:17" ht="15.75">
      <c r="A271" s="905" t="s">
        <v>1631</v>
      </c>
      <c r="B271" s="905" t="s">
        <v>36</v>
      </c>
      <c r="C271" s="905" t="s">
        <v>1638</v>
      </c>
      <c r="D271" s="905">
        <v>4</v>
      </c>
      <c r="E271" s="905">
        <v>2</v>
      </c>
      <c r="F271" s="905">
        <v>19</v>
      </c>
      <c r="G271" s="905">
        <v>64</v>
      </c>
      <c r="H271" s="905">
        <v>95</v>
      </c>
      <c r="I271" s="905">
        <v>1</v>
      </c>
      <c r="J271" s="905">
        <v>21</v>
      </c>
      <c r="K271" s="905">
        <v>9</v>
      </c>
      <c r="L271" s="905">
        <v>99</v>
      </c>
      <c r="M271" s="905">
        <v>9</v>
      </c>
      <c r="N271" s="905">
        <v>3</v>
      </c>
      <c r="O271" s="905">
        <v>99999</v>
      </c>
      <c r="P271" s="1007">
        <f t="shared" si="15"/>
        <v>0</v>
      </c>
      <c r="Q271" s="234">
        <f>CVE!$D$30</f>
        <v>0</v>
      </c>
    </row>
    <row r="272" spans="1:17" ht="15.75">
      <c r="A272" s="905" t="s">
        <v>1631</v>
      </c>
      <c r="B272" s="905" t="s">
        <v>36</v>
      </c>
      <c r="C272" s="905" t="s">
        <v>1639</v>
      </c>
      <c r="D272" s="905">
        <v>4</v>
      </c>
      <c r="E272" s="905">
        <v>2</v>
      </c>
      <c r="F272" s="905">
        <v>19</v>
      </c>
      <c r="G272" s="905">
        <v>64</v>
      </c>
      <c r="H272" s="905">
        <v>95</v>
      </c>
      <c r="I272" s="905">
        <v>3</v>
      </c>
      <c r="J272" s="905">
        <v>18</v>
      </c>
      <c r="K272" s="905">
        <v>9</v>
      </c>
      <c r="L272" s="905">
        <v>99</v>
      </c>
      <c r="M272" s="905">
        <v>9</v>
      </c>
      <c r="N272" s="905">
        <v>3</v>
      </c>
      <c r="O272" s="905">
        <v>99999</v>
      </c>
      <c r="P272" s="1007">
        <f t="shared" si="15"/>
        <v>0</v>
      </c>
      <c r="Q272" s="234">
        <f>CVE!$D$31</f>
        <v>0</v>
      </c>
    </row>
    <row r="273" spans="1:17" ht="15.75">
      <c r="A273" s="905" t="s">
        <v>1631</v>
      </c>
      <c r="B273" s="905" t="s">
        <v>36</v>
      </c>
      <c r="C273" s="905" t="s">
        <v>1640</v>
      </c>
      <c r="D273" s="905">
        <v>4</v>
      </c>
      <c r="E273" s="905">
        <v>2</v>
      </c>
      <c r="F273" s="905">
        <v>19</v>
      </c>
      <c r="G273" s="905">
        <v>64</v>
      </c>
      <c r="H273" s="905">
        <v>95</v>
      </c>
      <c r="I273" s="905">
        <v>3</v>
      </c>
      <c r="J273" s="905">
        <v>17</v>
      </c>
      <c r="K273" s="905">
        <v>9</v>
      </c>
      <c r="L273" s="905">
        <v>99</v>
      </c>
      <c r="M273" s="905">
        <v>9</v>
      </c>
      <c r="N273" s="905">
        <v>3</v>
      </c>
      <c r="O273" s="905">
        <v>99999</v>
      </c>
      <c r="P273" s="1007">
        <f t="shared" si="15"/>
        <v>0</v>
      </c>
      <c r="Q273" s="234">
        <f>CVE!$D$32</f>
        <v>0</v>
      </c>
    </row>
    <row r="274" spans="1:17" ht="15.75">
      <c r="A274" s="905" t="s">
        <v>772</v>
      </c>
      <c r="B274" s="905" t="s">
        <v>120</v>
      </c>
      <c r="C274" s="905" t="str">
        <f>Energia!$B$20</f>
        <v>Angra</v>
      </c>
      <c r="D274" s="905">
        <v>1</v>
      </c>
      <c r="E274" s="905">
        <v>1</v>
      </c>
      <c r="F274" s="905">
        <v>8</v>
      </c>
      <c r="G274" s="905">
        <v>999999</v>
      </c>
      <c r="H274" s="905">
        <v>999</v>
      </c>
      <c r="I274" s="905">
        <v>2</v>
      </c>
      <c r="J274" s="905">
        <v>999</v>
      </c>
      <c r="K274" s="905">
        <v>9</v>
      </c>
      <c r="L274" s="905">
        <v>99</v>
      </c>
      <c r="M274" s="905">
        <v>9</v>
      </c>
      <c r="N274" s="905">
        <v>2</v>
      </c>
      <c r="O274" s="905">
        <v>99999</v>
      </c>
      <c r="P274" s="1007">
        <f t="shared" ca="1" si="15"/>
        <v>702.51081413948702</v>
      </c>
      <c r="Q274" s="234">
        <f ca="1">Energia!$C$20</f>
        <v>702.51081413948702</v>
      </c>
    </row>
    <row r="275" spans="1:17" ht="15.75">
      <c r="A275" s="905" t="s">
        <v>772</v>
      </c>
      <c r="B275" s="905" t="s">
        <v>120</v>
      </c>
      <c r="C275" s="905" t="str">
        <f>Energia!B20</f>
        <v>Angra</v>
      </c>
      <c r="D275" s="905">
        <v>1</v>
      </c>
      <c r="E275" s="905">
        <v>1</v>
      </c>
      <c r="F275" s="905">
        <v>8</v>
      </c>
      <c r="G275" s="905">
        <v>999999</v>
      </c>
      <c r="H275" s="905">
        <v>999</v>
      </c>
      <c r="I275" s="905">
        <v>2</v>
      </c>
      <c r="J275" s="905">
        <v>999</v>
      </c>
      <c r="K275" s="905">
        <v>9</v>
      </c>
      <c r="L275" s="905">
        <v>99</v>
      </c>
      <c r="M275" s="905">
        <v>9</v>
      </c>
      <c r="N275" s="905">
        <v>3</v>
      </c>
      <c r="O275" s="905">
        <v>99999</v>
      </c>
      <c r="P275" s="1007">
        <f t="shared" ca="1" si="15"/>
        <v>245281.65075680189</v>
      </c>
      <c r="Q275" s="234">
        <f ca="1">Energia!$F$20</f>
        <v>245281.65075680189</v>
      </c>
    </row>
    <row r="276" spans="1:17" ht="15.75">
      <c r="A276" s="905" t="s">
        <v>772</v>
      </c>
      <c r="B276" s="905" t="s">
        <v>120</v>
      </c>
      <c r="C276" s="905" t="str">
        <f>Energia!$B$21</f>
        <v>CCGF</v>
      </c>
      <c r="D276" s="905">
        <v>1</v>
      </c>
      <c r="E276" s="905">
        <v>1</v>
      </c>
      <c r="F276" s="905">
        <v>17</v>
      </c>
      <c r="G276" s="905">
        <v>999999</v>
      </c>
      <c r="H276" s="905">
        <v>999</v>
      </c>
      <c r="I276" s="905">
        <v>2</v>
      </c>
      <c r="J276" s="905">
        <v>999</v>
      </c>
      <c r="K276" s="905">
        <v>9</v>
      </c>
      <c r="L276" s="905">
        <v>99</v>
      </c>
      <c r="M276" s="905">
        <v>9</v>
      </c>
      <c r="N276" s="905">
        <v>2</v>
      </c>
      <c r="O276" s="905">
        <v>0</v>
      </c>
      <c r="P276" s="1007">
        <f t="shared" ca="1" si="15"/>
        <v>3376.752809037554</v>
      </c>
      <c r="Q276" s="234">
        <f ca="1">Energia!$C$21</f>
        <v>3376.752809037554</v>
      </c>
    </row>
    <row r="277" spans="1:17" ht="15.75">
      <c r="A277" s="905" t="s">
        <v>772</v>
      </c>
      <c r="B277" s="905" t="s">
        <v>120</v>
      </c>
      <c r="C277" s="905" t="str">
        <f>Energia!$B$21</f>
        <v>CCGF</v>
      </c>
      <c r="D277" s="905">
        <v>1</v>
      </c>
      <c r="E277" s="905">
        <v>1</v>
      </c>
      <c r="F277" s="905">
        <v>17</v>
      </c>
      <c r="G277" s="905">
        <v>999999</v>
      </c>
      <c r="H277" s="905">
        <v>999</v>
      </c>
      <c r="I277" s="905">
        <v>2</v>
      </c>
      <c r="J277" s="905">
        <v>999</v>
      </c>
      <c r="K277" s="905">
        <v>9</v>
      </c>
      <c r="L277" s="905">
        <v>99</v>
      </c>
      <c r="M277" s="905">
        <v>9</v>
      </c>
      <c r="N277" s="905">
        <v>3</v>
      </c>
      <c r="O277" s="905">
        <v>0</v>
      </c>
      <c r="P277" s="1007">
        <f t="shared" ca="1" si="15"/>
        <v>516643.17978274578</v>
      </c>
      <c r="Q277" s="234">
        <f ca="1">Energia!$F$21</f>
        <v>516643.17978274578</v>
      </c>
    </row>
    <row r="278" spans="1:17" ht="15.75">
      <c r="A278" s="1644" t="s">
        <v>772</v>
      </c>
      <c r="B278" s="1645" t="s">
        <v>72</v>
      </c>
      <c r="C278" s="1645" t="s">
        <v>2199</v>
      </c>
      <c r="D278" s="1645">
        <v>1</v>
      </c>
      <c r="E278" s="1645">
        <v>1</v>
      </c>
      <c r="F278" s="1645">
        <v>999</v>
      </c>
      <c r="G278" s="1645">
        <v>999999</v>
      </c>
      <c r="H278" s="1645">
        <v>999</v>
      </c>
      <c r="I278" s="1645">
        <v>3</v>
      </c>
      <c r="J278" s="1645">
        <v>35</v>
      </c>
      <c r="K278" s="1645">
        <v>9</v>
      </c>
      <c r="L278" s="1645">
        <v>99</v>
      </c>
      <c r="M278" s="1645">
        <v>9</v>
      </c>
      <c r="N278" s="1645">
        <v>3</v>
      </c>
      <c r="O278" s="1645">
        <v>99999</v>
      </c>
      <c r="P278" s="1007">
        <f ca="1">IF(ISNUMBER(Q278),Q278,0)</f>
        <v>347212.89356386481</v>
      </c>
      <c r="Q278" s="994">
        <f ca="1">Encargos!L17</f>
        <v>347212.89356386481</v>
      </c>
    </row>
    <row r="279" spans="1:17" ht="15.75">
      <c r="A279" s="1646" t="s">
        <v>772</v>
      </c>
      <c r="B279" s="1646" t="s">
        <v>72</v>
      </c>
      <c r="C279" s="1646" t="s">
        <v>2201</v>
      </c>
      <c r="D279" s="1646">
        <v>2</v>
      </c>
      <c r="E279" s="1646">
        <v>1</v>
      </c>
      <c r="F279" s="1646">
        <v>51</v>
      </c>
      <c r="G279" s="1646">
        <v>999999</v>
      </c>
      <c r="H279" s="1646">
        <v>999</v>
      </c>
      <c r="I279" s="1646">
        <v>3</v>
      </c>
      <c r="J279" s="1646">
        <v>28</v>
      </c>
      <c r="K279" s="1646">
        <v>2</v>
      </c>
      <c r="L279" s="1646">
        <v>99</v>
      </c>
      <c r="M279" s="1646">
        <v>9</v>
      </c>
      <c r="N279" s="1646">
        <v>3</v>
      </c>
      <c r="O279" s="1646">
        <v>99999</v>
      </c>
      <c r="P279" s="1007">
        <f>IF(ISNUMBER(Q279),Q279,0)</f>
        <v>0</v>
      </c>
      <c r="Q279" s="994">
        <f>Encargos!I21</f>
        <v>0</v>
      </c>
    </row>
    <row r="280" spans="1:17" ht="15.75">
      <c r="A280" s="1646" t="s">
        <v>1575</v>
      </c>
      <c r="B280" s="1646" t="s">
        <v>120</v>
      </c>
      <c r="C280" s="1646" t="s">
        <v>2354</v>
      </c>
      <c r="D280" s="1646">
        <v>3</v>
      </c>
      <c r="E280" s="1646">
        <v>1</v>
      </c>
      <c r="F280" s="1646">
        <v>37</v>
      </c>
      <c r="G280" s="1646">
        <v>999999</v>
      </c>
      <c r="H280" s="1646">
        <v>999</v>
      </c>
      <c r="I280" s="1646">
        <v>99</v>
      </c>
      <c r="J280" s="1646">
        <v>999</v>
      </c>
      <c r="K280" s="1646">
        <v>9</v>
      </c>
      <c r="L280" s="1646">
        <v>99</v>
      </c>
      <c r="M280" s="1646">
        <v>9</v>
      </c>
      <c r="N280" s="1646">
        <v>8</v>
      </c>
      <c r="O280" s="1646">
        <v>99999</v>
      </c>
      <c r="P280" s="1007">
        <f ca="1">IF(ISNUMBER(Q280),Q280,0)</f>
        <v>0.14201944038778075</v>
      </c>
      <c r="Q280" s="249">
        <f ca="1">Energia!L35</f>
        <v>0.14201944038778075</v>
      </c>
    </row>
    <row r="281" spans="1:17" s="906" customFormat="1" ht="14.1" customHeight="1">
      <c r="A281" s="905" t="s">
        <v>1589</v>
      </c>
      <c r="B281" s="905" t="s">
        <v>1589</v>
      </c>
      <c r="C281" s="905" t="s">
        <v>1589</v>
      </c>
      <c r="D281" s="905">
        <v>99</v>
      </c>
      <c r="E281" s="905">
        <v>99</v>
      </c>
      <c r="F281" s="905">
        <v>999</v>
      </c>
      <c r="G281" s="905">
        <v>999999</v>
      </c>
      <c r="H281" s="905">
        <v>999</v>
      </c>
      <c r="I281" s="905">
        <v>99</v>
      </c>
      <c r="J281" s="905">
        <v>999</v>
      </c>
      <c r="K281" s="905">
        <v>9</v>
      </c>
      <c r="L281" s="905">
        <v>99</v>
      </c>
      <c r="M281" s="905">
        <v>9</v>
      </c>
      <c r="N281" s="905">
        <v>99</v>
      </c>
      <c r="O281">
        <v>99999</v>
      </c>
      <c r="P281" s="994">
        <f t="shared" si="15"/>
        <v>0</v>
      </c>
      <c r="Q281" s="994"/>
    </row>
    <row r="282" spans="1:17" s="906" customFormat="1" ht="14.1" customHeight="1">
      <c r="A282" s="905" t="s">
        <v>1589</v>
      </c>
      <c r="B282" s="905" t="s">
        <v>1589</v>
      </c>
      <c r="C282" s="905" t="s">
        <v>1589</v>
      </c>
      <c r="D282" s="905">
        <v>99</v>
      </c>
      <c r="E282" s="905">
        <v>99</v>
      </c>
      <c r="F282" s="905">
        <v>999</v>
      </c>
      <c r="G282" s="905">
        <v>999999</v>
      </c>
      <c r="H282" s="905">
        <v>999</v>
      </c>
      <c r="I282" s="905">
        <v>99</v>
      </c>
      <c r="J282" s="905">
        <v>999</v>
      </c>
      <c r="K282" s="905">
        <v>9</v>
      </c>
      <c r="L282" s="905">
        <v>99</v>
      </c>
      <c r="M282" s="905">
        <v>9</v>
      </c>
      <c r="N282" s="905">
        <v>99</v>
      </c>
      <c r="O282">
        <v>99999</v>
      </c>
      <c r="P282" s="994">
        <f t="shared" si="15"/>
        <v>0</v>
      </c>
      <c r="Q282" s="994"/>
    </row>
    <row r="283" spans="1:17" ht="15.75">
      <c r="A283" s="905"/>
      <c r="B283" s="905"/>
      <c r="C283" s="905"/>
      <c r="D283" s="905"/>
      <c r="E283" s="905"/>
      <c r="F283" s="905"/>
      <c r="G283" s="905"/>
      <c r="H283" s="905"/>
      <c r="I283" s="905"/>
      <c r="J283" s="905"/>
      <c r="K283" s="905"/>
      <c r="L283" s="905"/>
      <c r="M283" s="905"/>
      <c r="N283" s="905"/>
      <c r="O283"/>
      <c r="P283" s="994"/>
      <c r="Q283" s="994"/>
    </row>
    <row r="284" spans="1:17" ht="15.75">
      <c r="A284" s="905"/>
      <c r="B284" s="905"/>
      <c r="C284" s="905"/>
      <c r="D284" s="905"/>
      <c r="E284" s="905"/>
      <c r="F284" s="905"/>
      <c r="G284" s="905"/>
      <c r="H284" s="905"/>
      <c r="I284" s="905"/>
      <c r="J284" s="905"/>
      <c r="K284" s="905"/>
      <c r="L284" s="905"/>
      <c r="M284" s="905"/>
      <c r="N284" s="905"/>
      <c r="O284"/>
      <c r="P284" s="994"/>
      <c r="Q284" s="994"/>
    </row>
    <row r="285" spans="1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4">
        <f t="shared" ref="P285:P340" si="17">IF(ISNUMBER(Q285),Q285,0)</f>
        <v>0</v>
      </c>
      <c r="Q285" s="234"/>
    </row>
    <row r="286" spans="1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4">
        <f t="shared" si="17"/>
        <v>0</v>
      </c>
      <c r="Q286" s="234"/>
    </row>
    <row r="287" spans="1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4">
        <f t="shared" si="17"/>
        <v>0</v>
      </c>
      <c r="Q287" s="234"/>
    </row>
    <row r="288" spans="1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4">
        <f t="shared" si="17"/>
        <v>0</v>
      </c>
      <c r="Q288" s="234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4">
        <f t="shared" si="17"/>
        <v>0</v>
      </c>
      <c r="Q289" s="234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4">
        <f t="shared" si="17"/>
        <v>0</v>
      </c>
      <c r="Q290" s="234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4">
        <f t="shared" si="17"/>
        <v>0</v>
      </c>
      <c r="Q291" s="234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4">
        <f t="shared" si="17"/>
        <v>0</v>
      </c>
      <c r="Q292" s="234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4">
        <f t="shared" si="17"/>
        <v>0</v>
      </c>
      <c r="Q293" s="234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4">
        <f t="shared" si="17"/>
        <v>0</v>
      </c>
      <c r="Q294" s="234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4">
        <f t="shared" si="17"/>
        <v>0</v>
      </c>
      <c r="Q295" s="234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4">
        <f t="shared" si="17"/>
        <v>0</v>
      </c>
      <c r="Q296" s="234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4">
        <f t="shared" si="17"/>
        <v>0</v>
      </c>
      <c r="Q297" s="234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4">
        <f t="shared" si="17"/>
        <v>0</v>
      </c>
      <c r="Q298" s="234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4">
        <f t="shared" si="17"/>
        <v>0</v>
      </c>
      <c r="Q299" s="234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4">
        <f t="shared" si="17"/>
        <v>0</v>
      </c>
      <c r="Q300" s="234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4">
        <f t="shared" si="17"/>
        <v>0</v>
      </c>
      <c r="Q301" s="234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4">
        <f t="shared" si="17"/>
        <v>0</v>
      </c>
      <c r="Q302" s="234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4">
        <f t="shared" si="17"/>
        <v>0</v>
      </c>
      <c r="Q303" s="234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4">
        <f t="shared" si="17"/>
        <v>0</v>
      </c>
      <c r="Q304" s="234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4">
        <f t="shared" si="17"/>
        <v>0</v>
      </c>
      <c r="Q305" s="234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4">
        <f t="shared" si="17"/>
        <v>0</v>
      </c>
      <c r="Q306" s="234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4">
        <f t="shared" si="17"/>
        <v>0</v>
      </c>
      <c r="Q307" s="234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4">
        <f t="shared" si="17"/>
        <v>0</v>
      </c>
      <c r="Q308" s="234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4">
        <f t="shared" si="17"/>
        <v>0</v>
      </c>
      <c r="Q309" s="234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4">
        <f t="shared" si="17"/>
        <v>0</v>
      </c>
      <c r="Q310" s="234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4">
        <f t="shared" si="17"/>
        <v>0</v>
      </c>
      <c r="Q311" s="234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4">
        <f t="shared" si="17"/>
        <v>0</v>
      </c>
      <c r="Q312" s="234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4">
        <f t="shared" si="17"/>
        <v>0</v>
      </c>
      <c r="Q313" s="234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4">
        <f t="shared" si="17"/>
        <v>0</v>
      </c>
      <c r="Q314" s="234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4">
        <f t="shared" si="17"/>
        <v>0</v>
      </c>
      <c r="Q315" s="234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4">
        <f t="shared" si="17"/>
        <v>0</v>
      </c>
      <c r="Q316" s="234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4">
        <f t="shared" si="17"/>
        <v>0</v>
      </c>
      <c r="Q317" s="234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4">
        <f t="shared" si="17"/>
        <v>0</v>
      </c>
      <c r="Q318" s="234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4">
        <f t="shared" si="17"/>
        <v>0</v>
      </c>
      <c r="Q319" s="234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4">
        <f t="shared" si="17"/>
        <v>0</v>
      </c>
      <c r="Q320" s="234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4">
        <f t="shared" si="17"/>
        <v>0</v>
      </c>
      <c r="Q321" s="234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4">
        <f t="shared" si="17"/>
        <v>0</v>
      </c>
      <c r="Q322" s="234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4">
        <f t="shared" si="17"/>
        <v>0</v>
      </c>
      <c r="Q323" s="234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4">
        <f t="shared" si="17"/>
        <v>0</v>
      </c>
      <c r="Q324" s="234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4">
        <f t="shared" si="17"/>
        <v>0</v>
      </c>
      <c r="Q325" s="234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4">
        <f t="shared" si="17"/>
        <v>0</v>
      </c>
      <c r="Q326" s="234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4">
        <f t="shared" si="17"/>
        <v>0</v>
      </c>
      <c r="Q327" s="234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4">
        <f t="shared" si="17"/>
        <v>0</v>
      </c>
      <c r="Q328" s="234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4">
        <f t="shared" si="17"/>
        <v>0</v>
      </c>
      <c r="Q329" s="234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4">
        <f t="shared" si="17"/>
        <v>0</v>
      </c>
      <c r="Q330" s="234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4">
        <f t="shared" si="17"/>
        <v>0</v>
      </c>
      <c r="Q331" s="234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4">
        <f t="shared" si="17"/>
        <v>0</v>
      </c>
      <c r="Q332" s="234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4">
        <f t="shared" si="17"/>
        <v>0</v>
      </c>
      <c r="Q333" s="234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4">
        <f t="shared" si="17"/>
        <v>0</v>
      </c>
      <c r="Q334" s="234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4">
        <f t="shared" si="17"/>
        <v>0</v>
      </c>
      <c r="Q335" s="234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4">
        <f t="shared" si="17"/>
        <v>0</v>
      </c>
      <c r="Q336" s="234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4">
        <f t="shared" si="17"/>
        <v>0</v>
      </c>
      <c r="Q337" s="234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4">
        <f t="shared" si="17"/>
        <v>0</v>
      </c>
      <c r="Q338" s="234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4">
        <f t="shared" si="17"/>
        <v>0</v>
      </c>
      <c r="Q339" s="234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4">
        <f t="shared" si="17"/>
        <v>0</v>
      </c>
      <c r="Q340" s="234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4">
        <f t="shared" ref="P341:P404" si="18">IF(ISNUMBER(Q341),Q341,0)</f>
        <v>0</v>
      </c>
      <c r="Q341" s="234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4">
        <f t="shared" si="18"/>
        <v>0</v>
      </c>
      <c r="Q342" s="234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4">
        <f t="shared" si="18"/>
        <v>0</v>
      </c>
      <c r="Q343" s="234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4">
        <f t="shared" si="18"/>
        <v>0</v>
      </c>
      <c r="Q344" s="234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4">
        <f t="shared" si="18"/>
        <v>0</v>
      </c>
      <c r="Q345" s="234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4">
        <f t="shared" si="18"/>
        <v>0</v>
      </c>
      <c r="Q346" s="234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4">
        <f t="shared" si="18"/>
        <v>0</v>
      </c>
      <c r="Q347" s="234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4">
        <f t="shared" si="18"/>
        <v>0</v>
      </c>
      <c r="Q348" s="234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4">
        <f t="shared" si="18"/>
        <v>0</v>
      </c>
      <c r="Q349" s="234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4">
        <f t="shared" si="18"/>
        <v>0</v>
      </c>
      <c r="Q350" s="234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4">
        <f t="shared" si="18"/>
        <v>0</v>
      </c>
      <c r="Q351" s="234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4">
        <f t="shared" si="18"/>
        <v>0</v>
      </c>
      <c r="Q352" s="234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4">
        <f t="shared" si="18"/>
        <v>0</v>
      </c>
      <c r="Q353" s="234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4">
        <f t="shared" si="18"/>
        <v>0</v>
      </c>
      <c r="Q354" s="234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4">
        <f t="shared" si="18"/>
        <v>0</v>
      </c>
      <c r="Q355" s="234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4">
        <f t="shared" si="18"/>
        <v>0</v>
      </c>
      <c r="Q356" s="234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4">
        <f t="shared" si="18"/>
        <v>0</v>
      </c>
      <c r="Q357" s="234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4">
        <f t="shared" si="18"/>
        <v>0</v>
      </c>
      <c r="Q358" s="234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4">
        <f t="shared" si="18"/>
        <v>0</v>
      </c>
      <c r="Q359" s="234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4">
        <f t="shared" si="18"/>
        <v>0</v>
      </c>
      <c r="Q360" s="234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4">
        <f t="shared" si="18"/>
        <v>0</v>
      </c>
      <c r="Q361" s="234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4">
        <f t="shared" si="18"/>
        <v>0</v>
      </c>
      <c r="Q362" s="234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4">
        <f t="shared" si="18"/>
        <v>0</v>
      </c>
      <c r="Q363" s="234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4">
        <f t="shared" si="18"/>
        <v>0</v>
      </c>
      <c r="Q364" s="234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4">
        <f t="shared" si="18"/>
        <v>0</v>
      </c>
      <c r="Q365" s="234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4">
        <f t="shared" si="18"/>
        <v>0</v>
      </c>
      <c r="Q366" s="234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4">
        <f t="shared" si="18"/>
        <v>0</v>
      </c>
      <c r="Q367" s="234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4">
        <f t="shared" si="18"/>
        <v>0</v>
      </c>
      <c r="Q368" s="234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4">
        <f t="shared" si="18"/>
        <v>0</v>
      </c>
      <c r="Q369" s="234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4">
        <f t="shared" si="18"/>
        <v>0</v>
      </c>
      <c r="Q370" s="234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4">
        <f t="shared" si="18"/>
        <v>0</v>
      </c>
      <c r="Q371" s="234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4">
        <f t="shared" si="18"/>
        <v>0</v>
      </c>
      <c r="Q372" s="234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4">
        <f t="shared" si="18"/>
        <v>0</v>
      </c>
      <c r="Q373" s="234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4">
        <f t="shared" si="18"/>
        <v>0</v>
      </c>
      <c r="Q374" s="234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4">
        <f t="shared" si="18"/>
        <v>0</v>
      </c>
      <c r="Q375" s="234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4">
        <f t="shared" si="18"/>
        <v>0</v>
      </c>
      <c r="Q376" s="234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4">
        <f t="shared" si="18"/>
        <v>0</v>
      </c>
      <c r="Q377" s="234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4">
        <f t="shared" si="18"/>
        <v>0</v>
      </c>
      <c r="Q378" s="234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4">
        <f t="shared" si="18"/>
        <v>0</v>
      </c>
      <c r="Q379" s="234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4">
        <f t="shared" si="18"/>
        <v>0</v>
      </c>
      <c r="Q380" s="234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4">
        <f t="shared" si="18"/>
        <v>0</v>
      </c>
      <c r="Q381" s="234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4">
        <f t="shared" si="18"/>
        <v>0</v>
      </c>
      <c r="Q382" s="234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4">
        <f t="shared" si="18"/>
        <v>0</v>
      </c>
      <c r="Q383" s="234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4">
        <f t="shared" si="18"/>
        <v>0</v>
      </c>
      <c r="Q384" s="234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4">
        <f t="shared" si="18"/>
        <v>0</v>
      </c>
      <c r="Q385" s="234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4">
        <f t="shared" si="18"/>
        <v>0</v>
      </c>
      <c r="Q386" s="234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4">
        <f t="shared" si="18"/>
        <v>0</v>
      </c>
      <c r="Q387" s="234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4">
        <f t="shared" si="18"/>
        <v>0</v>
      </c>
      <c r="Q388" s="234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4">
        <f t="shared" si="18"/>
        <v>0</v>
      </c>
      <c r="Q389" s="234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4">
        <f t="shared" si="18"/>
        <v>0</v>
      </c>
      <c r="Q390" s="234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4">
        <f t="shared" si="18"/>
        <v>0</v>
      </c>
      <c r="Q391" s="234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4">
        <f t="shared" si="18"/>
        <v>0</v>
      </c>
      <c r="Q392" s="234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4">
        <f t="shared" si="18"/>
        <v>0</v>
      </c>
      <c r="Q393" s="234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4">
        <f t="shared" si="18"/>
        <v>0</v>
      </c>
      <c r="Q394" s="234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4">
        <f t="shared" si="18"/>
        <v>0</v>
      </c>
      <c r="Q395" s="234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4">
        <f t="shared" si="18"/>
        <v>0</v>
      </c>
      <c r="Q396" s="234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4">
        <f t="shared" si="18"/>
        <v>0</v>
      </c>
      <c r="Q397" s="234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4">
        <f t="shared" si="18"/>
        <v>0</v>
      </c>
      <c r="Q398" s="234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4">
        <f t="shared" si="18"/>
        <v>0</v>
      </c>
      <c r="Q399" s="234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4">
        <f t="shared" si="18"/>
        <v>0</v>
      </c>
      <c r="Q400" s="234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4">
        <f t="shared" si="18"/>
        <v>0</v>
      </c>
      <c r="Q401" s="234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4">
        <f t="shared" si="18"/>
        <v>0</v>
      </c>
      <c r="Q402" s="234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4">
        <f t="shared" si="18"/>
        <v>0</v>
      </c>
      <c r="Q403" s="234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4">
        <f t="shared" si="18"/>
        <v>0</v>
      </c>
      <c r="Q404" s="234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4">
        <f t="shared" ref="P405:P468" si="19">IF(ISNUMBER(Q405),Q405,0)</f>
        <v>0</v>
      </c>
      <c r="Q405" s="234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4">
        <f t="shared" si="19"/>
        <v>0</v>
      </c>
      <c r="Q406" s="234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4">
        <f t="shared" si="19"/>
        <v>0</v>
      </c>
      <c r="Q407" s="234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4">
        <f t="shared" si="19"/>
        <v>0</v>
      </c>
      <c r="Q408" s="234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4">
        <f t="shared" si="19"/>
        <v>0</v>
      </c>
      <c r="Q409" s="234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4">
        <f t="shared" si="19"/>
        <v>0</v>
      </c>
      <c r="Q410" s="234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4">
        <f t="shared" si="19"/>
        <v>0</v>
      </c>
      <c r="Q411" s="234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4">
        <f t="shared" si="19"/>
        <v>0</v>
      </c>
      <c r="Q412" s="234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4">
        <f t="shared" si="19"/>
        <v>0</v>
      </c>
      <c r="Q413" s="234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4">
        <f t="shared" si="19"/>
        <v>0</v>
      </c>
      <c r="Q414" s="234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4">
        <f t="shared" si="19"/>
        <v>0</v>
      </c>
      <c r="Q415" s="234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4">
        <f t="shared" si="19"/>
        <v>0</v>
      </c>
      <c r="Q416" s="234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4">
        <f t="shared" si="19"/>
        <v>0</v>
      </c>
      <c r="Q417" s="234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4">
        <f t="shared" si="19"/>
        <v>0</v>
      </c>
      <c r="Q418" s="234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4">
        <f t="shared" si="19"/>
        <v>0</v>
      </c>
      <c r="Q419" s="234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4">
        <f t="shared" si="19"/>
        <v>0</v>
      </c>
      <c r="Q420" s="234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4">
        <f t="shared" si="19"/>
        <v>0</v>
      </c>
      <c r="Q421" s="234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4">
        <f t="shared" si="19"/>
        <v>0</v>
      </c>
      <c r="Q422" s="234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4">
        <f t="shared" si="19"/>
        <v>0</v>
      </c>
      <c r="Q423" s="234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4">
        <f t="shared" si="19"/>
        <v>0</v>
      </c>
      <c r="Q424" s="234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4">
        <f t="shared" si="19"/>
        <v>0</v>
      </c>
      <c r="Q425" s="234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4">
        <f t="shared" si="19"/>
        <v>0</v>
      </c>
      <c r="Q426" s="234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4">
        <f t="shared" si="19"/>
        <v>0</v>
      </c>
      <c r="Q427" s="234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4">
        <f t="shared" si="19"/>
        <v>0</v>
      </c>
      <c r="Q428" s="234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4">
        <f t="shared" si="19"/>
        <v>0</v>
      </c>
      <c r="Q429" s="234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4">
        <f t="shared" si="19"/>
        <v>0</v>
      </c>
      <c r="Q430" s="234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4">
        <f t="shared" si="19"/>
        <v>0</v>
      </c>
      <c r="Q431" s="234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4">
        <f t="shared" si="19"/>
        <v>0</v>
      </c>
      <c r="Q432" s="234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4">
        <f t="shared" si="19"/>
        <v>0</v>
      </c>
      <c r="Q433" s="234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4">
        <f t="shared" si="19"/>
        <v>0</v>
      </c>
      <c r="Q434" s="234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4">
        <f t="shared" si="19"/>
        <v>0</v>
      </c>
      <c r="Q435" s="234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4">
        <f t="shared" si="19"/>
        <v>0</v>
      </c>
      <c r="Q436" s="234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4">
        <f t="shared" si="19"/>
        <v>0</v>
      </c>
      <c r="Q437" s="234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4">
        <f t="shared" si="19"/>
        <v>0</v>
      </c>
      <c r="Q438" s="234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4">
        <f t="shared" si="19"/>
        <v>0</v>
      </c>
      <c r="Q439" s="234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4">
        <f t="shared" si="19"/>
        <v>0</v>
      </c>
      <c r="Q440" s="234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4">
        <f t="shared" si="19"/>
        <v>0</v>
      </c>
      <c r="Q441" s="234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4">
        <f t="shared" si="19"/>
        <v>0</v>
      </c>
      <c r="Q442" s="234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4">
        <f t="shared" si="19"/>
        <v>0</v>
      </c>
      <c r="Q443" s="234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4">
        <f t="shared" si="19"/>
        <v>0</v>
      </c>
      <c r="Q444" s="234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4">
        <f t="shared" si="19"/>
        <v>0</v>
      </c>
      <c r="Q445" s="234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4">
        <f t="shared" si="19"/>
        <v>0</v>
      </c>
      <c r="Q446" s="234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4">
        <f t="shared" si="19"/>
        <v>0</v>
      </c>
      <c r="Q447" s="234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4">
        <f t="shared" si="19"/>
        <v>0</v>
      </c>
      <c r="Q448" s="234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4">
        <f t="shared" si="19"/>
        <v>0</v>
      </c>
      <c r="Q449" s="234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4">
        <f t="shared" si="19"/>
        <v>0</v>
      </c>
      <c r="Q450" s="234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4">
        <f t="shared" si="19"/>
        <v>0</v>
      </c>
      <c r="Q451" s="234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4">
        <f t="shared" si="19"/>
        <v>0</v>
      </c>
      <c r="Q452" s="234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4">
        <f t="shared" si="19"/>
        <v>0</v>
      </c>
      <c r="Q453" s="234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4">
        <f t="shared" si="19"/>
        <v>0</v>
      </c>
      <c r="Q454" s="234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4">
        <f t="shared" si="19"/>
        <v>0</v>
      </c>
      <c r="Q455" s="234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4">
        <f t="shared" si="19"/>
        <v>0</v>
      </c>
      <c r="Q456" s="234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4">
        <f t="shared" si="19"/>
        <v>0</v>
      </c>
      <c r="Q457" s="234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4">
        <f t="shared" si="19"/>
        <v>0</v>
      </c>
      <c r="Q458" s="234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4">
        <f t="shared" si="19"/>
        <v>0</v>
      </c>
      <c r="Q459" s="234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4">
        <f t="shared" si="19"/>
        <v>0</v>
      </c>
      <c r="Q460" s="234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4">
        <f t="shared" si="19"/>
        <v>0</v>
      </c>
      <c r="Q461" s="234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4">
        <f t="shared" si="19"/>
        <v>0</v>
      </c>
      <c r="Q462" s="234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4">
        <f t="shared" si="19"/>
        <v>0</v>
      </c>
      <c r="Q463" s="234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4">
        <f t="shared" si="19"/>
        <v>0</v>
      </c>
      <c r="Q464" s="234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4">
        <f t="shared" si="19"/>
        <v>0</v>
      </c>
      <c r="Q465" s="234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4">
        <f t="shared" si="19"/>
        <v>0</v>
      </c>
      <c r="Q466" s="234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4">
        <f t="shared" si="19"/>
        <v>0</v>
      </c>
      <c r="Q467" s="234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4">
        <f t="shared" si="19"/>
        <v>0</v>
      </c>
      <c r="Q468" s="234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4">
        <f t="shared" ref="P469:P532" si="20">IF(ISNUMBER(Q469),Q469,0)</f>
        <v>0</v>
      </c>
      <c r="Q469" s="234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4">
        <f t="shared" si="20"/>
        <v>0</v>
      </c>
      <c r="Q470" s="234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4">
        <f t="shared" si="20"/>
        <v>0</v>
      </c>
      <c r="Q471" s="234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4">
        <f t="shared" si="20"/>
        <v>0</v>
      </c>
      <c r="Q472" s="234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4">
        <f t="shared" si="20"/>
        <v>0</v>
      </c>
      <c r="Q473" s="234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4">
        <f t="shared" si="20"/>
        <v>0</v>
      </c>
      <c r="Q474" s="234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4">
        <f t="shared" si="20"/>
        <v>0</v>
      </c>
      <c r="Q475" s="234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4">
        <f t="shared" si="20"/>
        <v>0</v>
      </c>
      <c r="Q476" s="234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4">
        <f t="shared" si="20"/>
        <v>0</v>
      </c>
      <c r="Q477" s="234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4">
        <f t="shared" si="20"/>
        <v>0</v>
      </c>
      <c r="Q478" s="234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4">
        <f t="shared" si="20"/>
        <v>0</v>
      </c>
      <c r="Q479" s="234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4">
        <f t="shared" si="20"/>
        <v>0</v>
      </c>
      <c r="Q480" s="234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4">
        <f t="shared" si="20"/>
        <v>0</v>
      </c>
      <c r="Q481" s="234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4">
        <f t="shared" si="20"/>
        <v>0</v>
      </c>
      <c r="Q482" s="234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4">
        <f t="shared" si="20"/>
        <v>0</v>
      </c>
      <c r="Q483" s="234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4">
        <f t="shared" si="20"/>
        <v>0</v>
      </c>
      <c r="Q484" s="234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4">
        <f t="shared" si="20"/>
        <v>0</v>
      </c>
      <c r="Q485" s="234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4">
        <f t="shared" si="20"/>
        <v>0</v>
      </c>
      <c r="Q486" s="234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4">
        <f t="shared" si="20"/>
        <v>0</v>
      </c>
      <c r="Q487" s="234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4">
        <f t="shared" si="20"/>
        <v>0</v>
      </c>
      <c r="Q488" s="234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4">
        <f t="shared" si="20"/>
        <v>0</v>
      </c>
      <c r="Q489" s="234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4">
        <f t="shared" si="20"/>
        <v>0</v>
      </c>
      <c r="Q490" s="234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4">
        <f t="shared" si="20"/>
        <v>0</v>
      </c>
      <c r="Q491" s="234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4">
        <f t="shared" si="20"/>
        <v>0</v>
      </c>
      <c r="Q492" s="234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4">
        <f t="shared" si="20"/>
        <v>0</v>
      </c>
      <c r="Q493" s="234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4">
        <f t="shared" si="20"/>
        <v>0</v>
      </c>
      <c r="Q494" s="234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4">
        <f t="shared" si="20"/>
        <v>0</v>
      </c>
      <c r="Q495" s="234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4">
        <f t="shared" si="20"/>
        <v>0</v>
      </c>
      <c r="Q496" s="234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4">
        <f t="shared" si="20"/>
        <v>0</v>
      </c>
      <c r="Q497" s="234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4">
        <f t="shared" si="20"/>
        <v>0</v>
      </c>
      <c r="Q498" s="234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4">
        <f t="shared" si="20"/>
        <v>0</v>
      </c>
      <c r="Q499" s="234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4">
        <f t="shared" si="20"/>
        <v>0</v>
      </c>
      <c r="Q500" s="234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4">
        <f t="shared" si="20"/>
        <v>0</v>
      </c>
      <c r="Q501" s="234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4">
        <f t="shared" si="20"/>
        <v>0</v>
      </c>
      <c r="Q502" s="234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4">
        <f t="shared" si="20"/>
        <v>0</v>
      </c>
      <c r="Q503" s="234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4">
        <f t="shared" si="20"/>
        <v>0</v>
      </c>
      <c r="Q504" s="234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4">
        <f t="shared" si="20"/>
        <v>0</v>
      </c>
      <c r="Q505" s="234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4">
        <f t="shared" si="20"/>
        <v>0</v>
      </c>
      <c r="Q506" s="234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4">
        <f t="shared" si="20"/>
        <v>0</v>
      </c>
      <c r="Q507" s="234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4">
        <f t="shared" si="20"/>
        <v>0</v>
      </c>
      <c r="Q508" s="234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4">
        <f t="shared" si="20"/>
        <v>0</v>
      </c>
      <c r="Q509" s="234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4">
        <f t="shared" si="20"/>
        <v>0</v>
      </c>
      <c r="Q510" s="234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4">
        <f t="shared" si="20"/>
        <v>0</v>
      </c>
      <c r="Q511" s="234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4">
        <f t="shared" si="20"/>
        <v>0</v>
      </c>
      <c r="Q512" s="234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4">
        <f t="shared" si="20"/>
        <v>0</v>
      </c>
      <c r="Q513" s="234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4">
        <f t="shared" si="20"/>
        <v>0</v>
      </c>
      <c r="Q514" s="234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4">
        <f t="shared" si="20"/>
        <v>0</v>
      </c>
      <c r="Q515" s="234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4">
        <f t="shared" si="20"/>
        <v>0</v>
      </c>
      <c r="Q516" s="234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4">
        <f t="shared" si="20"/>
        <v>0</v>
      </c>
      <c r="Q517" s="234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4">
        <f t="shared" si="20"/>
        <v>0</v>
      </c>
      <c r="Q518" s="234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4">
        <f t="shared" si="20"/>
        <v>0</v>
      </c>
      <c r="Q519" s="234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4">
        <f t="shared" si="20"/>
        <v>0</v>
      </c>
      <c r="Q520" s="234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4">
        <f t="shared" si="20"/>
        <v>0</v>
      </c>
      <c r="Q521" s="234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4">
        <f t="shared" si="20"/>
        <v>0</v>
      </c>
      <c r="Q522" s="234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4">
        <f t="shared" si="20"/>
        <v>0</v>
      </c>
      <c r="Q523" s="234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4">
        <f t="shared" si="20"/>
        <v>0</v>
      </c>
      <c r="Q524" s="234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4">
        <f t="shared" si="20"/>
        <v>0</v>
      </c>
      <c r="Q525" s="234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4">
        <f t="shared" si="20"/>
        <v>0</v>
      </c>
      <c r="Q526" s="234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4">
        <f t="shared" si="20"/>
        <v>0</v>
      </c>
      <c r="Q527" s="234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4">
        <f t="shared" si="20"/>
        <v>0</v>
      </c>
      <c r="Q528" s="234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4">
        <f t="shared" si="20"/>
        <v>0</v>
      </c>
      <c r="Q529" s="234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4">
        <f t="shared" si="20"/>
        <v>0</v>
      </c>
      <c r="Q530" s="234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4">
        <f t="shared" si="20"/>
        <v>0</v>
      </c>
      <c r="Q531" s="234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4">
        <f t="shared" si="20"/>
        <v>0</v>
      </c>
      <c r="Q532" s="234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4">
        <f t="shared" ref="P533:P596" si="21">IF(ISNUMBER(Q533),Q533,0)</f>
        <v>0</v>
      </c>
      <c r="Q533" s="234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4">
        <f t="shared" si="21"/>
        <v>0</v>
      </c>
      <c r="Q534" s="234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4">
        <f t="shared" si="21"/>
        <v>0</v>
      </c>
      <c r="Q535" s="234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4">
        <f t="shared" si="21"/>
        <v>0</v>
      </c>
      <c r="Q536" s="234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4">
        <f t="shared" si="21"/>
        <v>0</v>
      </c>
      <c r="Q537" s="234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4">
        <f t="shared" si="21"/>
        <v>0</v>
      </c>
      <c r="Q538" s="234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4">
        <f t="shared" si="21"/>
        <v>0</v>
      </c>
      <c r="Q539" s="234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4">
        <f t="shared" si="21"/>
        <v>0</v>
      </c>
      <c r="Q540" s="234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4">
        <f t="shared" si="21"/>
        <v>0</v>
      </c>
      <c r="Q541" s="234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4">
        <f t="shared" si="21"/>
        <v>0</v>
      </c>
      <c r="Q542" s="234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4">
        <f t="shared" si="21"/>
        <v>0</v>
      </c>
      <c r="Q543" s="234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4">
        <f t="shared" si="21"/>
        <v>0</v>
      </c>
      <c r="Q544" s="234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4">
        <f t="shared" si="21"/>
        <v>0</v>
      </c>
      <c r="Q545" s="234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4">
        <f t="shared" si="21"/>
        <v>0</v>
      </c>
      <c r="Q546" s="234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4">
        <f t="shared" si="21"/>
        <v>0</v>
      </c>
      <c r="Q547" s="234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4">
        <f t="shared" si="21"/>
        <v>0</v>
      </c>
      <c r="Q548" s="234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4">
        <f t="shared" si="21"/>
        <v>0</v>
      </c>
      <c r="Q549" s="234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4">
        <f t="shared" si="21"/>
        <v>0</v>
      </c>
      <c r="Q550" s="234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4">
        <f t="shared" si="21"/>
        <v>0</v>
      </c>
      <c r="Q551" s="234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4">
        <f t="shared" si="21"/>
        <v>0</v>
      </c>
      <c r="Q552" s="234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4">
        <f t="shared" si="21"/>
        <v>0</v>
      </c>
      <c r="Q553" s="234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4">
        <f t="shared" si="21"/>
        <v>0</v>
      </c>
      <c r="Q554" s="234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4">
        <f t="shared" si="21"/>
        <v>0</v>
      </c>
      <c r="Q555" s="234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4">
        <f t="shared" si="21"/>
        <v>0</v>
      </c>
      <c r="Q556" s="234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4">
        <f t="shared" si="21"/>
        <v>0</v>
      </c>
      <c r="Q557" s="234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4">
        <f t="shared" si="21"/>
        <v>0</v>
      </c>
      <c r="Q558" s="234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4">
        <f t="shared" si="21"/>
        <v>0</v>
      </c>
      <c r="Q559" s="234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4">
        <f t="shared" si="21"/>
        <v>0</v>
      </c>
      <c r="Q560" s="234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4">
        <f t="shared" si="21"/>
        <v>0</v>
      </c>
      <c r="Q561" s="234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4">
        <f t="shared" si="21"/>
        <v>0</v>
      </c>
      <c r="Q562" s="234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4">
        <f t="shared" si="21"/>
        <v>0</v>
      </c>
      <c r="Q563" s="234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4">
        <f t="shared" si="21"/>
        <v>0</v>
      </c>
      <c r="Q564" s="234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4">
        <f t="shared" si="21"/>
        <v>0</v>
      </c>
      <c r="Q565" s="234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4">
        <f t="shared" si="21"/>
        <v>0</v>
      </c>
      <c r="Q566" s="234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4">
        <f t="shared" si="21"/>
        <v>0</v>
      </c>
      <c r="Q567" s="234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4">
        <f t="shared" si="21"/>
        <v>0</v>
      </c>
      <c r="Q568" s="234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4">
        <f t="shared" si="21"/>
        <v>0</v>
      </c>
      <c r="Q569" s="234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4">
        <f t="shared" si="21"/>
        <v>0</v>
      </c>
      <c r="Q570" s="234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4">
        <f t="shared" si="21"/>
        <v>0</v>
      </c>
      <c r="Q571" s="234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4">
        <f t="shared" si="21"/>
        <v>0</v>
      </c>
      <c r="Q572" s="234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4">
        <f t="shared" si="21"/>
        <v>0</v>
      </c>
      <c r="Q573" s="234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4">
        <f t="shared" si="21"/>
        <v>0</v>
      </c>
      <c r="Q574" s="234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4">
        <f t="shared" si="21"/>
        <v>0</v>
      </c>
      <c r="Q575" s="234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4">
        <f t="shared" si="21"/>
        <v>0</v>
      </c>
      <c r="Q576" s="234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4">
        <f t="shared" si="21"/>
        <v>0</v>
      </c>
      <c r="Q577" s="234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4">
        <f t="shared" si="21"/>
        <v>0</v>
      </c>
      <c r="Q578" s="234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4">
        <f t="shared" si="21"/>
        <v>0</v>
      </c>
      <c r="Q579" s="234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4">
        <f t="shared" si="21"/>
        <v>0</v>
      </c>
      <c r="Q580" s="234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4">
        <f t="shared" si="21"/>
        <v>0</v>
      </c>
      <c r="Q581" s="234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4">
        <f t="shared" si="21"/>
        <v>0</v>
      </c>
      <c r="Q582" s="234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4">
        <f t="shared" si="21"/>
        <v>0</v>
      </c>
      <c r="Q583" s="234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4">
        <f t="shared" si="21"/>
        <v>0</v>
      </c>
      <c r="Q584" s="234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4">
        <f t="shared" si="21"/>
        <v>0</v>
      </c>
      <c r="Q585" s="234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4">
        <f t="shared" si="21"/>
        <v>0</v>
      </c>
      <c r="Q586" s="234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4">
        <f t="shared" si="21"/>
        <v>0</v>
      </c>
      <c r="Q587" s="234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4">
        <f t="shared" si="21"/>
        <v>0</v>
      </c>
      <c r="Q588" s="234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4">
        <f t="shared" si="21"/>
        <v>0</v>
      </c>
      <c r="Q589" s="234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4">
        <f t="shared" si="21"/>
        <v>0</v>
      </c>
      <c r="Q590" s="234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4">
        <f t="shared" si="21"/>
        <v>0</v>
      </c>
      <c r="Q591" s="234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4">
        <f t="shared" si="21"/>
        <v>0</v>
      </c>
      <c r="Q592" s="234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4">
        <f t="shared" si="21"/>
        <v>0</v>
      </c>
      <c r="Q593" s="234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4">
        <f t="shared" si="21"/>
        <v>0</v>
      </c>
      <c r="Q594" s="234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4">
        <f t="shared" si="21"/>
        <v>0</v>
      </c>
      <c r="Q595" s="234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4">
        <f t="shared" si="21"/>
        <v>0</v>
      </c>
      <c r="Q596" s="234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4">
        <f t="shared" ref="P597:P660" si="22">IF(ISNUMBER(Q597),Q597,0)</f>
        <v>0</v>
      </c>
      <c r="Q597" s="234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4">
        <f t="shared" si="22"/>
        <v>0</v>
      </c>
      <c r="Q598" s="234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4">
        <f t="shared" si="22"/>
        <v>0</v>
      </c>
      <c r="Q599" s="234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4">
        <f t="shared" si="22"/>
        <v>0</v>
      </c>
      <c r="Q600" s="234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4">
        <f t="shared" si="22"/>
        <v>0</v>
      </c>
      <c r="Q601" s="234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4">
        <f t="shared" si="22"/>
        <v>0</v>
      </c>
      <c r="Q602" s="234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4">
        <f t="shared" si="22"/>
        <v>0</v>
      </c>
      <c r="Q603" s="234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4">
        <f t="shared" si="22"/>
        <v>0</v>
      </c>
      <c r="Q604" s="234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4">
        <f t="shared" si="22"/>
        <v>0</v>
      </c>
      <c r="Q605" s="234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4">
        <f t="shared" si="22"/>
        <v>0</v>
      </c>
      <c r="Q606" s="234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4">
        <f t="shared" si="22"/>
        <v>0</v>
      </c>
      <c r="Q607" s="234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4">
        <f t="shared" si="22"/>
        <v>0</v>
      </c>
      <c r="Q608" s="234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4">
        <f t="shared" si="22"/>
        <v>0</v>
      </c>
      <c r="Q609" s="234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4">
        <f t="shared" si="22"/>
        <v>0</v>
      </c>
      <c r="Q610" s="234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4">
        <f t="shared" si="22"/>
        <v>0</v>
      </c>
      <c r="Q611" s="234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4">
        <f t="shared" si="22"/>
        <v>0</v>
      </c>
      <c r="Q612" s="234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4">
        <f t="shared" si="22"/>
        <v>0</v>
      </c>
      <c r="Q613" s="234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4">
        <f t="shared" si="22"/>
        <v>0</v>
      </c>
      <c r="Q614" s="234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4">
        <f t="shared" si="22"/>
        <v>0</v>
      </c>
      <c r="Q615" s="234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4">
        <f t="shared" si="22"/>
        <v>0</v>
      </c>
      <c r="Q616" s="234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4">
        <f t="shared" si="22"/>
        <v>0</v>
      </c>
      <c r="Q617" s="234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4">
        <f t="shared" si="22"/>
        <v>0</v>
      </c>
      <c r="Q618" s="234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4">
        <f t="shared" si="22"/>
        <v>0</v>
      </c>
      <c r="Q619" s="234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4">
        <f t="shared" si="22"/>
        <v>0</v>
      </c>
      <c r="Q620" s="234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4">
        <f t="shared" si="22"/>
        <v>0</v>
      </c>
      <c r="Q621" s="234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4">
        <f t="shared" si="22"/>
        <v>0</v>
      </c>
      <c r="Q622" s="234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4">
        <f t="shared" si="22"/>
        <v>0</v>
      </c>
      <c r="Q623" s="234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4">
        <f t="shared" si="22"/>
        <v>0</v>
      </c>
      <c r="Q624" s="234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4">
        <f t="shared" si="22"/>
        <v>0</v>
      </c>
      <c r="Q625" s="234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4">
        <f t="shared" si="22"/>
        <v>0</v>
      </c>
      <c r="Q626" s="234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4">
        <f t="shared" si="22"/>
        <v>0</v>
      </c>
      <c r="Q627" s="234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4">
        <f t="shared" si="22"/>
        <v>0</v>
      </c>
      <c r="Q628" s="234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4">
        <f t="shared" si="22"/>
        <v>0</v>
      </c>
      <c r="Q629" s="234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4">
        <f t="shared" si="22"/>
        <v>0</v>
      </c>
      <c r="Q630" s="234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4">
        <f t="shared" si="22"/>
        <v>0</v>
      </c>
      <c r="Q631" s="234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4">
        <f t="shared" si="22"/>
        <v>0</v>
      </c>
      <c r="Q632" s="234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4">
        <f t="shared" si="22"/>
        <v>0</v>
      </c>
      <c r="Q633" s="234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4">
        <f t="shared" si="22"/>
        <v>0</v>
      </c>
      <c r="Q634" s="234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4">
        <f t="shared" si="22"/>
        <v>0</v>
      </c>
      <c r="Q635" s="234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4">
        <f t="shared" si="22"/>
        <v>0</v>
      </c>
      <c r="Q636" s="234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4">
        <f t="shared" si="22"/>
        <v>0</v>
      </c>
      <c r="Q637" s="234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4">
        <f t="shared" si="22"/>
        <v>0</v>
      </c>
      <c r="Q638" s="234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4">
        <f t="shared" si="22"/>
        <v>0</v>
      </c>
      <c r="Q639" s="234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4">
        <f t="shared" si="22"/>
        <v>0</v>
      </c>
      <c r="Q640" s="234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4">
        <f t="shared" si="22"/>
        <v>0</v>
      </c>
      <c r="Q641" s="234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4">
        <f t="shared" si="22"/>
        <v>0</v>
      </c>
      <c r="Q642" s="234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4">
        <f t="shared" si="22"/>
        <v>0</v>
      </c>
      <c r="Q643" s="234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4">
        <f t="shared" si="22"/>
        <v>0</v>
      </c>
      <c r="Q644" s="234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4">
        <f t="shared" si="22"/>
        <v>0</v>
      </c>
      <c r="Q645" s="234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4">
        <f t="shared" si="22"/>
        <v>0</v>
      </c>
      <c r="Q646" s="234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4">
        <f t="shared" si="22"/>
        <v>0</v>
      </c>
      <c r="Q647" s="234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4">
        <f t="shared" si="22"/>
        <v>0</v>
      </c>
      <c r="Q648" s="234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4">
        <f t="shared" si="22"/>
        <v>0</v>
      </c>
      <c r="Q649" s="234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4">
        <f t="shared" si="22"/>
        <v>0</v>
      </c>
      <c r="Q650" s="234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4">
        <f t="shared" si="22"/>
        <v>0</v>
      </c>
      <c r="Q651" s="234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4">
        <f t="shared" si="22"/>
        <v>0</v>
      </c>
      <c r="Q652" s="234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4">
        <f t="shared" si="22"/>
        <v>0</v>
      </c>
      <c r="Q653" s="234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4">
        <f t="shared" si="22"/>
        <v>0</v>
      </c>
      <c r="Q654" s="234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4">
        <f t="shared" si="22"/>
        <v>0</v>
      </c>
      <c r="Q655" s="234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4">
        <f t="shared" si="22"/>
        <v>0</v>
      </c>
      <c r="Q656" s="234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4">
        <f t="shared" si="22"/>
        <v>0</v>
      </c>
      <c r="Q657" s="234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4">
        <f t="shared" si="22"/>
        <v>0</v>
      </c>
      <c r="Q658" s="234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4">
        <f t="shared" si="22"/>
        <v>0</v>
      </c>
      <c r="Q659" s="234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4">
        <f t="shared" si="22"/>
        <v>0</v>
      </c>
      <c r="Q660" s="234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4">
        <f t="shared" ref="P661:P724" si="23">IF(ISNUMBER(Q661),Q661,0)</f>
        <v>0</v>
      </c>
      <c r="Q661" s="234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4">
        <f t="shared" si="23"/>
        <v>0</v>
      </c>
      <c r="Q662" s="234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4">
        <f t="shared" si="23"/>
        <v>0</v>
      </c>
      <c r="Q663" s="234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4">
        <f t="shared" si="23"/>
        <v>0</v>
      </c>
      <c r="Q664" s="234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4">
        <f t="shared" si="23"/>
        <v>0</v>
      </c>
      <c r="Q665" s="234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4">
        <f t="shared" si="23"/>
        <v>0</v>
      </c>
      <c r="Q666" s="234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4">
        <f t="shared" si="23"/>
        <v>0</v>
      </c>
      <c r="Q667" s="234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4">
        <f t="shared" si="23"/>
        <v>0</v>
      </c>
      <c r="Q668" s="234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4">
        <f t="shared" si="23"/>
        <v>0</v>
      </c>
      <c r="Q669" s="234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4">
        <f t="shared" si="23"/>
        <v>0</v>
      </c>
      <c r="Q670" s="234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4">
        <f t="shared" si="23"/>
        <v>0</v>
      </c>
      <c r="Q671" s="234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4">
        <f t="shared" si="23"/>
        <v>0</v>
      </c>
      <c r="Q672" s="234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4">
        <f t="shared" si="23"/>
        <v>0</v>
      </c>
      <c r="Q673" s="234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4">
        <f t="shared" si="23"/>
        <v>0</v>
      </c>
      <c r="Q674" s="234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4">
        <f t="shared" si="23"/>
        <v>0</v>
      </c>
      <c r="Q675" s="234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4">
        <f t="shared" si="23"/>
        <v>0</v>
      </c>
      <c r="Q676" s="234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4">
        <f t="shared" si="23"/>
        <v>0</v>
      </c>
      <c r="Q677" s="234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4">
        <f t="shared" si="23"/>
        <v>0</v>
      </c>
      <c r="Q678" s="234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4">
        <f t="shared" si="23"/>
        <v>0</v>
      </c>
      <c r="Q679" s="234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4">
        <f t="shared" si="23"/>
        <v>0</v>
      </c>
      <c r="Q680" s="234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4">
        <f t="shared" si="23"/>
        <v>0</v>
      </c>
      <c r="Q681" s="234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4">
        <f t="shared" si="23"/>
        <v>0</v>
      </c>
      <c r="Q682" s="234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4">
        <f t="shared" si="23"/>
        <v>0</v>
      </c>
      <c r="Q683" s="234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4">
        <f t="shared" si="23"/>
        <v>0</v>
      </c>
      <c r="Q684" s="234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4">
        <f t="shared" si="23"/>
        <v>0</v>
      </c>
      <c r="Q685" s="234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4">
        <f t="shared" si="23"/>
        <v>0</v>
      </c>
      <c r="Q686" s="234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4">
        <f t="shared" si="23"/>
        <v>0</v>
      </c>
      <c r="Q687" s="234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4">
        <f t="shared" si="23"/>
        <v>0</v>
      </c>
      <c r="Q688" s="234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4">
        <f t="shared" si="23"/>
        <v>0</v>
      </c>
      <c r="Q689" s="234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4">
        <f t="shared" si="23"/>
        <v>0</v>
      </c>
      <c r="Q690" s="234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4">
        <f t="shared" si="23"/>
        <v>0</v>
      </c>
      <c r="Q691" s="234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4">
        <f t="shared" si="23"/>
        <v>0</v>
      </c>
      <c r="Q692" s="234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4">
        <f t="shared" si="23"/>
        <v>0</v>
      </c>
      <c r="Q693" s="234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4">
        <f t="shared" si="23"/>
        <v>0</v>
      </c>
      <c r="Q694" s="234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4">
        <f t="shared" si="23"/>
        <v>0</v>
      </c>
      <c r="Q695" s="234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4">
        <f t="shared" si="23"/>
        <v>0</v>
      </c>
      <c r="Q696" s="234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4">
        <f t="shared" si="23"/>
        <v>0</v>
      </c>
      <c r="Q697" s="234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4">
        <f t="shared" si="23"/>
        <v>0</v>
      </c>
      <c r="Q698" s="234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4">
        <f t="shared" si="23"/>
        <v>0</v>
      </c>
      <c r="Q699" s="234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4">
        <f t="shared" si="23"/>
        <v>0</v>
      </c>
      <c r="Q700" s="234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4">
        <f t="shared" si="23"/>
        <v>0</v>
      </c>
      <c r="Q701" s="234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4">
        <f t="shared" si="23"/>
        <v>0</v>
      </c>
      <c r="Q702" s="234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4">
        <f t="shared" si="23"/>
        <v>0</v>
      </c>
      <c r="Q703" s="234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4">
        <f t="shared" si="23"/>
        <v>0</v>
      </c>
      <c r="Q704" s="234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4">
        <f t="shared" si="23"/>
        <v>0</v>
      </c>
      <c r="Q705" s="234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4">
        <f t="shared" si="23"/>
        <v>0</v>
      </c>
      <c r="Q706" s="234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4">
        <f t="shared" si="23"/>
        <v>0</v>
      </c>
      <c r="Q707" s="234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4">
        <f t="shared" si="23"/>
        <v>0</v>
      </c>
      <c r="Q708" s="234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4">
        <f t="shared" si="23"/>
        <v>0</v>
      </c>
      <c r="Q709" s="234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4">
        <f t="shared" si="23"/>
        <v>0</v>
      </c>
      <c r="Q710" s="234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4">
        <f t="shared" si="23"/>
        <v>0</v>
      </c>
      <c r="Q711" s="234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4">
        <f t="shared" si="23"/>
        <v>0</v>
      </c>
      <c r="Q712" s="234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4">
        <f t="shared" si="23"/>
        <v>0</v>
      </c>
      <c r="Q713" s="234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4">
        <f t="shared" si="23"/>
        <v>0</v>
      </c>
      <c r="Q714" s="234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4">
        <f t="shared" si="23"/>
        <v>0</v>
      </c>
      <c r="Q715" s="234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4">
        <f t="shared" si="23"/>
        <v>0</v>
      </c>
      <c r="Q716" s="234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4">
        <f t="shared" si="23"/>
        <v>0</v>
      </c>
      <c r="Q717" s="234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4">
        <f t="shared" si="23"/>
        <v>0</v>
      </c>
      <c r="Q718" s="234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4">
        <f t="shared" si="23"/>
        <v>0</v>
      </c>
      <c r="Q719" s="234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4">
        <f t="shared" si="23"/>
        <v>0</v>
      </c>
      <c r="Q720" s="234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4">
        <f t="shared" si="23"/>
        <v>0</v>
      </c>
      <c r="Q721" s="234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4">
        <f t="shared" si="23"/>
        <v>0</v>
      </c>
      <c r="Q722" s="234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4">
        <f t="shared" si="23"/>
        <v>0</v>
      </c>
      <c r="Q723" s="234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4">
        <f t="shared" si="23"/>
        <v>0</v>
      </c>
      <c r="Q724" s="234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4">
        <f t="shared" ref="P725:P788" si="24">IF(ISNUMBER(Q725),Q725,0)</f>
        <v>0</v>
      </c>
      <c r="Q725" s="234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4">
        <f t="shared" si="24"/>
        <v>0</v>
      </c>
      <c r="Q726" s="234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4">
        <f t="shared" si="24"/>
        <v>0</v>
      </c>
      <c r="Q727" s="234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4">
        <f t="shared" si="24"/>
        <v>0</v>
      </c>
      <c r="Q728" s="234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4">
        <f t="shared" si="24"/>
        <v>0</v>
      </c>
      <c r="Q729" s="234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4">
        <f t="shared" si="24"/>
        <v>0</v>
      </c>
      <c r="Q730" s="234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4">
        <f t="shared" si="24"/>
        <v>0</v>
      </c>
      <c r="Q731" s="234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4">
        <f t="shared" si="24"/>
        <v>0</v>
      </c>
      <c r="Q732" s="234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4">
        <f t="shared" si="24"/>
        <v>0</v>
      </c>
      <c r="Q733" s="234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4">
        <f t="shared" si="24"/>
        <v>0</v>
      </c>
      <c r="Q734" s="234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4">
        <f t="shared" si="24"/>
        <v>0</v>
      </c>
      <c r="Q735" s="234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4">
        <f t="shared" si="24"/>
        <v>0</v>
      </c>
      <c r="Q736" s="234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4">
        <f t="shared" si="24"/>
        <v>0</v>
      </c>
      <c r="Q737" s="234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4">
        <f t="shared" si="24"/>
        <v>0</v>
      </c>
      <c r="Q738" s="234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4">
        <f t="shared" si="24"/>
        <v>0</v>
      </c>
      <c r="Q739" s="234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4">
        <f t="shared" si="24"/>
        <v>0</v>
      </c>
      <c r="Q740" s="234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4">
        <f t="shared" si="24"/>
        <v>0</v>
      </c>
      <c r="Q741" s="234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4">
        <f t="shared" si="24"/>
        <v>0</v>
      </c>
      <c r="Q742" s="234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4">
        <f t="shared" si="24"/>
        <v>0</v>
      </c>
      <c r="Q743" s="234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4">
        <f t="shared" si="24"/>
        <v>0</v>
      </c>
      <c r="Q744" s="234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4">
        <f t="shared" si="24"/>
        <v>0</v>
      </c>
      <c r="Q745" s="234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4">
        <f t="shared" si="24"/>
        <v>0</v>
      </c>
      <c r="Q746" s="234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4">
        <f t="shared" si="24"/>
        <v>0</v>
      </c>
      <c r="Q747" s="234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4">
        <f t="shared" si="24"/>
        <v>0</v>
      </c>
      <c r="Q748" s="234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4">
        <f t="shared" si="24"/>
        <v>0</v>
      </c>
      <c r="Q749" s="234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4">
        <f t="shared" si="24"/>
        <v>0</v>
      </c>
      <c r="Q750" s="234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4">
        <f t="shared" si="24"/>
        <v>0</v>
      </c>
      <c r="Q751" s="234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4">
        <f t="shared" si="24"/>
        <v>0</v>
      </c>
      <c r="Q752" s="234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4">
        <f t="shared" si="24"/>
        <v>0</v>
      </c>
      <c r="Q753" s="234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4">
        <f t="shared" si="24"/>
        <v>0</v>
      </c>
      <c r="Q754" s="234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4">
        <f t="shared" si="24"/>
        <v>0</v>
      </c>
      <c r="Q755" s="234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4">
        <f t="shared" si="24"/>
        <v>0</v>
      </c>
      <c r="Q756" s="234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4">
        <f t="shared" si="24"/>
        <v>0</v>
      </c>
      <c r="Q757" s="234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4">
        <f t="shared" si="24"/>
        <v>0</v>
      </c>
      <c r="Q758" s="234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4">
        <f t="shared" si="24"/>
        <v>0</v>
      </c>
      <c r="Q759" s="234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4">
        <f t="shared" si="24"/>
        <v>0</v>
      </c>
      <c r="Q760" s="234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4">
        <f t="shared" si="24"/>
        <v>0</v>
      </c>
      <c r="Q761" s="234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4">
        <f t="shared" si="24"/>
        <v>0</v>
      </c>
      <c r="Q762" s="234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4">
        <f t="shared" si="24"/>
        <v>0</v>
      </c>
      <c r="Q763" s="234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4">
        <f t="shared" si="24"/>
        <v>0</v>
      </c>
      <c r="Q764" s="234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4">
        <f t="shared" si="24"/>
        <v>0</v>
      </c>
      <c r="Q765" s="234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4">
        <f t="shared" si="24"/>
        <v>0</v>
      </c>
      <c r="Q766" s="234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4">
        <f t="shared" si="24"/>
        <v>0</v>
      </c>
      <c r="Q767" s="234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4">
        <f t="shared" si="24"/>
        <v>0</v>
      </c>
      <c r="Q768" s="234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4">
        <f t="shared" si="24"/>
        <v>0</v>
      </c>
      <c r="Q769" s="234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4">
        <f t="shared" si="24"/>
        <v>0</v>
      </c>
      <c r="Q770" s="234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4">
        <f t="shared" si="24"/>
        <v>0</v>
      </c>
      <c r="Q771" s="234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4">
        <f t="shared" si="24"/>
        <v>0</v>
      </c>
      <c r="Q772" s="234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4">
        <f t="shared" si="24"/>
        <v>0</v>
      </c>
      <c r="Q773" s="234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4">
        <f t="shared" si="24"/>
        <v>0</v>
      </c>
      <c r="Q774" s="234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4">
        <f t="shared" si="24"/>
        <v>0</v>
      </c>
      <c r="Q775" s="234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4">
        <f t="shared" si="24"/>
        <v>0</v>
      </c>
      <c r="Q776" s="234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4">
        <f t="shared" si="24"/>
        <v>0</v>
      </c>
      <c r="Q777" s="234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4">
        <f t="shared" si="24"/>
        <v>0</v>
      </c>
      <c r="Q778" s="234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4">
        <f t="shared" si="24"/>
        <v>0</v>
      </c>
      <c r="Q779" s="234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4">
        <f t="shared" si="24"/>
        <v>0</v>
      </c>
      <c r="Q780" s="234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4">
        <f t="shared" si="24"/>
        <v>0</v>
      </c>
      <c r="Q781" s="234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4">
        <f t="shared" si="24"/>
        <v>0</v>
      </c>
      <c r="Q782" s="234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4">
        <f t="shared" si="24"/>
        <v>0</v>
      </c>
      <c r="Q783" s="234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4">
        <f t="shared" si="24"/>
        <v>0</v>
      </c>
      <c r="Q784" s="234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4">
        <f t="shared" si="24"/>
        <v>0</v>
      </c>
      <c r="Q785" s="234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4">
        <f t="shared" si="24"/>
        <v>0</v>
      </c>
      <c r="Q786" s="234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4">
        <f t="shared" si="24"/>
        <v>0</v>
      </c>
      <c r="Q787" s="234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4">
        <f t="shared" si="24"/>
        <v>0</v>
      </c>
      <c r="Q788" s="234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4">
        <f t="shared" ref="P789:P852" si="25">IF(ISNUMBER(Q789),Q789,0)</f>
        <v>0</v>
      </c>
      <c r="Q789" s="234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4">
        <f t="shared" si="25"/>
        <v>0</v>
      </c>
      <c r="Q790" s="234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4">
        <f t="shared" si="25"/>
        <v>0</v>
      </c>
      <c r="Q791" s="234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4">
        <f t="shared" si="25"/>
        <v>0</v>
      </c>
      <c r="Q792" s="234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4">
        <f t="shared" si="25"/>
        <v>0</v>
      </c>
      <c r="Q793" s="234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4">
        <f t="shared" si="25"/>
        <v>0</v>
      </c>
      <c r="Q794" s="234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4">
        <f t="shared" si="25"/>
        <v>0</v>
      </c>
      <c r="Q795" s="234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4">
        <f t="shared" si="25"/>
        <v>0</v>
      </c>
      <c r="Q796" s="234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4">
        <f t="shared" si="25"/>
        <v>0</v>
      </c>
      <c r="Q797" s="234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4">
        <f t="shared" si="25"/>
        <v>0</v>
      </c>
      <c r="Q798" s="234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4">
        <f t="shared" si="25"/>
        <v>0</v>
      </c>
      <c r="Q799" s="234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4">
        <f t="shared" si="25"/>
        <v>0</v>
      </c>
      <c r="Q800" s="234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4">
        <f t="shared" si="25"/>
        <v>0</v>
      </c>
      <c r="Q801" s="234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4">
        <f t="shared" si="25"/>
        <v>0</v>
      </c>
      <c r="Q802" s="234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4">
        <f t="shared" si="25"/>
        <v>0</v>
      </c>
      <c r="Q803" s="234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4">
        <f t="shared" si="25"/>
        <v>0</v>
      </c>
      <c r="Q804" s="234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4">
        <f t="shared" si="25"/>
        <v>0</v>
      </c>
      <c r="Q805" s="234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4">
        <f t="shared" si="25"/>
        <v>0</v>
      </c>
      <c r="Q806" s="234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4">
        <f t="shared" si="25"/>
        <v>0</v>
      </c>
      <c r="Q807" s="234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4">
        <f t="shared" si="25"/>
        <v>0</v>
      </c>
      <c r="Q808" s="234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4">
        <f t="shared" si="25"/>
        <v>0</v>
      </c>
      <c r="Q809" s="234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4">
        <f t="shared" si="25"/>
        <v>0</v>
      </c>
      <c r="Q810" s="234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4">
        <f t="shared" si="25"/>
        <v>0</v>
      </c>
      <c r="Q811" s="234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4">
        <f t="shared" si="25"/>
        <v>0</v>
      </c>
      <c r="Q812" s="234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4">
        <f t="shared" si="25"/>
        <v>0</v>
      </c>
      <c r="Q813" s="234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4">
        <f t="shared" si="25"/>
        <v>0</v>
      </c>
      <c r="Q814" s="234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4">
        <f t="shared" si="25"/>
        <v>0</v>
      </c>
      <c r="Q815" s="234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4">
        <f t="shared" si="25"/>
        <v>0</v>
      </c>
      <c r="Q816" s="234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4">
        <f t="shared" si="25"/>
        <v>0</v>
      </c>
      <c r="Q817" s="234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4">
        <f t="shared" si="25"/>
        <v>0</v>
      </c>
      <c r="Q818" s="234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4">
        <f t="shared" si="25"/>
        <v>0</v>
      </c>
      <c r="Q819" s="234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4">
        <f t="shared" si="25"/>
        <v>0</v>
      </c>
      <c r="Q820" s="234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4">
        <f t="shared" si="25"/>
        <v>0</v>
      </c>
      <c r="Q821" s="234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4">
        <f t="shared" si="25"/>
        <v>0</v>
      </c>
      <c r="Q822" s="234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4">
        <f t="shared" si="25"/>
        <v>0</v>
      </c>
      <c r="Q823" s="234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4">
        <f t="shared" si="25"/>
        <v>0</v>
      </c>
      <c r="Q824" s="234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4">
        <f t="shared" si="25"/>
        <v>0</v>
      </c>
      <c r="Q825" s="234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4">
        <f t="shared" si="25"/>
        <v>0</v>
      </c>
      <c r="Q826" s="234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4">
        <f t="shared" si="25"/>
        <v>0</v>
      </c>
      <c r="Q827" s="234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4">
        <f t="shared" si="25"/>
        <v>0</v>
      </c>
      <c r="Q828" s="234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4">
        <f t="shared" si="25"/>
        <v>0</v>
      </c>
      <c r="Q829" s="234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4">
        <f t="shared" si="25"/>
        <v>0</v>
      </c>
      <c r="Q830" s="234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4">
        <f t="shared" si="25"/>
        <v>0</v>
      </c>
      <c r="Q831" s="234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4">
        <f t="shared" si="25"/>
        <v>0</v>
      </c>
      <c r="Q832" s="234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4">
        <f t="shared" si="25"/>
        <v>0</v>
      </c>
      <c r="Q833" s="234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4">
        <f t="shared" si="25"/>
        <v>0</v>
      </c>
      <c r="Q834" s="234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4">
        <f t="shared" si="25"/>
        <v>0</v>
      </c>
      <c r="Q835" s="234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4">
        <f t="shared" si="25"/>
        <v>0</v>
      </c>
      <c r="Q836" s="234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4">
        <f t="shared" si="25"/>
        <v>0</v>
      </c>
      <c r="Q837" s="234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4">
        <f t="shared" si="25"/>
        <v>0</v>
      </c>
      <c r="Q838" s="234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4">
        <f t="shared" si="25"/>
        <v>0</v>
      </c>
      <c r="Q839" s="234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4">
        <f t="shared" si="25"/>
        <v>0</v>
      </c>
      <c r="Q840" s="234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4">
        <f t="shared" si="25"/>
        <v>0</v>
      </c>
      <c r="Q841" s="234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4">
        <f t="shared" si="25"/>
        <v>0</v>
      </c>
      <c r="Q842" s="234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4">
        <f t="shared" si="25"/>
        <v>0</v>
      </c>
      <c r="Q843" s="234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4">
        <f t="shared" si="25"/>
        <v>0</v>
      </c>
      <c r="Q844" s="234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4">
        <f t="shared" si="25"/>
        <v>0</v>
      </c>
      <c r="Q845" s="234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4">
        <f t="shared" si="25"/>
        <v>0</v>
      </c>
      <c r="Q846" s="234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4">
        <f t="shared" si="25"/>
        <v>0</v>
      </c>
      <c r="Q847" s="234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4">
        <f t="shared" si="25"/>
        <v>0</v>
      </c>
      <c r="Q848" s="234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4">
        <f t="shared" si="25"/>
        <v>0</v>
      </c>
      <c r="Q849" s="234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4">
        <f t="shared" si="25"/>
        <v>0</v>
      </c>
      <c r="Q850" s="234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4">
        <f t="shared" si="25"/>
        <v>0</v>
      </c>
      <c r="Q851" s="234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4">
        <f t="shared" si="25"/>
        <v>0</v>
      </c>
      <c r="Q852" s="234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4">
        <f t="shared" ref="P853:P916" si="26">IF(ISNUMBER(Q853),Q853,0)</f>
        <v>0</v>
      </c>
      <c r="Q853" s="234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4">
        <f t="shared" si="26"/>
        <v>0</v>
      </c>
      <c r="Q854" s="234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4">
        <f t="shared" si="26"/>
        <v>0</v>
      </c>
      <c r="Q855" s="234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4">
        <f t="shared" si="26"/>
        <v>0</v>
      </c>
      <c r="Q856" s="234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4">
        <f t="shared" si="26"/>
        <v>0</v>
      </c>
      <c r="Q857" s="234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4">
        <f t="shared" si="26"/>
        <v>0</v>
      </c>
      <c r="Q858" s="234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4">
        <f t="shared" si="26"/>
        <v>0</v>
      </c>
      <c r="Q859" s="234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4">
        <f t="shared" si="26"/>
        <v>0</v>
      </c>
      <c r="Q860" s="234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4">
        <f t="shared" si="26"/>
        <v>0</v>
      </c>
      <c r="Q861" s="234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4">
        <f t="shared" si="26"/>
        <v>0</v>
      </c>
      <c r="Q862" s="234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4">
        <f t="shared" si="26"/>
        <v>0</v>
      </c>
      <c r="Q863" s="234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4">
        <f t="shared" si="26"/>
        <v>0</v>
      </c>
      <c r="Q864" s="234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4">
        <f t="shared" si="26"/>
        <v>0</v>
      </c>
      <c r="Q865" s="234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4">
        <f t="shared" si="26"/>
        <v>0</v>
      </c>
      <c r="Q866" s="234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4">
        <f t="shared" si="26"/>
        <v>0</v>
      </c>
      <c r="Q867" s="234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4">
        <f t="shared" si="26"/>
        <v>0</v>
      </c>
      <c r="Q868" s="234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4">
        <f t="shared" si="26"/>
        <v>0</v>
      </c>
      <c r="Q869" s="234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4">
        <f t="shared" si="26"/>
        <v>0</v>
      </c>
      <c r="Q870" s="234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4">
        <f t="shared" si="26"/>
        <v>0</v>
      </c>
      <c r="Q871" s="234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4">
        <f t="shared" si="26"/>
        <v>0</v>
      </c>
      <c r="Q872" s="234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4">
        <f t="shared" si="26"/>
        <v>0</v>
      </c>
      <c r="Q873" s="234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4">
        <f t="shared" si="26"/>
        <v>0</v>
      </c>
      <c r="Q874" s="234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4">
        <f t="shared" si="26"/>
        <v>0</v>
      </c>
      <c r="Q875" s="234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4">
        <f t="shared" si="26"/>
        <v>0</v>
      </c>
      <c r="Q876" s="234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4">
        <f t="shared" si="26"/>
        <v>0</v>
      </c>
      <c r="Q877" s="234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4">
        <f t="shared" si="26"/>
        <v>0</v>
      </c>
      <c r="Q878" s="234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4">
        <f t="shared" si="26"/>
        <v>0</v>
      </c>
      <c r="Q879" s="234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4">
        <f t="shared" si="26"/>
        <v>0</v>
      </c>
      <c r="Q880" s="234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4">
        <f t="shared" si="26"/>
        <v>0</v>
      </c>
      <c r="Q881" s="234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4">
        <f t="shared" si="26"/>
        <v>0</v>
      </c>
      <c r="Q882" s="234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4">
        <f t="shared" si="26"/>
        <v>0</v>
      </c>
      <c r="Q883" s="234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4">
        <f t="shared" si="26"/>
        <v>0</v>
      </c>
      <c r="Q884" s="234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4">
        <f t="shared" si="26"/>
        <v>0</v>
      </c>
      <c r="Q885" s="234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4">
        <f t="shared" si="26"/>
        <v>0</v>
      </c>
      <c r="Q886" s="234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4">
        <f t="shared" si="26"/>
        <v>0</v>
      </c>
      <c r="Q887" s="234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4">
        <f t="shared" si="26"/>
        <v>0</v>
      </c>
      <c r="Q888" s="234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4">
        <f t="shared" si="26"/>
        <v>0</v>
      </c>
      <c r="Q889" s="234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4">
        <f t="shared" si="26"/>
        <v>0</v>
      </c>
      <c r="Q890" s="234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4">
        <f t="shared" si="26"/>
        <v>0</v>
      </c>
      <c r="Q891" s="234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4">
        <f t="shared" si="26"/>
        <v>0</v>
      </c>
      <c r="Q892" s="234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4">
        <f t="shared" si="26"/>
        <v>0</v>
      </c>
      <c r="Q893" s="234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4">
        <f t="shared" si="26"/>
        <v>0</v>
      </c>
      <c r="Q894" s="234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4">
        <f t="shared" si="26"/>
        <v>0</v>
      </c>
      <c r="Q895" s="234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4">
        <f t="shared" si="26"/>
        <v>0</v>
      </c>
      <c r="Q896" s="234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4">
        <f t="shared" si="26"/>
        <v>0</v>
      </c>
      <c r="Q897" s="234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4">
        <f t="shared" si="26"/>
        <v>0</v>
      </c>
      <c r="Q898" s="234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4">
        <f t="shared" si="26"/>
        <v>0</v>
      </c>
      <c r="Q899" s="234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4">
        <f t="shared" si="26"/>
        <v>0</v>
      </c>
      <c r="Q900" s="234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4">
        <f t="shared" si="26"/>
        <v>0</v>
      </c>
      <c r="Q901" s="234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4">
        <f t="shared" si="26"/>
        <v>0</v>
      </c>
      <c r="Q902" s="234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4">
        <f t="shared" si="26"/>
        <v>0</v>
      </c>
      <c r="Q903" s="234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4">
        <f t="shared" si="26"/>
        <v>0</v>
      </c>
      <c r="Q904" s="234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4">
        <f t="shared" si="26"/>
        <v>0</v>
      </c>
      <c r="Q905" s="234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4">
        <f t="shared" si="26"/>
        <v>0</v>
      </c>
      <c r="Q906" s="234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4">
        <f t="shared" si="26"/>
        <v>0</v>
      </c>
      <c r="Q907" s="234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4">
        <f t="shared" si="26"/>
        <v>0</v>
      </c>
      <c r="Q908" s="234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4">
        <f t="shared" si="26"/>
        <v>0</v>
      </c>
      <c r="Q909" s="234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4">
        <f t="shared" si="26"/>
        <v>0</v>
      </c>
      <c r="Q910" s="234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4">
        <f t="shared" si="26"/>
        <v>0</v>
      </c>
      <c r="Q911" s="234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4">
        <f t="shared" si="26"/>
        <v>0</v>
      </c>
      <c r="Q912" s="234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4">
        <f t="shared" si="26"/>
        <v>0</v>
      </c>
      <c r="Q913" s="234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4">
        <f t="shared" si="26"/>
        <v>0</v>
      </c>
      <c r="Q914" s="234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4">
        <f t="shared" si="26"/>
        <v>0</v>
      </c>
      <c r="Q915" s="234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4">
        <f t="shared" si="26"/>
        <v>0</v>
      </c>
      <c r="Q916" s="234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4">
        <f t="shared" ref="P917:P980" si="27">IF(ISNUMBER(Q917),Q917,0)</f>
        <v>0</v>
      </c>
      <c r="Q917" s="234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4">
        <f t="shared" si="27"/>
        <v>0</v>
      </c>
      <c r="Q918" s="234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4">
        <f t="shared" si="27"/>
        <v>0</v>
      </c>
      <c r="Q919" s="234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4">
        <f t="shared" si="27"/>
        <v>0</v>
      </c>
      <c r="Q920" s="234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4">
        <f t="shared" si="27"/>
        <v>0</v>
      </c>
      <c r="Q921" s="234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4">
        <f t="shared" si="27"/>
        <v>0</v>
      </c>
      <c r="Q922" s="234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4">
        <f t="shared" si="27"/>
        <v>0</v>
      </c>
      <c r="Q923" s="234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4">
        <f t="shared" si="27"/>
        <v>0</v>
      </c>
      <c r="Q924" s="234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4">
        <f t="shared" si="27"/>
        <v>0</v>
      </c>
      <c r="Q925" s="234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4">
        <f t="shared" si="27"/>
        <v>0</v>
      </c>
      <c r="Q926" s="234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4">
        <f t="shared" si="27"/>
        <v>0</v>
      </c>
      <c r="Q927" s="234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4">
        <f t="shared" si="27"/>
        <v>0</v>
      </c>
      <c r="Q928" s="234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4">
        <f t="shared" si="27"/>
        <v>0</v>
      </c>
      <c r="Q929" s="234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4">
        <f t="shared" si="27"/>
        <v>0</v>
      </c>
      <c r="Q930" s="234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4">
        <f t="shared" si="27"/>
        <v>0</v>
      </c>
      <c r="Q931" s="234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4">
        <f t="shared" si="27"/>
        <v>0</v>
      </c>
      <c r="Q932" s="234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4">
        <f t="shared" si="27"/>
        <v>0</v>
      </c>
      <c r="Q933" s="234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4">
        <f t="shared" si="27"/>
        <v>0</v>
      </c>
      <c r="Q934" s="234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4">
        <f t="shared" si="27"/>
        <v>0</v>
      </c>
      <c r="Q935" s="234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4">
        <f t="shared" si="27"/>
        <v>0</v>
      </c>
      <c r="Q936" s="234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4">
        <f t="shared" si="27"/>
        <v>0</v>
      </c>
      <c r="Q937" s="234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4">
        <f t="shared" si="27"/>
        <v>0</v>
      </c>
      <c r="Q938" s="234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4">
        <f t="shared" si="27"/>
        <v>0</v>
      </c>
      <c r="Q939" s="234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4">
        <f t="shared" si="27"/>
        <v>0</v>
      </c>
      <c r="Q940" s="234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4">
        <f t="shared" si="27"/>
        <v>0</v>
      </c>
      <c r="Q941" s="234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4">
        <f t="shared" si="27"/>
        <v>0</v>
      </c>
      <c r="Q942" s="234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4">
        <f t="shared" si="27"/>
        <v>0</v>
      </c>
      <c r="Q943" s="234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4">
        <f t="shared" si="27"/>
        <v>0</v>
      </c>
      <c r="Q944" s="234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4">
        <f t="shared" si="27"/>
        <v>0</v>
      </c>
      <c r="Q945" s="234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4">
        <f t="shared" si="27"/>
        <v>0</v>
      </c>
      <c r="Q946" s="234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4">
        <f t="shared" si="27"/>
        <v>0</v>
      </c>
      <c r="Q947" s="234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4">
        <f t="shared" si="27"/>
        <v>0</v>
      </c>
      <c r="Q948" s="234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4">
        <f t="shared" si="27"/>
        <v>0</v>
      </c>
      <c r="Q949" s="234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4">
        <f t="shared" si="27"/>
        <v>0</v>
      </c>
      <c r="Q950" s="234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4">
        <f t="shared" si="27"/>
        <v>0</v>
      </c>
      <c r="Q951" s="234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4">
        <f t="shared" si="27"/>
        <v>0</v>
      </c>
      <c r="Q952" s="234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4">
        <f t="shared" si="27"/>
        <v>0</v>
      </c>
      <c r="Q953" s="234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4">
        <f t="shared" si="27"/>
        <v>0</v>
      </c>
      <c r="Q954" s="234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4">
        <f t="shared" si="27"/>
        <v>0</v>
      </c>
      <c r="Q955" s="234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4">
        <f t="shared" si="27"/>
        <v>0</v>
      </c>
      <c r="Q956" s="234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4">
        <f t="shared" si="27"/>
        <v>0</v>
      </c>
      <c r="Q957" s="234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4">
        <f t="shared" si="27"/>
        <v>0</v>
      </c>
      <c r="Q958" s="234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4">
        <f t="shared" si="27"/>
        <v>0</v>
      </c>
      <c r="Q959" s="234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4">
        <f t="shared" si="27"/>
        <v>0</v>
      </c>
      <c r="Q960" s="234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4">
        <f t="shared" si="27"/>
        <v>0</v>
      </c>
      <c r="Q961" s="234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4">
        <f t="shared" si="27"/>
        <v>0</v>
      </c>
      <c r="Q962" s="234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4">
        <f t="shared" si="27"/>
        <v>0</v>
      </c>
      <c r="Q963" s="234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4">
        <f t="shared" si="27"/>
        <v>0</v>
      </c>
      <c r="Q964" s="234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4">
        <f t="shared" si="27"/>
        <v>0</v>
      </c>
      <c r="Q965" s="234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4">
        <f t="shared" si="27"/>
        <v>0</v>
      </c>
      <c r="Q966" s="234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4">
        <f t="shared" si="27"/>
        <v>0</v>
      </c>
      <c r="Q967" s="234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4">
        <f t="shared" si="27"/>
        <v>0</v>
      </c>
      <c r="Q968" s="234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4">
        <f t="shared" si="27"/>
        <v>0</v>
      </c>
      <c r="Q969" s="234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4">
        <f t="shared" si="27"/>
        <v>0</v>
      </c>
      <c r="Q970" s="234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4">
        <f t="shared" si="27"/>
        <v>0</v>
      </c>
      <c r="Q971" s="234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4">
        <f t="shared" si="27"/>
        <v>0</v>
      </c>
      <c r="Q972" s="234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4">
        <f t="shared" si="27"/>
        <v>0</v>
      </c>
      <c r="Q973" s="234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4">
        <f t="shared" si="27"/>
        <v>0</v>
      </c>
      <c r="Q974" s="234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4">
        <f t="shared" si="27"/>
        <v>0</v>
      </c>
      <c r="Q975" s="234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4">
        <f t="shared" si="27"/>
        <v>0</v>
      </c>
      <c r="Q976" s="234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4">
        <f t="shared" si="27"/>
        <v>0</v>
      </c>
      <c r="Q977" s="234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4">
        <f t="shared" si="27"/>
        <v>0</v>
      </c>
      <c r="Q978" s="234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4">
        <f t="shared" si="27"/>
        <v>0</v>
      </c>
      <c r="Q979" s="234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4">
        <f t="shared" si="27"/>
        <v>0</v>
      </c>
      <c r="Q980" s="234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4">
        <f t="shared" ref="P981:P1044" si="28">IF(ISNUMBER(Q981),Q981,0)</f>
        <v>0</v>
      </c>
      <c r="Q981" s="234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4">
        <f t="shared" si="28"/>
        <v>0</v>
      </c>
      <c r="Q982" s="234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4">
        <f t="shared" si="28"/>
        <v>0</v>
      </c>
      <c r="Q983" s="234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4">
        <f t="shared" si="28"/>
        <v>0</v>
      </c>
      <c r="Q984" s="234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4">
        <f t="shared" si="28"/>
        <v>0</v>
      </c>
      <c r="Q985" s="234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4">
        <f t="shared" si="28"/>
        <v>0</v>
      </c>
      <c r="Q986" s="234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4">
        <f t="shared" si="28"/>
        <v>0</v>
      </c>
      <c r="Q987" s="234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4">
        <f t="shared" si="28"/>
        <v>0</v>
      </c>
      <c r="Q988" s="234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4">
        <f t="shared" si="28"/>
        <v>0</v>
      </c>
      <c r="Q989" s="234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4">
        <f t="shared" si="28"/>
        <v>0</v>
      </c>
      <c r="Q990" s="234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4">
        <f t="shared" si="28"/>
        <v>0</v>
      </c>
      <c r="Q991" s="234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4">
        <f t="shared" si="28"/>
        <v>0</v>
      </c>
      <c r="Q992" s="234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4">
        <f t="shared" si="28"/>
        <v>0</v>
      </c>
      <c r="Q993" s="234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4">
        <f t="shared" si="28"/>
        <v>0</v>
      </c>
      <c r="Q994" s="234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4">
        <f t="shared" si="28"/>
        <v>0</v>
      </c>
      <c r="Q995" s="234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4">
        <f t="shared" si="28"/>
        <v>0</v>
      </c>
      <c r="Q996" s="234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4">
        <f t="shared" si="28"/>
        <v>0</v>
      </c>
      <c r="Q997" s="234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4">
        <f t="shared" si="28"/>
        <v>0</v>
      </c>
      <c r="Q998" s="234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4">
        <f t="shared" si="28"/>
        <v>0</v>
      </c>
      <c r="Q999" s="234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4">
        <f t="shared" si="28"/>
        <v>0</v>
      </c>
      <c r="Q1000" s="234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4">
        <f t="shared" si="28"/>
        <v>0</v>
      </c>
      <c r="Q1001" s="234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4">
        <f t="shared" si="28"/>
        <v>0</v>
      </c>
      <c r="Q1002" s="234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4">
        <f t="shared" si="28"/>
        <v>0</v>
      </c>
      <c r="Q1003" s="234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4">
        <f t="shared" si="28"/>
        <v>0</v>
      </c>
      <c r="Q1004" s="234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4">
        <f t="shared" si="28"/>
        <v>0</v>
      </c>
      <c r="Q1005" s="234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4">
        <f t="shared" si="28"/>
        <v>0</v>
      </c>
      <c r="Q1006" s="234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4">
        <f t="shared" si="28"/>
        <v>0</v>
      </c>
      <c r="Q1007" s="234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4">
        <f t="shared" si="28"/>
        <v>0</v>
      </c>
      <c r="Q1008" s="234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4">
        <f t="shared" si="28"/>
        <v>0</v>
      </c>
      <c r="Q1009" s="234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4">
        <f t="shared" si="28"/>
        <v>0</v>
      </c>
      <c r="Q1010" s="234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4">
        <f t="shared" si="28"/>
        <v>0</v>
      </c>
      <c r="Q1011" s="234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4">
        <f t="shared" si="28"/>
        <v>0</v>
      </c>
      <c r="Q1012" s="234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4">
        <f t="shared" si="28"/>
        <v>0</v>
      </c>
      <c r="Q1013" s="234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4">
        <f t="shared" si="28"/>
        <v>0</v>
      </c>
      <c r="Q1014" s="234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4">
        <f t="shared" si="28"/>
        <v>0</v>
      </c>
      <c r="Q1015" s="234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4">
        <f t="shared" si="28"/>
        <v>0</v>
      </c>
      <c r="Q1016" s="234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4">
        <f t="shared" si="28"/>
        <v>0</v>
      </c>
      <c r="Q1017" s="234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4">
        <f t="shared" si="28"/>
        <v>0</v>
      </c>
      <c r="Q1018" s="234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4">
        <f t="shared" si="28"/>
        <v>0</v>
      </c>
      <c r="Q1019" s="234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4">
        <f t="shared" si="28"/>
        <v>0</v>
      </c>
      <c r="Q1020" s="234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4">
        <f t="shared" si="28"/>
        <v>0</v>
      </c>
      <c r="Q1021" s="234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4">
        <f t="shared" si="28"/>
        <v>0</v>
      </c>
      <c r="Q1022" s="234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4">
        <f t="shared" si="28"/>
        <v>0</v>
      </c>
      <c r="Q1023" s="234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4">
        <f t="shared" si="28"/>
        <v>0</v>
      </c>
      <c r="Q1024" s="234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4">
        <f t="shared" si="28"/>
        <v>0</v>
      </c>
      <c r="Q1025" s="234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4">
        <f t="shared" si="28"/>
        <v>0</v>
      </c>
      <c r="Q1026" s="234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4">
        <f t="shared" si="28"/>
        <v>0</v>
      </c>
      <c r="Q1027" s="234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4">
        <f t="shared" si="28"/>
        <v>0</v>
      </c>
      <c r="Q1028" s="234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4">
        <f t="shared" si="28"/>
        <v>0</v>
      </c>
      <c r="Q1029" s="234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4">
        <f t="shared" si="28"/>
        <v>0</v>
      </c>
      <c r="Q1030" s="234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4">
        <f t="shared" si="28"/>
        <v>0</v>
      </c>
      <c r="Q1031" s="234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4">
        <f t="shared" si="28"/>
        <v>0</v>
      </c>
      <c r="Q1032" s="234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4">
        <f t="shared" si="28"/>
        <v>0</v>
      </c>
      <c r="Q1033" s="234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4">
        <f t="shared" si="28"/>
        <v>0</v>
      </c>
      <c r="Q1034" s="234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4">
        <f t="shared" si="28"/>
        <v>0</v>
      </c>
      <c r="Q1035" s="234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4">
        <f t="shared" si="28"/>
        <v>0</v>
      </c>
      <c r="Q1036" s="234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4">
        <f t="shared" si="28"/>
        <v>0</v>
      </c>
      <c r="Q1037" s="234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4">
        <f t="shared" si="28"/>
        <v>0</v>
      </c>
      <c r="Q1038" s="234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4">
        <f t="shared" si="28"/>
        <v>0</v>
      </c>
      <c r="Q1039" s="234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4">
        <f t="shared" si="28"/>
        <v>0</v>
      </c>
      <c r="Q1040" s="234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4">
        <f t="shared" si="28"/>
        <v>0</v>
      </c>
      <c r="Q1041" s="234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4">
        <f t="shared" si="28"/>
        <v>0</v>
      </c>
      <c r="Q1042" s="234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4">
        <f t="shared" si="28"/>
        <v>0</v>
      </c>
      <c r="Q1043" s="234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4">
        <f t="shared" si="28"/>
        <v>0</v>
      </c>
      <c r="Q1044" s="234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4">
        <f t="shared" ref="P1045:P1108" si="29">IF(ISNUMBER(Q1045),Q1045,0)</f>
        <v>0</v>
      </c>
      <c r="Q1045" s="234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4">
        <f t="shared" si="29"/>
        <v>0</v>
      </c>
      <c r="Q1046" s="234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4">
        <f t="shared" si="29"/>
        <v>0</v>
      </c>
      <c r="Q1047" s="234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4">
        <f t="shared" si="29"/>
        <v>0</v>
      </c>
      <c r="Q1048" s="234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4">
        <f t="shared" si="29"/>
        <v>0</v>
      </c>
      <c r="Q1049" s="234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4">
        <f t="shared" si="29"/>
        <v>0</v>
      </c>
      <c r="Q1050" s="234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4">
        <f t="shared" si="29"/>
        <v>0</v>
      </c>
      <c r="Q1051" s="234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4">
        <f t="shared" si="29"/>
        <v>0</v>
      </c>
      <c r="Q1052" s="234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4">
        <f t="shared" si="29"/>
        <v>0</v>
      </c>
      <c r="Q1053" s="234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4">
        <f t="shared" si="29"/>
        <v>0</v>
      </c>
      <c r="Q1054" s="234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4">
        <f t="shared" si="29"/>
        <v>0</v>
      </c>
      <c r="Q1055" s="234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4">
        <f t="shared" si="29"/>
        <v>0</v>
      </c>
      <c r="Q1056" s="234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4">
        <f t="shared" si="29"/>
        <v>0</v>
      </c>
      <c r="Q1057" s="234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4">
        <f t="shared" si="29"/>
        <v>0</v>
      </c>
      <c r="Q1058" s="234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4">
        <f t="shared" si="29"/>
        <v>0</v>
      </c>
      <c r="Q1059" s="234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4">
        <f t="shared" si="29"/>
        <v>0</v>
      </c>
      <c r="Q1060" s="234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4">
        <f t="shared" si="29"/>
        <v>0</v>
      </c>
      <c r="Q1061" s="234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4">
        <f t="shared" si="29"/>
        <v>0</v>
      </c>
      <c r="Q1062" s="234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4">
        <f t="shared" si="29"/>
        <v>0</v>
      </c>
      <c r="Q1063" s="234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4">
        <f t="shared" si="29"/>
        <v>0</v>
      </c>
      <c r="Q1064" s="234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4">
        <f t="shared" si="29"/>
        <v>0</v>
      </c>
      <c r="Q1065" s="234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4">
        <f t="shared" si="29"/>
        <v>0</v>
      </c>
      <c r="Q1066" s="234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4">
        <f t="shared" si="29"/>
        <v>0</v>
      </c>
      <c r="Q1067" s="234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4">
        <f t="shared" si="29"/>
        <v>0</v>
      </c>
      <c r="Q1068" s="234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4">
        <f t="shared" si="29"/>
        <v>0</v>
      </c>
      <c r="Q1069" s="234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4">
        <f t="shared" si="29"/>
        <v>0</v>
      </c>
      <c r="Q1070" s="234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4">
        <f t="shared" si="29"/>
        <v>0</v>
      </c>
      <c r="Q1071" s="234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4">
        <f t="shared" si="29"/>
        <v>0</v>
      </c>
      <c r="Q1072" s="234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4">
        <f t="shared" si="29"/>
        <v>0</v>
      </c>
      <c r="Q1073" s="234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4">
        <f t="shared" si="29"/>
        <v>0</v>
      </c>
      <c r="Q1074" s="234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4">
        <f t="shared" si="29"/>
        <v>0</v>
      </c>
      <c r="Q1075" s="234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4">
        <f t="shared" si="29"/>
        <v>0</v>
      </c>
      <c r="Q1076" s="234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4">
        <f t="shared" si="29"/>
        <v>0</v>
      </c>
      <c r="Q1077" s="234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4">
        <f t="shared" si="29"/>
        <v>0</v>
      </c>
      <c r="Q1078" s="234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4">
        <f t="shared" si="29"/>
        <v>0</v>
      </c>
      <c r="Q1079" s="234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4">
        <f t="shared" si="29"/>
        <v>0</v>
      </c>
      <c r="Q1080" s="234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4">
        <f t="shared" si="29"/>
        <v>0</v>
      </c>
      <c r="Q1081" s="234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4">
        <f t="shared" si="29"/>
        <v>0</v>
      </c>
      <c r="Q1082" s="234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4">
        <f t="shared" si="29"/>
        <v>0</v>
      </c>
      <c r="Q1083" s="234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4">
        <f t="shared" si="29"/>
        <v>0</v>
      </c>
      <c r="Q1084" s="234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4">
        <f t="shared" si="29"/>
        <v>0</v>
      </c>
      <c r="Q1085" s="234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4">
        <f t="shared" si="29"/>
        <v>0</v>
      </c>
      <c r="Q1086" s="234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4">
        <f t="shared" si="29"/>
        <v>0</v>
      </c>
      <c r="Q1087" s="234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4">
        <f t="shared" si="29"/>
        <v>0</v>
      </c>
      <c r="Q1088" s="234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4">
        <f t="shared" si="29"/>
        <v>0</v>
      </c>
      <c r="Q1089" s="234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4">
        <f t="shared" si="29"/>
        <v>0</v>
      </c>
      <c r="Q1090" s="234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4">
        <f t="shared" si="29"/>
        <v>0</v>
      </c>
      <c r="Q1091" s="234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4">
        <f t="shared" si="29"/>
        <v>0</v>
      </c>
      <c r="Q1092" s="234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4">
        <f t="shared" si="29"/>
        <v>0</v>
      </c>
      <c r="Q1093" s="234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4">
        <f t="shared" si="29"/>
        <v>0</v>
      </c>
      <c r="Q1094" s="234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4">
        <f t="shared" si="29"/>
        <v>0</v>
      </c>
      <c r="Q1095" s="234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4">
        <f t="shared" si="29"/>
        <v>0</v>
      </c>
      <c r="Q1096" s="234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4">
        <f t="shared" si="29"/>
        <v>0</v>
      </c>
      <c r="Q1097" s="234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4">
        <f t="shared" si="29"/>
        <v>0</v>
      </c>
      <c r="Q1098" s="234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4">
        <f t="shared" si="29"/>
        <v>0</v>
      </c>
      <c r="Q1099" s="234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4">
        <f t="shared" si="29"/>
        <v>0</v>
      </c>
      <c r="Q1100" s="234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4">
        <f t="shared" si="29"/>
        <v>0</v>
      </c>
      <c r="Q1101" s="234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4">
        <f t="shared" si="29"/>
        <v>0</v>
      </c>
      <c r="Q1102" s="234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4">
        <f t="shared" si="29"/>
        <v>0</v>
      </c>
      <c r="Q1103" s="234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4">
        <f t="shared" si="29"/>
        <v>0</v>
      </c>
      <c r="Q1104" s="234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4">
        <f t="shared" si="29"/>
        <v>0</v>
      </c>
      <c r="Q1105" s="234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4">
        <f t="shared" si="29"/>
        <v>0</v>
      </c>
      <c r="Q1106" s="234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4">
        <f t="shared" si="29"/>
        <v>0</v>
      </c>
      <c r="Q1107" s="234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4">
        <f t="shared" si="29"/>
        <v>0</v>
      </c>
      <c r="Q1108" s="234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4">
        <f t="shared" ref="P1109:P1172" si="30">IF(ISNUMBER(Q1109),Q1109,0)</f>
        <v>0</v>
      </c>
      <c r="Q1109" s="234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4">
        <f t="shared" si="30"/>
        <v>0</v>
      </c>
      <c r="Q1110" s="234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4">
        <f t="shared" si="30"/>
        <v>0</v>
      </c>
      <c r="Q1111" s="234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4">
        <f t="shared" si="30"/>
        <v>0</v>
      </c>
      <c r="Q1112" s="234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4">
        <f t="shared" si="30"/>
        <v>0</v>
      </c>
      <c r="Q1113" s="234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4">
        <f t="shared" si="30"/>
        <v>0</v>
      </c>
      <c r="Q1114" s="234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4">
        <f t="shared" si="30"/>
        <v>0</v>
      </c>
      <c r="Q1115" s="234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4">
        <f t="shared" si="30"/>
        <v>0</v>
      </c>
      <c r="Q1116" s="234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4">
        <f t="shared" si="30"/>
        <v>0</v>
      </c>
      <c r="Q1117" s="234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4">
        <f t="shared" si="30"/>
        <v>0</v>
      </c>
      <c r="Q1118" s="234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4">
        <f t="shared" si="30"/>
        <v>0</v>
      </c>
      <c r="Q1119" s="234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4">
        <f t="shared" si="30"/>
        <v>0</v>
      </c>
      <c r="Q1120" s="234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4">
        <f t="shared" si="30"/>
        <v>0</v>
      </c>
      <c r="Q1121" s="234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4">
        <f t="shared" si="30"/>
        <v>0</v>
      </c>
      <c r="Q1122" s="234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4">
        <f t="shared" si="30"/>
        <v>0</v>
      </c>
      <c r="Q1123" s="234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4">
        <f t="shared" si="30"/>
        <v>0</v>
      </c>
      <c r="Q1124" s="234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4">
        <f t="shared" si="30"/>
        <v>0</v>
      </c>
      <c r="Q1125" s="234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4">
        <f t="shared" si="30"/>
        <v>0</v>
      </c>
      <c r="Q1126" s="234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4">
        <f t="shared" si="30"/>
        <v>0</v>
      </c>
      <c r="Q1127" s="234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4">
        <f t="shared" si="30"/>
        <v>0</v>
      </c>
      <c r="Q1128" s="234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4">
        <f t="shared" si="30"/>
        <v>0</v>
      </c>
      <c r="Q1129" s="234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4">
        <f t="shared" si="30"/>
        <v>0</v>
      </c>
      <c r="Q1130" s="234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4">
        <f t="shared" si="30"/>
        <v>0</v>
      </c>
      <c r="Q1131" s="234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4">
        <f t="shared" si="30"/>
        <v>0</v>
      </c>
      <c r="Q1132" s="234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4">
        <f t="shared" si="30"/>
        <v>0</v>
      </c>
      <c r="Q1133" s="234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4">
        <f t="shared" si="30"/>
        <v>0</v>
      </c>
      <c r="Q1134" s="234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4">
        <f t="shared" si="30"/>
        <v>0</v>
      </c>
      <c r="Q1135" s="234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4">
        <f t="shared" si="30"/>
        <v>0</v>
      </c>
      <c r="Q1136" s="234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4">
        <f t="shared" si="30"/>
        <v>0</v>
      </c>
      <c r="Q1137" s="234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4">
        <f t="shared" si="30"/>
        <v>0</v>
      </c>
      <c r="Q1138" s="234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4">
        <f t="shared" si="30"/>
        <v>0</v>
      </c>
      <c r="Q1139" s="234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4">
        <f t="shared" si="30"/>
        <v>0</v>
      </c>
      <c r="Q1140" s="234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4">
        <f t="shared" si="30"/>
        <v>0</v>
      </c>
      <c r="Q1141" s="234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4">
        <f t="shared" si="30"/>
        <v>0</v>
      </c>
      <c r="Q1142" s="234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4">
        <f t="shared" si="30"/>
        <v>0</v>
      </c>
      <c r="Q1143" s="234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4">
        <f t="shared" si="30"/>
        <v>0</v>
      </c>
      <c r="Q1144" s="234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4">
        <f t="shared" si="30"/>
        <v>0</v>
      </c>
      <c r="Q1145" s="234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4">
        <f t="shared" si="30"/>
        <v>0</v>
      </c>
      <c r="Q1146" s="234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4">
        <f t="shared" si="30"/>
        <v>0</v>
      </c>
      <c r="Q1147" s="234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4">
        <f t="shared" si="30"/>
        <v>0</v>
      </c>
      <c r="Q1148" s="234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4">
        <f t="shared" si="30"/>
        <v>0</v>
      </c>
      <c r="Q1149" s="234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4">
        <f t="shared" si="30"/>
        <v>0</v>
      </c>
      <c r="Q1150" s="234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4">
        <f t="shared" si="30"/>
        <v>0</v>
      </c>
      <c r="Q1151" s="234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4">
        <f t="shared" si="30"/>
        <v>0</v>
      </c>
      <c r="Q1152" s="234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4">
        <f t="shared" si="30"/>
        <v>0</v>
      </c>
      <c r="Q1153" s="234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4">
        <f t="shared" si="30"/>
        <v>0</v>
      </c>
      <c r="Q1154" s="234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4">
        <f t="shared" si="30"/>
        <v>0</v>
      </c>
      <c r="Q1155" s="234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4">
        <f t="shared" si="30"/>
        <v>0</v>
      </c>
      <c r="Q1156" s="234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4">
        <f t="shared" si="30"/>
        <v>0</v>
      </c>
      <c r="Q1157" s="234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4">
        <f t="shared" si="30"/>
        <v>0</v>
      </c>
      <c r="Q1158" s="234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4">
        <f t="shared" si="30"/>
        <v>0</v>
      </c>
      <c r="Q1159" s="234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4">
        <f t="shared" si="30"/>
        <v>0</v>
      </c>
      <c r="Q1160" s="234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4">
        <f t="shared" si="30"/>
        <v>0</v>
      </c>
      <c r="Q1161" s="234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4">
        <f t="shared" si="30"/>
        <v>0</v>
      </c>
      <c r="Q1162" s="234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4">
        <f t="shared" si="30"/>
        <v>0</v>
      </c>
      <c r="Q1163" s="234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4">
        <f t="shared" si="30"/>
        <v>0</v>
      </c>
      <c r="Q1164" s="234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4">
        <f t="shared" si="30"/>
        <v>0</v>
      </c>
      <c r="Q1165" s="234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4">
        <f t="shared" si="30"/>
        <v>0</v>
      </c>
      <c r="Q1166" s="234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4">
        <f t="shared" si="30"/>
        <v>0</v>
      </c>
      <c r="Q1167" s="234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4">
        <f t="shared" si="30"/>
        <v>0</v>
      </c>
      <c r="Q1168" s="234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4">
        <f t="shared" si="30"/>
        <v>0</v>
      </c>
      <c r="Q1169" s="234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4">
        <f t="shared" si="30"/>
        <v>0</v>
      </c>
      <c r="Q1170" s="234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4">
        <f t="shared" si="30"/>
        <v>0</v>
      </c>
      <c r="Q1171" s="234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4">
        <f t="shared" si="30"/>
        <v>0</v>
      </c>
      <c r="Q1172" s="234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4">
        <f t="shared" ref="P1173:P1236" si="31">IF(ISNUMBER(Q1173),Q1173,0)</f>
        <v>0</v>
      </c>
      <c r="Q1173" s="234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4">
        <f t="shared" si="31"/>
        <v>0</v>
      </c>
      <c r="Q1174" s="234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4">
        <f t="shared" si="31"/>
        <v>0</v>
      </c>
      <c r="Q1175" s="234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4">
        <f t="shared" si="31"/>
        <v>0</v>
      </c>
      <c r="Q1176" s="234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4">
        <f t="shared" si="31"/>
        <v>0</v>
      </c>
      <c r="Q1177" s="234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4">
        <f t="shared" si="31"/>
        <v>0</v>
      </c>
      <c r="Q1178" s="234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4">
        <f t="shared" si="31"/>
        <v>0</v>
      </c>
      <c r="Q1179" s="234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4">
        <f t="shared" si="31"/>
        <v>0</v>
      </c>
      <c r="Q1180" s="234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4">
        <f t="shared" si="31"/>
        <v>0</v>
      </c>
      <c r="Q1181" s="234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4">
        <f t="shared" si="31"/>
        <v>0</v>
      </c>
      <c r="Q1182" s="234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4">
        <f t="shared" si="31"/>
        <v>0</v>
      </c>
      <c r="Q1183" s="234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4">
        <f t="shared" si="31"/>
        <v>0</v>
      </c>
      <c r="Q1184" s="234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4">
        <f t="shared" si="31"/>
        <v>0</v>
      </c>
      <c r="Q1185" s="234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4">
        <f t="shared" si="31"/>
        <v>0</v>
      </c>
      <c r="Q1186" s="234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4">
        <f t="shared" si="31"/>
        <v>0</v>
      </c>
      <c r="Q1187" s="234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4">
        <f t="shared" si="31"/>
        <v>0</v>
      </c>
      <c r="Q1188" s="234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4">
        <f t="shared" si="31"/>
        <v>0</v>
      </c>
      <c r="Q1189" s="234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4">
        <f t="shared" si="31"/>
        <v>0</v>
      </c>
      <c r="Q1190" s="234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4">
        <f t="shared" si="31"/>
        <v>0</v>
      </c>
      <c r="Q1191" s="234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4">
        <f t="shared" si="31"/>
        <v>0</v>
      </c>
      <c r="Q1192" s="234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4">
        <f t="shared" si="31"/>
        <v>0</v>
      </c>
      <c r="Q1193" s="234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4">
        <f t="shared" si="31"/>
        <v>0</v>
      </c>
      <c r="Q1194" s="234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4">
        <f t="shared" si="31"/>
        <v>0</v>
      </c>
      <c r="Q1195" s="234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4">
        <f t="shared" si="31"/>
        <v>0</v>
      </c>
      <c r="Q1196" s="234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4">
        <f t="shared" si="31"/>
        <v>0</v>
      </c>
      <c r="Q1197" s="234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4">
        <f t="shared" si="31"/>
        <v>0</v>
      </c>
      <c r="Q1198" s="234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4">
        <f t="shared" si="31"/>
        <v>0</v>
      </c>
      <c r="Q1199" s="234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4">
        <f t="shared" si="31"/>
        <v>0</v>
      </c>
      <c r="Q1200" s="234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4">
        <f t="shared" si="31"/>
        <v>0</v>
      </c>
      <c r="Q1201" s="234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4">
        <f t="shared" si="31"/>
        <v>0</v>
      </c>
      <c r="Q1202" s="234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4">
        <f t="shared" si="31"/>
        <v>0</v>
      </c>
      <c r="Q1203" s="234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4">
        <f t="shared" si="31"/>
        <v>0</v>
      </c>
      <c r="Q1204" s="234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4">
        <f t="shared" si="31"/>
        <v>0</v>
      </c>
      <c r="Q1205" s="234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4">
        <f t="shared" si="31"/>
        <v>0</v>
      </c>
      <c r="Q1206" s="234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4">
        <f t="shared" si="31"/>
        <v>0</v>
      </c>
      <c r="Q1207" s="234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4">
        <f t="shared" si="31"/>
        <v>0</v>
      </c>
      <c r="Q1208" s="234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4">
        <f t="shared" si="31"/>
        <v>0</v>
      </c>
      <c r="Q1209" s="234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4">
        <f t="shared" si="31"/>
        <v>0</v>
      </c>
      <c r="Q1210" s="234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4">
        <f t="shared" si="31"/>
        <v>0</v>
      </c>
      <c r="Q1211" s="234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4">
        <f t="shared" si="31"/>
        <v>0</v>
      </c>
      <c r="Q1212" s="234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4">
        <f t="shared" si="31"/>
        <v>0</v>
      </c>
      <c r="Q1213" s="234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4">
        <f t="shared" si="31"/>
        <v>0</v>
      </c>
      <c r="Q1214" s="234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4">
        <f t="shared" si="31"/>
        <v>0</v>
      </c>
      <c r="Q1215" s="234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4">
        <f t="shared" si="31"/>
        <v>0</v>
      </c>
      <c r="Q1216" s="234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4">
        <f t="shared" si="31"/>
        <v>0</v>
      </c>
      <c r="Q1217" s="234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4">
        <f t="shared" si="31"/>
        <v>0</v>
      </c>
      <c r="Q1218" s="234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4">
        <f t="shared" si="31"/>
        <v>0</v>
      </c>
      <c r="Q1219" s="234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4">
        <f t="shared" si="31"/>
        <v>0</v>
      </c>
      <c r="Q1220" s="234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4">
        <f t="shared" si="31"/>
        <v>0</v>
      </c>
      <c r="Q1221" s="234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4">
        <f t="shared" si="31"/>
        <v>0</v>
      </c>
      <c r="Q1222" s="234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4">
        <f t="shared" si="31"/>
        <v>0</v>
      </c>
      <c r="Q1223" s="234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4">
        <f t="shared" si="31"/>
        <v>0</v>
      </c>
      <c r="Q1224" s="234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4">
        <f t="shared" si="31"/>
        <v>0</v>
      </c>
      <c r="Q1225" s="234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4">
        <f t="shared" si="31"/>
        <v>0</v>
      </c>
      <c r="Q1226" s="234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4">
        <f t="shared" si="31"/>
        <v>0</v>
      </c>
      <c r="Q1227" s="234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4">
        <f t="shared" si="31"/>
        <v>0</v>
      </c>
      <c r="Q1228" s="234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4">
        <f t="shared" si="31"/>
        <v>0</v>
      </c>
      <c r="Q1229" s="234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4">
        <f t="shared" si="31"/>
        <v>0</v>
      </c>
      <c r="Q1230" s="234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4">
        <f t="shared" si="31"/>
        <v>0</v>
      </c>
      <c r="Q1231" s="234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4">
        <f t="shared" si="31"/>
        <v>0</v>
      </c>
      <c r="Q1232" s="234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4">
        <f t="shared" si="31"/>
        <v>0</v>
      </c>
      <c r="Q1233" s="234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4">
        <f t="shared" si="31"/>
        <v>0</v>
      </c>
      <c r="Q1234" s="234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4">
        <f t="shared" si="31"/>
        <v>0</v>
      </c>
      <c r="Q1235" s="234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4">
        <f t="shared" si="31"/>
        <v>0</v>
      </c>
      <c r="Q1236" s="234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4">
        <f t="shared" ref="P1237:P1300" si="32">IF(ISNUMBER(Q1237),Q1237,0)</f>
        <v>0</v>
      </c>
      <c r="Q1237" s="234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4">
        <f t="shared" si="32"/>
        <v>0</v>
      </c>
      <c r="Q1238" s="234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4">
        <f t="shared" si="32"/>
        <v>0</v>
      </c>
      <c r="Q1239" s="234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4">
        <f t="shared" si="32"/>
        <v>0</v>
      </c>
      <c r="Q1240" s="234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4">
        <f t="shared" si="32"/>
        <v>0</v>
      </c>
      <c r="Q1241" s="234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4">
        <f t="shared" si="32"/>
        <v>0</v>
      </c>
      <c r="Q1242" s="234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4">
        <f t="shared" si="32"/>
        <v>0</v>
      </c>
      <c r="Q1243" s="234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4">
        <f t="shared" si="32"/>
        <v>0</v>
      </c>
      <c r="Q1244" s="234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4">
        <f t="shared" si="32"/>
        <v>0</v>
      </c>
      <c r="Q1245" s="234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4">
        <f t="shared" si="32"/>
        <v>0</v>
      </c>
      <c r="Q1246" s="234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4">
        <f t="shared" si="32"/>
        <v>0</v>
      </c>
      <c r="Q1247" s="234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4">
        <f t="shared" si="32"/>
        <v>0</v>
      </c>
      <c r="Q1248" s="234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4">
        <f t="shared" si="32"/>
        <v>0</v>
      </c>
      <c r="Q1249" s="234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4">
        <f t="shared" si="32"/>
        <v>0</v>
      </c>
      <c r="Q1250" s="234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4">
        <f t="shared" si="32"/>
        <v>0</v>
      </c>
      <c r="Q1251" s="234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4">
        <f t="shared" si="32"/>
        <v>0</v>
      </c>
      <c r="Q1252" s="234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4">
        <f t="shared" si="32"/>
        <v>0</v>
      </c>
      <c r="Q1253" s="234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4">
        <f t="shared" si="32"/>
        <v>0</v>
      </c>
      <c r="Q1254" s="234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4">
        <f t="shared" si="32"/>
        <v>0</v>
      </c>
      <c r="Q1255" s="234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4">
        <f t="shared" si="32"/>
        <v>0</v>
      </c>
      <c r="Q1256" s="234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4">
        <f t="shared" si="32"/>
        <v>0</v>
      </c>
      <c r="Q1257" s="234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4">
        <f t="shared" si="32"/>
        <v>0</v>
      </c>
      <c r="Q1258" s="234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4">
        <f t="shared" si="32"/>
        <v>0</v>
      </c>
      <c r="Q1259" s="234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4">
        <f t="shared" si="32"/>
        <v>0</v>
      </c>
      <c r="Q1260" s="234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4">
        <f t="shared" si="32"/>
        <v>0</v>
      </c>
      <c r="Q1261" s="234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4">
        <f t="shared" si="32"/>
        <v>0</v>
      </c>
      <c r="Q1262" s="234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4">
        <f t="shared" si="32"/>
        <v>0</v>
      </c>
      <c r="Q1263" s="234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4">
        <f t="shared" si="32"/>
        <v>0</v>
      </c>
      <c r="Q1264" s="234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4">
        <f t="shared" si="32"/>
        <v>0</v>
      </c>
      <c r="Q1265" s="234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4">
        <f t="shared" si="32"/>
        <v>0</v>
      </c>
      <c r="Q1266" s="234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4">
        <f t="shared" si="32"/>
        <v>0</v>
      </c>
      <c r="Q1267" s="234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4">
        <f t="shared" si="32"/>
        <v>0</v>
      </c>
      <c r="Q1268" s="234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4">
        <f t="shared" si="32"/>
        <v>0</v>
      </c>
      <c r="Q1269" s="234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4">
        <f t="shared" si="32"/>
        <v>0</v>
      </c>
      <c r="Q1270" s="234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4">
        <f t="shared" si="32"/>
        <v>0</v>
      </c>
      <c r="Q1271" s="234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4">
        <f t="shared" si="32"/>
        <v>0</v>
      </c>
      <c r="Q1272" s="234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4">
        <f t="shared" si="32"/>
        <v>0</v>
      </c>
      <c r="Q1273" s="234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4">
        <f t="shared" si="32"/>
        <v>0</v>
      </c>
      <c r="Q1274" s="234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4">
        <f t="shared" si="32"/>
        <v>0</v>
      </c>
      <c r="Q1275" s="234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4">
        <f t="shared" si="32"/>
        <v>0</v>
      </c>
      <c r="Q1276" s="234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4">
        <f t="shared" si="32"/>
        <v>0</v>
      </c>
      <c r="Q1277" s="234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4">
        <f t="shared" si="32"/>
        <v>0</v>
      </c>
      <c r="Q1278" s="234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4">
        <f t="shared" si="32"/>
        <v>0</v>
      </c>
      <c r="Q1279" s="234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4">
        <f t="shared" si="32"/>
        <v>0</v>
      </c>
      <c r="Q1280" s="234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4">
        <f t="shared" si="32"/>
        <v>0</v>
      </c>
      <c r="Q1281" s="234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4">
        <f t="shared" si="32"/>
        <v>0</v>
      </c>
      <c r="Q1282" s="234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4">
        <f t="shared" si="32"/>
        <v>0</v>
      </c>
      <c r="Q1283" s="234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4">
        <f t="shared" si="32"/>
        <v>0</v>
      </c>
      <c r="Q1284" s="234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4">
        <f t="shared" si="32"/>
        <v>0</v>
      </c>
      <c r="Q1285" s="234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4">
        <f t="shared" si="32"/>
        <v>0</v>
      </c>
      <c r="Q1286" s="234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4">
        <f t="shared" si="32"/>
        <v>0</v>
      </c>
      <c r="Q1287" s="234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4">
        <f t="shared" si="32"/>
        <v>0</v>
      </c>
      <c r="Q1288" s="234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4">
        <f t="shared" si="32"/>
        <v>0</v>
      </c>
      <c r="Q1289" s="234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4">
        <f t="shared" si="32"/>
        <v>0</v>
      </c>
      <c r="Q1290" s="234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4">
        <f t="shared" si="32"/>
        <v>0</v>
      </c>
      <c r="Q1291" s="234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4">
        <f t="shared" si="32"/>
        <v>0</v>
      </c>
      <c r="Q1292" s="234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4">
        <f t="shared" si="32"/>
        <v>0</v>
      </c>
      <c r="Q1293" s="234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4">
        <f t="shared" si="32"/>
        <v>0</v>
      </c>
      <c r="Q1294" s="234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4">
        <f t="shared" si="32"/>
        <v>0</v>
      </c>
      <c r="Q1295" s="234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4">
        <f t="shared" si="32"/>
        <v>0</v>
      </c>
      <c r="Q1296" s="234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4">
        <f t="shared" si="32"/>
        <v>0</v>
      </c>
      <c r="Q1297" s="234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4">
        <f t="shared" si="32"/>
        <v>0</v>
      </c>
      <c r="Q1298" s="234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4">
        <f t="shared" si="32"/>
        <v>0</v>
      </c>
      <c r="Q1299" s="234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4">
        <f t="shared" si="32"/>
        <v>0</v>
      </c>
      <c r="Q1300" s="234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4">
        <f t="shared" ref="P1301:P1364" si="33">IF(ISNUMBER(Q1301),Q1301,0)</f>
        <v>0</v>
      </c>
      <c r="Q1301" s="234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4">
        <f t="shared" si="33"/>
        <v>0</v>
      </c>
      <c r="Q1302" s="234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4">
        <f t="shared" si="33"/>
        <v>0</v>
      </c>
      <c r="Q1303" s="234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4">
        <f t="shared" si="33"/>
        <v>0</v>
      </c>
      <c r="Q1304" s="234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4">
        <f t="shared" si="33"/>
        <v>0</v>
      </c>
      <c r="Q1305" s="234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4">
        <f t="shared" si="33"/>
        <v>0</v>
      </c>
      <c r="Q1306" s="234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4">
        <f t="shared" si="33"/>
        <v>0</v>
      </c>
      <c r="Q1307" s="234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4">
        <f t="shared" si="33"/>
        <v>0</v>
      </c>
      <c r="Q1308" s="234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4">
        <f t="shared" si="33"/>
        <v>0</v>
      </c>
      <c r="Q1309" s="234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4">
        <f t="shared" si="33"/>
        <v>0</v>
      </c>
      <c r="Q1310" s="234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4">
        <f t="shared" si="33"/>
        <v>0</v>
      </c>
      <c r="Q1311" s="234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4">
        <f t="shared" si="33"/>
        <v>0</v>
      </c>
      <c r="Q1312" s="234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4">
        <f t="shared" si="33"/>
        <v>0</v>
      </c>
      <c r="Q1313" s="234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4">
        <f t="shared" si="33"/>
        <v>0</v>
      </c>
      <c r="Q1314" s="234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4">
        <f t="shared" si="33"/>
        <v>0</v>
      </c>
      <c r="Q1315" s="234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4">
        <f t="shared" si="33"/>
        <v>0</v>
      </c>
      <c r="Q1316" s="234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4">
        <f t="shared" si="33"/>
        <v>0</v>
      </c>
      <c r="Q1317" s="234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4">
        <f t="shared" si="33"/>
        <v>0</v>
      </c>
      <c r="Q1318" s="234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4">
        <f t="shared" si="33"/>
        <v>0</v>
      </c>
      <c r="Q1319" s="234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4">
        <f t="shared" si="33"/>
        <v>0</v>
      </c>
      <c r="Q1320" s="234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4">
        <f t="shared" si="33"/>
        <v>0</v>
      </c>
      <c r="Q1321" s="234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4">
        <f t="shared" si="33"/>
        <v>0</v>
      </c>
      <c r="Q1322" s="234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4">
        <f t="shared" si="33"/>
        <v>0</v>
      </c>
      <c r="Q1323" s="234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4">
        <f t="shared" si="33"/>
        <v>0</v>
      </c>
      <c r="Q1324" s="234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4">
        <f t="shared" si="33"/>
        <v>0</v>
      </c>
      <c r="Q1325" s="234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4">
        <f t="shared" si="33"/>
        <v>0</v>
      </c>
      <c r="Q1326" s="234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4">
        <f t="shared" si="33"/>
        <v>0</v>
      </c>
      <c r="Q1327" s="234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4">
        <f t="shared" si="33"/>
        <v>0</v>
      </c>
      <c r="Q1328" s="234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4">
        <f t="shared" si="33"/>
        <v>0</v>
      </c>
      <c r="Q1329" s="234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4">
        <f t="shared" si="33"/>
        <v>0</v>
      </c>
      <c r="Q1330" s="234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4">
        <f t="shared" si="33"/>
        <v>0</v>
      </c>
      <c r="Q1331" s="234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4">
        <f t="shared" si="33"/>
        <v>0</v>
      </c>
      <c r="Q1332" s="234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4">
        <f t="shared" si="33"/>
        <v>0</v>
      </c>
      <c r="Q1333" s="234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4">
        <f t="shared" si="33"/>
        <v>0</v>
      </c>
      <c r="Q1334" s="234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4">
        <f t="shared" si="33"/>
        <v>0</v>
      </c>
      <c r="Q1335" s="234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4">
        <f t="shared" si="33"/>
        <v>0</v>
      </c>
      <c r="Q1336" s="234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4">
        <f t="shared" si="33"/>
        <v>0</v>
      </c>
      <c r="Q1337" s="234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4">
        <f t="shared" si="33"/>
        <v>0</v>
      </c>
      <c r="Q1338" s="234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4">
        <f t="shared" si="33"/>
        <v>0</v>
      </c>
      <c r="Q1339" s="234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4">
        <f t="shared" si="33"/>
        <v>0</v>
      </c>
      <c r="Q1340" s="234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4">
        <f t="shared" si="33"/>
        <v>0</v>
      </c>
      <c r="Q1341" s="234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4">
        <f t="shared" si="33"/>
        <v>0</v>
      </c>
      <c r="Q1342" s="234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4">
        <f t="shared" si="33"/>
        <v>0</v>
      </c>
      <c r="Q1343" s="234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4">
        <f t="shared" si="33"/>
        <v>0</v>
      </c>
      <c r="Q1344" s="234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4">
        <f t="shared" si="33"/>
        <v>0</v>
      </c>
      <c r="Q1345" s="234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4">
        <f t="shared" si="33"/>
        <v>0</v>
      </c>
      <c r="Q1346" s="234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4">
        <f t="shared" si="33"/>
        <v>0</v>
      </c>
      <c r="Q1347" s="234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4">
        <f t="shared" si="33"/>
        <v>0</v>
      </c>
      <c r="Q1348" s="234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4">
        <f t="shared" si="33"/>
        <v>0</v>
      </c>
      <c r="Q1349" s="234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4">
        <f t="shared" si="33"/>
        <v>0</v>
      </c>
      <c r="Q1350" s="234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4">
        <f t="shared" si="33"/>
        <v>0</v>
      </c>
      <c r="Q1351" s="234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4">
        <f t="shared" si="33"/>
        <v>0</v>
      </c>
      <c r="Q1352" s="234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4">
        <f t="shared" si="33"/>
        <v>0</v>
      </c>
      <c r="Q1353" s="234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4">
        <f t="shared" si="33"/>
        <v>0</v>
      </c>
      <c r="Q1354" s="234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4">
        <f t="shared" si="33"/>
        <v>0</v>
      </c>
      <c r="Q1355" s="234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4">
        <f t="shared" si="33"/>
        <v>0</v>
      </c>
      <c r="Q1356" s="234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4">
        <f t="shared" si="33"/>
        <v>0</v>
      </c>
      <c r="Q1357" s="234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4">
        <f t="shared" si="33"/>
        <v>0</v>
      </c>
      <c r="Q1358" s="234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4">
        <f t="shared" si="33"/>
        <v>0</v>
      </c>
      <c r="Q1359" s="234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4">
        <f t="shared" si="33"/>
        <v>0</v>
      </c>
      <c r="Q1360" s="234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4">
        <f t="shared" si="33"/>
        <v>0</v>
      </c>
      <c r="Q1361" s="234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4">
        <f t="shared" si="33"/>
        <v>0</v>
      </c>
      <c r="Q1362" s="234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4">
        <f t="shared" si="33"/>
        <v>0</v>
      </c>
      <c r="Q1363" s="234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4">
        <f t="shared" si="33"/>
        <v>0</v>
      </c>
      <c r="Q1364" s="234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4">
        <f t="shared" ref="P1365:P1428" si="34">IF(ISNUMBER(Q1365),Q1365,0)</f>
        <v>0</v>
      </c>
      <c r="Q1365" s="234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4">
        <f t="shared" si="34"/>
        <v>0</v>
      </c>
      <c r="Q1366" s="234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4">
        <f t="shared" si="34"/>
        <v>0</v>
      </c>
      <c r="Q1367" s="234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4">
        <f t="shared" si="34"/>
        <v>0</v>
      </c>
      <c r="Q1368" s="234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4">
        <f t="shared" si="34"/>
        <v>0</v>
      </c>
      <c r="Q1369" s="234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4">
        <f t="shared" si="34"/>
        <v>0</v>
      </c>
      <c r="Q1370" s="234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4">
        <f t="shared" si="34"/>
        <v>0</v>
      </c>
      <c r="Q1371" s="234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4">
        <f t="shared" si="34"/>
        <v>0</v>
      </c>
      <c r="Q1372" s="234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4">
        <f t="shared" si="34"/>
        <v>0</v>
      </c>
      <c r="Q1373" s="234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4">
        <f t="shared" si="34"/>
        <v>0</v>
      </c>
      <c r="Q1374" s="234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4">
        <f t="shared" si="34"/>
        <v>0</v>
      </c>
      <c r="Q1375" s="234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4">
        <f t="shared" si="34"/>
        <v>0</v>
      </c>
      <c r="Q1376" s="234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4">
        <f t="shared" si="34"/>
        <v>0</v>
      </c>
      <c r="Q1377" s="234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4">
        <f t="shared" si="34"/>
        <v>0</v>
      </c>
      <c r="Q1378" s="234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4">
        <f t="shared" si="34"/>
        <v>0</v>
      </c>
      <c r="Q1379" s="234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4">
        <f t="shared" si="34"/>
        <v>0</v>
      </c>
      <c r="Q1380" s="234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4">
        <f t="shared" si="34"/>
        <v>0</v>
      </c>
      <c r="Q1381" s="234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4">
        <f t="shared" si="34"/>
        <v>0</v>
      </c>
      <c r="Q1382" s="234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4">
        <f t="shared" si="34"/>
        <v>0</v>
      </c>
      <c r="Q1383" s="234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4">
        <f t="shared" si="34"/>
        <v>0</v>
      </c>
      <c r="Q1384" s="234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4">
        <f t="shared" si="34"/>
        <v>0</v>
      </c>
      <c r="Q1385" s="234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4">
        <f t="shared" si="34"/>
        <v>0</v>
      </c>
      <c r="Q1386" s="234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4">
        <f t="shared" si="34"/>
        <v>0</v>
      </c>
      <c r="Q1387" s="234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4">
        <f t="shared" si="34"/>
        <v>0</v>
      </c>
      <c r="Q1388" s="234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4">
        <f t="shared" si="34"/>
        <v>0</v>
      </c>
      <c r="Q1389" s="234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4">
        <f t="shared" si="34"/>
        <v>0</v>
      </c>
      <c r="Q1390" s="234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4">
        <f t="shared" si="34"/>
        <v>0</v>
      </c>
      <c r="Q1391" s="234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4">
        <f t="shared" si="34"/>
        <v>0</v>
      </c>
      <c r="Q1392" s="234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4">
        <f t="shared" si="34"/>
        <v>0</v>
      </c>
      <c r="Q1393" s="234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4">
        <f t="shared" si="34"/>
        <v>0</v>
      </c>
      <c r="Q1394" s="234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4">
        <f t="shared" si="34"/>
        <v>0</v>
      </c>
      <c r="Q1395" s="234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4">
        <f t="shared" si="34"/>
        <v>0</v>
      </c>
      <c r="Q1396" s="234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4">
        <f t="shared" si="34"/>
        <v>0</v>
      </c>
      <c r="Q1397" s="234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4">
        <f t="shared" si="34"/>
        <v>0</v>
      </c>
      <c r="Q1398" s="234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4">
        <f t="shared" si="34"/>
        <v>0</v>
      </c>
      <c r="Q1399" s="234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4">
        <f t="shared" si="34"/>
        <v>0</v>
      </c>
      <c r="Q1400" s="234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4">
        <f t="shared" si="34"/>
        <v>0</v>
      </c>
      <c r="Q1401" s="234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4">
        <f t="shared" si="34"/>
        <v>0</v>
      </c>
      <c r="Q1402" s="234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4">
        <f t="shared" si="34"/>
        <v>0</v>
      </c>
      <c r="Q1403" s="234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4">
        <f t="shared" si="34"/>
        <v>0</v>
      </c>
      <c r="Q1404" s="234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4">
        <f t="shared" si="34"/>
        <v>0</v>
      </c>
      <c r="Q1405" s="234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4">
        <f t="shared" si="34"/>
        <v>0</v>
      </c>
      <c r="Q1406" s="234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4">
        <f t="shared" si="34"/>
        <v>0</v>
      </c>
      <c r="Q1407" s="234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4">
        <f t="shared" si="34"/>
        <v>0</v>
      </c>
      <c r="Q1408" s="234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4">
        <f t="shared" si="34"/>
        <v>0</v>
      </c>
      <c r="Q1409" s="234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4">
        <f t="shared" si="34"/>
        <v>0</v>
      </c>
      <c r="Q1410" s="234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4">
        <f t="shared" si="34"/>
        <v>0</v>
      </c>
      <c r="Q1411" s="234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4">
        <f t="shared" si="34"/>
        <v>0</v>
      </c>
      <c r="Q1412" s="234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4">
        <f t="shared" si="34"/>
        <v>0</v>
      </c>
      <c r="Q1413" s="234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4">
        <f t="shared" si="34"/>
        <v>0</v>
      </c>
      <c r="Q1414" s="234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4">
        <f t="shared" si="34"/>
        <v>0</v>
      </c>
      <c r="Q1415" s="234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4">
        <f t="shared" si="34"/>
        <v>0</v>
      </c>
      <c r="Q1416" s="234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4">
        <f t="shared" si="34"/>
        <v>0</v>
      </c>
      <c r="Q1417" s="234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4">
        <f t="shared" si="34"/>
        <v>0</v>
      </c>
      <c r="Q1418" s="234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4">
        <f t="shared" si="34"/>
        <v>0</v>
      </c>
      <c r="Q1419" s="234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4">
        <f t="shared" si="34"/>
        <v>0</v>
      </c>
      <c r="Q1420" s="234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4">
        <f t="shared" si="34"/>
        <v>0</v>
      </c>
      <c r="Q1421" s="234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4">
        <f t="shared" si="34"/>
        <v>0</v>
      </c>
      <c r="Q1422" s="234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4">
        <f t="shared" si="34"/>
        <v>0</v>
      </c>
      <c r="Q1423" s="234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4">
        <f t="shared" si="34"/>
        <v>0</v>
      </c>
      <c r="Q1424" s="234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4">
        <f t="shared" si="34"/>
        <v>0</v>
      </c>
      <c r="Q1425" s="234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4">
        <f t="shared" si="34"/>
        <v>0</v>
      </c>
      <c r="Q1426" s="234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4">
        <f t="shared" si="34"/>
        <v>0</v>
      </c>
      <c r="Q1427" s="234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4">
        <f t="shared" si="34"/>
        <v>0</v>
      </c>
      <c r="Q1428" s="234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4">
        <f t="shared" ref="P1429:P1492" si="35">IF(ISNUMBER(Q1429),Q1429,0)</f>
        <v>0</v>
      </c>
      <c r="Q1429" s="234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4">
        <f t="shared" si="35"/>
        <v>0</v>
      </c>
      <c r="Q1430" s="234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4">
        <f t="shared" si="35"/>
        <v>0</v>
      </c>
      <c r="Q1431" s="234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4">
        <f t="shared" si="35"/>
        <v>0</v>
      </c>
      <c r="Q1432" s="234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4">
        <f t="shared" si="35"/>
        <v>0</v>
      </c>
      <c r="Q1433" s="234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4">
        <f t="shared" si="35"/>
        <v>0</v>
      </c>
      <c r="Q1434" s="234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4">
        <f t="shared" si="35"/>
        <v>0</v>
      </c>
      <c r="Q1435" s="234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4">
        <f t="shared" si="35"/>
        <v>0</v>
      </c>
      <c r="Q1436" s="234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4">
        <f t="shared" si="35"/>
        <v>0</v>
      </c>
      <c r="Q1437" s="234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4">
        <f t="shared" si="35"/>
        <v>0</v>
      </c>
      <c r="Q1438" s="234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4">
        <f t="shared" si="35"/>
        <v>0</v>
      </c>
      <c r="Q1439" s="234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4">
        <f t="shared" si="35"/>
        <v>0</v>
      </c>
      <c r="Q1440" s="234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4">
        <f t="shared" si="35"/>
        <v>0</v>
      </c>
      <c r="Q1441" s="234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4">
        <f t="shared" si="35"/>
        <v>0</v>
      </c>
      <c r="Q1442" s="234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4">
        <f t="shared" si="35"/>
        <v>0</v>
      </c>
      <c r="Q1443" s="234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4">
        <f t="shared" si="35"/>
        <v>0</v>
      </c>
      <c r="Q1444" s="234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4">
        <f t="shared" si="35"/>
        <v>0</v>
      </c>
      <c r="Q1445" s="234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4">
        <f t="shared" si="35"/>
        <v>0</v>
      </c>
      <c r="Q1446" s="234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4">
        <f t="shared" si="35"/>
        <v>0</v>
      </c>
      <c r="Q1447" s="234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4">
        <f t="shared" si="35"/>
        <v>0</v>
      </c>
      <c r="Q1448" s="234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4">
        <f t="shared" si="35"/>
        <v>0</v>
      </c>
      <c r="Q1449" s="234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4">
        <f t="shared" si="35"/>
        <v>0</v>
      </c>
      <c r="Q1450" s="234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4">
        <f t="shared" si="35"/>
        <v>0</v>
      </c>
      <c r="Q1451" s="234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4">
        <f t="shared" si="35"/>
        <v>0</v>
      </c>
      <c r="Q1452" s="234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4">
        <f t="shared" si="35"/>
        <v>0</v>
      </c>
      <c r="Q1453" s="234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4">
        <f t="shared" si="35"/>
        <v>0</v>
      </c>
      <c r="Q1454" s="234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4">
        <f t="shared" si="35"/>
        <v>0</v>
      </c>
      <c r="Q1455" s="234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4">
        <f t="shared" si="35"/>
        <v>0</v>
      </c>
      <c r="Q1456" s="234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4">
        <f t="shared" si="35"/>
        <v>0</v>
      </c>
      <c r="Q1457" s="234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4">
        <f t="shared" si="35"/>
        <v>0</v>
      </c>
      <c r="Q1458" s="234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4">
        <f t="shared" si="35"/>
        <v>0</v>
      </c>
      <c r="Q1459" s="234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4">
        <f t="shared" si="35"/>
        <v>0</v>
      </c>
      <c r="Q1460" s="234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4">
        <f t="shared" si="35"/>
        <v>0</v>
      </c>
      <c r="Q1461" s="234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4">
        <f t="shared" si="35"/>
        <v>0</v>
      </c>
      <c r="Q1462" s="234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4">
        <f t="shared" si="35"/>
        <v>0</v>
      </c>
      <c r="Q1463" s="234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4">
        <f t="shared" si="35"/>
        <v>0</v>
      </c>
      <c r="Q1464" s="234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4">
        <f t="shared" si="35"/>
        <v>0</v>
      </c>
      <c r="Q1465" s="234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4">
        <f t="shared" si="35"/>
        <v>0</v>
      </c>
      <c r="Q1466" s="234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4">
        <f t="shared" si="35"/>
        <v>0</v>
      </c>
      <c r="Q1467" s="234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4">
        <f t="shared" si="35"/>
        <v>0</v>
      </c>
      <c r="Q1468" s="234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4">
        <f t="shared" si="35"/>
        <v>0</v>
      </c>
      <c r="Q1469" s="234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4">
        <f t="shared" si="35"/>
        <v>0</v>
      </c>
      <c r="Q1470" s="234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4">
        <f t="shared" si="35"/>
        <v>0</v>
      </c>
      <c r="Q1471" s="234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4">
        <f t="shared" si="35"/>
        <v>0</v>
      </c>
      <c r="Q1472" s="234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4">
        <f t="shared" si="35"/>
        <v>0</v>
      </c>
      <c r="Q1473" s="234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4">
        <f t="shared" si="35"/>
        <v>0</v>
      </c>
      <c r="Q1474" s="234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4">
        <f t="shared" si="35"/>
        <v>0</v>
      </c>
      <c r="Q1475" s="234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4">
        <f t="shared" si="35"/>
        <v>0</v>
      </c>
      <c r="Q1476" s="234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4">
        <f t="shared" si="35"/>
        <v>0</v>
      </c>
      <c r="Q1477" s="234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4">
        <f t="shared" si="35"/>
        <v>0</v>
      </c>
      <c r="Q1478" s="234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4">
        <f t="shared" si="35"/>
        <v>0</v>
      </c>
      <c r="Q1479" s="234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4">
        <f t="shared" si="35"/>
        <v>0</v>
      </c>
      <c r="Q1480" s="234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4">
        <f t="shared" si="35"/>
        <v>0</v>
      </c>
      <c r="Q1481" s="234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4">
        <f t="shared" si="35"/>
        <v>0</v>
      </c>
      <c r="Q1482" s="234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4">
        <f t="shared" si="35"/>
        <v>0</v>
      </c>
      <c r="Q1483" s="234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4">
        <f t="shared" si="35"/>
        <v>0</v>
      </c>
      <c r="Q1484" s="234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4">
        <f t="shared" si="35"/>
        <v>0</v>
      </c>
      <c r="Q1485" s="234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4">
        <f t="shared" si="35"/>
        <v>0</v>
      </c>
      <c r="Q1486" s="234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4">
        <f t="shared" si="35"/>
        <v>0</v>
      </c>
      <c r="Q1487" s="234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4">
        <f t="shared" si="35"/>
        <v>0</v>
      </c>
      <c r="Q1488" s="234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4">
        <f t="shared" si="35"/>
        <v>0</v>
      </c>
      <c r="Q1489" s="234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4">
        <f t="shared" si="35"/>
        <v>0</v>
      </c>
      <c r="Q1490" s="234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4">
        <f t="shared" si="35"/>
        <v>0</v>
      </c>
      <c r="Q1491" s="234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4">
        <f t="shared" si="35"/>
        <v>0</v>
      </c>
      <c r="Q1492" s="234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4">
        <f t="shared" ref="P1493:P1556" si="36">IF(ISNUMBER(Q1493),Q1493,0)</f>
        <v>0</v>
      </c>
      <c r="Q1493" s="234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4">
        <f t="shared" si="36"/>
        <v>0</v>
      </c>
      <c r="Q1494" s="234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4">
        <f t="shared" si="36"/>
        <v>0</v>
      </c>
      <c r="Q1495" s="234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4">
        <f t="shared" si="36"/>
        <v>0</v>
      </c>
      <c r="Q1496" s="234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4">
        <f t="shared" si="36"/>
        <v>0</v>
      </c>
      <c r="Q1497" s="234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4">
        <f t="shared" si="36"/>
        <v>0</v>
      </c>
      <c r="Q1498" s="234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4">
        <f t="shared" si="36"/>
        <v>0</v>
      </c>
      <c r="Q1499" s="234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4">
        <f t="shared" si="36"/>
        <v>0</v>
      </c>
      <c r="Q1500" s="234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4">
        <f t="shared" si="36"/>
        <v>0</v>
      </c>
      <c r="Q1501" s="234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4">
        <f t="shared" si="36"/>
        <v>0</v>
      </c>
      <c r="Q1502" s="234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4">
        <f t="shared" si="36"/>
        <v>0</v>
      </c>
      <c r="Q1503" s="234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4">
        <f t="shared" si="36"/>
        <v>0</v>
      </c>
      <c r="Q1504" s="234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4">
        <f t="shared" si="36"/>
        <v>0</v>
      </c>
      <c r="Q1505" s="234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4">
        <f t="shared" si="36"/>
        <v>0</v>
      </c>
      <c r="Q1506" s="234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4">
        <f t="shared" si="36"/>
        <v>0</v>
      </c>
      <c r="Q1507" s="234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4">
        <f t="shared" si="36"/>
        <v>0</v>
      </c>
      <c r="Q1508" s="234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4">
        <f t="shared" si="36"/>
        <v>0</v>
      </c>
      <c r="Q1509" s="234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4">
        <f t="shared" si="36"/>
        <v>0</v>
      </c>
      <c r="Q1510" s="234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4">
        <f t="shared" si="36"/>
        <v>0</v>
      </c>
      <c r="Q1511" s="234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4">
        <f t="shared" si="36"/>
        <v>0</v>
      </c>
      <c r="Q1512" s="234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4">
        <f t="shared" si="36"/>
        <v>0</v>
      </c>
      <c r="Q1513" s="234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4">
        <f t="shared" si="36"/>
        <v>0</v>
      </c>
      <c r="Q1514" s="234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4">
        <f t="shared" si="36"/>
        <v>0</v>
      </c>
      <c r="Q1515" s="234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4">
        <f t="shared" si="36"/>
        <v>0</v>
      </c>
      <c r="Q1516" s="234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4">
        <f t="shared" si="36"/>
        <v>0</v>
      </c>
      <c r="Q1517" s="234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4">
        <f t="shared" si="36"/>
        <v>0</v>
      </c>
      <c r="Q1518" s="234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4">
        <f t="shared" si="36"/>
        <v>0</v>
      </c>
      <c r="Q1519" s="234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4">
        <f t="shared" si="36"/>
        <v>0</v>
      </c>
      <c r="Q1520" s="234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4">
        <f t="shared" si="36"/>
        <v>0</v>
      </c>
      <c r="Q1521" s="234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4">
        <f t="shared" si="36"/>
        <v>0</v>
      </c>
      <c r="Q1522" s="234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4">
        <f t="shared" si="36"/>
        <v>0</v>
      </c>
      <c r="Q1523" s="234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4">
        <f t="shared" si="36"/>
        <v>0</v>
      </c>
      <c r="Q1524" s="234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4">
        <f t="shared" si="36"/>
        <v>0</v>
      </c>
      <c r="Q1525" s="234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4">
        <f t="shared" si="36"/>
        <v>0</v>
      </c>
      <c r="Q1526" s="234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4">
        <f t="shared" si="36"/>
        <v>0</v>
      </c>
      <c r="Q1527" s="234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4">
        <f t="shared" si="36"/>
        <v>0</v>
      </c>
      <c r="Q1528" s="234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4">
        <f t="shared" si="36"/>
        <v>0</v>
      </c>
      <c r="Q1529" s="234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4">
        <f t="shared" si="36"/>
        <v>0</v>
      </c>
      <c r="Q1530" s="234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4">
        <f t="shared" si="36"/>
        <v>0</v>
      </c>
      <c r="Q1531" s="234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4">
        <f t="shared" si="36"/>
        <v>0</v>
      </c>
      <c r="Q1532" s="234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4">
        <f t="shared" si="36"/>
        <v>0</v>
      </c>
      <c r="Q1533" s="234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4">
        <f t="shared" si="36"/>
        <v>0</v>
      </c>
      <c r="Q1534" s="234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4">
        <f t="shared" si="36"/>
        <v>0</v>
      </c>
      <c r="Q1535" s="234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4">
        <f t="shared" si="36"/>
        <v>0</v>
      </c>
      <c r="Q1536" s="234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4">
        <f t="shared" si="36"/>
        <v>0</v>
      </c>
      <c r="Q1537" s="234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4">
        <f t="shared" si="36"/>
        <v>0</v>
      </c>
      <c r="Q1538" s="234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4">
        <f t="shared" si="36"/>
        <v>0</v>
      </c>
      <c r="Q1539" s="234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4">
        <f t="shared" si="36"/>
        <v>0</v>
      </c>
      <c r="Q1540" s="234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4">
        <f t="shared" si="36"/>
        <v>0</v>
      </c>
      <c r="Q1541" s="234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4">
        <f t="shared" si="36"/>
        <v>0</v>
      </c>
      <c r="Q1542" s="234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4">
        <f t="shared" si="36"/>
        <v>0</v>
      </c>
      <c r="Q1543" s="234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4">
        <f t="shared" si="36"/>
        <v>0</v>
      </c>
      <c r="Q1544" s="234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4">
        <f t="shared" si="36"/>
        <v>0</v>
      </c>
      <c r="Q1545" s="234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4">
        <f t="shared" si="36"/>
        <v>0</v>
      </c>
      <c r="Q1546" s="234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4">
        <f t="shared" si="36"/>
        <v>0</v>
      </c>
      <c r="Q1547" s="234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4">
        <f t="shared" si="36"/>
        <v>0</v>
      </c>
      <c r="Q1548" s="234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4">
        <f t="shared" si="36"/>
        <v>0</v>
      </c>
      <c r="Q1549" s="234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4">
        <f t="shared" si="36"/>
        <v>0</v>
      </c>
      <c r="Q1550" s="234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4">
        <f t="shared" si="36"/>
        <v>0</v>
      </c>
      <c r="Q1551" s="234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4">
        <f t="shared" si="36"/>
        <v>0</v>
      </c>
      <c r="Q1552" s="234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4">
        <f t="shared" si="36"/>
        <v>0</v>
      </c>
      <c r="Q1553" s="234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4">
        <f t="shared" si="36"/>
        <v>0</v>
      </c>
      <c r="Q1554" s="234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4">
        <f t="shared" si="36"/>
        <v>0</v>
      </c>
      <c r="Q1555" s="234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4">
        <f t="shared" si="36"/>
        <v>0</v>
      </c>
      <c r="Q1556" s="234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4">
        <f t="shared" ref="P1557:P1620" si="37">IF(ISNUMBER(Q1557),Q1557,0)</f>
        <v>0</v>
      </c>
      <c r="Q1557" s="234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4">
        <f t="shared" si="37"/>
        <v>0</v>
      </c>
      <c r="Q1558" s="234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4">
        <f t="shared" si="37"/>
        <v>0</v>
      </c>
      <c r="Q1559" s="234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4">
        <f t="shared" si="37"/>
        <v>0</v>
      </c>
      <c r="Q1560" s="234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4">
        <f t="shared" si="37"/>
        <v>0</v>
      </c>
      <c r="Q1561" s="234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4">
        <f t="shared" si="37"/>
        <v>0</v>
      </c>
      <c r="Q1562" s="234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4">
        <f t="shared" si="37"/>
        <v>0</v>
      </c>
      <c r="Q1563" s="234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4">
        <f t="shared" si="37"/>
        <v>0</v>
      </c>
      <c r="Q1564" s="234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4">
        <f t="shared" si="37"/>
        <v>0</v>
      </c>
      <c r="Q1565" s="234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4">
        <f t="shared" si="37"/>
        <v>0</v>
      </c>
      <c r="Q1566" s="234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4">
        <f t="shared" si="37"/>
        <v>0</v>
      </c>
      <c r="Q1567" s="234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4">
        <f t="shared" si="37"/>
        <v>0</v>
      </c>
      <c r="Q1568" s="234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4">
        <f t="shared" si="37"/>
        <v>0</v>
      </c>
      <c r="Q1569" s="234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4">
        <f t="shared" si="37"/>
        <v>0</v>
      </c>
      <c r="Q1570" s="234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4">
        <f t="shared" si="37"/>
        <v>0</v>
      </c>
      <c r="Q1571" s="234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4">
        <f t="shared" si="37"/>
        <v>0</v>
      </c>
      <c r="Q1572" s="234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4">
        <f t="shared" si="37"/>
        <v>0</v>
      </c>
      <c r="Q1573" s="234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4">
        <f t="shared" si="37"/>
        <v>0</v>
      </c>
      <c r="Q1574" s="234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4">
        <f t="shared" si="37"/>
        <v>0</v>
      </c>
      <c r="Q1575" s="234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4">
        <f t="shared" si="37"/>
        <v>0</v>
      </c>
      <c r="Q1576" s="234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4">
        <f t="shared" si="37"/>
        <v>0</v>
      </c>
      <c r="Q1577" s="234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4">
        <f t="shared" si="37"/>
        <v>0</v>
      </c>
      <c r="Q1578" s="234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4">
        <f t="shared" si="37"/>
        <v>0</v>
      </c>
      <c r="Q1579" s="234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4">
        <f t="shared" si="37"/>
        <v>0</v>
      </c>
      <c r="Q1580" s="234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4">
        <f t="shared" si="37"/>
        <v>0</v>
      </c>
      <c r="Q1581" s="234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4">
        <f t="shared" si="37"/>
        <v>0</v>
      </c>
      <c r="Q1582" s="234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4">
        <f t="shared" si="37"/>
        <v>0</v>
      </c>
      <c r="Q1583" s="234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4">
        <f t="shared" si="37"/>
        <v>0</v>
      </c>
      <c r="Q1584" s="234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4">
        <f t="shared" si="37"/>
        <v>0</v>
      </c>
      <c r="Q1585" s="234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4">
        <f t="shared" si="37"/>
        <v>0</v>
      </c>
      <c r="Q1586" s="234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4">
        <f t="shared" si="37"/>
        <v>0</v>
      </c>
      <c r="Q1587" s="234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4">
        <f t="shared" si="37"/>
        <v>0</v>
      </c>
      <c r="Q1588" s="234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4">
        <f t="shared" si="37"/>
        <v>0</v>
      </c>
      <c r="Q1589" s="234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4">
        <f t="shared" si="37"/>
        <v>0</v>
      </c>
      <c r="Q1590" s="234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4">
        <f t="shared" si="37"/>
        <v>0</v>
      </c>
      <c r="Q1591" s="234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4">
        <f t="shared" si="37"/>
        <v>0</v>
      </c>
      <c r="Q1592" s="234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4">
        <f t="shared" si="37"/>
        <v>0</v>
      </c>
      <c r="Q1593" s="234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4">
        <f t="shared" si="37"/>
        <v>0</v>
      </c>
      <c r="Q1594" s="234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4">
        <f t="shared" si="37"/>
        <v>0</v>
      </c>
      <c r="Q1595" s="234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4">
        <f t="shared" si="37"/>
        <v>0</v>
      </c>
      <c r="Q1596" s="234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4">
        <f t="shared" si="37"/>
        <v>0</v>
      </c>
      <c r="Q1597" s="234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4">
        <f t="shared" si="37"/>
        <v>0</v>
      </c>
      <c r="Q1598" s="234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4">
        <f t="shared" si="37"/>
        <v>0</v>
      </c>
      <c r="Q1599" s="234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4">
        <f t="shared" si="37"/>
        <v>0</v>
      </c>
      <c r="Q1600" s="234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4">
        <f t="shared" si="37"/>
        <v>0</v>
      </c>
      <c r="Q1601" s="234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4">
        <f t="shared" si="37"/>
        <v>0</v>
      </c>
      <c r="Q1602" s="234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4">
        <f t="shared" si="37"/>
        <v>0</v>
      </c>
      <c r="Q1603" s="234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4">
        <f t="shared" si="37"/>
        <v>0</v>
      </c>
      <c r="Q1604" s="234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4">
        <f t="shared" si="37"/>
        <v>0</v>
      </c>
      <c r="Q1605" s="234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4">
        <f t="shared" si="37"/>
        <v>0</v>
      </c>
      <c r="Q1606" s="234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4">
        <f t="shared" si="37"/>
        <v>0</v>
      </c>
      <c r="Q1607" s="234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4">
        <f t="shared" si="37"/>
        <v>0</v>
      </c>
      <c r="Q1608" s="234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4">
        <f t="shared" si="37"/>
        <v>0</v>
      </c>
      <c r="Q1609" s="234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4">
        <f t="shared" si="37"/>
        <v>0</v>
      </c>
      <c r="Q1610" s="234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4">
        <f t="shared" si="37"/>
        <v>0</v>
      </c>
      <c r="Q1611" s="234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4">
        <f t="shared" si="37"/>
        <v>0</v>
      </c>
      <c r="Q1612" s="234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4">
        <f t="shared" si="37"/>
        <v>0</v>
      </c>
      <c r="Q1613" s="234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4">
        <f t="shared" si="37"/>
        <v>0</v>
      </c>
      <c r="Q1614" s="234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4">
        <f t="shared" si="37"/>
        <v>0</v>
      </c>
      <c r="Q1615" s="234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4">
        <f t="shared" si="37"/>
        <v>0</v>
      </c>
      <c r="Q1616" s="234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4">
        <f t="shared" si="37"/>
        <v>0</v>
      </c>
      <c r="Q1617" s="234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4">
        <f t="shared" si="37"/>
        <v>0</v>
      </c>
      <c r="Q1618" s="234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4">
        <f t="shared" si="37"/>
        <v>0</v>
      </c>
      <c r="Q1619" s="234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4">
        <f t="shared" si="37"/>
        <v>0</v>
      </c>
      <c r="Q1620" s="234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4">
        <f t="shared" ref="P1621:P1684" si="38">IF(ISNUMBER(Q1621),Q1621,0)</f>
        <v>0</v>
      </c>
      <c r="Q1621" s="234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4">
        <f t="shared" si="38"/>
        <v>0</v>
      </c>
      <c r="Q1622" s="234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4">
        <f t="shared" si="38"/>
        <v>0</v>
      </c>
      <c r="Q1623" s="234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4">
        <f t="shared" si="38"/>
        <v>0</v>
      </c>
      <c r="Q1624" s="234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4">
        <f t="shared" si="38"/>
        <v>0</v>
      </c>
      <c r="Q1625" s="234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4">
        <f t="shared" si="38"/>
        <v>0</v>
      </c>
      <c r="Q1626" s="234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4">
        <f t="shared" si="38"/>
        <v>0</v>
      </c>
      <c r="Q1627" s="234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4">
        <f t="shared" si="38"/>
        <v>0</v>
      </c>
      <c r="Q1628" s="234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4">
        <f t="shared" si="38"/>
        <v>0</v>
      </c>
      <c r="Q1629" s="234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4">
        <f t="shared" si="38"/>
        <v>0</v>
      </c>
      <c r="Q1630" s="234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4">
        <f t="shared" si="38"/>
        <v>0</v>
      </c>
      <c r="Q1631" s="234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4">
        <f t="shared" si="38"/>
        <v>0</v>
      </c>
      <c r="Q1632" s="234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4">
        <f t="shared" si="38"/>
        <v>0</v>
      </c>
      <c r="Q1633" s="234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4">
        <f t="shared" si="38"/>
        <v>0</v>
      </c>
      <c r="Q1634" s="234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4">
        <f t="shared" si="38"/>
        <v>0</v>
      </c>
      <c r="Q1635" s="234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4">
        <f t="shared" si="38"/>
        <v>0</v>
      </c>
      <c r="Q1636" s="234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4">
        <f t="shared" si="38"/>
        <v>0</v>
      </c>
      <c r="Q1637" s="234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4">
        <f t="shared" si="38"/>
        <v>0</v>
      </c>
      <c r="Q1638" s="234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4">
        <f t="shared" si="38"/>
        <v>0</v>
      </c>
      <c r="Q1639" s="234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4">
        <f t="shared" si="38"/>
        <v>0</v>
      </c>
      <c r="Q1640" s="234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4">
        <f t="shared" si="38"/>
        <v>0</v>
      </c>
      <c r="Q1641" s="234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4">
        <f t="shared" si="38"/>
        <v>0</v>
      </c>
      <c r="Q1642" s="234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4">
        <f t="shared" si="38"/>
        <v>0</v>
      </c>
      <c r="Q1643" s="234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4">
        <f t="shared" si="38"/>
        <v>0</v>
      </c>
      <c r="Q1644" s="234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4">
        <f t="shared" si="38"/>
        <v>0</v>
      </c>
      <c r="Q1645" s="234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4">
        <f t="shared" si="38"/>
        <v>0</v>
      </c>
      <c r="Q1646" s="234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4">
        <f t="shared" si="38"/>
        <v>0</v>
      </c>
      <c r="Q1647" s="234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4">
        <f t="shared" si="38"/>
        <v>0</v>
      </c>
      <c r="Q1648" s="234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4">
        <f t="shared" si="38"/>
        <v>0</v>
      </c>
      <c r="Q1649" s="234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4">
        <f t="shared" si="38"/>
        <v>0</v>
      </c>
      <c r="Q1650" s="234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4">
        <f t="shared" si="38"/>
        <v>0</v>
      </c>
      <c r="Q1651" s="234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4">
        <f t="shared" si="38"/>
        <v>0</v>
      </c>
      <c r="Q1652" s="234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4">
        <f t="shared" si="38"/>
        <v>0</v>
      </c>
      <c r="Q1653" s="234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4">
        <f t="shared" si="38"/>
        <v>0</v>
      </c>
      <c r="Q1654" s="234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4">
        <f t="shared" si="38"/>
        <v>0</v>
      </c>
      <c r="Q1655" s="234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4">
        <f t="shared" si="38"/>
        <v>0</v>
      </c>
      <c r="Q1656" s="234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4">
        <f t="shared" si="38"/>
        <v>0</v>
      </c>
      <c r="Q1657" s="234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4">
        <f t="shared" si="38"/>
        <v>0</v>
      </c>
      <c r="Q1658" s="234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4">
        <f t="shared" si="38"/>
        <v>0</v>
      </c>
      <c r="Q1659" s="234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4">
        <f t="shared" si="38"/>
        <v>0</v>
      </c>
      <c r="Q1660" s="234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4">
        <f t="shared" si="38"/>
        <v>0</v>
      </c>
      <c r="Q1661" s="234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4">
        <f t="shared" si="38"/>
        <v>0</v>
      </c>
      <c r="Q1662" s="234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4">
        <f t="shared" si="38"/>
        <v>0</v>
      </c>
      <c r="Q1663" s="234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4">
        <f t="shared" si="38"/>
        <v>0</v>
      </c>
      <c r="Q1664" s="234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4">
        <f t="shared" si="38"/>
        <v>0</v>
      </c>
      <c r="Q1665" s="234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4">
        <f t="shared" si="38"/>
        <v>0</v>
      </c>
      <c r="Q1666" s="234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4">
        <f t="shared" si="38"/>
        <v>0</v>
      </c>
      <c r="Q1667" s="234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4">
        <f t="shared" si="38"/>
        <v>0</v>
      </c>
      <c r="Q1668" s="234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4">
        <f t="shared" si="38"/>
        <v>0</v>
      </c>
      <c r="Q1669" s="234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4">
        <f t="shared" si="38"/>
        <v>0</v>
      </c>
      <c r="Q1670" s="234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4">
        <f t="shared" si="38"/>
        <v>0</v>
      </c>
      <c r="Q1671" s="234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4">
        <f t="shared" si="38"/>
        <v>0</v>
      </c>
      <c r="Q1672" s="234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4">
        <f t="shared" si="38"/>
        <v>0</v>
      </c>
      <c r="Q1673" s="234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4">
        <f t="shared" si="38"/>
        <v>0</v>
      </c>
      <c r="Q1674" s="234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4">
        <f t="shared" si="38"/>
        <v>0</v>
      </c>
      <c r="Q1675" s="234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4">
        <f t="shared" si="38"/>
        <v>0</v>
      </c>
      <c r="Q1676" s="234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4">
        <f t="shared" si="38"/>
        <v>0</v>
      </c>
      <c r="Q1677" s="234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4">
        <f t="shared" si="38"/>
        <v>0</v>
      </c>
      <c r="Q1678" s="234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4">
        <f t="shared" si="38"/>
        <v>0</v>
      </c>
      <c r="Q1679" s="234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4">
        <f t="shared" si="38"/>
        <v>0</v>
      </c>
      <c r="Q1680" s="234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4">
        <f t="shared" si="38"/>
        <v>0</v>
      </c>
      <c r="Q1681" s="234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4">
        <f t="shared" si="38"/>
        <v>0</v>
      </c>
      <c r="Q1682" s="234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4">
        <f t="shared" si="38"/>
        <v>0</v>
      </c>
      <c r="Q1683" s="234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4">
        <f t="shared" si="38"/>
        <v>0</v>
      </c>
      <c r="Q1684" s="234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4">
        <f t="shared" ref="P1685:P1739" si="39">IF(ISNUMBER(Q1685),Q1685,0)</f>
        <v>0</v>
      </c>
      <c r="Q1685" s="234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4">
        <f t="shared" si="39"/>
        <v>0</v>
      </c>
      <c r="Q1686" s="234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4">
        <f t="shared" si="39"/>
        <v>0</v>
      </c>
      <c r="Q1687" s="234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4">
        <f t="shared" si="39"/>
        <v>0</v>
      </c>
      <c r="Q1688" s="234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4">
        <f t="shared" si="39"/>
        <v>0</v>
      </c>
      <c r="Q1689" s="234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4">
        <f t="shared" si="39"/>
        <v>0</v>
      </c>
      <c r="Q1690" s="234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4">
        <f t="shared" si="39"/>
        <v>0</v>
      </c>
      <c r="Q1691" s="234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4">
        <f t="shared" si="39"/>
        <v>0</v>
      </c>
      <c r="Q1692" s="234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4">
        <f t="shared" si="39"/>
        <v>0</v>
      </c>
      <c r="Q1693" s="234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4">
        <f t="shared" si="39"/>
        <v>0</v>
      </c>
      <c r="Q1694" s="234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4">
        <f t="shared" si="39"/>
        <v>0</v>
      </c>
      <c r="Q1695" s="234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4">
        <f t="shared" si="39"/>
        <v>0</v>
      </c>
      <c r="Q1696" s="234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4">
        <f t="shared" si="39"/>
        <v>0</v>
      </c>
      <c r="Q1697" s="234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4">
        <f t="shared" si="39"/>
        <v>0</v>
      </c>
      <c r="Q1698" s="234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4">
        <f t="shared" si="39"/>
        <v>0</v>
      </c>
      <c r="Q1699" s="234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4">
        <f t="shared" si="39"/>
        <v>0</v>
      </c>
      <c r="Q1700" s="234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4">
        <f t="shared" si="39"/>
        <v>0</v>
      </c>
      <c r="Q1701" s="234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4">
        <f t="shared" si="39"/>
        <v>0</v>
      </c>
      <c r="Q1702" s="234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4">
        <f t="shared" si="39"/>
        <v>0</v>
      </c>
      <c r="Q1703" s="234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4">
        <f t="shared" si="39"/>
        <v>0</v>
      </c>
      <c r="Q1704" s="234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4">
        <f t="shared" si="39"/>
        <v>0</v>
      </c>
      <c r="Q1705" s="234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4">
        <f t="shared" si="39"/>
        <v>0</v>
      </c>
      <c r="Q1706" s="234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4">
        <f t="shared" si="39"/>
        <v>0</v>
      </c>
      <c r="Q1707" s="234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4">
        <f t="shared" si="39"/>
        <v>0</v>
      </c>
      <c r="Q1708" s="234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4">
        <f t="shared" si="39"/>
        <v>0</v>
      </c>
      <c r="Q1709" s="234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4">
        <f t="shared" si="39"/>
        <v>0</v>
      </c>
      <c r="Q1710" s="234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4">
        <f t="shared" si="39"/>
        <v>0</v>
      </c>
      <c r="Q1711" s="234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4">
        <f t="shared" si="39"/>
        <v>0</v>
      </c>
      <c r="Q1712" s="234"/>
    </row>
    <row r="1713" spans="4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4">
        <f t="shared" si="39"/>
        <v>0</v>
      </c>
      <c r="Q1713" s="234"/>
    </row>
    <row r="1714" spans="4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4">
        <f t="shared" si="39"/>
        <v>0</v>
      </c>
      <c r="Q1714" s="234"/>
    </row>
    <row r="1715" spans="4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4">
        <f t="shared" si="39"/>
        <v>0</v>
      </c>
      <c r="Q1715" s="234"/>
    </row>
    <row r="1716" spans="4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4">
        <f t="shared" si="39"/>
        <v>0</v>
      </c>
      <c r="Q1716" s="234"/>
    </row>
    <row r="1717" spans="4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4">
        <f t="shared" si="39"/>
        <v>0</v>
      </c>
      <c r="Q1717" s="234"/>
    </row>
    <row r="1718" spans="4:17" ht="15.75">
      <c r="D1718"/>
      <c r="E1718"/>
      <c r="F1718"/>
      <c r="G1718"/>
      <c r="H1718"/>
      <c r="I1718"/>
      <c r="J1718"/>
      <c r="K1718"/>
      <c r="L1718"/>
      <c r="M1718"/>
      <c r="N1718"/>
      <c r="O1718"/>
      <c r="P1718" s="234">
        <f t="shared" si="39"/>
        <v>0</v>
      </c>
      <c r="Q1718" s="234"/>
    </row>
    <row r="1719" spans="4:17" ht="15.75">
      <c r="D1719"/>
      <c r="E1719"/>
      <c r="F1719"/>
      <c r="G1719"/>
      <c r="H1719"/>
      <c r="I1719"/>
      <c r="J1719"/>
      <c r="K1719"/>
      <c r="L1719"/>
      <c r="M1719"/>
      <c r="N1719"/>
      <c r="O1719"/>
      <c r="P1719" s="234">
        <f t="shared" si="39"/>
        <v>0</v>
      </c>
      <c r="Q1719" s="234"/>
    </row>
    <row r="1720" spans="4:17" ht="15.75">
      <c r="D1720"/>
      <c r="E1720"/>
      <c r="F1720"/>
      <c r="G1720"/>
      <c r="H1720"/>
      <c r="I1720"/>
      <c r="J1720"/>
      <c r="K1720"/>
      <c r="L1720"/>
      <c r="M1720"/>
      <c r="N1720"/>
      <c r="O1720"/>
      <c r="P1720" s="234">
        <f t="shared" si="39"/>
        <v>0</v>
      </c>
      <c r="Q1720" s="234"/>
    </row>
    <row r="1721" spans="4:17" ht="15.75">
      <c r="D1721"/>
      <c r="E1721"/>
      <c r="F1721"/>
      <c r="G1721"/>
      <c r="H1721"/>
      <c r="I1721"/>
      <c r="J1721"/>
      <c r="K1721"/>
      <c r="L1721"/>
      <c r="M1721"/>
      <c r="N1721"/>
      <c r="O1721"/>
      <c r="P1721" s="234">
        <f t="shared" si="39"/>
        <v>0</v>
      </c>
      <c r="Q1721" s="234"/>
    </row>
    <row r="1722" spans="4:17" ht="15.75">
      <c r="D1722"/>
      <c r="E1722"/>
      <c r="F1722"/>
      <c r="G1722"/>
      <c r="H1722"/>
      <c r="I1722"/>
      <c r="J1722"/>
      <c r="K1722"/>
      <c r="L1722"/>
      <c r="M1722"/>
      <c r="N1722"/>
      <c r="O1722"/>
      <c r="P1722" s="234">
        <f t="shared" si="39"/>
        <v>0</v>
      </c>
      <c r="Q1722" s="234"/>
    </row>
    <row r="1723" spans="4:17" ht="15.75">
      <c r="D1723"/>
      <c r="E1723"/>
      <c r="F1723"/>
      <c r="G1723"/>
      <c r="H1723"/>
      <c r="I1723"/>
      <c r="J1723"/>
      <c r="K1723"/>
      <c r="L1723"/>
      <c r="M1723"/>
      <c r="N1723"/>
      <c r="O1723"/>
      <c r="P1723" s="234">
        <f t="shared" si="39"/>
        <v>0</v>
      </c>
      <c r="Q1723" s="234"/>
    </row>
    <row r="1724" spans="4:17" ht="15.75">
      <c r="D1724"/>
      <c r="E1724"/>
      <c r="F1724"/>
      <c r="G1724"/>
      <c r="H1724"/>
      <c r="I1724"/>
      <c r="J1724"/>
      <c r="K1724"/>
      <c r="L1724"/>
      <c r="M1724"/>
      <c r="N1724"/>
      <c r="O1724"/>
      <c r="P1724" s="234">
        <f t="shared" si="39"/>
        <v>0</v>
      </c>
      <c r="Q1724" s="234"/>
    </row>
    <row r="1725" spans="4:17" ht="15.75">
      <c r="D1725"/>
      <c r="E1725"/>
      <c r="F1725"/>
      <c r="G1725"/>
      <c r="H1725"/>
      <c r="I1725"/>
      <c r="J1725"/>
      <c r="K1725"/>
      <c r="L1725"/>
      <c r="M1725"/>
      <c r="N1725"/>
      <c r="O1725"/>
      <c r="P1725" s="234">
        <f t="shared" si="39"/>
        <v>0</v>
      </c>
      <c r="Q1725" s="234"/>
    </row>
    <row r="1726" spans="4:17" ht="15.75">
      <c r="D1726"/>
      <c r="E1726"/>
      <c r="F1726"/>
      <c r="G1726"/>
      <c r="H1726"/>
      <c r="I1726"/>
      <c r="J1726"/>
      <c r="K1726"/>
      <c r="L1726"/>
      <c r="M1726"/>
      <c r="N1726"/>
      <c r="O1726"/>
      <c r="P1726" s="234">
        <f t="shared" si="39"/>
        <v>0</v>
      </c>
      <c r="Q1726" s="234"/>
    </row>
    <row r="1727" spans="4:17" ht="15.75">
      <c r="D1727"/>
      <c r="E1727"/>
      <c r="F1727"/>
      <c r="G1727"/>
      <c r="H1727"/>
      <c r="I1727"/>
      <c r="J1727"/>
      <c r="K1727"/>
      <c r="L1727"/>
      <c r="M1727"/>
      <c r="N1727"/>
      <c r="O1727"/>
      <c r="P1727" s="234">
        <f t="shared" si="39"/>
        <v>0</v>
      </c>
      <c r="Q1727" s="234"/>
    </row>
    <row r="1728" spans="4:17" ht="15.75">
      <c r="D1728"/>
      <c r="E1728"/>
      <c r="F1728"/>
      <c r="G1728"/>
      <c r="H1728"/>
      <c r="I1728"/>
      <c r="J1728"/>
      <c r="K1728"/>
      <c r="L1728"/>
      <c r="M1728"/>
      <c r="N1728"/>
      <c r="O1728"/>
      <c r="P1728" s="234">
        <f t="shared" si="39"/>
        <v>0</v>
      </c>
      <c r="Q1728" s="234"/>
    </row>
    <row r="1729" spans="1:17" ht="15.75">
      <c r="D1729"/>
      <c r="E1729"/>
      <c r="F1729"/>
      <c r="G1729"/>
      <c r="H1729"/>
      <c r="I1729"/>
      <c r="J1729"/>
      <c r="K1729"/>
      <c r="L1729"/>
      <c r="M1729"/>
      <c r="N1729"/>
      <c r="O1729"/>
      <c r="P1729" s="234">
        <f t="shared" si="39"/>
        <v>0</v>
      </c>
      <c r="Q1729" s="234"/>
    </row>
    <row r="1730" spans="1:17" ht="15.75">
      <c r="D1730"/>
      <c r="E1730"/>
      <c r="F1730"/>
      <c r="G1730"/>
      <c r="H1730"/>
      <c r="I1730"/>
      <c r="J1730"/>
      <c r="K1730"/>
      <c r="L1730"/>
      <c r="M1730"/>
      <c r="N1730"/>
      <c r="O1730"/>
      <c r="P1730" s="234">
        <f t="shared" si="39"/>
        <v>0</v>
      </c>
      <c r="Q1730" s="234"/>
    </row>
    <row r="1731" spans="1:17" ht="15.75">
      <c r="D1731"/>
      <c r="E1731"/>
      <c r="F1731"/>
      <c r="G1731"/>
      <c r="H1731"/>
      <c r="I1731"/>
      <c r="J1731"/>
      <c r="K1731"/>
      <c r="L1731"/>
      <c r="M1731"/>
      <c r="N1731"/>
      <c r="O1731"/>
      <c r="P1731" s="234">
        <f t="shared" si="39"/>
        <v>0</v>
      </c>
      <c r="Q1731" s="234"/>
    </row>
    <row r="1732" spans="1:17" ht="15.75">
      <c r="D1732"/>
      <c r="E1732"/>
      <c r="F1732"/>
      <c r="G1732"/>
      <c r="H1732"/>
      <c r="I1732"/>
      <c r="J1732"/>
      <c r="K1732"/>
      <c r="L1732"/>
      <c r="M1732"/>
      <c r="N1732"/>
      <c r="O1732"/>
      <c r="P1732" s="234">
        <f t="shared" si="39"/>
        <v>0</v>
      </c>
      <c r="Q1732" s="234"/>
    </row>
    <row r="1733" spans="1:17" ht="15.75">
      <c r="D1733"/>
      <c r="E1733"/>
      <c r="F1733"/>
      <c r="G1733"/>
      <c r="H1733"/>
      <c r="I1733"/>
      <c r="J1733"/>
      <c r="K1733"/>
      <c r="L1733"/>
      <c r="M1733"/>
      <c r="N1733"/>
      <c r="O1733"/>
      <c r="P1733" s="234">
        <f t="shared" si="39"/>
        <v>0</v>
      </c>
      <c r="Q1733" s="248"/>
    </row>
    <row r="1734" spans="1:17">
      <c r="A1734" s="9" t="s">
        <v>772</v>
      </c>
      <c r="B1734" t="s">
        <v>793</v>
      </c>
      <c r="C1734" s="9" t="s">
        <v>1641</v>
      </c>
      <c r="D1734">
        <v>1</v>
      </c>
      <c r="E1734">
        <v>1</v>
      </c>
      <c r="F1734">
        <v>35</v>
      </c>
      <c r="G1734">
        <v>999</v>
      </c>
      <c r="H1734">
        <v>999</v>
      </c>
      <c r="I1734">
        <v>1</v>
      </c>
      <c r="J1734">
        <v>1</v>
      </c>
      <c r="K1734">
        <v>9</v>
      </c>
      <c r="L1734">
        <v>99</v>
      </c>
      <c r="M1734">
        <v>1</v>
      </c>
      <c r="N1734">
        <v>3</v>
      </c>
      <c r="O1734" s="14">
        <v>99999</v>
      </c>
      <c r="P1734" s="234">
        <f t="shared" si="39"/>
        <v>0</v>
      </c>
      <c r="Q1734" s="234">
        <f>'Rede Básica + Ajuste'!D9</f>
        <v>0</v>
      </c>
    </row>
    <row r="1735" spans="1:17">
      <c r="A1735" s="9" t="s">
        <v>772</v>
      </c>
      <c r="B1735" t="s">
        <v>793</v>
      </c>
      <c r="C1735" s="9" t="s">
        <v>1642</v>
      </c>
      <c r="D1735">
        <v>1</v>
      </c>
      <c r="E1735">
        <v>1</v>
      </c>
      <c r="F1735">
        <v>35</v>
      </c>
      <c r="G1735">
        <v>999</v>
      </c>
      <c r="H1735">
        <v>999</v>
      </c>
      <c r="I1735">
        <v>1</v>
      </c>
      <c r="J1735">
        <v>1</v>
      </c>
      <c r="K1735">
        <v>9</v>
      </c>
      <c r="L1735">
        <v>99</v>
      </c>
      <c r="M1735">
        <v>3</v>
      </c>
      <c r="N1735">
        <v>3</v>
      </c>
      <c r="O1735" s="14">
        <v>99999</v>
      </c>
      <c r="P1735" s="234">
        <f t="shared" si="39"/>
        <v>0</v>
      </c>
      <c r="Q1735" s="234">
        <f>'Rede Básica + Ajuste'!D10</f>
        <v>0</v>
      </c>
    </row>
    <row r="1736" spans="1:17">
      <c r="A1736" s="9" t="s">
        <v>772</v>
      </c>
      <c r="B1736" t="s">
        <v>793</v>
      </c>
      <c r="C1736" s="9" t="s">
        <v>1643</v>
      </c>
      <c r="D1736">
        <v>1</v>
      </c>
      <c r="E1736">
        <v>1</v>
      </c>
      <c r="F1736">
        <v>35</v>
      </c>
      <c r="G1736">
        <v>999</v>
      </c>
      <c r="H1736">
        <v>999</v>
      </c>
      <c r="I1736">
        <v>1</v>
      </c>
      <c r="J1736">
        <v>2</v>
      </c>
      <c r="K1736">
        <v>9</v>
      </c>
      <c r="L1736">
        <v>99</v>
      </c>
      <c r="M1736">
        <v>1</v>
      </c>
      <c r="N1736">
        <v>3</v>
      </c>
      <c r="O1736" s="14">
        <v>99999</v>
      </c>
      <c r="P1736" s="234">
        <f t="shared" si="39"/>
        <v>0</v>
      </c>
      <c r="Q1736" s="234">
        <f>'Rede Básica + Ajuste'!E9</f>
        <v>0</v>
      </c>
    </row>
    <row r="1737" spans="1:17">
      <c r="A1737" s="9" t="s">
        <v>772</v>
      </c>
      <c r="B1737" t="s">
        <v>793</v>
      </c>
      <c r="C1737" s="9" t="s">
        <v>1644</v>
      </c>
      <c r="D1737">
        <v>1</v>
      </c>
      <c r="E1737">
        <v>1</v>
      </c>
      <c r="F1737">
        <v>35</v>
      </c>
      <c r="G1737">
        <v>999</v>
      </c>
      <c r="H1737">
        <v>999</v>
      </c>
      <c r="I1737">
        <v>1</v>
      </c>
      <c r="J1737">
        <v>2</v>
      </c>
      <c r="K1737">
        <v>9</v>
      </c>
      <c r="L1737">
        <v>99</v>
      </c>
      <c r="M1737">
        <v>3</v>
      </c>
      <c r="N1737">
        <v>3</v>
      </c>
      <c r="O1737" s="14">
        <v>99999</v>
      </c>
      <c r="P1737" s="234">
        <f t="shared" si="39"/>
        <v>0</v>
      </c>
      <c r="Q1737" s="234">
        <f>'Rede Básica + Ajuste'!E10</f>
        <v>0</v>
      </c>
    </row>
    <row r="1738" spans="1:17">
      <c r="A1738" s="9" t="s">
        <v>772</v>
      </c>
      <c r="B1738" t="s">
        <v>793</v>
      </c>
      <c r="C1738" s="9" t="s">
        <v>1645</v>
      </c>
      <c r="D1738">
        <v>1</v>
      </c>
      <c r="E1738">
        <v>1</v>
      </c>
      <c r="F1738">
        <v>35</v>
      </c>
      <c r="G1738">
        <v>999</v>
      </c>
      <c r="H1738">
        <v>999</v>
      </c>
      <c r="I1738">
        <v>1</v>
      </c>
      <c r="J1738">
        <v>1</v>
      </c>
      <c r="K1738">
        <v>9</v>
      </c>
      <c r="L1738">
        <v>99</v>
      </c>
      <c r="M1738">
        <v>1</v>
      </c>
      <c r="N1738">
        <v>1</v>
      </c>
      <c r="O1738" s="14">
        <v>99999</v>
      </c>
      <c r="P1738" s="234">
        <f t="shared" si="39"/>
        <v>0</v>
      </c>
      <c r="Q1738" s="234">
        <f>'Rede Básica + Ajuste'!C9</f>
        <v>0</v>
      </c>
    </row>
    <row r="1739" spans="1:17">
      <c r="A1739" s="9" t="s">
        <v>772</v>
      </c>
      <c r="B1739" t="s">
        <v>793</v>
      </c>
      <c r="C1739" s="9" t="s">
        <v>1646</v>
      </c>
      <c r="D1739">
        <v>1</v>
      </c>
      <c r="E1739">
        <v>1</v>
      </c>
      <c r="F1739">
        <v>35</v>
      </c>
      <c r="G1739">
        <v>999</v>
      </c>
      <c r="H1739">
        <v>999</v>
      </c>
      <c r="I1739">
        <v>1</v>
      </c>
      <c r="J1739">
        <v>1</v>
      </c>
      <c r="K1739">
        <v>9</v>
      </c>
      <c r="L1739">
        <v>99</v>
      </c>
      <c r="M1739">
        <v>3</v>
      </c>
      <c r="N1739">
        <v>1</v>
      </c>
      <c r="O1739" s="14">
        <v>99999</v>
      </c>
      <c r="P1739" s="234">
        <f t="shared" si="39"/>
        <v>0</v>
      </c>
      <c r="Q1739" s="234">
        <f>'Rede Básica + Ajuste'!C10</f>
        <v>0</v>
      </c>
    </row>
    <row r="1740" spans="1:17" ht="15.75"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7" ht="15.75"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7" ht="15.75"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7" ht="15.75"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7" ht="15.75"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  <row r="2497" customFormat="1" ht="15.75"/>
    <row r="2498" customFormat="1" ht="15.75"/>
    <row r="2499" customFormat="1" ht="15.75"/>
    <row r="2500" customFormat="1" ht="15.75"/>
    <row r="2501" customFormat="1" ht="15.75"/>
    <row r="2502" customFormat="1" ht="15.75"/>
    <row r="2503" customFormat="1" ht="15.75"/>
    <row r="2504" customFormat="1" ht="15.75"/>
    <row r="2505" customFormat="1" ht="15.75"/>
    <row r="2506" customFormat="1" ht="15.75"/>
    <row r="2507" customFormat="1" ht="15.75"/>
    <row r="2508" customFormat="1" ht="15.75"/>
    <row r="2509" customFormat="1" ht="15.75"/>
    <row r="2510" customFormat="1" ht="15.75"/>
    <row r="2511" customFormat="1" ht="15.75"/>
    <row r="2512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6" bestFit="1" customWidth="1"/>
    <col min="2" max="2" width="12.5703125" style="506" bestFit="1" customWidth="1"/>
    <col min="3" max="3" width="10.140625" style="506" customWidth="1"/>
    <col min="4" max="4" width="50.42578125" style="506" bestFit="1" customWidth="1"/>
    <col min="5" max="5" width="41.140625" style="506" bestFit="1" customWidth="1"/>
    <col min="6" max="6" width="43.28515625" style="506" bestFit="1" customWidth="1"/>
    <col min="7" max="7" width="34.7109375" style="506" bestFit="1" customWidth="1"/>
    <col min="8" max="8" width="42.7109375" style="506" bestFit="1" customWidth="1"/>
    <col min="9" max="9" width="33.42578125" style="506" bestFit="1" customWidth="1"/>
    <col min="10" max="10" width="25.42578125" style="506" bestFit="1" customWidth="1"/>
    <col min="11" max="11" width="30.85546875" style="506" bestFit="1" customWidth="1"/>
    <col min="12" max="14" width="13" style="506" customWidth="1"/>
    <col min="15" max="15" width="12.5703125" style="506" bestFit="1" customWidth="1"/>
    <col min="16" max="16" width="12.5703125" style="506" customWidth="1"/>
    <col min="17" max="19" width="13" style="506" customWidth="1"/>
    <col min="20" max="20" width="41.140625" style="506" customWidth="1"/>
    <col min="21" max="22" width="13" style="506" customWidth="1"/>
    <col min="23" max="33" width="13" style="506" bestFit="1" customWidth="1"/>
    <col min="34" max="36" width="12.5703125" style="506" bestFit="1" customWidth="1"/>
    <col min="37" max="37" width="49.42578125" style="506" bestFit="1" customWidth="1"/>
    <col min="38" max="38" width="17.5703125" style="506" bestFit="1" customWidth="1"/>
    <col min="39" max="39" width="18" style="506" bestFit="1" customWidth="1"/>
    <col min="40" max="40" width="17.5703125" style="506" bestFit="1" customWidth="1"/>
    <col min="41" max="41" width="18" style="506" bestFit="1" customWidth="1"/>
    <col min="42" max="42" width="17" style="506" bestFit="1" customWidth="1"/>
    <col min="43" max="43" width="17.5703125" style="506" bestFit="1" customWidth="1"/>
    <col min="44" max="44" width="18" style="506" bestFit="1" customWidth="1"/>
    <col min="45" max="47" width="17.5703125" style="506" bestFit="1" customWidth="1"/>
    <col min="48" max="48" width="17" style="506" bestFit="1" customWidth="1"/>
    <col min="49" max="51" width="17.5703125" style="506" bestFit="1" customWidth="1"/>
    <col min="52" max="52" width="17" style="506" bestFit="1" customWidth="1"/>
    <col min="53" max="53" width="17.5703125" style="506" bestFit="1" customWidth="1"/>
    <col min="54" max="54" width="40.85546875" style="506" bestFit="1" customWidth="1"/>
    <col min="55" max="70" width="10.140625" style="506" bestFit="1" customWidth="1"/>
    <col min="71" max="71" width="42.7109375" style="506" bestFit="1" customWidth="1"/>
    <col min="72" max="72" width="16.5703125" style="506" bestFit="1" customWidth="1"/>
    <col min="73" max="75" width="17.5703125" style="506" bestFit="1" customWidth="1"/>
    <col min="76" max="76" width="17" style="506" bestFit="1" customWidth="1"/>
    <col min="77" max="77" width="17.5703125" style="506" bestFit="1" customWidth="1"/>
    <col min="78" max="79" width="17" style="506" bestFit="1" customWidth="1"/>
    <col min="80" max="80" width="17.5703125" style="506" bestFit="1" customWidth="1"/>
    <col min="81" max="82" width="17" style="506" bestFit="1" customWidth="1"/>
    <col min="83" max="84" width="17.5703125" style="506" bestFit="1" customWidth="1"/>
    <col min="85" max="86" width="18" style="506" bestFit="1" customWidth="1"/>
    <col min="87" max="87" width="17" style="506" bestFit="1" customWidth="1"/>
    <col min="88" max="88" width="33.42578125" style="506" bestFit="1" customWidth="1"/>
    <col min="89" max="104" width="10.140625" style="506" bestFit="1" customWidth="1"/>
    <col min="105" max="105" width="25.42578125" style="506" bestFit="1" customWidth="1"/>
    <col min="106" max="119" width="10.140625" style="506" bestFit="1" customWidth="1"/>
    <col min="120" max="120" width="11.140625" style="506" bestFit="1" customWidth="1"/>
    <col min="121" max="121" width="10.140625" style="506" bestFit="1" customWidth="1"/>
    <col min="122" max="122" width="30.85546875" style="506" bestFit="1" customWidth="1"/>
    <col min="123" max="123" width="13.42578125" style="506" bestFit="1" customWidth="1"/>
    <col min="124" max="125" width="14" style="506" bestFit="1" customWidth="1"/>
    <col min="126" max="126" width="13.42578125" style="506" bestFit="1" customWidth="1"/>
    <col min="127" max="127" width="14.42578125" style="506" bestFit="1" customWidth="1"/>
    <col min="128" max="130" width="14" style="506" bestFit="1" customWidth="1"/>
    <col min="131" max="131" width="14.42578125" style="506" bestFit="1" customWidth="1"/>
    <col min="132" max="132" width="14" style="506" bestFit="1" customWidth="1"/>
    <col min="133" max="133" width="14.42578125" style="506" bestFit="1" customWidth="1"/>
    <col min="134" max="134" width="14" style="506" bestFit="1" customWidth="1"/>
    <col min="135" max="135" width="13.42578125" style="506" bestFit="1" customWidth="1"/>
    <col min="136" max="138" width="14.42578125" style="506" bestFit="1" customWidth="1"/>
    <col min="139" max="16384" width="9.140625" style="506"/>
  </cols>
  <sheetData>
    <row r="1" spans="1:138">
      <c r="A1" s="1548" t="s">
        <v>1647</v>
      </c>
      <c r="B1" s="506">
        <f>YEAR(SAS_RA0_DataInicio)*100+MONTH(SAS_RA0_DataInicio)</f>
        <v>202107</v>
      </c>
      <c r="D1" s="1548" t="s">
        <v>1648</v>
      </c>
      <c r="E1" s="1548" t="s">
        <v>1649</v>
      </c>
      <c r="F1" s="1548" t="s">
        <v>1650</v>
      </c>
    </row>
    <row r="2" spans="1:138" ht="15.75">
      <c r="A2" s="1548" t="s">
        <v>1651</v>
      </c>
      <c r="B2" s="506">
        <f>YEAR(SAS_RA0_DataFim)*100+MONTH(SAS_RA0_DataFim)</f>
        <v>202206</v>
      </c>
      <c r="D2" s="1549" t="str">
        <f>UPPER(VLOOKUP(LnkTXTSigla,Informacoes[],9,FALSE))</f>
        <v>RGE</v>
      </c>
      <c r="E2" s="506">
        <f>IF(_xlfn.MAXIFS(C:C,A:A,D2)&gt;B2,B2,_xlfn.MAXIFS(C:C,A:A,D2))</f>
        <v>0</v>
      </c>
      <c r="F2" s="508">
        <f>YEAR(SAS_RA0_DataFim)*100+MONTH(SAS_RA0_DataFim)-E2+1</f>
        <v>202207</v>
      </c>
    </row>
    <row r="3" spans="1:138" ht="15.75">
      <c r="A3" s="1550" t="s">
        <v>229</v>
      </c>
      <c r="B3" s="508">
        <f>YEAR(SAS_RA0_DataFim)*100+MONTH(SAS_RA0_DataFim)-MAX(C:C)+1</f>
        <v>202207</v>
      </c>
      <c r="D3" s="1549" t="str">
        <f>UPPER(VLOOKUP(LnkTXTSigla,Informacoes[],11,FALSE))</f>
        <v/>
      </c>
      <c r="E3" s="506">
        <f>IF(_xlfn.MAXIFS(C:C,A:A,D3)&gt;B2,B2,_xlfn.MAXIFS(C:C,A:A,D3))</f>
        <v>0</v>
      </c>
      <c r="F3" s="508">
        <f>YEAR(SAS_RA0_DataFim)*100+MONTH(SAS_RA0_DataFim)-E3+1</f>
        <v>202207</v>
      </c>
    </row>
    <row r="4" spans="1:138" ht="15.75">
      <c r="A4" s="522" t="s">
        <v>1652</v>
      </c>
      <c r="B4" s="523" t="s">
        <v>1653</v>
      </c>
    </row>
    <row r="6" spans="1:138" ht="15.75">
      <c r="A6" s="802"/>
      <c r="B6" s="803"/>
      <c r="C6" s="803"/>
      <c r="D6" s="523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7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7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2" bestFit="1" customWidth="1"/>
    <col min="2" max="4" width="9.140625" style="482"/>
    <col min="5" max="5" width="35.7109375" style="482" customWidth="1"/>
    <col min="6" max="6" width="12.5703125" style="482" bestFit="1" customWidth="1"/>
    <col min="7" max="7" width="12.7109375" style="482" customWidth="1"/>
    <col min="8" max="8" width="10.5703125" style="482" bestFit="1" customWidth="1"/>
    <col min="9" max="9" width="10.85546875" style="482" bestFit="1" customWidth="1"/>
    <col min="10" max="10" width="10.140625" style="482" bestFit="1" customWidth="1"/>
    <col min="11" max="11" width="5" style="482" bestFit="1" customWidth="1"/>
    <col min="12" max="12" width="8.85546875" style="482" bestFit="1" customWidth="1"/>
    <col min="13" max="13" width="8.7109375" style="482" bestFit="1" customWidth="1"/>
    <col min="14" max="16384" width="9.140625" style="482"/>
  </cols>
  <sheetData>
    <row r="1" spans="1:2">
      <c r="A1" s="1551" t="s">
        <v>1654</v>
      </c>
      <c r="B1" s="1552">
        <v>0</v>
      </c>
    </row>
    <row r="2" spans="1:2">
      <c r="A2" s="1551" t="s">
        <v>1655</v>
      </c>
      <c r="B2" s="1552">
        <v>0</v>
      </c>
    </row>
    <row r="3" spans="1:2">
      <c r="A3" s="1551" t="s">
        <v>1656</v>
      </c>
      <c r="B3" s="1552">
        <v>0</v>
      </c>
    </row>
    <row r="4" spans="1:2">
      <c r="A4" s="1551" t="s">
        <v>1657</v>
      </c>
      <c r="B4" s="1552">
        <v>0</v>
      </c>
    </row>
    <row r="5" spans="1:2">
      <c r="A5" s="1551" t="s">
        <v>1658</v>
      </c>
      <c r="B5" s="1552">
        <v>0</v>
      </c>
    </row>
    <row r="6" spans="1:2">
      <c r="A6" s="1551" t="s">
        <v>1659</v>
      </c>
      <c r="B6" s="1552">
        <v>0</v>
      </c>
    </row>
    <row r="7" spans="1:2">
      <c r="A7" s="1551" t="s">
        <v>1660</v>
      </c>
      <c r="B7" s="1552">
        <v>0</v>
      </c>
    </row>
    <row r="8" spans="1:2">
      <c r="A8" s="1551" t="s">
        <v>1661</v>
      </c>
      <c r="B8" s="1552">
        <v>0</v>
      </c>
    </row>
    <row r="9" spans="1:2">
      <c r="A9" s="1551" t="s">
        <v>1662</v>
      </c>
      <c r="B9" s="1552">
        <v>0.45</v>
      </c>
    </row>
    <row r="10" spans="1:2">
      <c r="A10" s="1551" t="s">
        <v>1663</v>
      </c>
      <c r="B10" s="1552">
        <v>0.4</v>
      </c>
    </row>
    <row r="11" spans="1:2">
      <c r="A11" s="1551" t="s">
        <v>1664</v>
      </c>
      <c r="B11" s="1551">
        <v>0.65</v>
      </c>
    </row>
    <row r="12" spans="1:2">
      <c r="A12" s="1551" t="s">
        <v>1665</v>
      </c>
      <c r="B12" s="1551">
        <v>0.4</v>
      </c>
    </row>
    <row r="13" spans="1:2">
      <c r="A13" s="1551" t="s">
        <v>1666</v>
      </c>
      <c r="B13" s="1551">
        <v>0.1</v>
      </c>
    </row>
    <row r="14" spans="1:2">
      <c r="A14" s="1551" t="s">
        <v>1667</v>
      </c>
      <c r="B14" s="1551">
        <v>0</v>
      </c>
    </row>
    <row r="15" spans="1:2">
      <c r="A15" s="1551" t="s">
        <v>1668</v>
      </c>
      <c r="B15" s="1551">
        <v>0.3</v>
      </c>
    </row>
    <row r="16" spans="1:2">
      <c r="A16" s="1551" t="s">
        <v>1669</v>
      </c>
      <c r="B16" s="1551">
        <v>0.3</v>
      </c>
    </row>
    <row r="17" spans="1:13">
      <c r="A17" s="1551" t="s">
        <v>1670</v>
      </c>
      <c r="B17" s="1551">
        <v>0.4</v>
      </c>
    </row>
    <row r="20" spans="1:13" ht="15">
      <c r="D20" s="1553" t="s">
        <v>1491</v>
      </c>
      <c r="E20" s="1553" t="s">
        <v>1039</v>
      </c>
      <c r="F20" s="1553" t="s">
        <v>1671</v>
      </c>
      <c r="G20" s="1553" t="s">
        <v>1672</v>
      </c>
      <c r="H20" s="1553" t="s">
        <v>1673</v>
      </c>
      <c r="I20" s="1553" t="s">
        <v>1674</v>
      </c>
      <c r="J20" s="1553" t="s">
        <v>1675</v>
      </c>
      <c r="K20" s="1553" t="s">
        <v>1676</v>
      </c>
      <c r="L20" s="1553" t="s">
        <v>1677</v>
      </c>
      <c r="M20" s="1553" t="s">
        <v>1123</v>
      </c>
    </row>
    <row r="21" spans="1:13" ht="30" hidden="1">
      <c r="D21" s="1554">
        <v>26</v>
      </c>
      <c r="E21" s="1555" t="s">
        <v>1678</v>
      </c>
      <c r="F21" s="1555" t="s">
        <v>137</v>
      </c>
      <c r="G21" s="1556">
        <v>41243</v>
      </c>
      <c r="H21" s="1557">
        <v>41243</v>
      </c>
      <c r="I21" s="1555" t="s">
        <v>1042</v>
      </c>
      <c r="J21" s="1555" t="s">
        <v>138</v>
      </c>
      <c r="K21" s="1554">
        <v>1663</v>
      </c>
      <c r="L21" s="1555" t="s">
        <v>1679</v>
      </c>
      <c r="M21" s="1555" t="s">
        <v>1680</v>
      </c>
    </row>
    <row r="22" spans="1:13" ht="30" hidden="1">
      <c r="D22" s="1554">
        <v>28</v>
      </c>
      <c r="E22" s="1555" t="s">
        <v>1681</v>
      </c>
      <c r="F22" s="1555" t="s">
        <v>1682</v>
      </c>
      <c r="G22" s="1556">
        <v>41214</v>
      </c>
      <c r="H22" s="483"/>
      <c r="I22" s="1555" t="s">
        <v>1042</v>
      </c>
      <c r="J22" s="1555" t="s">
        <v>138</v>
      </c>
      <c r="K22" s="1554">
        <v>1665</v>
      </c>
      <c r="L22" s="1555" t="s">
        <v>138</v>
      </c>
      <c r="M22" s="1555" t="s">
        <v>1680</v>
      </c>
    </row>
    <row r="23" spans="1:13" ht="30" hidden="1">
      <c r="D23" s="1554">
        <v>31</v>
      </c>
      <c r="E23" s="1555" t="s">
        <v>1683</v>
      </c>
      <c r="F23" s="1555" t="s">
        <v>139</v>
      </c>
      <c r="G23" s="1556">
        <v>41243</v>
      </c>
      <c r="H23" s="483"/>
      <c r="I23" s="1555" t="s">
        <v>1042</v>
      </c>
      <c r="J23" s="1555" t="s">
        <v>138</v>
      </c>
      <c r="K23" s="1554">
        <v>1666</v>
      </c>
      <c r="L23" s="1555" t="s">
        <v>138</v>
      </c>
      <c r="M23" s="1555" t="s">
        <v>1680</v>
      </c>
    </row>
    <row r="24" spans="1:13" ht="30" hidden="1">
      <c r="D24" s="1554">
        <v>32</v>
      </c>
      <c r="E24" s="1555" t="s">
        <v>1684</v>
      </c>
      <c r="F24" s="1555" t="s">
        <v>140</v>
      </c>
      <c r="G24" s="1556">
        <v>41094</v>
      </c>
      <c r="H24" s="483"/>
      <c r="I24" s="1555" t="s">
        <v>1042</v>
      </c>
      <c r="J24" s="1555" t="s">
        <v>138</v>
      </c>
      <c r="K24" s="1554">
        <v>1668</v>
      </c>
      <c r="L24" s="1555" t="s">
        <v>1685</v>
      </c>
      <c r="M24" s="1555" t="s">
        <v>1680</v>
      </c>
    </row>
    <row r="25" spans="1:13" ht="30" hidden="1">
      <c r="D25" s="1554">
        <v>37</v>
      </c>
      <c r="E25" s="1555" t="s">
        <v>1686</v>
      </c>
      <c r="F25" s="1555" t="s">
        <v>141</v>
      </c>
      <c r="G25" s="1556">
        <v>41149</v>
      </c>
      <c r="H25" s="483"/>
      <c r="I25" s="1555" t="s">
        <v>1042</v>
      </c>
      <c r="J25" s="1555" t="s">
        <v>138</v>
      </c>
      <c r="K25" s="1554">
        <v>1669</v>
      </c>
      <c r="L25" s="1555" t="s">
        <v>1687</v>
      </c>
      <c r="M25" s="1555" t="s">
        <v>1680</v>
      </c>
    </row>
    <row r="26" spans="1:13" ht="30" hidden="1">
      <c r="D26" s="1554">
        <v>38</v>
      </c>
      <c r="E26" s="1555" t="s">
        <v>1688</v>
      </c>
      <c r="F26" s="1555" t="s">
        <v>142</v>
      </c>
      <c r="G26" s="1556">
        <v>41180</v>
      </c>
      <c r="H26" s="1557">
        <v>41149</v>
      </c>
      <c r="I26" s="1555" t="s">
        <v>1042</v>
      </c>
      <c r="J26" s="1555" t="s">
        <v>138</v>
      </c>
      <c r="K26" s="1554">
        <v>1670</v>
      </c>
      <c r="L26" s="1555" t="s">
        <v>1689</v>
      </c>
      <c r="M26" s="1555" t="s">
        <v>1680</v>
      </c>
    </row>
    <row r="27" spans="1:13" ht="30" hidden="1">
      <c r="D27" s="1554">
        <v>39</v>
      </c>
      <c r="E27" s="1555" t="s">
        <v>1690</v>
      </c>
      <c r="F27" s="1555" t="s">
        <v>1691</v>
      </c>
      <c r="G27" s="1556">
        <v>41021</v>
      </c>
      <c r="H27" s="483"/>
      <c r="I27" s="1555" t="s">
        <v>1042</v>
      </c>
      <c r="J27" s="1555" t="s">
        <v>138</v>
      </c>
      <c r="K27" s="1554">
        <v>1671</v>
      </c>
      <c r="L27" s="1555" t="s">
        <v>1692</v>
      </c>
      <c r="M27" s="1555" t="s">
        <v>1680</v>
      </c>
    </row>
    <row r="28" spans="1:13" ht="30" hidden="1">
      <c r="D28" s="1554">
        <v>40</v>
      </c>
      <c r="E28" s="1555" t="s">
        <v>1693</v>
      </c>
      <c r="F28" s="1555" t="s">
        <v>144</v>
      </c>
      <c r="G28" s="1556">
        <v>41021</v>
      </c>
      <c r="H28" s="483"/>
      <c r="I28" s="1555" t="s">
        <v>1042</v>
      </c>
      <c r="J28" s="1555" t="s">
        <v>138</v>
      </c>
      <c r="K28" s="1554">
        <v>1672</v>
      </c>
      <c r="L28" s="1555" t="s">
        <v>1694</v>
      </c>
      <c r="M28" s="1555" t="s">
        <v>1680</v>
      </c>
    </row>
    <row r="29" spans="1:13" ht="30" hidden="1">
      <c r="D29" s="1554">
        <v>43</v>
      </c>
      <c r="E29" s="1555" t="s">
        <v>1695</v>
      </c>
      <c r="F29" s="1555" t="s">
        <v>145</v>
      </c>
      <c r="G29" s="1556">
        <v>41028</v>
      </c>
      <c r="H29" s="483"/>
      <c r="I29" s="1555" t="s">
        <v>1042</v>
      </c>
      <c r="J29" s="1555" t="s">
        <v>138</v>
      </c>
      <c r="K29" s="1554">
        <v>1674</v>
      </c>
      <c r="L29" s="1555" t="s">
        <v>1696</v>
      </c>
      <c r="M29" s="1555" t="s">
        <v>1680</v>
      </c>
    </row>
    <row r="30" spans="1:13" ht="30" hidden="1">
      <c r="D30" s="1554">
        <v>44</v>
      </c>
      <c r="E30" s="1555" t="s">
        <v>1697</v>
      </c>
      <c r="F30" s="1555" t="s">
        <v>146</v>
      </c>
      <c r="G30" s="1556">
        <v>41180</v>
      </c>
      <c r="H30" s="483"/>
      <c r="I30" s="1555" t="s">
        <v>1042</v>
      </c>
      <c r="J30" s="1555" t="s">
        <v>138</v>
      </c>
      <c r="K30" s="1554">
        <v>1675</v>
      </c>
      <c r="L30" s="1555" t="s">
        <v>1698</v>
      </c>
      <c r="M30" s="1555" t="s">
        <v>1680</v>
      </c>
    </row>
    <row r="31" spans="1:13" ht="30" hidden="1">
      <c r="D31" s="1554">
        <v>46</v>
      </c>
      <c r="E31" s="1555" t="s">
        <v>1699</v>
      </c>
      <c r="F31" s="1555" t="s">
        <v>147</v>
      </c>
      <c r="G31" s="1556">
        <v>41051</v>
      </c>
      <c r="H31" s="1557">
        <v>41257</v>
      </c>
      <c r="I31" s="1555" t="s">
        <v>1042</v>
      </c>
      <c r="J31" s="1555" t="s">
        <v>1700</v>
      </c>
      <c r="K31" s="1554">
        <v>1676</v>
      </c>
      <c r="L31" s="1555" t="s">
        <v>1701</v>
      </c>
      <c r="M31" s="1555" t="s">
        <v>1680</v>
      </c>
    </row>
    <row r="32" spans="1:13" ht="30" hidden="1">
      <c r="D32" s="1554">
        <v>47</v>
      </c>
      <c r="E32" s="1555" t="s">
        <v>1702</v>
      </c>
      <c r="F32" s="1555" t="s">
        <v>148</v>
      </c>
      <c r="G32" s="1556">
        <v>41021</v>
      </c>
      <c r="H32" s="483"/>
      <c r="I32" s="1555" t="s">
        <v>1042</v>
      </c>
      <c r="J32" s="1555" t="s">
        <v>138</v>
      </c>
      <c r="K32" s="1554">
        <v>1677</v>
      </c>
      <c r="L32" s="1555" t="s">
        <v>1703</v>
      </c>
      <c r="M32" s="1555" t="s">
        <v>1680</v>
      </c>
    </row>
    <row r="33" spans="4:13" ht="15" hidden="1">
      <c r="D33" s="1554">
        <v>51</v>
      </c>
      <c r="E33" s="1555" t="s">
        <v>1704</v>
      </c>
      <c r="F33" s="1555" t="s">
        <v>149</v>
      </c>
      <c r="G33" s="1556">
        <v>41235</v>
      </c>
      <c r="H33" s="1557">
        <v>41210</v>
      </c>
      <c r="I33" s="1555" t="s">
        <v>1042</v>
      </c>
      <c r="J33" s="1555" t="s">
        <v>1700</v>
      </c>
      <c r="K33" s="1554">
        <v>1682</v>
      </c>
      <c r="L33" s="1555" t="s">
        <v>1705</v>
      </c>
      <c r="M33" s="1555" t="s">
        <v>1680</v>
      </c>
    </row>
    <row r="34" spans="4:13" ht="15" hidden="1">
      <c r="D34" s="1554">
        <v>56</v>
      </c>
      <c r="E34" s="1555" t="s">
        <v>1706</v>
      </c>
      <c r="F34" s="1555" t="s">
        <v>1707</v>
      </c>
      <c r="G34" s="483"/>
      <c r="H34" s="483"/>
      <c r="I34" s="1555" t="s">
        <v>1042</v>
      </c>
      <c r="J34" s="1555" t="s">
        <v>138</v>
      </c>
      <c r="K34" s="1554">
        <v>1683</v>
      </c>
      <c r="L34" s="1555" t="s">
        <v>138</v>
      </c>
      <c r="M34" s="1555" t="s">
        <v>1680</v>
      </c>
    </row>
    <row r="35" spans="4:13" ht="30" hidden="1">
      <c r="D35" s="1554">
        <v>63</v>
      </c>
      <c r="E35" s="1555" t="s">
        <v>1708</v>
      </c>
      <c r="F35" s="1555" t="s">
        <v>150</v>
      </c>
      <c r="G35" s="1556">
        <v>41007</v>
      </c>
      <c r="H35" s="483"/>
      <c r="I35" s="1555" t="s">
        <v>1042</v>
      </c>
      <c r="J35" s="1555" t="s">
        <v>138</v>
      </c>
      <c r="K35" s="1554">
        <v>1688</v>
      </c>
      <c r="L35" s="1555" t="s">
        <v>1709</v>
      </c>
      <c r="M35" s="1555" t="s">
        <v>1680</v>
      </c>
    </row>
    <row r="36" spans="4:13" ht="30" hidden="1">
      <c r="D36" s="1554">
        <v>69</v>
      </c>
      <c r="E36" s="1555" t="s">
        <v>1710</v>
      </c>
      <c r="F36" s="1555" t="s">
        <v>1711</v>
      </c>
      <c r="G36" s="1556">
        <v>40990</v>
      </c>
      <c r="H36" s="1557">
        <v>42038</v>
      </c>
      <c r="I36" s="1555" t="s">
        <v>1042</v>
      </c>
      <c r="J36" s="1555" t="s">
        <v>138</v>
      </c>
      <c r="K36" s="1554">
        <v>1692</v>
      </c>
      <c r="L36" s="1555" t="s">
        <v>1712</v>
      </c>
      <c r="M36" s="1555" t="s">
        <v>1680</v>
      </c>
    </row>
    <row r="37" spans="4:13" ht="30" hidden="1">
      <c r="D37" s="1554">
        <v>70</v>
      </c>
      <c r="E37" s="1555" t="s">
        <v>1713</v>
      </c>
      <c r="F37" s="1555" t="s">
        <v>1714</v>
      </c>
      <c r="G37" s="1556">
        <v>40990</v>
      </c>
      <c r="H37" s="1557">
        <v>42038</v>
      </c>
      <c r="I37" s="1555" t="s">
        <v>1042</v>
      </c>
      <c r="J37" s="1555" t="s">
        <v>138</v>
      </c>
      <c r="K37" s="1554">
        <v>1693</v>
      </c>
      <c r="L37" s="1555" t="s">
        <v>1715</v>
      </c>
      <c r="M37" s="1555" t="s">
        <v>1680</v>
      </c>
    </row>
    <row r="38" spans="4:13" ht="30" hidden="1">
      <c r="D38" s="1554">
        <v>71</v>
      </c>
      <c r="E38" s="1555" t="s">
        <v>1716</v>
      </c>
      <c r="F38" s="1555" t="s">
        <v>1717</v>
      </c>
      <c r="G38" s="1556">
        <v>40990</v>
      </c>
      <c r="H38" s="1557">
        <v>42038</v>
      </c>
      <c r="I38" s="1555" t="s">
        <v>1042</v>
      </c>
      <c r="J38" s="1555" t="s">
        <v>138</v>
      </c>
      <c r="K38" s="1554">
        <v>1694</v>
      </c>
      <c r="L38" s="1555" t="s">
        <v>1718</v>
      </c>
      <c r="M38" s="1555" t="s">
        <v>1680</v>
      </c>
    </row>
    <row r="39" spans="4:13" ht="30" hidden="1">
      <c r="D39" s="1554">
        <v>72</v>
      </c>
      <c r="E39" s="1555" t="s">
        <v>1719</v>
      </c>
      <c r="F39" s="1555" t="s">
        <v>204</v>
      </c>
      <c r="G39" s="1556">
        <v>40990</v>
      </c>
      <c r="H39" s="1557">
        <v>42038</v>
      </c>
      <c r="I39" s="1555" t="s">
        <v>1042</v>
      </c>
      <c r="J39" s="1555" t="s">
        <v>138</v>
      </c>
      <c r="K39" s="1554">
        <v>1695</v>
      </c>
      <c r="L39" s="1555" t="s">
        <v>1720</v>
      </c>
      <c r="M39" s="1555" t="s">
        <v>1680</v>
      </c>
    </row>
    <row r="40" spans="4:13" ht="30" hidden="1">
      <c r="D40" s="1554">
        <v>73</v>
      </c>
      <c r="E40" s="1555" t="s">
        <v>1721</v>
      </c>
      <c r="F40" s="1555" t="s">
        <v>1722</v>
      </c>
      <c r="G40" s="1556">
        <v>40990</v>
      </c>
      <c r="H40" s="1557">
        <v>42038</v>
      </c>
      <c r="I40" s="1555" t="s">
        <v>1042</v>
      </c>
      <c r="J40" s="1555" t="s">
        <v>1700</v>
      </c>
      <c r="K40" s="1554">
        <v>1696</v>
      </c>
      <c r="L40" s="1555" t="s">
        <v>1723</v>
      </c>
      <c r="M40" s="1555" t="s">
        <v>1680</v>
      </c>
    </row>
    <row r="41" spans="4:13" ht="30" hidden="1">
      <c r="D41" s="1554">
        <v>75</v>
      </c>
      <c r="E41" s="1555" t="s">
        <v>1724</v>
      </c>
      <c r="F41" s="1555" t="s">
        <v>1725</v>
      </c>
      <c r="G41" s="1556">
        <v>41039</v>
      </c>
      <c r="H41" s="483"/>
      <c r="I41" s="1555" t="s">
        <v>1042</v>
      </c>
      <c r="J41" s="1555" t="s">
        <v>138</v>
      </c>
      <c r="K41" s="1554">
        <v>1697</v>
      </c>
      <c r="L41" s="1555" t="s">
        <v>1726</v>
      </c>
      <c r="M41" s="1555" t="s">
        <v>1680</v>
      </c>
    </row>
    <row r="42" spans="4:13" ht="30" hidden="1">
      <c r="D42" s="1554">
        <v>82</v>
      </c>
      <c r="E42" s="1555" t="s">
        <v>1727</v>
      </c>
      <c r="F42" s="1555" t="s">
        <v>151</v>
      </c>
      <c r="G42" s="1556">
        <v>41089</v>
      </c>
      <c r="H42" s="1557">
        <v>41084</v>
      </c>
      <c r="I42" s="1555" t="s">
        <v>1042</v>
      </c>
      <c r="J42" s="1555" t="s">
        <v>1700</v>
      </c>
      <c r="K42" s="1554">
        <v>1701</v>
      </c>
      <c r="L42" s="1555" t="s">
        <v>1728</v>
      </c>
      <c r="M42" s="1555" t="s">
        <v>1680</v>
      </c>
    </row>
    <row r="43" spans="4:13" ht="30" hidden="1">
      <c r="D43" s="1554">
        <v>83</v>
      </c>
      <c r="E43" s="1555" t="s">
        <v>1729</v>
      </c>
      <c r="F43" s="1555" t="s">
        <v>207</v>
      </c>
      <c r="G43" s="1556">
        <v>41147</v>
      </c>
      <c r="H43" s="483"/>
      <c r="I43" s="1555" t="s">
        <v>1042</v>
      </c>
      <c r="J43" s="1555" t="s">
        <v>1700</v>
      </c>
      <c r="K43" s="1554">
        <v>1702</v>
      </c>
      <c r="L43" s="1555" t="s">
        <v>1730</v>
      </c>
      <c r="M43" s="1555" t="s">
        <v>1680</v>
      </c>
    </row>
    <row r="44" spans="4:13" ht="30" hidden="1">
      <c r="D44" s="1554">
        <v>84</v>
      </c>
      <c r="E44" s="1555" t="s">
        <v>1731</v>
      </c>
      <c r="F44" s="1555" t="s">
        <v>1732</v>
      </c>
      <c r="G44" s="1556">
        <v>41089</v>
      </c>
      <c r="H44" s="483"/>
      <c r="I44" s="1555" t="s">
        <v>1042</v>
      </c>
      <c r="J44" s="1555" t="s">
        <v>1700</v>
      </c>
      <c r="K44" s="1554">
        <v>1703</v>
      </c>
      <c r="L44" s="1555" t="s">
        <v>1733</v>
      </c>
      <c r="M44" s="1555" t="s">
        <v>1680</v>
      </c>
    </row>
    <row r="45" spans="4:13" ht="30" hidden="1">
      <c r="D45" s="1554">
        <v>86</v>
      </c>
      <c r="E45" s="1555" t="s">
        <v>1734</v>
      </c>
      <c r="F45" s="1555" t="s">
        <v>152</v>
      </c>
      <c r="G45" s="1556">
        <v>41150</v>
      </c>
      <c r="H45" s="1557">
        <v>41865</v>
      </c>
      <c r="I45" s="1555" t="s">
        <v>1042</v>
      </c>
      <c r="J45" s="1555" t="s">
        <v>1700</v>
      </c>
      <c r="K45" s="1554">
        <v>1704</v>
      </c>
      <c r="L45" s="1555" t="s">
        <v>1735</v>
      </c>
      <c r="M45" s="1555" t="s">
        <v>1680</v>
      </c>
    </row>
    <row r="46" spans="4:13" ht="30" hidden="1">
      <c r="D46" s="1554">
        <v>87</v>
      </c>
      <c r="E46" s="1555" t="s">
        <v>1736</v>
      </c>
      <c r="F46" s="1555" t="s">
        <v>153</v>
      </c>
      <c r="G46" s="1556">
        <v>41150</v>
      </c>
      <c r="H46" s="1557">
        <v>41128</v>
      </c>
      <c r="I46" s="1555" t="s">
        <v>1042</v>
      </c>
      <c r="J46" s="1555" t="s">
        <v>1700</v>
      </c>
      <c r="K46" s="1554">
        <v>1705</v>
      </c>
      <c r="L46" s="1555" t="s">
        <v>1737</v>
      </c>
      <c r="M46" s="1555" t="s">
        <v>1680</v>
      </c>
    </row>
    <row r="47" spans="4:13" ht="30" hidden="1">
      <c r="D47" s="1554">
        <v>88</v>
      </c>
      <c r="E47" s="1555" t="s">
        <v>1738</v>
      </c>
      <c r="F47" s="1555" t="s">
        <v>1739</v>
      </c>
      <c r="G47" s="1556">
        <v>41150</v>
      </c>
      <c r="H47" s="1557">
        <v>41865</v>
      </c>
      <c r="I47" s="1555" t="s">
        <v>1042</v>
      </c>
      <c r="J47" s="1555" t="s">
        <v>1700</v>
      </c>
      <c r="K47" s="1554">
        <v>1706</v>
      </c>
      <c r="L47" s="1555" t="s">
        <v>1740</v>
      </c>
      <c r="M47" s="1555" t="s">
        <v>1680</v>
      </c>
    </row>
    <row r="48" spans="4:13" ht="15" hidden="1">
      <c r="D48" s="1554">
        <v>95</v>
      </c>
      <c r="E48" s="1555" t="s">
        <v>1741</v>
      </c>
      <c r="F48" s="1555" t="s">
        <v>154</v>
      </c>
      <c r="G48" s="1556">
        <v>41112</v>
      </c>
      <c r="H48" s="1557">
        <v>41089</v>
      </c>
      <c r="I48" s="1555" t="s">
        <v>1042</v>
      </c>
      <c r="J48" s="1555" t="s">
        <v>1700</v>
      </c>
      <c r="K48" s="1554">
        <v>1708</v>
      </c>
      <c r="L48" s="1555" t="s">
        <v>1742</v>
      </c>
      <c r="M48" s="1555" t="s">
        <v>1680</v>
      </c>
    </row>
    <row r="49" spans="4:13" ht="30" hidden="1">
      <c r="D49" s="1554">
        <v>103</v>
      </c>
      <c r="E49" s="1555" t="s">
        <v>1743</v>
      </c>
      <c r="F49" s="1555" t="s">
        <v>155</v>
      </c>
      <c r="G49" s="1556">
        <v>41235</v>
      </c>
      <c r="H49" s="1557">
        <v>41164</v>
      </c>
      <c r="I49" s="1555" t="s">
        <v>1042</v>
      </c>
      <c r="J49" s="1555" t="s">
        <v>1700</v>
      </c>
      <c r="K49" s="1554">
        <v>1710</v>
      </c>
      <c r="L49" s="1555" t="s">
        <v>1744</v>
      </c>
      <c r="M49" s="1555" t="s">
        <v>1680</v>
      </c>
    </row>
    <row r="50" spans="4:13" ht="30">
      <c r="D50" s="1554">
        <v>213</v>
      </c>
      <c r="E50" s="1555" t="s">
        <v>1745</v>
      </c>
      <c r="F50" s="1555" t="s">
        <v>1746</v>
      </c>
      <c r="G50" s="483"/>
      <c r="H50" s="483"/>
      <c r="I50" s="1555" t="s">
        <v>1042</v>
      </c>
      <c r="J50" s="1555" t="s">
        <v>138</v>
      </c>
      <c r="K50" s="1554">
        <v>1757</v>
      </c>
      <c r="L50" s="1555" t="s">
        <v>138</v>
      </c>
      <c r="M50" s="1555" t="s">
        <v>1256</v>
      </c>
    </row>
    <row r="51" spans="4:13" ht="30" hidden="1">
      <c r="D51" s="1554">
        <v>369</v>
      </c>
      <c r="E51" s="1555" t="s">
        <v>1747</v>
      </c>
      <c r="F51" s="1555" t="s">
        <v>156</v>
      </c>
      <c r="G51" s="1556">
        <v>41243</v>
      </c>
      <c r="H51" s="1557">
        <v>41243</v>
      </c>
      <c r="I51" s="1555" t="s">
        <v>1042</v>
      </c>
      <c r="J51" s="1555" t="s">
        <v>138</v>
      </c>
      <c r="K51" s="1554">
        <v>1770</v>
      </c>
      <c r="L51" s="1555" t="s">
        <v>1748</v>
      </c>
      <c r="M51" s="1555" t="s">
        <v>1680</v>
      </c>
    </row>
    <row r="52" spans="4:13" ht="15" hidden="1">
      <c r="D52" s="1554">
        <v>370</v>
      </c>
      <c r="E52" s="1555" t="s">
        <v>1749</v>
      </c>
      <c r="F52" s="1555" t="s">
        <v>1750</v>
      </c>
      <c r="G52" s="1556">
        <v>41214</v>
      </c>
      <c r="H52" s="1557">
        <v>41214</v>
      </c>
      <c r="I52" s="1555" t="s">
        <v>1042</v>
      </c>
      <c r="J52" s="1555" t="s">
        <v>138</v>
      </c>
      <c r="K52" s="1554">
        <v>1771</v>
      </c>
      <c r="L52" s="1555" t="s">
        <v>1751</v>
      </c>
      <c r="M52" s="1555" t="s">
        <v>1680</v>
      </c>
    </row>
    <row r="53" spans="4:13" ht="30" hidden="1">
      <c r="D53" s="1554">
        <v>371</v>
      </c>
      <c r="E53" s="1555" t="s">
        <v>1752</v>
      </c>
      <c r="F53" s="1555" t="s">
        <v>159</v>
      </c>
      <c r="G53" s="1556">
        <v>40762</v>
      </c>
      <c r="H53" s="483"/>
      <c r="I53" s="1555" t="s">
        <v>1042</v>
      </c>
      <c r="J53" s="1555" t="s">
        <v>138</v>
      </c>
      <c r="K53" s="1554">
        <v>1772</v>
      </c>
      <c r="L53" s="1555" t="s">
        <v>1753</v>
      </c>
      <c r="M53" s="1555" t="s">
        <v>1680</v>
      </c>
    </row>
    <row r="54" spans="4:13" ht="30" hidden="1">
      <c r="D54" s="1554">
        <v>380</v>
      </c>
      <c r="E54" s="1555" t="s">
        <v>1754</v>
      </c>
      <c r="F54" s="1555" t="s">
        <v>1755</v>
      </c>
      <c r="G54" s="1556">
        <v>41128</v>
      </c>
      <c r="H54" s="483"/>
      <c r="I54" s="1555" t="s">
        <v>1042</v>
      </c>
      <c r="J54" s="1555" t="s">
        <v>138</v>
      </c>
      <c r="K54" s="1554">
        <v>1777</v>
      </c>
      <c r="L54" s="1555" t="s">
        <v>1756</v>
      </c>
      <c r="M54" s="1555" t="s">
        <v>1680</v>
      </c>
    </row>
    <row r="55" spans="4:13" ht="30" hidden="1">
      <c r="D55" s="1554">
        <v>381</v>
      </c>
      <c r="E55" s="1555" t="s">
        <v>1757</v>
      </c>
      <c r="F55" s="1555" t="s">
        <v>161</v>
      </c>
      <c r="G55" s="1556">
        <v>41143</v>
      </c>
      <c r="H55" s="1557">
        <v>41136</v>
      </c>
      <c r="I55" s="1555" t="s">
        <v>1042</v>
      </c>
      <c r="J55" s="1555" t="s">
        <v>138</v>
      </c>
      <c r="K55" s="1554">
        <v>1778</v>
      </c>
      <c r="L55" s="1555" t="s">
        <v>1758</v>
      </c>
      <c r="M55" s="1555" t="s">
        <v>1680</v>
      </c>
    </row>
    <row r="56" spans="4:13" ht="30" hidden="1">
      <c r="D56" s="1554">
        <v>382</v>
      </c>
      <c r="E56" s="1555" t="s">
        <v>1759</v>
      </c>
      <c r="F56" s="1555" t="s">
        <v>162</v>
      </c>
      <c r="G56" s="1556">
        <v>40983</v>
      </c>
      <c r="H56" s="1557">
        <v>41220</v>
      </c>
      <c r="I56" s="1555" t="s">
        <v>1042</v>
      </c>
      <c r="J56" s="1555" t="s">
        <v>138</v>
      </c>
      <c r="K56" s="1554">
        <v>1779</v>
      </c>
      <c r="L56" s="1555" t="s">
        <v>1760</v>
      </c>
      <c r="M56" s="1555" t="s">
        <v>1680</v>
      </c>
    </row>
    <row r="57" spans="4:13" ht="30" hidden="1">
      <c r="D57" s="1554">
        <v>383</v>
      </c>
      <c r="E57" s="1555" t="s">
        <v>1761</v>
      </c>
      <c r="F57" s="1555" t="s">
        <v>491</v>
      </c>
      <c r="G57" s="1556">
        <v>40983</v>
      </c>
      <c r="H57" s="483"/>
      <c r="I57" s="1555" t="s">
        <v>1042</v>
      </c>
      <c r="J57" s="1555" t="s">
        <v>138</v>
      </c>
      <c r="K57" s="1554">
        <v>1780</v>
      </c>
      <c r="L57" s="1555" t="s">
        <v>1762</v>
      </c>
      <c r="M57" s="1555" t="s">
        <v>1680</v>
      </c>
    </row>
    <row r="58" spans="4:13" ht="30" hidden="1">
      <c r="D58" s="1554">
        <v>385</v>
      </c>
      <c r="E58" s="1555" t="s">
        <v>1763</v>
      </c>
      <c r="F58" s="1555" t="s">
        <v>164</v>
      </c>
      <c r="G58" s="1556">
        <v>41148</v>
      </c>
      <c r="H58" s="483"/>
      <c r="I58" s="1555" t="s">
        <v>1042</v>
      </c>
      <c r="J58" s="1555" t="s">
        <v>138</v>
      </c>
      <c r="K58" s="1554">
        <v>1782</v>
      </c>
      <c r="L58" s="1555" t="s">
        <v>1764</v>
      </c>
      <c r="M58" s="1555" t="s">
        <v>1680</v>
      </c>
    </row>
    <row r="59" spans="4:13" ht="30" hidden="1">
      <c r="D59" s="1554">
        <v>386</v>
      </c>
      <c r="E59" s="1555" t="s">
        <v>1765</v>
      </c>
      <c r="F59" s="1555" t="s">
        <v>1766</v>
      </c>
      <c r="G59" s="1556">
        <v>41039</v>
      </c>
      <c r="H59" s="483"/>
      <c r="I59" s="1555" t="s">
        <v>1042</v>
      </c>
      <c r="J59" s="1555" t="s">
        <v>138</v>
      </c>
      <c r="K59" s="1554">
        <v>1783</v>
      </c>
      <c r="L59" s="1555" t="s">
        <v>1767</v>
      </c>
      <c r="M59" s="1555" t="s">
        <v>1680</v>
      </c>
    </row>
    <row r="60" spans="4:13" ht="45" hidden="1">
      <c r="D60" s="1554">
        <v>390</v>
      </c>
      <c r="E60" s="1555" t="s">
        <v>1768</v>
      </c>
      <c r="F60" s="1555" t="s">
        <v>312</v>
      </c>
      <c r="G60" s="1556">
        <v>41094</v>
      </c>
      <c r="H60" s="483"/>
      <c r="I60" s="1555" t="s">
        <v>1042</v>
      </c>
      <c r="J60" s="1555" t="s">
        <v>138</v>
      </c>
      <c r="K60" s="1554">
        <v>1787</v>
      </c>
      <c r="L60" s="1555" t="s">
        <v>1769</v>
      </c>
      <c r="M60" s="1555" t="s">
        <v>1680</v>
      </c>
    </row>
    <row r="61" spans="4:13" ht="30" hidden="1">
      <c r="D61" s="1554">
        <v>391</v>
      </c>
      <c r="E61" s="1555" t="s">
        <v>1770</v>
      </c>
      <c r="F61" s="1555" t="s">
        <v>288</v>
      </c>
      <c r="G61" s="1556">
        <v>41205</v>
      </c>
      <c r="H61" s="483"/>
      <c r="I61" s="1555" t="s">
        <v>1042</v>
      </c>
      <c r="J61" s="1555" t="s">
        <v>138</v>
      </c>
      <c r="K61" s="1554">
        <v>1788</v>
      </c>
      <c r="L61" s="1555" t="s">
        <v>1771</v>
      </c>
      <c r="M61" s="1555" t="s">
        <v>1680</v>
      </c>
    </row>
    <row r="62" spans="4:13" ht="30" hidden="1">
      <c r="D62" s="1554">
        <v>396</v>
      </c>
      <c r="E62" s="1555" t="s">
        <v>1772</v>
      </c>
      <c r="F62" s="1555" t="s">
        <v>1773</v>
      </c>
      <c r="G62" s="1556">
        <v>41018</v>
      </c>
      <c r="H62" s="483"/>
      <c r="I62" s="1555" t="s">
        <v>1042</v>
      </c>
      <c r="J62" s="1555" t="s">
        <v>138</v>
      </c>
      <c r="K62" s="1554">
        <v>1792</v>
      </c>
      <c r="L62" s="1555" t="s">
        <v>1774</v>
      </c>
      <c r="M62" s="1555" t="s">
        <v>1680</v>
      </c>
    </row>
    <row r="63" spans="4:13" ht="15" hidden="1">
      <c r="D63" s="1554">
        <v>397</v>
      </c>
      <c r="E63" s="1555" t="s">
        <v>1775</v>
      </c>
      <c r="F63" s="1555" t="s">
        <v>206</v>
      </c>
      <c r="G63" s="1556">
        <v>41079</v>
      </c>
      <c r="H63" s="1557">
        <v>39922</v>
      </c>
      <c r="I63" s="1555" t="s">
        <v>1042</v>
      </c>
      <c r="J63" s="1555" t="s">
        <v>138</v>
      </c>
      <c r="K63" s="1554">
        <v>1793</v>
      </c>
      <c r="L63" s="1555" t="s">
        <v>1776</v>
      </c>
      <c r="M63" s="1555" t="s">
        <v>1680</v>
      </c>
    </row>
    <row r="64" spans="4:13" ht="30" hidden="1">
      <c r="D64" s="1554">
        <v>398</v>
      </c>
      <c r="E64" s="1555" t="s">
        <v>1777</v>
      </c>
      <c r="F64" s="1555" t="s">
        <v>167</v>
      </c>
      <c r="G64" s="1556">
        <v>41112</v>
      </c>
      <c r="H64" s="1557">
        <v>41089</v>
      </c>
      <c r="I64" s="1555" t="s">
        <v>1042</v>
      </c>
      <c r="J64" s="1555" t="s">
        <v>1700</v>
      </c>
      <c r="K64" s="1554">
        <v>1794</v>
      </c>
      <c r="L64" s="1555" t="s">
        <v>1778</v>
      </c>
      <c r="M64" s="1555" t="s">
        <v>1680</v>
      </c>
    </row>
    <row r="65" spans="4:13" ht="30" hidden="1">
      <c r="D65" s="1554">
        <v>399</v>
      </c>
      <c r="E65" s="1555" t="s">
        <v>1779</v>
      </c>
      <c r="F65" s="1555" t="s">
        <v>168</v>
      </c>
      <c r="G65" s="1556">
        <v>41112</v>
      </c>
      <c r="H65" s="1557">
        <v>41089</v>
      </c>
      <c r="I65" s="1555" t="s">
        <v>1042</v>
      </c>
      <c r="J65" s="1555" t="s">
        <v>1700</v>
      </c>
      <c r="K65" s="1554">
        <v>1795</v>
      </c>
      <c r="L65" s="1555" t="s">
        <v>1780</v>
      </c>
      <c r="M65" s="1555" t="s">
        <v>1680</v>
      </c>
    </row>
    <row r="66" spans="4:13" ht="30" hidden="1">
      <c r="D66" s="1554">
        <v>400</v>
      </c>
      <c r="E66" s="1555" t="s">
        <v>1781</v>
      </c>
      <c r="F66" s="1555" t="s">
        <v>169</v>
      </c>
      <c r="G66" s="1556">
        <v>41051</v>
      </c>
      <c r="H66" s="1557">
        <v>41018</v>
      </c>
      <c r="I66" s="1555" t="s">
        <v>1042</v>
      </c>
      <c r="J66" s="1555" t="s">
        <v>1700</v>
      </c>
      <c r="K66" s="1554">
        <v>1796</v>
      </c>
      <c r="L66" s="1555" t="s">
        <v>1782</v>
      </c>
      <c r="M66" s="1555" t="s">
        <v>1680</v>
      </c>
    </row>
    <row r="67" spans="4:13" ht="30" hidden="1">
      <c r="D67" s="1554">
        <v>401</v>
      </c>
      <c r="E67" s="1555" t="s">
        <v>1783</v>
      </c>
      <c r="F67" s="1555" t="s">
        <v>170</v>
      </c>
      <c r="G67" s="1556">
        <v>41112</v>
      </c>
      <c r="H67" s="1557">
        <v>41089</v>
      </c>
      <c r="I67" s="1555" t="s">
        <v>1042</v>
      </c>
      <c r="J67" s="1555" t="s">
        <v>1700</v>
      </c>
      <c r="K67" s="1554">
        <v>1797</v>
      </c>
      <c r="L67" s="1555" t="s">
        <v>1784</v>
      </c>
      <c r="M67" s="1555" t="s">
        <v>1680</v>
      </c>
    </row>
    <row r="68" spans="4:13" ht="30" hidden="1">
      <c r="D68" s="1554">
        <v>404</v>
      </c>
      <c r="E68" s="1555" t="s">
        <v>1785</v>
      </c>
      <c r="F68" s="1555" t="s">
        <v>171</v>
      </c>
      <c r="G68" s="1556">
        <v>41007</v>
      </c>
      <c r="H68" s="483"/>
      <c r="I68" s="1555" t="s">
        <v>1042</v>
      </c>
      <c r="J68" s="1555" t="s">
        <v>138</v>
      </c>
      <c r="K68" s="1554">
        <v>1800</v>
      </c>
      <c r="L68" s="1555" t="s">
        <v>1786</v>
      </c>
      <c r="M68" s="1555" t="s">
        <v>1680</v>
      </c>
    </row>
    <row r="69" spans="4:13" ht="30" hidden="1">
      <c r="D69" s="1554">
        <v>405</v>
      </c>
      <c r="E69" s="1555" t="s">
        <v>1787</v>
      </c>
      <c r="F69" s="1555" t="s">
        <v>173</v>
      </c>
      <c r="G69" s="1556">
        <v>41007</v>
      </c>
      <c r="H69" s="483"/>
      <c r="I69" s="1555" t="s">
        <v>1042</v>
      </c>
      <c r="J69" s="1555" t="s">
        <v>138</v>
      </c>
      <c r="K69" s="1554">
        <v>1802</v>
      </c>
      <c r="L69" s="1555" t="s">
        <v>1788</v>
      </c>
      <c r="M69" s="1555" t="s">
        <v>1680</v>
      </c>
    </row>
    <row r="70" spans="4:13" ht="30">
      <c r="D70" s="1554">
        <v>598</v>
      </c>
      <c r="E70" s="1555" t="s">
        <v>1789</v>
      </c>
      <c r="F70" s="1555" t="s">
        <v>1790</v>
      </c>
      <c r="G70" s="1556">
        <v>41485</v>
      </c>
      <c r="H70" s="483"/>
      <c r="I70" s="1555" t="s">
        <v>1042</v>
      </c>
      <c r="J70" s="1555" t="s">
        <v>1700</v>
      </c>
      <c r="K70" s="1554">
        <v>1855</v>
      </c>
      <c r="L70" s="1555" t="s">
        <v>1791</v>
      </c>
      <c r="M70" s="1555" t="s">
        <v>1256</v>
      </c>
    </row>
    <row r="71" spans="4:13" ht="30">
      <c r="D71" s="1554">
        <v>2351</v>
      </c>
      <c r="E71" s="1555" t="s">
        <v>1792</v>
      </c>
      <c r="F71" s="1555" t="s">
        <v>465</v>
      </c>
      <c r="G71" s="1556">
        <v>41485</v>
      </c>
      <c r="H71" s="483"/>
      <c r="I71" s="1555" t="s">
        <v>1042</v>
      </c>
      <c r="J71" s="1555" t="s">
        <v>1700</v>
      </c>
      <c r="K71" s="1554">
        <v>2062</v>
      </c>
      <c r="L71" s="1555" t="s">
        <v>1793</v>
      </c>
      <c r="M71" s="1555" t="s">
        <v>1256</v>
      </c>
    </row>
    <row r="72" spans="4:13" ht="45">
      <c r="D72" s="1554">
        <v>2381</v>
      </c>
      <c r="E72" s="1555" t="s">
        <v>1794</v>
      </c>
      <c r="F72" s="1555" t="s">
        <v>437</v>
      </c>
      <c r="G72" s="1556">
        <v>41485</v>
      </c>
      <c r="H72" s="483"/>
      <c r="I72" s="1555" t="s">
        <v>1042</v>
      </c>
      <c r="J72" s="1555" t="s">
        <v>1700</v>
      </c>
      <c r="K72" s="1554">
        <v>2066</v>
      </c>
      <c r="L72" s="1555" t="s">
        <v>1795</v>
      </c>
      <c r="M72" s="1555" t="s">
        <v>1256</v>
      </c>
    </row>
    <row r="73" spans="4:13" ht="30" hidden="1">
      <c r="D73" s="1554">
        <v>2513</v>
      </c>
      <c r="E73" s="1555" t="s">
        <v>1796</v>
      </c>
      <c r="F73" s="1555" t="s">
        <v>1797</v>
      </c>
      <c r="G73" s="1556">
        <v>40909</v>
      </c>
      <c r="H73" s="483"/>
      <c r="I73" s="1555" t="s">
        <v>1042</v>
      </c>
      <c r="J73" s="1555" t="s">
        <v>138</v>
      </c>
      <c r="K73" s="1554">
        <v>2076</v>
      </c>
      <c r="L73" s="1555" t="s">
        <v>138</v>
      </c>
      <c r="M73" s="1555" t="s">
        <v>138</v>
      </c>
    </row>
    <row r="74" spans="4:13" ht="45">
      <c r="D74" s="1554">
        <v>2763</v>
      </c>
      <c r="E74" s="1555" t="s">
        <v>1798</v>
      </c>
      <c r="F74" s="1555" t="s">
        <v>175</v>
      </c>
      <c r="G74" s="1556">
        <v>41485</v>
      </c>
      <c r="H74" s="483"/>
      <c r="I74" s="1555" t="s">
        <v>1042</v>
      </c>
      <c r="J74" s="1555" t="s">
        <v>1700</v>
      </c>
      <c r="K74" s="1554">
        <v>2111</v>
      </c>
      <c r="L74" s="1555" t="s">
        <v>1799</v>
      </c>
      <c r="M74" s="1555" t="s">
        <v>1256</v>
      </c>
    </row>
    <row r="75" spans="4:13" ht="45">
      <c r="D75" s="1554">
        <v>2783</v>
      </c>
      <c r="E75" s="1555" t="s">
        <v>1800</v>
      </c>
      <c r="F75" s="1555" t="s">
        <v>476</v>
      </c>
      <c r="G75" s="1556">
        <v>41485</v>
      </c>
      <c r="H75" s="483"/>
      <c r="I75" s="1555" t="s">
        <v>1042</v>
      </c>
      <c r="J75" s="1555" t="s">
        <v>1700</v>
      </c>
      <c r="K75" s="1554">
        <v>2114</v>
      </c>
      <c r="L75" s="1555" t="s">
        <v>1801</v>
      </c>
      <c r="M75" s="1555" t="s">
        <v>1256</v>
      </c>
    </row>
    <row r="76" spans="4:13" ht="15" hidden="1">
      <c r="D76" s="1554">
        <v>2866</v>
      </c>
      <c r="E76" s="1555" t="s">
        <v>1802</v>
      </c>
      <c r="F76" s="1555" t="s">
        <v>177</v>
      </c>
      <c r="G76" s="1556">
        <v>41084</v>
      </c>
      <c r="H76" s="483"/>
      <c r="I76" s="1555" t="s">
        <v>1042</v>
      </c>
      <c r="J76" s="1555" t="s">
        <v>138</v>
      </c>
      <c r="K76" s="1554">
        <v>2126</v>
      </c>
      <c r="L76" s="1555" t="s">
        <v>1803</v>
      </c>
      <c r="M76" s="1555" t="s">
        <v>1680</v>
      </c>
    </row>
    <row r="77" spans="4:13" ht="30" hidden="1">
      <c r="D77" s="1554">
        <v>2904</v>
      </c>
      <c r="E77" s="1555" t="s">
        <v>1804</v>
      </c>
      <c r="F77" s="1555" t="s">
        <v>1805</v>
      </c>
      <c r="G77" s="1556">
        <v>41150</v>
      </c>
      <c r="H77" s="1557">
        <v>41135</v>
      </c>
      <c r="I77" s="1555" t="s">
        <v>1042</v>
      </c>
      <c r="J77" s="1555" t="s">
        <v>1700</v>
      </c>
      <c r="K77" s="1554">
        <v>2134</v>
      </c>
      <c r="L77" s="1555" t="s">
        <v>1806</v>
      </c>
      <c r="M77" s="1555" t="s">
        <v>1680</v>
      </c>
    </row>
    <row r="78" spans="4:13" ht="30" hidden="1">
      <c r="D78" s="1554">
        <v>2937</v>
      </c>
      <c r="E78" s="1555" t="s">
        <v>1807</v>
      </c>
      <c r="F78" s="1555" t="s">
        <v>178</v>
      </c>
      <c r="G78" s="1556">
        <v>41205</v>
      </c>
      <c r="H78" s="483"/>
      <c r="I78" s="1555" t="s">
        <v>1042</v>
      </c>
      <c r="J78" s="1555" t="s">
        <v>138</v>
      </c>
      <c r="K78" s="1554">
        <v>2141</v>
      </c>
      <c r="L78" s="1555" t="s">
        <v>1808</v>
      </c>
      <c r="M78" s="1555" t="s">
        <v>1680</v>
      </c>
    </row>
    <row r="79" spans="4:13" ht="30">
      <c r="D79" s="1554">
        <v>3223</v>
      </c>
      <c r="E79" s="1555" t="s">
        <v>1809</v>
      </c>
      <c r="F79" s="1555" t="s">
        <v>449</v>
      </c>
      <c r="G79" s="1556">
        <v>41423</v>
      </c>
      <c r="H79" s="483"/>
      <c r="I79" s="1555" t="s">
        <v>1042</v>
      </c>
      <c r="J79" s="1555" t="s">
        <v>1700</v>
      </c>
      <c r="K79" s="1554">
        <v>2193</v>
      </c>
      <c r="L79" s="1555" t="s">
        <v>1810</v>
      </c>
      <c r="M79" s="1555" t="s">
        <v>1256</v>
      </c>
    </row>
    <row r="80" spans="4:13" ht="45">
      <c r="D80" s="1554">
        <v>3627</v>
      </c>
      <c r="E80" s="1555" t="s">
        <v>1811</v>
      </c>
      <c r="F80" s="1555" t="s">
        <v>460</v>
      </c>
      <c r="G80" s="1556">
        <v>41485</v>
      </c>
      <c r="H80" s="483"/>
      <c r="I80" s="1555" t="s">
        <v>1042</v>
      </c>
      <c r="J80" s="1555" t="s">
        <v>1700</v>
      </c>
      <c r="K80" s="1554">
        <v>2215</v>
      </c>
      <c r="L80" s="1555" t="s">
        <v>1812</v>
      </c>
      <c r="M80" s="1555" t="s">
        <v>1256</v>
      </c>
    </row>
    <row r="81" spans="4:13" ht="45">
      <c r="D81" s="1554">
        <v>4248</v>
      </c>
      <c r="E81" s="1555" t="s">
        <v>1813</v>
      </c>
      <c r="F81" s="1555" t="s">
        <v>1814</v>
      </c>
      <c r="G81" s="1556">
        <v>41485</v>
      </c>
      <c r="H81" s="483"/>
      <c r="I81" s="1555" t="s">
        <v>1042</v>
      </c>
      <c r="J81" s="1555" t="s">
        <v>1700</v>
      </c>
      <c r="K81" s="1554">
        <v>2245</v>
      </c>
      <c r="L81" s="1555" t="s">
        <v>1815</v>
      </c>
      <c r="M81" s="1555" t="s">
        <v>1256</v>
      </c>
    </row>
    <row r="82" spans="4:13" ht="105" hidden="1">
      <c r="D82" s="1554">
        <v>4950</v>
      </c>
      <c r="E82" s="1555" t="s">
        <v>1816</v>
      </c>
      <c r="F82" s="1555" t="s">
        <v>179</v>
      </c>
      <c r="G82" s="1556">
        <v>41057</v>
      </c>
      <c r="H82" s="1557">
        <v>41007</v>
      </c>
      <c r="I82" s="1555" t="s">
        <v>1042</v>
      </c>
      <c r="J82" s="1555" t="s">
        <v>138</v>
      </c>
      <c r="K82" s="1554">
        <v>2285</v>
      </c>
      <c r="L82" s="1555" t="s">
        <v>1817</v>
      </c>
      <c r="M82" s="1555" t="s">
        <v>1680</v>
      </c>
    </row>
    <row r="83" spans="4:13" ht="15" hidden="1">
      <c r="D83" s="1554">
        <v>5160</v>
      </c>
      <c r="E83" s="1555" t="s">
        <v>1818</v>
      </c>
      <c r="F83" s="1555" t="s">
        <v>181</v>
      </c>
      <c r="G83" s="1556">
        <v>41204</v>
      </c>
      <c r="H83" s="1557">
        <v>41147</v>
      </c>
      <c r="I83" s="1555" t="s">
        <v>1042</v>
      </c>
      <c r="J83" s="1555" t="s">
        <v>138</v>
      </c>
      <c r="K83" s="1554">
        <v>2313</v>
      </c>
      <c r="L83" s="1555" t="s">
        <v>1819</v>
      </c>
      <c r="M83" s="1555" t="s">
        <v>1680</v>
      </c>
    </row>
    <row r="84" spans="4:13" ht="30" hidden="1">
      <c r="D84" s="1554">
        <v>5216</v>
      </c>
      <c r="E84" s="1555" t="s">
        <v>1820</v>
      </c>
      <c r="F84" s="1555" t="s">
        <v>1821</v>
      </c>
      <c r="G84" s="1556">
        <v>41039</v>
      </c>
      <c r="H84" s="483"/>
      <c r="I84" s="1555" t="s">
        <v>1042</v>
      </c>
      <c r="J84" s="1555" t="s">
        <v>138</v>
      </c>
      <c r="K84" s="1554">
        <v>2330</v>
      </c>
      <c r="L84" s="1555" t="s">
        <v>1822</v>
      </c>
      <c r="M84" s="1555" t="s">
        <v>1680</v>
      </c>
    </row>
    <row r="85" spans="4:13" ht="30" hidden="1">
      <c r="D85" s="1554">
        <v>5217</v>
      </c>
      <c r="E85" s="1555" t="s">
        <v>1823</v>
      </c>
      <c r="F85" s="1555" t="s">
        <v>1824</v>
      </c>
      <c r="G85" s="1556">
        <v>41039</v>
      </c>
      <c r="H85" s="483"/>
      <c r="I85" s="1555" t="s">
        <v>1042</v>
      </c>
      <c r="J85" s="1555" t="s">
        <v>138</v>
      </c>
      <c r="K85" s="1554">
        <v>2331</v>
      </c>
      <c r="L85" s="1555" t="s">
        <v>1825</v>
      </c>
      <c r="M85" s="1555" t="s">
        <v>1680</v>
      </c>
    </row>
    <row r="86" spans="4:13" ht="45">
      <c r="D86" s="1554">
        <v>5274</v>
      </c>
      <c r="E86" s="1555" t="s">
        <v>1826</v>
      </c>
      <c r="F86" s="1555" t="s">
        <v>182</v>
      </c>
      <c r="G86" s="1556">
        <v>41393</v>
      </c>
      <c r="H86" s="483"/>
      <c r="I86" s="1555" t="s">
        <v>1042</v>
      </c>
      <c r="J86" s="1555" t="s">
        <v>1700</v>
      </c>
      <c r="K86" s="1554">
        <v>2339</v>
      </c>
      <c r="L86" s="1555" t="s">
        <v>1827</v>
      </c>
      <c r="M86" s="1555" t="s">
        <v>1256</v>
      </c>
    </row>
    <row r="87" spans="4:13" ht="45">
      <c r="D87" s="1554">
        <v>5351</v>
      </c>
      <c r="E87" s="1555" t="s">
        <v>1828</v>
      </c>
      <c r="F87" s="1555" t="s">
        <v>184</v>
      </c>
      <c r="G87" s="1556">
        <v>41212</v>
      </c>
      <c r="H87" s="483"/>
      <c r="I87" s="1555" t="s">
        <v>1042</v>
      </c>
      <c r="J87" s="1555" t="s">
        <v>1700</v>
      </c>
      <c r="K87" s="1554">
        <v>2340</v>
      </c>
      <c r="L87" s="1555" t="s">
        <v>1829</v>
      </c>
      <c r="M87" s="1555" t="s">
        <v>1256</v>
      </c>
    </row>
    <row r="88" spans="4:13" ht="60">
      <c r="D88" s="1554">
        <v>5352</v>
      </c>
      <c r="E88" s="1555" t="s">
        <v>1830</v>
      </c>
      <c r="F88" s="1555" t="s">
        <v>372</v>
      </c>
      <c r="G88" s="1556">
        <v>41182</v>
      </c>
      <c r="H88" s="483"/>
      <c r="I88" s="1555" t="s">
        <v>1042</v>
      </c>
      <c r="J88" s="1555" t="s">
        <v>1700</v>
      </c>
      <c r="K88" s="1554">
        <v>2341</v>
      </c>
      <c r="L88" s="1555" t="s">
        <v>1831</v>
      </c>
      <c r="M88" s="1555" t="s">
        <v>1256</v>
      </c>
    </row>
    <row r="89" spans="4:13" ht="45">
      <c r="D89" s="1554">
        <v>5353</v>
      </c>
      <c r="E89" s="1555" t="s">
        <v>1832</v>
      </c>
      <c r="F89" s="1555" t="s">
        <v>185</v>
      </c>
      <c r="G89" s="1556">
        <v>41182</v>
      </c>
      <c r="H89" s="483"/>
      <c r="I89" s="1555" t="s">
        <v>1042</v>
      </c>
      <c r="J89" s="1555" t="s">
        <v>1700</v>
      </c>
      <c r="K89" s="1554">
        <v>2342</v>
      </c>
      <c r="L89" s="1555" t="s">
        <v>1833</v>
      </c>
      <c r="M89" s="1555" t="s">
        <v>1256</v>
      </c>
    </row>
    <row r="90" spans="4:13" ht="30">
      <c r="D90" s="1554">
        <v>5355</v>
      </c>
      <c r="E90" s="1555" t="s">
        <v>1834</v>
      </c>
      <c r="F90" s="1555" t="s">
        <v>383</v>
      </c>
      <c r="G90" s="1556">
        <v>41182</v>
      </c>
      <c r="H90" s="483"/>
      <c r="I90" s="1555" t="s">
        <v>1042</v>
      </c>
      <c r="J90" s="1555" t="s">
        <v>1700</v>
      </c>
      <c r="K90" s="1554">
        <v>2343</v>
      </c>
      <c r="L90" s="1555" t="s">
        <v>1835</v>
      </c>
      <c r="M90" s="1555" t="s">
        <v>1256</v>
      </c>
    </row>
    <row r="91" spans="4:13" ht="30">
      <c r="D91" s="1554">
        <v>5363</v>
      </c>
      <c r="E91" s="1555" t="s">
        <v>1836</v>
      </c>
      <c r="F91" s="1555" t="s">
        <v>390</v>
      </c>
      <c r="G91" s="1556">
        <v>41182</v>
      </c>
      <c r="H91" s="483"/>
      <c r="I91" s="1555" t="s">
        <v>1042</v>
      </c>
      <c r="J91" s="1555" t="s">
        <v>1700</v>
      </c>
      <c r="K91" s="1554">
        <v>2344</v>
      </c>
      <c r="L91" s="1555" t="s">
        <v>1837</v>
      </c>
      <c r="M91" s="1555" t="s">
        <v>1256</v>
      </c>
    </row>
    <row r="92" spans="4:13" ht="30">
      <c r="D92" s="1554">
        <v>5364</v>
      </c>
      <c r="E92" s="1555" t="s">
        <v>1838</v>
      </c>
      <c r="F92" s="1555" t="s">
        <v>395</v>
      </c>
      <c r="G92" s="1556">
        <v>41182</v>
      </c>
      <c r="H92" s="483"/>
      <c r="I92" s="1555" t="s">
        <v>1042</v>
      </c>
      <c r="J92" s="1555" t="s">
        <v>1700</v>
      </c>
      <c r="K92" s="1554">
        <v>2345</v>
      </c>
      <c r="L92" s="1555" t="s">
        <v>1839</v>
      </c>
      <c r="M92" s="1555" t="s">
        <v>1256</v>
      </c>
    </row>
    <row r="93" spans="4:13" ht="30">
      <c r="D93" s="1554">
        <v>5365</v>
      </c>
      <c r="E93" s="1555" t="s">
        <v>1840</v>
      </c>
      <c r="F93" s="1555" t="s">
        <v>401</v>
      </c>
      <c r="G93" s="1556">
        <v>41182</v>
      </c>
      <c r="H93" s="483"/>
      <c r="I93" s="1555" t="s">
        <v>1042</v>
      </c>
      <c r="J93" s="1555" t="s">
        <v>1700</v>
      </c>
      <c r="K93" s="1554">
        <v>2346</v>
      </c>
      <c r="L93" s="1555" t="s">
        <v>1841</v>
      </c>
      <c r="M93" s="1555" t="s">
        <v>1256</v>
      </c>
    </row>
    <row r="94" spans="4:13" ht="45">
      <c r="D94" s="1554">
        <v>5366</v>
      </c>
      <c r="E94" s="1555" t="s">
        <v>1842</v>
      </c>
      <c r="F94" s="1555" t="s">
        <v>187</v>
      </c>
      <c r="G94" s="1556">
        <v>41182</v>
      </c>
      <c r="H94" s="483"/>
      <c r="I94" s="1555" t="s">
        <v>1042</v>
      </c>
      <c r="J94" s="1555" t="s">
        <v>1700</v>
      </c>
      <c r="K94" s="1554">
        <v>2347</v>
      </c>
      <c r="L94" s="1555" t="s">
        <v>1843</v>
      </c>
      <c r="M94" s="1555" t="s">
        <v>1256</v>
      </c>
    </row>
    <row r="95" spans="4:13" ht="30">
      <c r="D95" s="1554">
        <v>5367</v>
      </c>
      <c r="E95" s="1555" t="s">
        <v>1844</v>
      </c>
      <c r="F95" s="1555" t="s">
        <v>9</v>
      </c>
      <c r="G95" s="1556">
        <v>40899</v>
      </c>
      <c r="H95" s="483"/>
      <c r="I95" s="1555" t="s">
        <v>1042</v>
      </c>
      <c r="J95" s="1555" t="s">
        <v>1700</v>
      </c>
      <c r="K95" s="1554">
        <v>2348</v>
      </c>
      <c r="L95" s="1555" t="s">
        <v>1845</v>
      </c>
      <c r="M95" s="1555" t="s">
        <v>1256</v>
      </c>
    </row>
    <row r="96" spans="4:13" ht="30">
      <c r="D96" s="1554">
        <v>5368</v>
      </c>
      <c r="E96" s="1555" t="s">
        <v>1846</v>
      </c>
      <c r="F96" s="1555" t="s">
        <v>406</v>
      </c>
      <c r="G96" s="1556">
        <v>41182</v>
      </c>
      <c r="H96" s="483"/>
      <c r="I96" s="1555" t="s">
        <v>1042</v>
      </c>
      <c r="J96" s="1555" t="s">
        <v>1700</v>
      </c>
      <c r="K96" s="1554">
        <v>2349</v>
      </c>
      <c r="L96" s="1555" t="s">
        <v>1847</v>
      </c>
      <c r="M96" s="1555" t="s">
        <v>1256</v>
      </c>
    </row>
    <row r="97" spans="4:13" ht="30">
      <c r="D97" s="1554">
        <v>5369</v>
      </c>
      <c r="E97" s="1555" t="s">
        <v>1848</v>
      </c>
      <c r="F97" s="1555" t="s">
        <v>411</v>
      </c>
      <c r="G97" s="1556">
        <v>41182</v>
      </c>
      <c r="H97" s="483"/>
      <c r="I97" s="1555" t="s">
        <v>1042</v>
      </c>
      <c r="J97" s="1555" t="s">
        <v>1700</v>
      </c>
      <c r="K97" s="1554">
        <v>2350</v>
      </c>
      <c r="L97" s="1555" t="s">
        <v>1849</v>
      </c>
      <c r="M97" s="1555" t="s">
        <v>1256</v>
      </c>
    </row>
    <row r="98" spans="4:13" ht="30">
      <c r="D98" s="1554">
        <v>5370</v>
      </c>
      <c r="E98" s="1555" t="s">
        <v>1850</v>
      </c>
      <c r="F98" s="1555" t="s">
        <v>188</v>
      </c>
      <c r="G98" s="1556">
        <v>41182</v>
      </c>
      <c r="H98" s="483"/>
      <c r="I98" s="1555" t="s">
        <v>1042</v>
      </c>
      <c r="J98" s="1555" t="s">
        <v>1700</v>
      </c>
      <c r="K98" s="1554">
        <v>2351</v>
      </c>
      <c r="L98" s="1555" t="s">
        <v>1851</v>
      </c>
      <c r="M98" s="1555" t="s">
        <v>1256</v>
      </c>
    </row>
    <row r="99" spans="4:13" ht="30">
      <c r="D99" s="1554">
        <v>5371</v>
      </c>
      <c r="E99" s="1555" t="s">
        <v>1852</v>
      </c>
      <c r="F99" s="1555" t="s">
        <v>420</v>
      </c>
      <c r="G99" s="1556">
        <v>41182</v>
      </c>
      <c r="H99" s="483"/>
      <c r="I99" s="1555" t="s">
        <v>1042</v>
      </c>
      <c r="J99" s="1555" t="s">
        <v>1700</v>
      </c>
      <c r="K99" s="1554">
        <v>2352</v>
      </c>
      <c r="L99" s="1555" t="s">
        <v>1853</v>
      </c>
      <c r="M99" s="1555" t="s">
        <v>1256</v>
      </c>
    </row>
    <row r="100" spans="4:13" ht="30">
      <c r="D100" s="1554">
        <v>5373</v>
      </c>
      <c r="E100" s="1555" t="s">
        <v>1854</v>
      </c>
      <c r="F100" s="1555" t="s">
        <v>427</v>
      </c>
      <c r="G100" s="1556">
        <v>41182</v>
      </c>
      <c r="H100" s="483"/>
      <c r="I100" s="1555" t="s">
        <v>1042</v>
      </c>
      <c r="J100" s="1555" t="s">
        <v>1700</v>
      </c>
      <c r="K100" s="1554">
        <v>2353</v>
      </c>
      <c r="L100" s="1555" t="s">
        <v>1855</v>
      </c>
      <c r="M100" s="1555" t="s">
        <v>1256</v>
      </c>
    </row>
    <row r="101" spans="4:13" ht="45">
      <c r="D101" s="1554">
        <v>5377</v>
      </c>
      <c r="E101" s="1555" t="s">
        <v>1856</v>
      </c>
      <c r="F101" s="1555" t="s">
        <v>371</v>
      </c>
      <c r="G101" s="1556">
        <v>41393</v>
      </c>
      <c r="H101" s="483"/>
      <c r="I101" s="1555" t="s">
        <v>1042</v>
      </c>
      <c r="J101" s="1555" t="s">
        <v>1700</v>
      </c>
      <c r="K101" s="1554">
        <v>2355</v>
      </c>
      <c r="L101" s="1555" t="s">
        <v>1857</v>
      </c>
      <c r="M101" s="1555" t="s">
        <v>1256</v>
      </c>
    </row>
    <row r="102" spans="4:13" ht="45">
      <c r="D102" s="1554">
        <v>5378</v>
      </c>
      <c r="E102" s="1555" t="s">
        <v>1858</v>
      </c>
      <c r="F102" s="1555" t="s">
        <v>302</v>
      </c>
      <c r="G102" s="1556">
        <v>41393</v>
      </c>
      <c r="H102" s="483"/>
      <c r="I102" s="1555" t="s">
        <v>1042</v>
      </c>
      <c r="J102" s="1555" t="s">
        <v>1700</v>
      </c>
      <c r="K102" s="1554">
        <v>2356</v>
      </c>
      <c r="L102" s="1555" t="s">
        <v>1859</v>
      </c>
      <c r="M102" s="1555" t="s">
        <v>1256</v>
      </c>
    </row>
    <row r="103" spans="4:13" ht="45">
      <c r="D103" s="1554">
        <v>5379</v>
      </c>
      <c r="E103" s="1555" t="s">
        <v>1860</v>
      </c>
      <c r="F103" s="1555" t="s">
        <v>339</v>
      </c>
      <c r="G103" s="1556">
        <v>41212</v>
      </c>
      <c r="H103" s="483"/>
      <c r="I103" s="1555" t="s">
        <v>1042</v>
      </c>
      <c r="J103" s="1555" t="s">
        <v>1700</v>
      </c>
      <c r="K103" s="1554">
        <v>2357</v>
      </c>
      <c r="L103" s="1555" t="s">
        <v>1861</v>
      </c>
      <c r="M103" s="1555" t="s">
        <v>1256</v>
      </c>
    </row>
    <row r="104" spans="4:13" ht="45">
      <c r="D104" s="1554">
        <v>5381</v>
      </c>
      <c r="E104" s="1555" t="s">
        <v>1862</v>
      </c>
      <c r="F104" s="1555" t="s">
        <v>279</v>
      </c>
      <c r="G104" s="1556">
        <v>41152</v>
      </c>
      <c r="H104" s="483"/>
      <c r="I104" s="1555" t="s">
        <v>1042</v>
      </c>
      <c r="J104" s="1555" t="s">
        <v>1700</v>
      </c>
      <c r="K104" s="1554">
        <v>2358</v>
      </c>
      <c r="L104" s="1555" t="s">
        <v>1863</v>
      </c>
      <c r="M104" s="1555" t="s">
        <v>1256</v>
      </c>
    </row>
    <row r="105" spans="4:13" ht="45">
      <c r="D105" s="1554">
        <v>5382</v>
      </c>
      <c r="E105" s="1555" t="s">
        <v>1864</v>
      </c>
      <c r="F105" s="1555" t="s">
        <v>308</v>
      </c>
      <c r="G105" s="1556">
        <v>41101</v>
      </c>
      <c r="H105" s="483"/>
      <c r="I105" s="1555" t="s">
        <v>1042</v>
      </c>
      <c r="J105" s="1555" t="s">
        <v>1700</v>
      </c>
      <c r="K105" s="1554">
        <v>2359</v>
      </c>
      <c r="L105" s="1555" t="s">
        <v>1865</v>
      </c>
      <c r="M105" s="1555" t="s">
        <v>1256</v>
      </c>
    </row>
    <row r="106" spans="4:13" ht="45">
      <c r="D106" s="1554">
        <v>5384</v>
      </c>
      <c r="E106" s="1555" t="s">
        <v>1866</v>
      </c>
      <c r="F106" s="1555" t="s">
        <v>328</v>
      </c>
      <c r="G106" s="1556">
        <v>41423</v>
      </c>
      <c r="H106" s="483"/>
      <c r="I106" s="1555" t="s">
        <v>1042</v>
      </c>
      <c r="J106" s="1555" t="s">
        <v>1700</v>
      </c>
      <c r="K106" s="1554">
        <v>2360</v>
      </c>
      <c r="L106" s="1555" t="s">
        <v>1867</v>
      </c>
      <c r="M106" s="1555" t="s">
        <v>1256</v>
      </c>
    </row>
    <row r="107" spans="4:13" ht="45">
      <c r="D107" s="1554">
        <v>5385</v>
      </c>
      <c r="E107" s="1555" t="s">
        <v>1868</v>
      </c>
      <c r="F107" s="1555" t="s">
        <v>333</v>
      </c>
      <c r="G107" s="1556">
        <v>41379</v>
      </c>
      <c r="H107" s="483"/>
      <c r="I107" s="1555" t="s">
        <v>1042</v>
      </c>
      <c r="J107" s="1555" t="s">
        <v>1700</v>
      </c>
      <c r="K107" s="1554">
        <v>2361</v>
      </c>
      <c r="L107" s="1555" t="s">
        <v>1869</v>
      </c>
      <c r="M107" s="1555" t="s">
        <v>1256</v>
      </c>
    </row>
    <row r="108" spans="4:13" ht="45">
      <c r="D108" s="1554">
        <v>5386</v>
      </c>
      <c r="E108" s="1555" t="s">
        <v>1870</v>
      </c>
      <c r="F108" s="1555" t="s">
        <v>296</v>
      </c>
      <c r="G108" s="1556">
        <v>41212</v>
      </c>
      <c r="H108" s="483"/>
      <c r="I108" s="1555" t="s">
        <v>1042</v>
      </c>
      <c r="J108" s="1555" t="s">
        <v>1700</v>
      </c>
      <c r="K108" s="1554">
        <v>2362</v>
      </c>
      <c r="L108" s="1555" t="s">
        <v>1871</v>
      </c>
      <c r="M108" s="1555" t="s">
        <v>1256</v>
      </c>
    </row>
    <row r="109" spans="4:13" ht="15" hidden="1">
      <c r="D109" s="1554">
        <v>5697</v>
      </c>
      <c r="E109" s="1555" t="s">
        <v>1872</v>
      </c>
      <c r="F109" s="1555" t="s">
        <v>190</v>
      </c>
      <c r="G109" s="1556">
        <v>41143</v>
      </c>
      <c r="H109" s="1557">
        <v>41128</v>
      </c>
      <c r="I109" s="1555" t="s">
        <v>1042</v>
      </c>
      <c r="J109" s="1555" t="s">
        <v>138</v>
      </c>
      <c r="K109" s="1554">
        <v>2382</v>
      </c>
      <c r="L109" s="1555" t="s">
        <v>1873</v>
      </c>
      <c r="M109" s="1555" t="s">
        <v>1680</v>
      </c>
    </row>
    <row r="110" spans="4:13" ht="30" hidden="1">
      <c r="D110" s="1554">
        <v>5707</v>
      </c>
      <c r="E110" s="1555" t="s">
        <v>1874</v>
      </c>
      <c r="F110" s="1555" t="s">
        <v>191</v>
      </c>
      <c r="G110" s="1556">
        <v>41235</v>
      </c>
      <c r="H110" s="1557">
        <v>41207</v>
      </c>
      <c r="I110" s="1555" t="s">
        <v>1042</v>
      </c>
      <c r="J110" s="1555" t="s">
        <v>138</v>
      </c>
      <c r="K110" s="1554">
        <v>2386</v>
      </c>
      <c r="L110" s="1555" t="s">
        <v>1875</v>
      </c>
      <c r="M110" s="1555" t="s">
        <v>1680</v>
      </c>
    </row>
    <row r="111" spans="4:13" ht="15" hidden="1">
      <c r="D111" s="1554">
        <v>6072</v>
      </c>
      <c r="E111" s="1555" t="s">
        <v>1876</v>
      </c>
      <c r="F111" s="1555" t="s">
        <v>1877</v>
      </c>
      <c r="G111" s="1556">
        <v>41204</v>
      </c>
      <c r="H111" s="1557">
        <v>41164</v>
      </c>
      <c r="I111" s="1555" t="s">
        <v>1042</v>
      </c>
      <c r="J111" s="1555" t="s">
        <v>138</v>
      </c>
      <c r="K111" s="1554">
        <v>2407</v>
      </c>
      <c r="L111" s="1555" t="s">
        <v>1878</v>
      </c>
      <c r="M111" s="1555" t="s">
        <v>1680</v>
      </c>
    </row>
    <row r="112" spans="4:13" ht="30" hidden="1">
      <c r="D112" s="1554">
        <v>6585</v>
      </c>
      <c r="E112" s="1555" t="s">
        <v>1879</v>
      </c>
      <c r="F112" s="1555" t="s">
        <v>193</v>
      </c>
      <c r="G112" s="1556">
        <v>41082</v>
      </c>
      <c r="H112" s="1557">
        <v>41078</v>
      </c>
      <c r="I112" s="1555" t="s">
        <v>1042</v>
      </c>
      <c r="J112" s="1555" t="s">
        <v>138</v>
      </c>
      <c r="K112" s="1554">
        <v>2444</v>
      </c>
      <c r="L112" s="1555" t="s">
        <v>1880</v>
      </c>
      <c r="M112" s="1555" t="s">
        <v>1680</v>
      </c>
    </row>
    <row r="113" spans="4:13" ht="30" hidden="1">
      <c r="D113" s="1554">
        <v>6587</v>
      </c>
      <c r="E113" s="1555" t="s">
        <v>1881</v>
      </c>
      <c r="F113" s="1555" t="s">
        <v>194</v>
      </c>
      <c r="G113" s="1556">
        <v>41021</v>
      </c>
      <c r="H113" s="483"/>
      <c r="I113" s="1555" t="s">
        <v>1042</v>
      </c>
      <c r="J113" s="1555" t="s">
        <v>138</v>
      </c>
      <c r="K113" s="1554">
        <v>2445</v>
      </c>
      <c r="L113" s="1555" t="s">
        <v>1882</v>
      </c>
      <c r="M113" s="1555" t="s">
        <v>1680</v>
      </c>
    </row>
    <row r="114" spans="4:13" ht="30" hidden="1">
      <c r="D114" s="1554">
        <v>6600</v>
      </c>
      <c r="E114" s="1555" t="s">
        <v>1883</v>
      </c>
      <c r="F114" s="1555" t="s">
        <v>195</v>
      </c>
      <c r="G114" s="1556">
        <v>41149</v>
      </c>
      <c r="H114" s="483"/>
      <c r="I114" s="1555" t="s">
        <v>1042</v>
      </c>
      <c r="J114" s="1555" t="s">
        <v>138</v>
      </c>
      <c r="K114" s="1554">
        <v>2452</v>
      </c>
      <c r="L114" s="1555" t="s">
        <v>1884</v>
      </c>
      <c r="M114" s="1555" t="s">
        <v>1680</v>
      </c>
    </row>
    <row r="115" spans="4:13" ht="60">
      <c r="D115" s="1554">
        <v>6609</v>
      </c>
      <c r="E115" s="1555" t="s">
        <v>1885</v>
      </c>
      <c r="F115" s="1555" t="s">
        <v>321</v>
      </c>
      <c r="G115" s="1556">
        <v>41411</v>
      </c>
      <c r="H115" s="483"/>
      <c r="I115" s="1555" t="s">
        <v>1042</v>
      </c>
      <c r="J115" s="1555" t="s">
        <v>1700</v>
      </c>
      <c r="K115" s="1554">
        <v>2455</v>
      </c>
      <c r="L115" s="1555" t="s">
        <v>1886</v>
      </c>
      <c r="M115" s="1555" t="s">
        <v>1256</v>
      </c>
    </row>
    <row r="116" spans="4:13" ht="45">
      <c r="D116" s="1554">
        <v>6610</v>
      </c>
      <c r="E116" s="1555" t="s">
        <v>1887</v>
      </c>
      <c r="F116" s="1555" t="s">
        <v>315</v>
      </c>
      <c r="G116" s="1556">
        <v>41243</v>
      </c>
      <c r="H116" s="483"/>
      <c r="I116" s="1555" t="s">
        <v>1042</v>
      </c>
      <c r="J116" s="1555" t="s">
        <v>1700</v>
      </c>
      <c r="K116" s="1554">
        <v>2456</v>
      </c>
      <c r="L116" s="1555" t="s">
        <v>1888</v>
      </c>
      <c r="M116" s="1555" t="s">
        <v>1256</v>
      </c>
    </row>
    <row r="117" spans="4:13" ht="30" hidden="1">
      <c r="D117" s="1554">
        <v>6611</v>
      </c>
      <c r="E117" s="1555" t="s">
        <v>1889</v>
      </c>
      <c r="F117" s="1555" t="s">
        <v>197</v>
      </c>
      <c r="G117" s="1556">
        <v>40943</v>
      </c>
      <c r="H117" s="483"/>
      <c r="I117" s="1555" t="s">
        <v>1042</v>
      </c>
      <c r="J117" s="1555" t="s">
        <v>138</v>
      </c>
      <c r="K117" s="1554">
        <v>2457</v>
      </c>
      <c r="L117" s="1555" t="s">
        <v>1890</v>
      </c>
      <c r="M117" s="1555" t="s">
        <v>1680</v>
      </c>
    </row>
    <row r="118" spans="4:13" ht="30" hidden="1">
      <c r="D118" s="1554">
        <v>6612</v>
      </c>
      <c r="E118" s="1555" t="s">
        <v>1891</v>
      </c>
      <c r="F118" s="1555" t="s">
        <v>198</v>
      </c>
      <c r="G118" s="1556">
        <v>41082</v>
      </c>
      <c r="H118" s="1557">
        <v>41078</v>
      </c>
      <c r="I118" s="1555" t="s">
        <v>1042</v>
      </c>
      <c r="J118" s="1555" t="s">
        <v>1700</v>
      </c>
      <c r="K118" s="1554">
        <v>2458</v>
      </c>
      <c r="L118" s="1555" t="s">
        <v>1892</v>
      </c>
      <c r="M118" s="1555" t="s">
        <v>1680</v>
      </c>
    </row>
    <row r="119" spans="4:13" ht="30">
      <c r="D119" s="1554">
        <v>6896</v>
      </c>
      <c r="E119" s="1555" t="s">
        <v>1893</v>
      </c>
      <c r="F119" s="1555" t="s">
        <v>314</v>
      </c>
      <c r="G119" s="1556">
        <v>41182</v>
      </c>
      <c r="H119" s="483"/>
      <c r="I119" s="1555" t="s">
        <v>1042</v>
      </c>
      <c r="J119" s="1555" t="s">
        <v>1700</v>
      </c>
      <c r="K119" s="1554">
        <v>2479</v>
      </c>
      <c r="L119" s="1555" t="s">
        <v>1894</v>
      </c>
      <c r="M119" s="1555" t="s">
        <v>1256</v>
      </c>
    </row>
    <row r="120" spans="4:13" ht="45">
      <c r="D120" s="1554">
        <v>6897</v>
      </c>
      <c r="E120" s="1555" t="s">
        <v>1895</v>
      </c>
      <c r="F120" s="1555" t="s">
        <v>1896</v>
      </c>
      <c r="G120" s="1556">
        <v>41182</v>
      </c>
      <c r="H120" s="483"/>
      <c r="I120" s="1555" t="s">
        <v>1042</v>
      </c>
      <c r="J120" s="1555" t="s">
        <v>1700</v>
      </c>
      <c r="K120" s="1554">
        <v>2480</v>
      </c>
      <c r="L120" s="1555" t="s">
        <v>1897</v>
      </c>
      <c r="M120" s="1555" t="s">
        <v>1256</v>
      </c>
    </row>
    <row r="121" spans="4:13" ht="30">
      <c r="D121" s="1554">
        <v>6898</v>
      </c>
      <c r="E121" s="1555" t="s">
        <v>1898</v>
      </c>
      <c r="F121" s="1555" t="s">
        <v>361</v>
      </c>
      <c r="G121" s="1556">
        <v>41182</v>
      </c>
      <c r="H121" s="483"/>
      <c r="I121" s="1555" t="s">
        <v>1042</v>
      </c>
      <c r="J121" s="1555" t="s">
        <v>1700</v>
      </c>
      <c r="K121" s="1554">
        <v>2481</v>
      </c>
      <c r="L121" s="1555" t="s">
        <v>1899</v>
      </c>
      <c r="M121" s="1555" t="s">
        <v>1256</v>
      </c>
    </row>
    <row r="122" spans="4:13" ht="30">
      <c r="D122" s="1554">
        <v>7016</v>
      </c>
      <c r="E122" s="1555" t="s">
        <v>1900</v>
      </c>
      <c r="F122" s="1555" t="s">
        <v>432</v>
      </c>
      <c r="G122" s="1556">
        <v>41182</v>
      </c>
      <c r="H122" s="483"/>
      <c r="I122" s="1555" t="s">
        <v>1042</v>
      </c>
      <c r="J122" s="1555" t="s">
        <v>1700</v>
      </c>
      <c r="K122" s="1554">
        <v>2496</v>
      </c>
      <c r="L122" s="1555" t="s">
        <v>1901</v>
      </c>
      <c r="M122" s="1555" t="s">
        <v>1256</v>
      </c>
    </row>
    <row r="123" spans="4:13" ht="30" hidden="1">
      <c r="D123" s="1554">
        <v>7019</v>
      </c>
      <c r="E123" s="1555" t="s">
        <v>1902</v>
      </c>
      <c r="F123" s="1555" t="s">
        <v>200</v>
      </c>
      <c r="G123" s="1556">
        <v>41214</v>
      </c>
      <c r="H123" s="1557">
        <v>41214</v>
      </c>
      <c r="I123" s="1555" t="s">
        <v>1042</v>
      </c>
      <c r="J123" s="1555" t="s">
        <v>138</v>
      </c>
      <c r="K123" s="1554">
        <v>2497</v>
      </c>
      <c r="L123" s="1555" t="s">
        <v>1903</v>
      </c>
      <c r="M123" s="1555" t="s">
        <v>1680</v>
      </c>
    </row>
    <row r="124" spans="4:13" ht="30">
      <c r="D124" s="1554">
        <v>7371</v>
      </c>
      <c r="E124" s="1555" t="s">
        <v>1904</v>
      </c>
      <c r="F124" s="1555" t="s">
        <v>201</v>
      </c>
      <c r="G124" s="1556">
        <v>41485</v>
      </c>
      <c r="H124" s="483"/>
      <c r="I124" s="1555" t="s">
        <v>1042</v>
      </c>
      <c r="J124" s="1555" t="s">
        <v>1700</v>
      </c>
      <c r="K124" s="1554">
        <v>2527</v>
      </c>
      <c r="L124" s="1555" t="s">
        <v>1905</v>
      </c>
      <c r="M124" s="1555" t="s">
        <v>1256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5" customWidth="1"/>
    <col min="2" max="2" width="47.140625" style="435" bestFit="1" customWidth="1"/>
    <col min="3" max="3" width="27" style="435" customWidth="1"/>
    <col min="4" max="4" width="34.7109375" style="435" bestFit="1" customWidth="1"/>
    <col min="5" max="5" width="15" style="435" bestFit="1" customWidth="1"/>
    <col min="6" max="6" width="43.28515625" style="435" bestFit="1" customWidth="1"/>
    <col min="7" max="7" width="15.140625" style="435" bestFit="1" customWidth="1"/>
    <col min="8" max="16384" width="9.140625" style="435"/>
  </cols>
  <sheetData>
    <row r="1" spans="2:7">
      <c r="C1" s="436"/>
      <c r="D1" s="437"/>
    </row>
    <row r="3" spans="2:7">
      <c r="B3" s="438" t="s">
        <v>1906</v>
      </c>
      <c r="G3" s="436" t="s">
        <v>1907</v>
      </c>
    </row>
    <row r="4" spans="2:7">
      <c r="B4" s="447" t="s">
        <v>1908</v>
      </c>
      <c r="C4" s="447" t="s">
        <v>1909</v>
      </c>
      <c r="D4" s="447" t="s">
        <v>935</v>
      </c>
      <c r="E4" s="436"/>
      <c r="F4" s="1558" t="s">
        <v>1910</v>
      </c>
      <c r="G4" s="1559" t="e">
        <f>(C10*G7)/G5</f>
        <v>#REF!</v>
      </c>
    </row>
    <row r="5" spans="2:7">
      <c r="B5" s="1560" t="s">
        <v>1911</v>
      </c>
      <c r="C5" s="1561"/>
      <c r="D5" s="1562"/>
      <c r="F5" s="1558" t="s">
        <v>1912</v>
      </c>
      <c r="G5" s="1563" t="e">
        <f>(((1+C7)^G6)*C7)/(((1+C7)^G6)-1)</f>
        <v>#REF!</v>
      </c>
    </row>
    <row r="6" spans="2:7">
      <c r="B6" s="1560" t="s">
        <v>1913</v>
      </c>
      <c r="C6" s="1561"/>
      <c r="D6" s="1562"/>
      <c r="F6" s="1558" t="s">
        <v>1914</v>
      </c>
      <c r="G6" s="1564" t="e">
        <f>G7/(C8*C9)</f>
        <v>#REF!</v>
      </c>
    </row>
    <row r="7" spans="2:7">
      <c r="B7" s="1560" t="s">
        <v>1915</v>
      </c>
      <c r="C7" s="1565">
        <f>'BD-NET'!Q195</f>
        <v>8.1942000000000001E-2</v>
      </c>
      <c r="D7" s="1562"/>
      <c r="F7" s="1558" t="s">
        <v>1916</v>
      </c>
      <c r="G7" s="1566">
        <f>12*(20000*C6+10000*C5)</f>
        <v>0</v>
      </c>
    </row>
    <row r="8" spans="2:7">
      <c r="B8" s="1560" t="s">
        <v>1917</v>
      </c>
      <c r="C8" s="1567" t="e">
        <f>C24</f>
        <v>#REF!</v>
      </c>
      <c r="D8" s="1568" t="s">
        <v>1918</v>
      </c>
    </row>
    <row r="9" spans="2:7">
      <c r="B9" s="1560" t="s">
        <v>1919</v>
      </c>
      <c r="C9" s="1569"/>
      <c r="D9" s="1562"/>
    </row>
    <row r="10" spans="2:7">
      <c r="B10" s="1560" t="s">
        <v>1920</v>
      </c>
      <c r="C10" s="1570" t="e">
        <f>F14</f>
        <v>#REF!</v>
      </c>
      <c r="D10" s="1562"/>
    </row>
    <row r="12" spans="2:7">
      <c r="B12" s="447" t="s">
        <v>1921</v>
      </c>
      <c r="C12" s="447" t="s">
        <v>801</v>
      </c>
      <c r="D12" s="447" t="s">
        <v>1922</v>
      </c>
      <c r="E12" s="447" t="s">
        <v>1923</v>
      </c>
      <c r="F12" s="447" t="s">
        <v>1924</v>
      </c>
    </row>
    <row r="13" spans="2:7" ht="13.5" thickBot="1">
      <c r="B13" s="1560" t="s">
        <v>1925</v>
      </c>
      <c r="C13" s="1571" t="e">
        <f>C38</f>
        <v>#REF!</v>
      </c>
      <c r="D13" s="1560"/>
      <c r="E13" s="1560"/>
      <c r="F13" s="1572"/>
    </row>
    <row r="14" spans="2:7" ht="13.5" thickBot="1">
      <c r="B14" s="1560" t="s">
        <v>1926</v>
      </c>
      <c r="C14" s="1571" t="e">
        <f>(C32+E55)*($C$38/$C$35)</f>
        <v>#REF!</v>
      </c>
      <c r="D14" s="1573" t="e">
        <f>$C$17*(C14/($C$14+$C$15+$C$16))</f>
        <v>#REF!</v>
      </c>
      <c r="E14" s="1574" t="e">
        <f>C14-D14</f>
        <v>#REF!</v>
      </c>
      <c r="F14" s="470" t="e">
        <f>E14/$C$13</f>
        <v>#REF!</v>
      </c>
      <c r="G14" s="471" t="s">
        <v>1927</v>
      </c>
    </row>
    <row r="15" spans="2:7">
      <c r="B15" s="1560" t="s">
        <v>1928</v>
      </c>
      <c r="C15" s="1571" t="e">
        <f>C27*($C$38/$C$35)</f>
        <v>#REF!</v>
      </c>
      <c r="D15" s="1573" t="e">
        <f>$C$17*(C15/($C$14+$C$15+$C$16))</f>
        <v>#REF!</v>
      </c>
      <c r="E15" s="1573" t="e">
        <f>C15-D15</f>
        <v>#REF!</v>
      </c>
      <c r="F15" s="1575" t="e">
        <f>E15/$C$13</f>
        <v>#REF!</v>
      </c>
    </row>
    <row r="16" spans="2:7">
      <c r="B16" s="1560" t="s">
        <v>1929</v>
      </c>
      <c r="C16" s="1571" t="e">
        <f>(C33+D54)*($C$38/$C$35)</f>
        <v>#REF!</v>
      </c>
      <c r="D16" s="1573" t="e">
        <f>$C$17*(C16/($C$14+$C$15+$C$16))</f>
        <v>#REF!</v>
      </c>
      <c r="E16" s="1573" t="e">
        <f>C16-D16</f>
        <v>#REF!</v>
      </c>
      <c r="F16" s="1576" t="e">
        <f>E16/$C$13</f>
        <v>#REF!</v>
      </c>
    </row>
    <row r="17" spans="2:6">
      <c r="B17" s="1560" t="s">
        <v>1930</v>
      </c>
      <c r="C17" s="1571" t="e">
        <f>C39</f>
        <v>#REF!</v>
      </c>
      <c r="D17" s="1560"/>
      <c r="E17" s="1560"/>
      <c r="F17" s="1577" t="e">
        <f>C17/C13</f>
        <v>#REF!</v>
      </c>
    </row>
    <row r="18" spans="2:6">
      <c r="D18" s="452" t="e">
        <f>SUM(D14:D17)</f>
        <v>#REF!</v>
      </c>
      <c r="F18" s="1578" t="e">
        <f>SUM(F14:F17)</f>
        <v>#REF!</v>
      </c>
    </row>
    <row r="19" spans="2:6">
      <c r="B19" s="443" t="s">
        <v>1931</v>
      </c>
    </row>
    <row r="20" spans="2:6">
      <c r="B20" s="443"/>
    </row>
    <row r="21" spans="2:6">
      <c r="B21" s="1579" t="s">
        <v>1932</v>
      </c>
      <c r="C21" s="1580" t="e">
        <f>LnkTxtPBCAOMCAA</f>
        <v>#NAME?</v>
      </c>
    </row>
    <row r="22" spans="2:6">
      <c r="B22" s="444" t="s">
        <v>1933</v>
      </c>
      <c r="C22" s="445">
        <v>1.15E-2</v>
      </c>
    </row>
    <row r="23" spans="2:6">
      <c r="B23" s="444" t="s">
        <v>1934</v>
      </c>
      <c r="C23" s="445">
        <v>0</v>
      </c>
    </row>
    <row r="24" spans="2:6">
      <c r="B24" s="1579" t="s">
        <v>1935</v>
      </c>
      <c r="C24" s="1580" t="e">
        <f>#REF!+#REF!</f>
        <v>#REF!</v>
      </c>
    </row>
    <row r="27" spans="2:6">
      <c r="B27" s="1579" t="s">
        <v>1936</v>
      </c>
      <c r="C27" s="1580" t="e">
        <f>#REF!</f>
        <v>#REF!</v>
      </c>
    </row>
    <row r="28" spans="2:6">
      <c r="B28" s="444" t="s">
        <v>1937</v>
      </c>
      <c r="C28" s="450" t="e">
        <f>#REF!</f>
        <v>#REF!</v>
      </c>
    </row>
    <row r="29" spans="2:6">
      <c r="B29" s="444" t="s">
        <v>1938</v>
      </c>
      <c r="C29" s="450"/>
    </row>
    <row r="30" spans="2:6">
      <c r="B30" s="444" t="s">
        <v>1939</v>
      </c>
      <c r="C30" s="450" t="e">
        <f>#REF!</f>
        <v>#REF!</v>
      </c>
    </row>
    <row r="31" spans="2:6">
      <c r="B31" s="1579" t="s">
        <v>1940</v>
      </c>
      <c r="C31" s="1580" t="e">
        <f>#REF!</f>
        <v>#REF!</v>
      </c>
    </row>
    <row r="32" spans="2:6">
      <c r="B32" s="444" t="s">
        <v>1941</v>
      </c>
      <c r="C32" s="450" t="e">
        <f>#REF!</f>
        <v>#REF!</v>
      </c>
    </row>
    <row r="33" spans="2:4">
      <c r="B33" s="444" t="s">
        <v>1942</v>
      </c>
      <c r="C33" s="450" t="e">
        <f>#REF!</f>
        <v>#REF!</v>
      </c>
    </row>
    <row r="34" spans="2:4">
      <c r="B34" s="444" t="s">
        <v>1943</v>
      </c>
      <c r="C34" s="450" t="e">
        <f>#REF!</f>
        <v>#REF!</v>
      </c>
    </row>
    <row r="35" spans="2:4">
      <c r="B35" s="1579" t="s">
        <v>1932</v>
      </c>
      <c r="C35" s="1580" t="e">
        <f>C21</f>
        <v>#NAME?</v>
      </c>
    </row>
    <row r="36" spans="2:4">
      <c r="B36" s="444" t="s">
        <v>1933</v>
      </c>
      <c r="C36" s="445">
        <f>C22</f>
        <v>1.15E-2</v>
      </c>
    </row>
    <row r="37" spans="2:4">
      <c r="B37" s="444" t="s">
        <v>1934</v>
      </c>
      <c r="C37" s="445">
        <f>C23</f>
        <v>0</v>
      </c>
    </row>
    <row r="38" spans="2:4">
      <c r="B38" s="1579" t="s">
        <v>1935</v>
      </c>
      <c r="C38" s="1580" t="e">
        <f>C24</f>
        <v>#REF!</v>
      </c>
    </row>
    <row r="39" spans="2:4">
      <c r="B39" s="444" t="s">
        <v>1944</v>
      </c>
      <c r="C39" s="450" t="e">
        <f>#REF!</f>
        <v>#REF!</v>
      </c>
    </row>
    <row r="40" spans="2:4">
      <c r="B40" s="1581" t="s">
        <v>1945</v>
      </c>
      <c r="C40" s="1582" t="e">
        <f>#REF!</f>
        <v>#REF!</v>
      </c>
    </row>
    <row r="42" spans="2:4" ht="15" customHeight="1"/>
    <row r="43" spans="2:4">
      <c r="B43" s="443"/>
    </row>
    <row r="45" spans="2:4">
      <c r="B45" s="461"/>
      <c r="C45" s="461"/>
      <c r="D45" s="464"/>
    </row>
    <row r="46" spans="2:4">
      <c r="B46" s="462"/>
      <c r="C46" s="462"/>
    </row>
    <row r="47" spans="2:4">
      <c r="B47" s="65"/>
      <c r="C47" s="463"/>
      <c r="D47" s="465"/>
    </row>
    <row r="48" spans="2:4">
      <c r="B48" s="65"/>
      <c r="C48" s="463"/>
      <c r="D48" s="465"/>
    </row>
    <row r="49" spans="2:6">
      <c r="B49" s="65"/>
      <c r="C49" s="463"/>
      <c r="D49" s="465"/>
    </row>
    <row r="50" spans="2:6">
      <c r="B50" s="65"/>
      <c r="C50" s="463"/>
      <c r="D50" s="454"/>
    </row>
    <row r="51" spans="2:6">
      <c r="B51" s="65"/>
      <c r="C51" s="463"/>
      <c r="D51" s="466"/>
      <c r="E51" s="454"/>
    </row>
    <row r="52" spans="2:6">
      <c r="B52" s="65"/>
      <c r="C52" s="463"/>
      <c r="D52" s="466"/>
      <c r="E52" s="455"/>
      <c r="F52" s="456"/>
    </row>
    <row r="53" spans="2:6">
      <c r="B53" s="65"/>
      <c r="C53" s="463"/>
      <c r="D53" s="466"/>
      <c r="E53" s="455"/>
      <c r="F53" s="453"/>
    </row>
    <row r="54" spans="2:6">
      <c r="B54" s="467"/>
      <c r="C54" s="468"/>
      <c r="D54" s="469"/>
      <c r="E54" s="455"/>
      <c r="F54" s="453"/>
    </row>
    <row r="55" spans="2:6">
      <c r="E55" s="457"/>
      <c r="F55" s="45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5" customWidth="1"/>
    <col min="2" max="2" width="33.28515625" style="435" customWidth="1"/>
    <col min="3" max="3" width="21" style="435" customWidth="1"/>
    <col min="4" max="4" width="31.7109375" style="435" bestFit="1" customWidth="1"/>
    <col min="5" max="5" width="48.140625" style="435" customWidth="1"/>
    <col min="6" max="6" width="45.5703125" style="435" customWidth="1"/>
    <col min="7" max="7" width="7.7109375" style="435" customWidth="1"/>
    <col min="8" max="8" width="30.42578125" style="435" bestFit="1" customWidth="1"/>
    <col min="9" max="10" width="9.140625" style="435"/>
    <col min="11" max="11" width="11.140625" style="435" customWidth="1"/>
    <col min="12" max="16384" width="9.140625" style="435"/>
  </cols>
  <sheetData>
    <row r="1" spans="2:17">
      <c r="C1" s="436"/>
      <c r="D1" s="437"/>
    </row>
    <row r="2" spans="2:17">
      <c r="B2" s="438" t="s">
        <v>1946</v>
      </c>
      <c r="C2" s="439"/>
      <c r="H2" s="440" t="s">
        <v>1947</v>
      </c>
    </row>
    <row r="3" spans="2:17">
      <c r="B3" s="1583" t="s">
        <v>1908</v>
      </c>
      <c r="C3" s="1583" t="s">
        <v>1909</v>
      </c>
      <c r="D3" s="1584" t="s">
        <v>935</v>
      </c>
      <c r="E3" s="1584" t="s">
        <v>1948</v>
      </c>
      <c r="F3" s="1584" t="s">
        <v>1949</v>
      </c>
      <c r="H3" s="440" t="s">
        <v>1950</v>
      </c>
      <c r="M3" s="435" t="s">
        <v>1951</v>
      </c>
      <c r="O3" s="435" t="s">
        <v>1951</v>
      </c>
      <c r="P3" s="435" t="s">
        <v>1951</v>
      </c>
    </row>
    <row r="4" spans="2:17">
      <c r="B4" s="1585" t="s">
        <v>1952</v>
      </c>
      <c r="C4" s="1586" t="e">
        <f>12*C5*(1-$E$13)*1/$E$16</f>
        <v>#DIV/0!</v>
      </c>
      <c r="D4" s="1562" t="s">
        <v>1953</v>
      </c>
      <c r="E4" s="1562"/>
      <c r="F4" s="1562"/>
      <c r="H4" s="1583" t="s">
        <v>1954</v>
      </c>
      <c r="I4" s="1583" t="s">
        <v>1955</v>
      </c>
      <c r="J4" s="1583" t="s">
        <v>1956</v>
      </c>
      <c r="K4" s="1583" t="s">
        <v>1957</v>
      </c>
      <c r="L4" s="1583" t="s">
        <v>1958</v>
      </c>
      <c r="M4" s="1583" t="s">
        <v>976</v>
      </c>
      <c r="N4" s="1583" t="s">
        <v>596</v>
      </c>
      <c r="O4" s="1583" t="s">
        <v>600</v>
      </c>
      <c r="P4" s="1583" t="s">
        <v>598</v>
      </c>
      <c r="Q4" s="1583" t="s">
        <v>601</v>
      </c>
    </row>
    <row r="5" spans="2:17">
      <c r="B5" s="1585" t="s">
        <v>1913</v>
      </c>
      <c r="C5" s="1587"/>
      <c r="D5" s="1562"/>
      <c r="E5" s="1562"/>
      <c r="F5" s="1562" t="s">
        <v>1959</v>
      </c>
      <c r="H5" s="1585" t="s">
        <v>1952</v>
      </c>
      <c r="I5" s="1586" t="e">
        <f t="shared" ref="I5:Q5" si="0">12*I6*(1-$E$13)*1/$E$16</f>
        <v>#DIV/0!</v>
      </c>
      <c r="J5" s="1586" t="e">
        <f t="shared" si="0"/>
        <v>#DIV/0!</v>
      </c>
      <c r="K5" s="1586" t="e">
        <f t="shared" si="0"/>
        <v>#DIV/0!</v>
      </c>
      <c r="L5" s="1586" t="e">
        <f t="shared" si="0"/>
        <v>#DIV/0!</v>
      </c>
      <c r="M5" s="1586" t="e">
        <f t="shared" si="0"/>
        <v>#DIV/0!</v>
      </c>
      <c r="N5" s="1586" t="e">
        <f t="shared" si="0"/>
        <v>#DIV/0!</v>
      </c>
      <c r="O5" s="1586" t="e">
        <f t="shared" si="0"/>
        <v>#DIV/0!</v>
      </c>
      <c r="P5" s="1586" t="e">
        <f t="shared" si="0"/>
        <v>#DIV/0!</v>
      </c>
      <c r="Q5" s="1586" t="e">
        <f t="shared" si="0"/>
        <v>#DIV/0!</v>
      </c>
    </row>
    <row r="6" spans="2:17">
      <c r="B6" s="1585" t="s">
        <v>1960</v>
      </c>
      <c r="C6" s="1588"/>
      <c r="D6" s="1562" t="s">
        <v>1961</v>
      </c>
      <c r="E6" s="1562"/>
      <c r="F6" s="1589"/>
      <c r="H6" s="1585" t="s">
        <v>1913</v>
      </c>
      <c r="I6" s="1590"/>
      <c r="J6" s="1590"/>
      <c r="K6" s="1590"/>
      <c r="L6" s="1590"/>
      <c r="M6" s="1561"/>
      <c r="N6" s="1591"/>
      <c r="O6" s="1561"/>
      <c r="P6" s="1561"/>
      <c r="Q6" s="1561"/>
    </row>
    <row r="7" spans="2:17">
      <c r="B7" s="1585" t="s">
        <v>1962</v>
      </c>
      <c r="C7" s="1588"/>
      <c r="D7" s="1562" t="s">
        <v>1963</v>
      </c>
      <c r="E7" s="1562"/>
      <c r="F7" s="1589"/>
      <c r="H7" s="1585" t="s">
        <v>1960</v>
      </c>
      <c r="I7" s="1801">
        <f>C6</f>
        <v>0</v>
      </c>
      <c r="J7" s="1802"/>
      <c r="K7" s="1802"/>
      <c r="L7" s="1802"/>
      <c r="M7" s="1802"/>
      <c r="N7" s="1802"/>
      <c r="O7" s="1802"/>
      <c r="P7" s="1802"/>
      <c r="Q7" s="1803"/>
    </row>
    <row r="8" spans="2:17">
      <c r="B8" s="1585" t="s">
        <v>1964</v>
      </c>
      <c r="C8" s="1592"/>
      <c r="D8" s="1562" t="s">
        <v>1965</v>
      </c>
      <c r="E8" s="1562" t="s">
        <v>1966</v>
      </c>
      <c r="F8" s="1593"/>
      <c r="G8" s="441"/>
      <c r="H8" s="1585" t="s">
        <v>1964</v>
      </c>
      <c r="I8" s="1804">
        <f>C8</f>
        <v>0</v>
      </c>
      <c r="J8" s="1805"/>
      <c r="K8" s="1805"/>
      <c r="L8" s="1805"/>
      <c r="M8" s="1805"/>
      <c r="N8" s="1805"/>
      <c r="O8" s="1805"/>
      <c r="P8" s="1805"/>
      <c r="Q8" s="1806"/>
    </row>
    <row r="9" spans="2:17">
      <c r="B9" s="1585" t="s">
        <v>1967</v>
      </c>
      <c r="C9" s="1588"/>
      <c r="D9" s="1562" t="s">
        <v>1968</v>
      </c>
      <c r="E9" s="1562"/>
      <c r="F9" s="1593"/>
      <c r="H9" s="1585" t="s">
        <v>1967</v>
      </c>
      <c r="I9" s="1801">
        <f>C9</f>
        <v>0</v>
      </c>
      <c r="J9" s="1802"/>
      <c r="K9" s="1802"/>
      <c r="L9" s="1802"/>
      <c r="M9" s="1802"/>
      <c r="N9" s="1802"/>
      <c r="O9" s="1802"/>
      <c r="P9" s="1802"/>
      <c r="Q9" s="1803"/>
    </row>
    <row r="10" spans="2:17">
      <c r="B10" s="1585" t="s">
        <v>1969</v>
      </c>
      <c r="C10" s="1592"/>
      <c r="D10" s="1562" t="s">
        <v>1970</v>
      </c>
      <c r="E10" s="1562" t="s">
        <v>1971</v>
      </c>
      <c r="F10" s="1593"/>
      <c r="G10" s="441"/>
      <c r="H10" s="1585" t="s">
        <v>1969</v>
      </c>
      <c r="I10" s="1807">
        <f>C10</f>
        <v>0</v>
      </c>
      <c r="J10" s="1808"/>
      <c r="K10" s="1808"/>
      <c r="L10" s="1808"/>
      <c r="M10" s="1808"/>
      <c r="N10" s="1808"/>
      <c r="O10" s="1808"/>
      <c r="P10" s="1808"/>
      <c r="Q10" s="1809"/>
    </row>
    <row r="12" spans="2:17">
      <c r="D12" s="438" t="s">
        <v>1972</v>
      </c>
    </row>
    <row r="13" spans="2:17">
      <c r="D13" s="1558" t="s">
        <v>1973</v>
      </c>
      <c r="E13" s="1594" t="e">
        <f>C10/C8</f>
        <v>#DIV/0!</v>
      </c>
      <c r="H13" s="440" t="s">
        <v>1974</v>
      </c>
      <c r="M13" s="442">
        <v>4.2321999999999997</v>
      </c>
    </row>
    <row r="14" spans="2:17">
      <c r="D14" s="1558" t="s">
        <v>1975</v>
      </c>
      <c r="E14" s="1595" t="e">
        <f>1/C9</f>
        <v>#DIV/0!</v>
      </c>
      <c r="H14" s="440" t="s">
        <v>1976</v>
      </c>
      <c r="M14" s="435">
        <v>1.01916916988504</v>
      </c>
    </row>
    <row r="15" spans="2:17">
      <c r="D15" s="1558" t="s">
        <v>1977</v>
      </c>
      <c r="E15" s="1596">
        <f>ROUND(C6/(1-C7),4)</f>
        <v>0</v>
      </c>
      <c r="H15" s="440" t="s">
        <v>1978</v>
      </c>
      <c r="M15" s="435">
        <f>M13*M14</f>
        <v>4.313327760787466</v>
      </c>
    </row>
    <row r="16" spans="2:17">
      <c r="D16" s="1558" t="s">
        <v>1912</v>
      </c>
      <c r="E16" s="1597" t="e">
        <f>(((1+E15)^E14)*E15)/((1+E15)^E14-1)</f>
        <v>#DIV/0!</v>
      </c>
      <c r="H16" s="440" t="s">
        <v>1979</v>
      </c>
      <c r="M16" s="435">
        <v>0.3</v>
      </c>
    </row>
    <row r="17" spans="2:13">
      <c r="H17" s="440" t="s">
        <v>1980</v>
      </c>
      <c r="M17" s="435">
        <v>0.4</v>
      </c>
    </row>
    <row r="18" spans="2:13">
      <c r="H18" s="440" t="s">
        <v>1981</v>
      </c>
      <c r="M18" s="435">
        <v>0</v>
      </c>
    </row>
    <row r="20" spans="2:13">
      <c r="B20" s="1579" t="s">
        <v>1932</v>
      </c>
      <c r="C20" s="1580" t="e">
        <f>'REN 473'!C21</f>
        <v>#NAME?</v>
      </c>
      <c r="E20" s="443" t="s">
        <v>1982</v>
      </c>
      <c r="F20" s="443"/>
    </row>
    <row r="21" spans="2:13">
      <c r="B21" s="444" t="s">
        <v>1933</v>
      </c>
      <c r="C21" s="445">
        <f>'REN 473'!C22</f>
        <v>1.15E-2</v>
      </c>
      <c r="E21" s="446" t="s">
        <v>854</v>
      </c>
      <c r="F21" s="447" t="s">
        <v>37</v>
      </c>
    </row>
    <row r="22" spans="2:13">
      <c r="B22" s="444" t="s">
        <v>1934</v>
      </c>
      <c r="C22" s="445">
        <f>'REN 473'!C23</f>
        <v>0</v>
      </c>
      <c r="E22" s="448" t="s">
        <v>1983</v>
      </c>
      <c r="F22" s="449"/>
    </row>
    <row r="23" spans="2:13">
      <c r="B23" s="1579" t="s">
        <v>1935</v>
      </c>
      <c r="C23" s="1580" t="e">
        <f>'REN 473'!C24</f>
        <v>#REF!</v>
      </c>
      <c r="E23" s="448" t="s">
        <v>1984</v>
      </c>
      <c r="F23" s="449"/>
    </row>
    <row r="24" spans="2:13">
      <c r="E24" s="448" t="s">
        <v>1985</v>
      </c>
      <c r="F24" s="449"/>
    </row>
    <row r="25" spans="2:13">
      <c r="B25" s="1579" t="s">
        <v>1936</v>
      </c>
      <c r="C25" s="1598"/>
      <c r="E25" s="448" t="s">
        <v>1986</v>
      </c>
      <c r="F25" s="449"/>
    </row>
    <row r="26" spans="2:13">
      <c r="B26" s="444" t="s">
        <v>1937</v>
      </c>
      <c r="C26" s="472"/>
      <c r="E26" s="1599" t="s">
        <v>1987</v>
      </c>
      <c r="F26" s="1600"/>
    </row>
    <row r="27" spans="2:13">
      <c r="B27" s="444" t="s">
        <v>1938</v>
      </c>
      <c r="C27" s="472"/>
      <c r="E27" s="448" t="s">
        <v>1988</v>
      </c>
      <c r="F27" s="451"/>
    </row>
    <row r="28" spans="2:13">
      <c r="B28" s="1581" t="s">
        <v>1939</v>
      </c>
      <c r="C28" s="1601"/>
      <c r="E28" s="1599" t="s">
        <v>1989</v>
      </c>
      <c r="F28" s="1600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1990</v>
      </c>
      <c r="C2" s="9" t="s">
        <v>37</v>
      </c>
    </row>
    <row r="3" spans="2:3">
      <c r="B3" s="64" t="s">
        <v>1991</v>
      </c>
      <c r="C3" t="e">
        <f t="shared" ref="C3:C66" ca="1" si="0">INDIRECT(B3)</f>
        <v>#REF!</v>
      </c>
    </row>
    <row r="4" spans="2:3">
      <c r="B4" s="64" t="s">
        <v>1992</v>
      </c>
      <c r="C4" t="e">
        <f t="shared" ca="1" si="0"/>
        <v>#REF!</v>
      </c>
    </row>
    <row r="5" spans="2:3">
      <c r="B5" s="64" t="s">
        <v>1993</v>
      </c>
      <c r="C5" t="e">
        <f t="shared" ca="1" si="0"/>
        <v>#REF!</v>
      </c>
    </row>
    <row r="6" spans="2:3">
      <c r="B6" s="64" t="s">
        <v>1994</v>
      </c>
      <c r="C6" t="e">
        <f t="shared" ca="1" si="0"/>
        <v>#REF!</v>
      </c>
    </row>
    <row r="7" spans="2:3">
      <c r="B7" s="64" t="s">
        <v>1995</v>
      </c>
      <c r="C7" t="e">
        <f t="shared" ca="1" si="0"/>
        <v>#REF!</v>
      </c>
    </row>
    <row r="8" spans="2:3">
      <c r="B8" s="64" t="s">
        <v>1996</v>
      </c>
      <c r="C8" t="e">
        <f t="shared" ca="1" si="0"/>
        <v>#REF!</v>
      </c>
    </row>
    <row r="9" spans="2:3">
      <c r="B9" s="64" t="s">
        <v>1997</v>
      </c>
      <c r="C9" t="e">
        <f t="shared" ca="1" si="0"/>
        <v>#REF!</v>
      </c>
    </row>
    <row r="10" spans="2:3">
      <c r="B10" s="64" t="s">
        <v>1998</v>
      </c>
      <c r="C10" t="e">
        <f t="shared" ca="1" si="0"/>
        <v>#REF!</v>
      </c>
    </row>
    <row r="11" spans="2:3">
      <c r="B11" s="64" t="s">
        <v>1999</v>
      </c>
      <c r="C11" t="e">
        <f t="shared" ca="1" si="0"/>
        <v>#REF!</v>
      </c>
    </row>
    <row r="12" spans="2:3">
      <c r="B12" s="63" t="s">
        <v>2000</v>
      </c>
      <c r="C12" t="e">
        <f t="shared" ca="1" si="0"/>
        <v>#REF!</v>
      </c>
    </row>
    <row r="13" spans="2:3">
      <c r="B13" s="63" t="s">
        <v>2001</v>
      </c>
      <c r="C13" t="e">
        <f t="shared" ca="1" si="0"/>
        <v>#REF!</v>
      </c>
    </row>
    <row r="14" spans="2:3">
      <c r="B14" s="63" t="s">
        <v>2002</v>
      </c>
      <c r="C14">
        <f t="shared" ca="1" si="0"/>
        <v>2022</v>
      </c>
    </row>
    <row r="15" spans="2:3">
      <c r="B15" s="63" t="s">
        <v>2003</v>
      </c>
      <c r="C15">
        <f t="shared" ca="1" si="0"/>
        <v>2022</v>
      </c>
    </row>
    <row r="16" spans="2:3">
      <c r="B16" s="63" t="s">
        <v>2004</v>
      </c>
      <c r="C16">
        <f t="shared" ca="1" si="0"/>
        <v>44772</v>
      </c>
    </row>
    <row r="17" spans="2:3">
      <c r="B17" s="63" t="s">
        <v>2005</v>
      </c>
      <c r="C17">
        <f t="shared" ca="1" si="0"/>
        <v>62056.817999999977</v>
      </c>
    </row>
    <row r="18" spans="2:3">
      <c r="B18" s="63" t="s">
        <v>2006</v>
      </c>
      <c r="C18">
        <f t="shared" ca="1" si="0"/>
        <v>0</v>
      </c>
    </row>
    <row r="19" spans="2:3">
      <c r="B19" s="63" t="s">
        <v>2007</v>
      </c>
      <c r="C19">
        <f t="shared" ca="1" si="0"/>
        <v>55219.881999999976</v>
      </c>
    </row>
    <row r="20" spans="2:3">
      <c r="B20" s="63" t="s">
        <v>2008</v>
      </c>
      <c r="C20" t="e">
        <f t="shared" ca="1" si="0"/>
        <v>#VALUE!</v>
      </c>
    </row>
    <row r="21" spans="2:3">
      <c r="B21" s="63" t="s">
        <v>2009</v>
      </c>
      <c r="C21">
        <f t="shared" ca="1" si="0"/>
        <v>504</v>
      </c>
    </row>
    <row r="22" spans="2:3">
      <c r="B22" s="63" t="s">
        <v>1145</v>
      </c>
      <c r="C22">
        <f t="shared" ca="1" si="0"/>
        <v>257</v>
      </c>
    </row>
    <row r="23" spans="2:3">
      <c r="B23" s="63" t="s">
        <v>2010</v>
      </c>
      <c r="C23">
        <f t="shared" ca="1" si="0"/>
        <v>0.12435816358744038</v>
      </c>
    </row>
    <row r="24" spans="2:3">
      <c r="B24" s="63" t="s">
        <v>2011</v>
      </c>
      <c r="C24" t="e">
        <f t="shared" ca="1" si="0"/>
        <v>#REF!</v>
      </c>
    </row>
    <row r="25" spans="2:3">
      <c r="B25" s="63" t="s">
        <v>2012</v>
      </c>
      <c r="C25">
        <f t="shared" ca="1" si="0"/>
        <v>2888.5129999999999</v>
      </c>
    </row>
    <row r="26" spans="2:3">
      <c r="B26" s="63" t="s">
        <v>2013</v>
      </c>
      <c r="C26">
        <f t="shared" ca="1" si="0"/>
        <v>0</v>
      </c>
    </row>
    <row r="27" spans="2:3">
      <c r="B27" s="63" t="s">
        <v>2014</v>
      </c>
      <c r="C27" t="e">
        <f t="shared" ca="1" si="0"/>
        <v>#REF!</v>
      </c>
    </row>
    <row r="28" spans="2:3">
      <c r="B28" s="63" t="s">
        <v>2015</v>
      </c>
      <c r="C28" t="e">
        <f t="shared" ca="1" si="0"/>
        <v>#REF!</v>
      </c>
    </row>
    <row r="29" spans="2:3">
      <c r="B29" s="63" t="s">
        <v>2016</v>
      </c>
      <c r="C29">
        <f t="shared" ca="1" si="0"/>
        <v>0</v>
      </c>
    </row>
    <row r="30" spans="2:3">
      <c r="B30" s="63" t="s">
        <v>2017</v>
      </c>
      <c r="C30">
        <f t="shared" ca="1" si="0"/>
        <v>16043</v>
      </c>
    </row>
    <row r="31" spans="2:3">
      <c r="B31" s="63" t="s">
        <v>2018</v>
      </c>
      <c r="C31">
        <f t="shared" ca="1" si="0"/>
        <v>44772</v>
      </c>
    </row>
    <row r="32" spans="2:3">
      <c r="B32" s="63" t="s">
        <v>2019</v>
      </c>
      <c r="C32" t="e">
        <f t="shared" ca="1" si="0"/>
        <v>#REF!</v>
      </c>
    </row>
    <row r="33" spans="2:3">
      <c r="B33" s="63" t="s">
        <v>2020</v>
      </c>
      <c r="C33">
        <f t="shared" ca="1" si="0"/>
        <v>0.18461186201963029</v>
      </c>
    </row>
    <row r="34" spans="2:3">
      <c r="B34" s="63" t="s">
        <v>2021</v>
      </c>
      <c r="C34" t="e">
        <f t="shared" ca="1" si="0"/>
        <v>#REF!</v>
      </c>
    </row>
    <row r="35" spans="2:3">
      <c r="B35" s="63" t="s">
        <v>2022</v>
      </c>
      <c r="C35">
        <f t="shared" ca="1" si="0"/>
        <v>-245831.60901239348</v>
      </c>
    </row>
    <row r="36" spans="2:3">
      <c r="B36" s="63" t="s">
        <v>2023</v>
      </c>
      <c r="C36" t="e">
        <f t="shared" ca="1" si="0"/>
        <v>#REF!</v>
      </c>
    </row>
    <row r="37" spans="2:3">
      <c r="B37" s="63" t="s">
        <v>2024</v>
      </c>
      <c r="C37" t="e">
        <f t="shared" ca="1" si="0"/>
        <v>#REF!</v>
      </c>
    </row>
    <row r="38" spans="2:3">
      <c r="B38" s="64" t="s">
        <v>2025</v>
      </c>
      <c r="C38" t="e">
        <f t="shared" ca="1" si="0"/>
        <v>#REF!</v>
      </c>
    </row>
    <row r="39" spans="2:3">
      <c r="B39" s="63" t="s">
        <v>2026</v>
      </c>
      <c r="C39" t="e">
        <f t="shared" ca="1" si="0"/>
        <v>#REF!</v>
      </c>
    </row>
    <row r="40" spans="2:3">
      <c r="B40" s="63" t="s">
        <v>2027</v>
      </c>
      <c r="C40" t="e">
        <f t="shared" ca="1" si="0"/>
        <v>#REF!</v>
      </c>
    </row>
    <row r="41" spans="2:3">
      <c r="B41" s="63" t="s">
        <v>2028</v>
      </c>
      <c r="C41">
        <f t="shared" ca="1" si="0"/>
        <v>0.13924834283945997</v>
      </c>
    </row>
    <row r="42" spans="2:3">
      <c r="B42" s="63" t="s">
        <v>2029</v>
      </c>
      <c r="C42">
        <f t="shared" ca="1" si="0"/>
        <v>8.2779420907789447E-2</v>
      </c>
    </row>
    <row r="43" spans="2:3">
      <c r="B43" s="63" t="s">
        <v>2030</v>
      </c>
      <c r="C43">
        <f t="shared" ca="1" si="0"/>
        <v>0.14803139370930296</v>
      </c>
    </row>
    <row r="44" spans="2:3">
      <c r="B44" s="63" t="s">
        <v>2031</v>
      </c>
      <c r="C44" t="e">
        <f t="shared" ca="1" si="0"/>
        <v>#REF!</v>
      </c>
    </row>
    <row r="45" spans="2:3">
      <c r="B45" s="63" t="s">
        <v>2032</v>
      </c>
      <c r="C45" t="e">
        <f t="shared" ca="1" si="0"/>
        <v>#REF!</v>
      </c>
    </row>
    <row r="46" spans="2:3">
      <c r="B46" s="63" t="s">
        <v>2033</v>
      </c>
      <c r="C46" t="e">
        <f t="shared" ca="1" si="0"/>
        <v>#REF!</v>
      </c>
    </row>
    <row r="47" spans="2:3">
      <c r="B47" s="63" t="s">
        <v>2034</v>
      </c>
      <c r="C47">
        <f t="shared" ca="1" si="0"/>
        <v>0.13924834283945997</v>
      </c>
    </row>
    <row r="48" spans="2:3">
      <c r="B48" s="63" t="s">
        <v>2035</v>
      </c>
      <c r="C48">
        <f t="shared" ca="1" si="0"/>
        <v>15476014.231197888</v>
      </c>
    </row>
    <row r="49" spans="2:3">
      <c r="B49" s="63" t="s">
        <v>2036</v>
      </c>
      <c r="C49">
        <f t="shared" ca="1" si="0"/>
        <v>68450.052945069459</v>
      </c>
    </row>
    <row r="50" spans="2:3">
      <c r="B50" s="63" t="s">
        <v>2037</v>
      </c>
      <c r="C50">
        <f t="shared" ca="1" si="0"/>
        <v>0.38319999999999999</v>
      </c>
    </row>
    <row r="51" spans="2:3">
      <c r="B51" s="63" t="s">
        <v>2038</v>
      </c>
      <c r="C51">
        <f t="shared" ca="1" si="0"/>
        <v>62056.817999999977</v>
      </c>
    </row>
    <row r="52" spans="2:3">
      <c r="B52" s="63" t="s">
        <v>2039</v>
      </c>
      <c r="C52">
        <f t="shared" ca="1" si="0"/>
        <v>62056.817999999977</v>
      </c>
    </row>
    <row r="53" spans="2:3">
      <c r="B53" s="63" t="s">
        <v>2040</v>
      </c>
      <c r="C53">
        <f t="shared" ca="1" si="0"/>
        <v>0</v>
      </c>
    </row>
    <row r="54" spans="2:3">
      <c r="B54" s="63" t="s">
        <v>2041</v>
      </c>
      <c r="C54">
        <f t="shared" ca="1" si="0"/>
        <v>0.22640979604743133</v>
      </c>
    </row>
    <row r="55" spans="2:3">
      <c r="B55" s="63" t="s">
        <v>2042</v>
      </c>
      <c r="C55">
        <f t="shared" ca="1" si="0"/>
        <v>0</v>
      </c>
    </row>
    <row r="56" spans="2:3">
      <c r="B56" s="63" t="s">
        <v>2043</v>
      </c>
      <c r="C56">
        <f t="shared" ca="1" si="0"/>
        <v>0</v>
      </c>
    </row>
    <row r="57" spans="2:3">
      <c r="B57" s="63" t="s">
        <v>2044</v>
      </c>
      <c r="C57">
        <f t="shared" ca="1" si="0"/>
        <v>0.17733302397334957</v>
      </c>
    </row>
    <row r="58" spans="2:3">
      <c r="B58" s="63" t="s">
        <v>2045</v>
      </c>
      <c r="C58">
        <f t="shared" ca="1" si="0"/>
        <v>0.11886869625198027</v>
      </c>
    </row>
    <row r="59" spans="2:3">
      <c r="B59" s="63" t="s">
        <v>2046</v>
      </c>
      <c r="C59">
        <f t="shared" ca="1" si="0"/>
        <v>0.11886869625198027</v>
      </c>
    </row>
    <row r="60" spans="2:3">
      <c r="B60" s="63" t="s">
        <v>2047</v>
      </c>
      <c r="C60" t="e">
        <f t="shared" ca="1" si="0"/>
        <v>#REF!</v>
      </c>
    </row>
    <row r="61" spans="2:3">
      <c r="B61" s="63" t="s">
        <v>2048</v>
      </c>
      <c r="C61">
        <f t="shared" ca="1" si="0"/>
        <v>-3.9437776076652171E-2</v>
      </c>
    </row>
    <row r="62" spans="2:3">
      <c r="B62" s="63" t="s">
        <v>2049</v>
      </c>
      <c r="C62">
        <f t="shared" ca="1" si="0"/>
        <v>0.1024</v>
      </c>
    </row>
    <row r="63" spans="2:3">
      <c r="B63" s="63" t="s">
        <v>2050</v>
      </c>
      <c r="C63">
        <f t="shared" ca="1" si="0"/>
        <v>4.1685245095104587E-2</v>
      </c>
    </row>
    <row r="64" spans="2:3">
      <c r="B64" s="63" t="s">
        <v>2051</v>
      </c>
      <c r="C64" t="e">
        <f t="shared" ca="1" si="0"/>
        <v>#REF!</v>
      </c>
    </row>
    <row r="65" spans="2:3">
      <c r="B65" s="63" t="s">
        <v>2052</v>
      </c>
      <c r="C65">
        <f t="shared" ca="1" si="0"/>
        <v>2.1302074061797998E-2</v>
      </c>
    </row>
    <row r="66" spans="2:3">
      <c r="B66" s="63" t="s">
        <v>2053</v>
      </c>
      <c r="C66">
        <f t="shared" ca="1" si="0"/>
        <v>8.1138555228116555E-2</v>
      </c>
    </row>
    <row r="67" spans="2:3">
      <c r="B67" s="63" t="s">
        <v>2054</v>
      </c>
      <c r="C67">
        <f t="shared" ref="C67:C130" ca="1" si="1">INDIRECT(B67)</f>
        <v>1.9054605043345628E-2</v>
      </c>
    </row>
    <row r="68" spans="2:3">
      <c r="B68" s="63" t="s">
        <v>2055</v>
      </c>
      <c r="C68">
        <f t="shared" ca="1" si="1"/>
        <v>-0.24399999999999999</v>
      </c>
    </row>
    <row r="69" spans="2:3">
      <c r="B69" s="63" t="s">
        <v>2056</v>
      </c>
      <c r="C69">
        <f t="shared" ca="1" si="1"/>
        <v>-46079.737896923471</v>
      </c>
    </row>
    <row r="70" spans="2:3">
      <c r="B70" s="63" t="s">
        <v>2057</v>
      </c>
      <c r="C70" t="str">
        <f t="shared" ca="1" si="1"/>
        <v xml:space="preserve">Cooperativa de Distribuição de Energia Fontoura Xavier </v>
      </c>
    </row>
    <row r="71" spans="2:3">
      <c r="B71" s="63" t="s">
        <v>2058</v>
      </c>
      <c r="C71" t="e">
        <f t="shared" ca="1" si="1"/>
        <v>#REF!</v>
      </c>
    </row>
    <row r="72" spans="2:3">
      <c r="B72" s="63" t="s">
        <v>2059</v>
      </c>
      <c r="C72" t="str">
        <f t="shared" ca="1" si="1"/>
        <v>04/2018</v>
      </c>
    </row>
    <row r="73" spans="2:3">
      <c r="B73" s="63" t="s">
        <v>2060</v>
      </c>
      <c r="C73">
        <f t="shared" ca="1" si="1"/>
        <v>0</v>
      </c>
    </row>
    <row r="74" spans="2:3">
      <c r="B74" s="63" t="s">
        <v>2061</v>
      </c>
      <c r="C74">
        <f t="shared" ca="1" si="1"/>
        <v>0.48734357084886087</v>
      </c>
    </row>
    <row r="75" spans="2:3">
      <c r="B75" s="63" t="s">
        <v>2062</v>
      </c>
      <c r="C75">
        <f t="shared" ca="1" si="1"/>
        <v>0.51265642915113918</v>
      </c>
    </row>
    <row r="76" spans="2:3">
      <c r="B76" s="63" t="s">
        <v>2063</v>
      </c>
      <c r="C76">
        <f t="shared" ca="1" si="1"/>
        <v>9.3400000000000011E-2</v>
      </c>
    </row>
    <row r="77" spans="2:3">
      <c r="B77" s="63" t="s">
        <v>2064</v>
      </c>
      <c r="C77">
        <f t="shared" ca="1" si="1"/>
        <v>7.2788380462807068E-3</v>
      </c>
    </row>
    <row r="78" spans="2:3">
      <c r="B78" s="63" t="s">
        <v>2065</v>
      </c>
      <c r="C78">
        <f t="shared" ca="1" si="1"/>
        <v>6393.2349450694883</v>
      </c>
    </row>
    <row r="79" spans="2:3">
      <c r="B79" s="63" t="s">
        <v>2066</v>
      </c>
      <c r="C79">
        <f t="shared" ca="1" si="1"/>
        <v>9.3400000000000011E-2</v>
      </c>
    </row>
    <row r="80" spans="2:3">
      <c r="B80" s="63" t="s">
        <v>2067</v>
      </c>
      <c r="C80">
        <f t="shared" ca="1" si="1"/>
        <v>1320184.3375018844</v>
      </c>
    </row>
    <row r="81" spans="2:3">
      <c r="B81" s="63" t="s">
        <v>2068</v>
      </c>
      <c r="C81">
        <f t="shared" ca="1" si="1"/>
        <v>1320184.3375018844</v>
      </c>
    </row>
    <row r="82" spans="2:3">
      <c r="B82" s="64" t="s">
        <v>2069</v>
      </c>
      <c r="C82">
        <f t="shared" ca="1" si="1"/>
        <v>1118.7514856640885</v>
      </c>
    </row>
    <row r="83" spans="2:3">
      <c r="B83" s="63" t="s">
        <v>2070</v>
      </c>
      <c r="C83">
        <f t="shared" ca="1" si="1"/>
        <v>60158541.498640008</v>
      </c>
    </row>
    <row r="84" spans="2:3">
      <c r="B84" s="63" t="s">
        <v>2071</v>
      </c>
      <c r="C84">
        <f t="shared" ca="1" si="1"/>
        <v>0</v>
      </c>
    </row>
    <row r="85" spans="2:3">
      <c r="B85" s="63" t="s">
        <v>2072</v>
      </c>
      <c r="C85">
        <f t="shared" ca="1" si="1"/>
        <v>0</v>
      </c>
    </row>
    <row r="86" spans="2:3">
      <c r="B86" s="63" t="s">
        <v>2073</v>
      </c>
      <c r="C86" t="str">
        <f t="shared" ca="1" si="1"/>
        <v>julho de 2021 a junho de 2022</v>
      </c>
    </row>
    <row r="87" spans="2:3">
      <c r="B87" s="63" t="s">
        <v>2074</v>
      </c>
      <c r="C87">
        <f t="shared" ca="1" si="1"/>
        <v>0</v>
      </c>
    </row>
    <row r="88" spans="2:3">
      <c r="B88" s="63" t="s">
        <v>2075</v>
      </c>
      <c r="C88" t="str">
        <f t="shared" ca="1" si="1"/>
        <v>Cerfox</v>
      </c>
    </row>
    <row r="89" spans="2:3">
      <c r="B89" s="63" t="s">
        <v>2076</v>
      </c>
      <c r="C89">
        <f t="shared" ca="1" si="1"/>
        <v>-21494204.354071971</v>
      </c>
    </row>
    <row r="90" spans="2:3">
      <c r="B90" s="63" t="s">
        <v>2077</v>
      </c>
      <c r="C90" t="e">
        <f t="shared" ca="1" si="1"/>
        <v>#REF!</v>
      </c>
    </row>
    <row r="91" spans="2:3">
      <c r="B91" s="64" t="s">
        <v>2078</v>
      </c>
      <c r="C91">
        <f t="shared" ca="1" si="1"/>
        <v>9770545.3238976002</v>
      </c>
    </row>
    <row r="92" spans="2:3">
      <c r="B92" s="64" t="s">
        <v>2079</v>
      </c>
      <c r="C92">
        <f t="shared" ca="1" si="1"/>
        <v>-0.13289999999999999</v>
      </c>
    </row>
    <row r="93" spans="2:3">
      <c r="B93" s="64" t="s">
        <v>2080</v>
      </c>
      <c r="C93">
        <f t="shared" ca="1" si="1"/>
        <v>0.54910000000000003</v>
      </c>
    </row>
    <row r="94" spans="2:3">
      <c r="B94" s="64" t="s">
        <v>2081</v>
      </c>
      <c r="C94">
        <f t="shared" ca="1" si="1"/>
        <v>0.13289999999999999</v>
      </c>
    </row>
    <row r="95" spans="2:3">
      <c r="B95" s="64" t="s">
        <v>2082</v>
      </c>
      <c r="C95" t="e">
        <f t="shared" ca="1" si="1"/>
        <v>#VALUE!</v>
      </c>
    </row>
    <row r="96" spans="2:3">
      <c r="B96" s="64" t="s">
        <v>2083</v>
      </c>
      <c r="C96" t="e">
        <f t="shared" ca="1" si="1"/>
        <v>#VALUE!</v>
      </c>
    </row>
    <row r="97" spans="2:3">
      <c r="B97" s="64" t="s">
        <v>2084</v>
      </c>
      <c r="C97" t="e">
        <f t="shared" ca="1" si="1"/>
        <v>#VALUE!</v>
      </c>
    </row>
    <row r="98" spans="2:3">
      <c r="B98" s="64" t="s">
        <v>2085</v>
      </c>
      <c r="C98" t="e">
        <f t="shared" ca="1" si="1"/>
        <v>#VALUE!</v>
      </c>
    </row>
    <row r="99" spans="2:3">
      <c r="B99" s="63" t="s">
        <v>2086</v>
      </c>
      <c r="C99" t="e">
        <f t="shared" ca="1" si="1"/>
        <v>#VALUE!</v>
      </c>
    </row>
    <row r="100" spans="2:3">
      <c r="B100" s="64" t="s">
        <v>2087</v>
      </c>
      <c r="C100" t="e">
        <f t="shared" ca="1" si="1"/>
        <v>#VALUE!</v>
      </c>
    </row>
    <row r="101" spans="2:3">
      <c r="B101" s="63" t="s">
        <v>2088</v>
      </c>
      <c r="C101" t="e">
        <f t="shared" ca="1" si="1"/>
        <v>#VALUE!</v>
      </c>
    </row>
    <row r="102" spans="2:3">
      <c r="B102" s="63" t="s">
        <v>2089</v>
      </c>
      <c r="C102" t="e">
        <f t="shared" ca="1" si="1"/>
        <v>#VALUE!</v>
      </c>
    </row>
    <row r="103" spans="2:3">
      <c r="B103" s="63" t="s">
        <v>2090</v>
      </c>
      <c r="C103" t="e">
        <f t="shared" ca="1" si="1"/>
        <v>#VALUE!</v>
      </c>
    </row>
    <row r="104" spans="2:3">
      <c r="B104" s="63" t="s">
        <v>2091</v>
      </c>
      <c r="C104" t="e">
        <f t="shared" ca="1" si="1"/>
        <v>#VALUE!</v>
      </c>
    </row>
    <row r="105" spans="2:3">
      <c r="B105" s="63" t="s">
        <v>2092</v>
      </c>
      <c r="C105" t="e">
        <f t="shared" ca="1" si="1"/>
        <v>#VALUE!</v>
      </c>
    </row>
    <row r="106" spans="2:3">
      <c r="B106" s="63" t="s">
        <v>2093</v>
      </c>
      <c r="C106" t="e">
        <f t="shared" ca="1" si="1"/>
        <v>#VALUE!</v>
      </c>
    </row>
    <row r="107" spans="2:3">
      <c r="B107" s="63" t="s">
        <v>2094</v>
      </c>
      <c r="C107" t="e">
        <f t="shared" ca="1" si="1"/>
        <v>#VALUE!</v>
      </c>
    </row>
    <row r="108" spans="2:3">
      <c r="B108" s="63" t="s">
        <v>2095</v>
      </c>
      <c r="C108" t="e">
        <f t="shared" ca="1" si="1"/>
        <v>#REF!</v>
      </c>
    </row>
    <row r="109" spans="2:3">
      <c r="B109" s="63" t="s">
        <v>2096</v>
      </c>
      <c r="C109" t="e">
        <f t="shared" ca="1" si="1"/>
        <v>#REF!</v>
      </c>
    </row>
    <row r="110" spans="2:3">
      <c r="B110" s="63" t="s">
        <v>2097</v>
      </c>
      <c r="C110" t="e">
        <f t="shared" ca="1" si="1"/>
        <v>#REF!</v>
      </c>
    </row>
    <row r="111" spans="2:3">
      <c r="B111" s="63" t="s">
        <v>2098</v>
      </c>
      <c r="C111" t="e">
        <f t="shared" ca="1" si="1"/>
        <v>#REF!</v>
      </c>
    </row>
    <row r="112" spans="2:3">
      <c r="B112" s="63" t="s">
        <v>2099</v>
      </c>
      <c r="C112" t="e">
        <f t="shared" ca="1" si="1"/>
        <v>#REF!</v>
      </c>
    </row>
    <row r="113" spans="2:3">
      <c r="B113" s="63" t="s">
        <v>2100</v>
      </c>
      <c r="C113" t="e">
        <f t="shared" ca="1" si="1"/>
        <v>#REF!</v>
      </c>
    </row>
    <row r="114" spans="2:3">
      <c r="B114" s="63" t="s">
        <v>2101</v>
      </c>
      <c r="C114" t="e">
        <f t="shared" ca="1" si="1"/>
        <v>#REF!</v>
      </c>
    </row>
    <row r="115" spans="2:3">
      <c r="B115" s="63" t="s">
        <v>2102</v>
      </c>
      <c r="C115">
        <f t="shared" ca="1" si="1"/>
        <v>0</v>
      </c>
    </row>
    <row r="116" spans="2:3">
      <c r="B116" s="64" t="s">
        <v>2103</v>
      </c>
      <c r="C116">
        <f t="shared" ca="1" si="1"/>
        <v>3830051.9038871895</v>
      </c>
    </row>
    <row r="117" spans="2:3">
      <c r="B117" s="63" t="s">
        <v>2104</v>
      </c>
      <c r="C117">
        <f t="shared" ca="1" si="1"/>
        <v>0</v>
      </c>
    </row>
    <row r="118" spans="2:3">
      <c r="B118" s="63" t="s">
        <v>2105</v>
      </c>
      <c r="C118">
        <f t="shared" ca="1" si="1"/>
        <v>0</v>
      </c>
    </row>
    <row r="119" spans="2:3">
      <c r="B119" s="64" t="s">
        <v>2106</v>
      </c>
      <c r="C119">
        <f t="shared" ca="1" si="1"/>
        <v>0</v>
      </c>
    </row>
    <row r="120" spans="2:3">
      <c r="B120" s="63" t="s">
        <v>2107</v>
      </c>
      <c r="C120">
        <f t="shared" ca="1" si="1"/>
        <v>0</v>
      </c>
    </row>
    <row r="121" spans="2:3">
      <c r="B121" s="63" t="s">
        <v>2108</v>
      </c>
      <c r="C121">
        <f t="shared" ca="1" si="1"/>
        <v>0</v>
      </c>
    </row>
    <row r="122" spans="2:3">
      <c r="B122" s="64" t="s">
        <v>2109</v>
      </c>
      <c r="C122">
        <f t="shared" ca="1" si="1"/>
        <v>0</v>
      </c>
    </row>
    <row r="123" spans="2:3">
      <c r="B123" s="63" t="s">
        <v>2110</v>
      </c>
      <c r="C123">
        <f t="shared" ca="1" si="1"/>
        <v>0</v>
      </c>
    </row>
    <row r="124" spans="2:3">
      <c r="B124" s="63" t="s">
        <v>2111</v>
      </c>
      <c r="C124">
        <f t="shared" ca="1" si="1"/>
        <v>0</v>
      </c>
    </row>
    <row r="125" spans="2:3">
      <c r="B125" s="64" t="s">
        <v>2112</v>
      </c>
      <c r="C125">
        <f t="shared" ca="1" si="1"/>
        <v>0</v>
      </c>
    </row>
    <row r="126" spans="2:3">
      <c r="B126" s="63" t="s">
        <v>2113</v>
      </c>
      <c r="C126">
        <f t="shared" ca="1" si="1"/>
        <v>604159.66547205858</v>
      </c>
    </row>
    <row r="127" spans="2:3">
      <c r="B127" s="63" t="s">
        <v>2114</v>
      </c>
      <c r="C127">
        <f t="shared" ca="1" si="1"/>
        <v>0</v>
      </c>
    </row>
    <row r="128" spans="2:3">
      <c r="B128" s="64" t="s">
        <v>2115</v>
      </c>
      <c r="C128">
        <f t="shared" ca="1" si="1"/>
        <v>132725.67553456523</v>
      </c>
    </row>
    <row r="129" spans="2:3">
      <c r="B129" s="63" t="s">
        <v>2116</v>
      </c>
      <c r="C129">
        <f t="shared" ca="1" si="1"/>
        <v>64945.330999999976</v>
      </c>
    </row>
    <row r="130" spans="2:3">
      <c r="B130" s="63" t="s">
        <v>2117</v>
      </c>
      <c r="C130">
        <f t="shared" ca="1" si="1"/>
        <v>60158541.498640008</v>
      </c>
    </row>
    <row r="131" spans="2:3">
      <c r="B131" s="64" t="s">
        <v>2118</v>
      </c>
      <c r="C131" t="str">
        <f t="shared" ref="C131:C194" ca="1" si="2">INDIRECT(B131)</f>
        <v>Convencional</v>
      </c>
    </row>
    <row r="132" spans="2:3">
      <c r="B132" s="63" t="s">
        <v>2119</v>
      </c>
      <c r="C132" t="e">
        <f t="shared" ca="1" si="2"/>
        <v>#VALUE!</v>
      </c>
    </row>
    <row r="133" spans="2:3">
      <c r="B133" s="64" t="s">
        <v>2120</v>
      </c>
      <c r="C133" t="e">
        <f t="shared" ca="1" si="2"/>
        <v>#REF!</v>
      </c>
    </row>
    <row r="134" spans="2:3">
      <c r="B134" s="63" t="s">
        <v>2121</v>
      </c>
      <c r="C134" t="e">
        <f t="shared" ca="1" si="2"/>
        <v>#REF!</v>
      </c>
    </row>
    <row r="135" spans="2:3">
      <c r="B135" s="63" t="s">
        <v>2122</v>
      </c>
      <c r="C135">
        <f t="shared" ca="1" si="2"/>
        <v>44713</v>
      </c>
    </row>
    <row r="136" spans="2:3">
      <c r="B136" s="63" t="s">
        <v>2123</v>
      </c>
      <c r="C136">
        <f t="shared" ca="1" si="2"/>
        <v>44378</v>
      </c>
    </row>
    <row r="137" spans="2:3">
      <c r="B137" s="63" t="s">
        <v>2124</v>
      </c>
      <c r="C137" t="e">
        <f t="shared" ca="1" si="2"/>
        <v>#REF!</v>
      </c>
    </row>
    <row r="138" spans="2:3">
      <c r="B138" s="63" t="s">
        <v>2125</v>
      </c>
      <c r="C138" t="e">
        <f t="shared" ca="1" si="2"/>
        <v>#REF!</v>
      </c>
    </row>
    <row r="139" spans="2:3">
      <c r="B139" s="63" t="s">
        <v>2126</v>
      </c>
      <c r="C139" t="e">
        <f t="shared" ca="1" si="2"/>
        <v>#REF!</v>
      </c>
    </row>
    <row r="140" spans="2:3">
      <c r="B140" s="63" t="s">
        <v>2127</v>
      </c>
      <c r="C140">
        <f t="shared" ca="1" si="2"/>
        <v>0</v>
      </c>
    </row>
    <row r="141" spans="2:3">
      <c r="B141" s="63" t="s">
        <v>2128</v>
      </c>
      <c r="C141" t="e">
        <f t="shared" ca="1" si="2"/>
        <v>#VALUE!</v>
      </c>
    </row>
    <row r="142" spans="2:3">
      <c r="B142" s="63" t="s">
        <v>2129</v>
      </c>
      <c r="C142" t="e">
        <f t="shared" ca="1" si="2"/>
        <v>#VALUE!</v>
      </c>
    </row>
    <row r="143" spans="2:3">
      <c r="B143" s="63" t="s">
        <v>2130</v>
      </c>
      <c r="C143" t="e">
        <f t="shared" ca="1" si="2"/>
        <v>#VALUE!</v>
      </c>
    </row>
    <row r="144" spans="2:3">
      <c r="B144" s="63" t="s">
        <v>2131</v>
      </c>
      <c r="C144" t="e">
        <f t="shared" ca="1" si="2"/>
        <v>#VALUE!</v>
      </c>
    </row>
    <row r="145" spans="2:3">
      <c r="B145" s="63" t="s">
        <v>2132</v>
      </c>
      <c r="C145" t="e">
        <f t="shared" ca="1" si="2"/>
        <v>#VALUE!</v>
      </c>
    </row>
    <row r="146" spans="2:3">
      <c r="B146" s="64" t="s">
        <v>2133</v>
      </c>
      <c r="C146" t="e">
        <f t="shared" ca="1" si="2"/>
        <v>#REF!</v>
      </c>
    </row>
    <row r="147" spans="2:3">
      <c r="B147" s="64" t="s">
        <v>2134</v>
      </c>
      <c r="C147" t="e">
        <f t="shared" ca="1" si="2"/>
        <v>#REF!</v>
      </c>
    </row>
    <row r="148" spans="2:3">
      <c r="B148" s="64" t="s">
        <v>2135</v>
      </c>
      <c r="C148" t="e">
        <f t="shared" ca="1" si="2"/>
        <v>#REF!</v>
      </c>
    </row>
    <row r="149" spans="2:3">
      <c r="B149" s="64" t="s">
        <v>2136</v>
      </c>
      <c r="C149" t="e">
        <f t="shared" ca="1" si="2"/>
        <v>#REF!</v>
      </c>
    </row>
    <row r="150" spans="2:3">
      <c r="B150" s="64" t="s">
        <v>2137</v>
      </c>
      <c r="C150" t="e">
        <f t="shared" ca="1" si="2"/>
        <v>#REF!</v>
      </c>
    </row>
    <row r="151" spans="2:3">
      <c r="B151" s="64" t="s">
        <v>2138</v>
      </c>
      <c r="C151" t="e">
        <f t="shared" ca="1" si="2"/>
        <v>#REF!</v>
      </c>
    </row>
    <row r="152" spans="2:3">
      <c r="B152" s="64" t="s">
        <v>2139</v>
      </c>
      <c r="C152" t="e">
        <f t="shared" ca="1" si="2"/>
        <v>#REF!</v>
      </c>
    </row>
    <row r="153" spans="2:3">
      <c r="B153" s="64" t="s">
        <v>2140</v>
      </c>
      <c r="C153" t="e">
        <f t="shared" ca="1" si="2"/>
        <v>#REF!</v>
      </c>
    </row>
    <row r="154" spans="2:3">
      <c r="B154" s="63" t="s">
        <v>2141</v>
      </c>
      <c r="C154" t="e">
        <f t="shared" ca="1" si="2"/>
        <v>#VALUE!</v>
      </c>
    </row>
    <row r="155" spans="2:3">
      <c r="B155" s="63" t="s">
        <v>2142</v>
      </c>
      <c r="C155" t="e">
        <f t="shared" ca="1" si="2"/>
        <v>#VALUE!</v>
      </c>
    </row>
    <row r="156" spans="2:3">
      <c r="B156" s="63" t="s">
        <v>2143</v>
      </c>
      <c r="C156" t="e">
        <f t="shared" ca="1" si="2"/>
        <v>#VALUE!</v>
      </c>
    </row>
    <row r="157" spans="2:3">
      <c r="B157" s="63" t="s">
        <v>2144</v>
      </c>
      <c r="C157" t="e">
        <f t="shared" ca="1" si="2"/>
        <v>#VALUE!</v>
      </c>
    </row>
    <row r="158" spans="2:3">
      <c r="B158" s="63" t="s">
        <v>2145</v>
      </c>
      <c r="C158" t="e">
        <f t="shared" ca="1" si="2"/>
        <v>#REF!</v>
      </c>
    </row>
    <row r="159" spans="2:3">
      <c r="B159" s="63" t="s">
        <v>2146</v>
      </c>
      <c r="C159" t="e">
        <f t="shared" ca="1" si="2"/>
        <v>#VALUE!</v>
      </c>
    </row>
    <row r="160" spans="2:3">
      <c r="B160" s="63" t="s">
        <v>2147</v>
      </c>
      <c r="C160" t="e">
        <f t="shared" ca="1" si="2"/>
        <v>#VALUE!</v>
      </c>
    </row>
    <row r="161" spans="2:3">
      <c r="B161" s="63" t="s">
        <v>2148</v>
      </c>
      <c r="C161" t="e">
        <f t="shared" ca="1" si="2"/>
        <v>#VALUE!</v>
      </c>
    </row>
    <row r="162" spans="2:3">
      <c r="B162" s="63" t="s">
        <v>2149</v>
      </c>
      <c r="C162" t="e">
        <f t="shared" ca="1" si="2"/>
        <v>#VALUE!</v>
      </c>
    </row>
    <row r="163" spans="2:3">
      <c r="B163" s="63" t="s">
        <v>2150</v>
      </c>
      <c r="C163" t="e">
        <f t="shared" ca="1" si="2"/>
        <v>#VALUE!</v>
      </c>
    </row>
    <row r="164" spans="2:3">
      <c r="B164" s="63" t="s">
        <v>2151</v>
      </c>
      <c r="C164" t="e">
        <f t="shared" ca="1" si="2"/>
        <v>#VALUE!</v>
      </c>
    </row>
    <row r="165" spans="2:3">
      <c r="B165" s="63" t="s">
        <v>2152</v>
      </c>
      <c r="C165" t="e">
        <f t="shared" ca="1" si="2"/>
        <v>#VALUE!</v>
      </c>
    </row>
    <row r="166" spans="2:3">
      <c r="B166" s="63" t="s">
        <v>2153</v>
      </c>
      <c r="C166" t="e">
        <f t="shared" ca="1" si="2"/>
        <v>#VALUE!</v>
      </c>
    </row>
    <row r="167" spans="2:3">
      <c r="B167" s="63" t="s">
        <v>2154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33</vt:i4>
      </vt:variant>
      <vt:variant>
        <vt:lpstr>Intervalos Nomeados</vt:lpstr>
      </vt:variant>
      <vt:variant>
        <vt:i4>227</vt:i4>
      </vt:variant>
    </vt:vector>
  </HeadingPairs>
  <TitlesOfParts>
    <vt:vector size="260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Rede Básica + Ajuste</vt:lpstr>
      <vt:lpstr>Conexão </vt:lpstr>
      <vt:lpstr>CUSD</vt:lpstr>
      <vt:lpstr>Encargos</vt:lpstr>
      <vt:lpstr>Financeiros</vt:lpstr>
      <vt:lpstr>ICMS</vt:lpstr>
      <vt:lpstr>Financeiros Mitigação</vt:lpstr>
      <vt:lpstr>CVE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2022-07-29T13:00:01Z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